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Dropbox (BIWS)\BIWS-All-Courses\100-Bonus-Case-Studies\105-Accounting\105-14-Key-Financial-Metrics-Ratios\"/>
    </mc:Choice>
  </mc:AlternateContent>
  <bookViews>
    <workbookView xWindow="0" yWindow="0" windowWidth="23040" windowHeight="10668"/>
  </bookViews>
  <sheets>
    <sheet name="Key-Metrics-Ratios" sheetId="2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4" i="2" l="1"/>
  <c r="O55" i="2" s="1"/>
  <c r="P54" i="2"/>
  <c r="P55" i="2" s="1"/>
  <c r="O56" i="2"/>
  <c r="P56" i="2"/>
  <c r="P57" i="2" s="1"/>
  <c r="O57" i="2"/>
  <c r="O58" i="2"/>
  <c r="O59" i="2" s="1"/>
  <c r="P58" i="2"/>
  <c r="P59" i="2" s="1"/>
  <c r="N59" i="2"/>
  <c r="N57" i="2"/>
  <c r="N55" i="2"/>
  <c r="N58" i="2"/>
  <c r="N56" i="2"/>
  <c r="N54" i="2"/>
  <c r="O52" i="2"/>
  <c r="P52" i="2"/>
  <c r="N52" i="2"/>
  <c r="O51" i="2"/>
  <c r="P51" i="2"/>
  <c r="N51" i="2"/>
  <c r="O48" i="2"/>
  <c r="P48" i="2"/>
  <c r="O49" i="2"/>
  <c r="P49" i="2"/>
  <c r="N49" i="2"/>
  <c r="N48" i="2"/>
  <c r="O45" i="2"/>
  <c r="P45" i="2"/>
  <c r="N45" i="2"/>
  <c r="O44" i="2"/>
  <c r="P44" i="2"/>
  <c r="N44" i="2"/>
  <c r="O42" i="2"/>
  <c r="O46" i="2" s="1"/>
  <c r="P42" i="2"/>
  <c r="P46" i="2" s="1"/>
  <c r="N42" i="2"/>
  <c r="N46" i="2" s="1"/>
  <c r="P28" i="2"/>
  <c r="O28" i="2"/>
  <c r="N28" i="2"/>
  <c r="P27" i="2"/>
  <c r="O27" i="2"/>
  <c r="N27" i="2"/>
  <c r="P26" i="2"/>
  <c r="O26" i="2"/>
  <c r="N26" i="2"/>
  <c r="X26" i="2" l="1"/>
  <c r="W26" i="2"/>
  <c r="V26" i="2"/>
  <c r="H26" i="2"/>
  <c r="G26" i="2"/>
  <c r="F26" i="2"/>
  <c r="X14" i="2" l="1"/>
  <c r="X58" i="2" s="1"/>
  <c r="X59" i="2" s="1"/>
  <c r="W14" i="2"/>
  <c r="W58" i="2" s="1"/>
  <c r="W59" i="2" s="1"/>
  <c r="V14" i="2"/>
  <c r="V58" i="2" s="1"/>
  <c r="V59" i="2" s="1"/>
  <c r="X56" i="2"/>
  <c r="X57" i="2" s="1"/>
  <c r="W56" i="2"/>
  <c r="W57" i="2" s="1"/>
  <c r="V56" i="2"/>
  <c r="V57" i="2" s="1"/>
  <c r="V51" i="2"/>
  <c r="V45" i="2"/>
  <c r="V44" i="2"/>
  <c r="X32" i="2"/>
  <c r="W32" i="2"/>
  <c r="V32" i="2"/>
  <c r="U32" i="2"/>
  <c r="U34" i="2"/>
  <c r="M34" i="2"/>
  <c r="O32" i="2"/>
  <c r="P32" i="2"/>
  <c r="M32" i="2"/>
  <c r="N32" i="2"/>
  <c r="N13" i="2"/>
  <c r="V13" i="2"/>
  <c r="H59" i="2"/>
  <c r="G59" i="2"/>
  <c r="F59" i="2"/>
  <c r="H57" i="2"/>
  <c r="G57" i="2"/>
  <c r="F57" i="2"/>
  <c r="H55" i="2"/>
  <c r="G55" i="2"/>
  <c r="F55" i="2"/>
  <c r="F13" i="2"/>
  <c r="F58" i="2" l="1"/>
  <c r="F56" i="2"/>
  <c r="F54" i="2"/>
  <c r="F51" i="2"/>
  <c r="F45" i="2"/>
  <c r="F44" i="2"/>
  <c r="E32" i="2"/>
  <c r="E34" i="2" s="1"/>
  <c r="H45" i="2"/>
  <c r="G45" i="2"/>
  <c r="H44" i="2"/>
  <c r="G44" i="2"/>
  <c r="V24" i="2" l="1"/>
  <c r="W24" i="2"/>
  <c r="X24" i="2"/>
  <c r="X28" i="2" s="1"/>
  <c r="V28" i="2"/>
  <c r="W28" i="2"/>
  <c r="X17" i="2"/>
  <c r="W17" i="2"/>
  <c r="V17" i="2"/>
  <c r="X15" i="2"/>
  <c r="W15" i="2"/>
  <c r="V15" i="2"/>
  <c r="X13" i="2"/>
  <c r="W13" i="2"/>
  <c r="P24" i="2"/>
  <c r="O24" i="2"/>
  <c r="N24" i="2"/>
  <c r="G28" i="2"/>
  <c r="F28" i="2"/>
  <c r="F24" i="2"/>
  <c r="H24" i="2"/>
  <c r="H28" i="2" s="1"/>
  <c r="G24" i="2"/>
  <c r="P17" i="2"/>
  <c r="O17" i="2"/>
  <c r="N17" i="2"/>
  <c r="P15" i="2"/>
  <c r="O15" i="2"/>
  <c r="N15" i="2"/>
  <c r="P13" i="2"/>
  <c r="O13" i="2"/>
  <c r="H17" i="2"/>
  <c r="G17" i="2"/>
  <c r="F17" i="2"/>
  <c r="G15" i="2"/>
  <c r="H15" i="2"/>
  <c r="F15" i="2"/>
  <c r="H13" i="2"/>
  <c r="G13" i="2"/>
  <c r="G58" i="2"/>
  <c r="H58" i="2"/>
  <c r="H56" i="2"/>
  <c r="G56" i="2"/>
  <c r="G54" i="2"/>
  <c r="H54" i="2"/>
  <c r="G52" i="2"/>
  <c r="H52" i="2"/>
  <c r="F52" i="2"/>
  <c r="G51" i="2"/>
  <c r="H51" i="2"/>
  <c r="H34" i="2" l="1"/>
  <c r="H32" i="2"/>
  <c r="G32" i="2"/>
  <c r="F32" i="2"/>
  <c r="F48" i="2" s="1"/>
  <c r="G22" i="2"/>
  <c r="G27" i="2" s="1"/>
  <c r="F22" i="2"/>
  <c r="F27" i="2" s="1"/>
  <c r="X52" i="2"/>
  <c r="W52" i="2"/>
  <c r="V52" i="2"/>
  <c r="X51" i="2"/>
  <c r="W51" i="2"/>
  <c r="X45" i="2"/>
  <c r="W45" i="2"/>
  <c r="X44" i="2"/>
  <c r="W44" i="2"/>
  <c r="V34" i="2"/>
  <c r="N34" i="2"/>
  <c r="G48" i="2" l="1"/>
  <c r="W42" i="2"/>
  <c r="X42" i="2"/>
  <c r="V42" i="2"/>
  <c r="V46" i="2" s="1"/>
  <c r="W34" i="2"/>
  <c r="W22" i="2"/>
  <c r="X22" i="2"/>
  <c r="X21" i="2"/>
  <c r="W21" i="2"/>
  <c r="V21" i="2"/>
  <c r="V22" i="2" s="1"/>
  <c r="P34" i="2"/>
  <c r="O34" i="2"/>
  <c r="O22" i="2"/>
  <c r="P22" i="2"/>
  <c r="N22" i="2"/>
  <c r="G42" i="2"/>
  <c r="H42" i="2"/>
  <c r="F42" i="2"/>
  <c r="G34" i="2"/>
  <c r="G49" i="2"/>
  <c r="H22" i="2"/>
  <c r="H27" i="2" s="1"/>
  <c r="F49" i="2"/>
  <c r="V27" i="2" l="1"/>
  <c r="V48" i="2"/>
  <c r="V49" i="2"/>
  <c r="X48" i="2"/>
  <c r="X34" i="2"/>
  <c r="X46" i="2" s="1"/>
  <c r="W27" i="2"/>
  <c r="W48" i="2"/>
  <c r="W49" i="2"/>
  <c r="F46" i="2"/>
  <c r="G46" i="2"/>
  <c r="H46" i="2"/>
  <c r="W46" i="2"/>
  <c r="X27" i="2"/>
  <c r="X49" i="2"/>
  <c r="H49" i="2"/>
  <c r="H48" i="2"/>
  <c r="F34" i="2"/>
</calcChain>
</file>

<file path=xl/comments1.xml><?xml version="1.0" encoding="utf-8"?>
<comments xmlns="http://schemas.openxmlformats.org/spreadsheetml/2006/main">
  <authors>
    <author>BIWS</author>
  </authors>
  <commentList>
    <comment ref="M3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Also factoring in long-term debt, capital lease, and financing lease obligations under Note 7 of 10-K.</t>
        </r>
      </text>
    </comment>
    <comment ref="N3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Also factoring in long-term debt, capital lease, and financing lease obligations under Note 7 of 10-K.</t>
        </r>
      </text>
    </comment>
    <comment ref="O3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Also factoring in long-term debt, capital lease, and financing lease obligations under Note 7 of 10-K.</t>
        </r>
      </text>
    </comment>
    <comment ref="P3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Also factoring in long-term debt, capital lease, and financing lease obligations under Note 7 of 10-K.</t>
        </r>
      </text>
    </comment>
    <comment ref="X3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Under Note 6 in the 10-K, adding financing obligation and long-term lease liabilities as well.</t>
        </r>
      </text>
    </comment>
  </commentList>
</comments>
</file>

<file path=xl/sharedStrings.xml><?xml version="1.0" encoding="utf-8"?>
<sst xmlns="http://schemas.openxmlformats.org/spreadsheetml/2006/main" count="172" uniqueCount="80">
  <si>
    <t>Total Assets:</t>
  </si>
  <si>
    <t>Accounts Receivable:</t>
  </si>
  <si>
    <t>Accounts Payable:</t>
  </si>
  <si>
    <t>Inventory:</t>
  </si>
  <si>
    <t>Tax Rate:</t>
  </si>
  <si>
    <t>Current Assets:</t>
  </si>
  <si>
    <t>Current Liabilities:</t>
  </si>
  <si>
    <t>Total Equity:</t>
  </si>
  <si>
    <t>Year 1</t>
  </si>
  <si>
    <t>Year 2</t>
  </si>
  <si>
    <t>Year 3</t>
  </si>
  <si>
    <t>Annual Revenue:</t>
  </si>
  <si>
    <t>Annual Net Income:</t>
  </si>
  <si>
    <t>($ in Million Except Per Share Data)</t>
  </si>
  <si>
    <t>N/A</t>
  </si>
  <si>
    <t>EBIT:</t>
  </si>
  <si>
    <t>EBITDA:</t>
  </si>
  <si>
    <t>Free Cash Flow (FCF):</t>
  </si>
  <si>
    <t>EBIT Margin:</t>
  </si>
  <si>
    <t>EBITDA Margin:</t>
  </si>
  <si>
    <t>FCF Margin:</t>
  </si>
  <si>
    <t>Return on Equity (ROE):</t>
  </si>
  <si>
    <t>Return on Assets (ROA):</t>
  </si>
  <si>
    <t>Net Operating Profit After Taxes (NOPAT):</t>
  </si>
  <si>
    <t>Invested Capital:</t>
  </si>
  <si>
    <t>Return on Invested Capital (ROIC):</t>
  </si>
  <si>
    <t>Total Debt / EBITDA:</t>
  </si>
  <si>
    <t>EBITDA / Net Interest Expense:</t>
  </si>
  <si>
    <t>Asset Turnover Ratio:</t>
  </si>
  <si>
    <t>Current Ratio:</t>
  </si>
  <si>
    <t>Inventory Turnover:</t>
  </si>
  <si>
    <t>Receivables Turnover:</t>
  </si>
  <si>
    <t>Payables Turnover:</t>
  </si>
  <si>
    <t>Days Inventory Outstanding:</t>
  </si>
  <si>
    <t>Days Receivables Outstanding:</t>
  </si>
  <si>
    <t>Days Payables Outstanding:</t>
  </si>
  <si>
    <t>Key Metrics and Ratios: Wal-Mart vs. Amazon vs. Salesforce</t>
  </si>
  <si>
    <t>Wal-Mart - Key Metrics and Ratios:</t>
  </si>
  <si>
    <t>Amazon - Key Metrics and Ratios:</t>
  </si>
  <si>
    <t>Salesforce - Key Metrics and Ratios:</t>
  </si>
  <si>
    <t>Plus: Depreciation &amp; Amortization:</t>
  </si>
  <si>
    <t>Shareholders' Equity:</t>
  </si>
  <si>
    <t>Total Debt:</t>
  </si>
  <si>
    <t>Annual Net Interest Expense:</t>
  </si>
  <si>
    <t>Annual COGS:</t>
  </si>
  <si>
    <t>Financial Information:</t>
  </si>
  <si>
    <t>Wal-Mart vs. Amazon: What the Key Metrics and Ratios Tell You</t>
  </si>
  <si>
    <t>% Revenue:</t>
  </si>
  <si>
    <t>% Growth:</t>
  </si>
  <si>
    <t xml:space="preserve">On the surface, many of these metrics make Wal-Mart seem like a "better" company - much higher </t>
  </si>
  <si>
    <r>
      <t xml:space="preserve">ROE, ROA, and ROIC, and Amazon is </t>
    </r>
    <r>
      <rPr>
        <b/>
        <sz val="11"/>
        <color theme="1"/>
        <rFont val="Calibri"/>
        <family val="2"/>
        <scheme val="minor"/>
      </rPr>
      <t>negative</t>
    </r>
    <r>
      <rPr>
        <sz val="11"/>
        <color theme="1"/>
        <rFont val="Calibri"/>
        <family val="2"/>
        <scheme val="minor"/>
      </rPr>
      <t xml:space="preserve"> on some of those!</t>
    </r>
  </si>
  <si>
    <t>And yet… Amazon is a much more expensive stock, or at least it was at this point in time, and the</t>
  </si>
  <si>
    <t>market values it much more highly based on metrics such as the P / E ratio (we'll get into this in upcoming modules).</t>
  </si>
  <si>
    <t>Similar inventory management, but Wal-Mart collects from customers and pays invoices much more</t>
  </si>
  <si>
    <t>quickly than Amazon. Wal-Mart is levered a bit more heavily, though.</t>
  </si>
  <si>
    <t>Wal-Mart tends to have higher margins as well, and shows more consistency with those margins.</t>
  </si>
  <si>
    <t>How could that be possible? Is Amazon really nearly 30x as valuable as Wal-Mart with WORSE metrics?</t>
  </si>
  <si>
    <r>
      <t>Answer:</t>
    </r>
    <r>
      <rPr>
        <sz val="11"/>
        <color theme="1"/>
        <rFont val="Calibri"/>
        <family val="2"/>
        <scheme val="minor"/>
      </rPr>
      <t xml:space="preserve"> The "Revenue Growth" line tells the whole story here. You're comparing 2 very different </t>
    </r>
  </si>
  <si>
    <t>companies - one is a mature, predictable, mostly slow-growing firm, and one is growing revenue at</t>
  </si>
  <si>
    <t>20-30% per year, despite revenue in the tens of billions already.</t>
  </si>
  <si>
    <r>
      <t xml:space="preserve">Admittedly, Amazon's valuation still seems ridiculous, but it's not </t>
    </r>
    <r>
      <rPr>
        <i/>
        <sz val="11"/>
        <color theme="1"/>
        <rFont val="Calibri"/>
        <family val="2"/>
        <scheme val="minor"/>
      </rPr>
      <t>that</t>
    </r>
    <r>
      <rPr>
        <sz val="11"/>
        <color theme="1"/>
        <rFont val="Calibri"/>
        <family val="2"/>
        <scheme val="minor"/>
      </rPr>
      <t xml:space="preserve"> surprising it's valued more highly</t>
    </r>
  </si>
  <si>
    <t>than Wal-Mart, given that it's growing 20-30x more quickly.</t>
  </si>
  <si>
    <r>
      <t>The Bottom-Line:</t>
    </r>
    <r>
      <rPr>
        <sz val="11"/>
        <color theme="1"/>
        <rFont val="Calibri"/>
        <family val="2"/>
        <scheme val="minor"/>
      </rPr>
      <t xml:space="preserve"> These metrics are MOST useful when comparing companies of similar sizes, growth </t>
    </r>
  </si>
  <si>
    <r>
      <t xml:space="preserve">rates, and margins - not as useful when you're comparing a </t>
    </r>
    <r>
      <rPr>
        <b/>
        <sz val="11"/>
        <color theme="1"/>
        <rFont val="Calibri"/>
        <family val="2"/>
        <scheme val="minor"/>
      </rPr>
      <t>high-growth company</t>
    </r>
    <r>
      <rPr>
        <sz val="11"/>
        <color theme="1"/>
        <rFont val="Calibri"/>
        <family val="2"/>
        <scheme val="minor"/>
      </rPr>
      <t xml:space="preserve"> to a </t>
    </r>
    <r>
      <rPr>
        <b/>
        <sz val="11"/>
        <color theme="1"/>
        <rFont val="Calibri"/>
        <family val="2"/>
        <scheme val="minor"/>
      </rPr>
      <t>stable, mature firm.</t>
    </r>
  </si>
  <si>
    <t>Salesforce: What the Key Metrics and Ratios Tell You</t>
  </si>
  <si>
    <r>
      <t xml:space="preserve">On the surface, this seems like a terrible company - </t>
    </r>
    <r>
      <rPr>
        <b/>
        <sz val="11"/>
        <color theme="1"/>
        <rFont val="Calibri"/>
        <family val="2"/>
        <scheme val="minor"/>
      </rPr>
      <t>NEGATIVE</t>
    </r>
    <r>
      <rPr>
        <sz val="11"/>
        <color theme="1"/>
        <rFont val="Calibri"/>
        <family val="2"/>
        <scheme val="minor"/>
      </rPr>
      <t xml:space="preserve"> ROE, ROA, and ROIC metrics…</t>
    </r>
  </si>
  <si>
    <t>Highly dependent on assets to grow, lowest Current Ratio of all 3 companies, indicating low liquidity…</t>
  </si>
  <si>
    <r>
      <t xml:space="preserve">Takes forever to collect cash from customers </t>
    </r>
    <r>
      <rPr>
        <i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to pay invoices…</t>
    </r>
  </si>
  <si>
    <r>
      <t>AND YET:</t>
    </r>
    <r>
      <rPr>
        <sz val="11"/>
        <color theme="1"/>
        <rFont val="Calibri"/>
        <family val="2"/>
        <scheme val="minor"/>
      </rPr>
      <t xml:space="preserve"> Still valued very highly - not quite to Amazon.com levels, but close (based on revenue).</t>
    </r>
  </si>
  <si>
    <r>
      <t>Why?</t>
    </r>
    <r>
      <rPr>
        <sz val="11"/>
        <color theme="1"/>
        <rFont val="Calibri"/>
        <family val="2"/>
        <scheme val="minor"/>
      </rPr>
      <t xml:space="preserve"> High-growth company, growing top-line at 30-40% per year…</t>
    </r>
  </si>
  <si>
    <t>And even though many metrics look "bad," EBITDA and FCF tell a very different story.</t>
  </si>
  <si>
    <r>
      <t>Remember the business model:</t>
    </r>
    <r>
      <rPr>
        <sz val="11"/>
        <color theme="1"/>
        <rFont val="Calibri"/>
        <family val="2"/>
        <scheme val="minor"/>
      </rPr>
      <t xml:space="preserve"> Subscription-based software company, so the deferred revenue</t>
    </r>
  </si>
  <si>
    <t>balance will always be high and increasing - strong cash flow, even if the company can't recognize</t>
  </si>
  <si>
    <r>
      <t xml:space="preserve">it as </t>
    </r>
    <r>
      <rPr>
        <i/>
        <sz val="11"/>
        <color theme="1"/>
        <rFont val="Calibri"/>
        <family val="2"/>
        <scheme val="minor"/>
      </rPr>
      <t>revenue</t>
    </r>
    <r>
      <rPr>
        <sz val="11"/>
        <color theme="1"/>
        <rFont val="Calibri"/>
        <family val="2"/>
        <scheme val="minor"/>
      </rPr>
      <t xml:space="preserve"> yet. And high CapEx and D&amp;A push down EBIT and margins there since it's in</t>
    </r>
  </si>
  <si>
    <t>"growth mode."</t>
  </si>
  <si>
    <t>Days in Year:</t>
  </si>
  <si>
    <t>Annual COGS + OpEx:</t>
  </si>
  <si>
    <t>Acc. Payable + Accrued Exp.:</t>
  </si>
  <si>
    <t>At the time of this analysis, Wal-Mart P / E Ratio = 16x, and Amazon P / E Ratio = 456x!</t>
  </si>
  <si>
    <r>
      <t xml:space="preserve">More highly levered… </t>
    </r>
    <r>
      <rPr>
        <i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a negative EBIT and EBITDA margin…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</si>
</sst>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164" formatCode="0.0%"/>
    <numFmt numFmtId="165" formatCode="0.0%;\(0.0%\)"/>
    <numFmt numFmtId="166" formatCode="0.0\ \x"/>
    <numFmt numFmtId="167" formatCode="0.00\ \x"/>
    <numFmt numFmtId="168" formatCode="_(* #,##0.0_);_(* \(#,##0.0\);_(* &quot;-&quot;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16E4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1"/>
      <color rgb="FF0016E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9"/>
      <name val="Calibri"/>
      <family val="2"/>
      <scheme val="minor"/>
    </font>
    <font>
      <b/>
      <u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1F497D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3" fillId="0" borderId="0" xfId="0" applyFont="1" applyAlignment="1">
      <alignment horizontal="left" indent="1"/>
    </xf>
    <xf numFmtId="0" fontId="0" fillId="0" borderId="0" xfId="0" applyFont="1"/>
    <xf numFmtId="0" fontId="1" fillId="0" borderId="0" xfId="0" applyFont="1" applyBorder="1"/>
    <xf numFmtId="0" fontId="0" fillId="0" borderId="0" xfId="0" applyBorder="1" applyAlignment="1">
      <alignment horizontal="left" indent="1"/>
    </xf>
    <xf numFmtId="0" fontId="0" fillId="0" borderId="0" xfId="0" applyFont="1" applyBorder="1"/>
    <xf numFmtId="41" fontId="5" fillId="0" borderId="0" xfId="0" applyNumberFormat="1" applyFont="1"/>
    <xf numFmtId="0" fontId="0" fillId="0" borderId="0" xfId="0" applyFont="1" applyFill="1" applyBorder="1"/>
    <xf numFmtId="165" fontId="4" fillId="3" borderId="3" xfId="0" applyNumberFormat="1" applyFont="1" applyFill="1" applyBorder="1"/>
    <xf numFmtId="41" fontId="2" fillId="0" borderId="0" xfId="0" applyNumberFormat="1" applyFont="1"/>
    <xf numFmtId="42" fontId="7" fillId="0" borderId="0" xfId="0" applyNumberFormat="1" applyFont="1"/>
    <xf numFmtId="41" fontId="7" fillId="0" borderId="0" xfId="0" applyNumberFormat="1" applyFont="1"/>
    <xf numFmtId="42" fontId="1" fillId="0" borderId="2" xfId="0" applyNumberFormat="1" applyFont="1" applyBorder="1"/>
    <xf numFmtId="164" fontId="5" fillId="0" borderId="0" xfId="0" applyNumberFormat="1" applyFont="1"/>
    <xf numFmtId="0" fontId="0" fillId="0" borderId="0" xfId="0" applyAlignment="1">
      <alignment horizontal="left"/>
    </xf>
    <xf numFmtId="168" fontId="3" fillId="0" borderId="0" xfId="0" applyNumberFormat="1" applyFont="1"/>
    <xf numFmtId="41" fontId="8" fillId="0" borderId="0" xfId="0" applyNumberFormat="1" applyFont="1"/>
    <xf numFmtId="166" fontId="0" fillId="0" borderId="0" xfId="0" applyNumberFormat="1" applyFont="1"/>
    <xf numFmtId="167" fontId="0" fillId="0" borderId="0" xfId="0" applyNumberFormat="1" applyFont="1"/>
    <xf numFmtId="167" fontId="4" fillId="0" borderId="0" xfId="0" applyNumberFormat="1" applyFont="1"/>
    <xf numFmtId="165" fontId="5" fillId="0" borderId="0" xfId="0" applyNumberFormat="1" applyFont="1"/>
    <xf numFmtId="165" fontId="6" fillId="0" borderId="0" xfId="0" applyNumberFormat="1" applyFont="1"/>
    <xf numFmtId="0" fontId="3" fillId="0" borderId="0" xfId="0" applyFont="1" applyBorder="1"/>
    <xf numFmtId="0" fontId="3" fillId="0" borderId="0" xfId="0" applyFont="1" applyFill="1" applyBorder="1"/>
    <xf numFmtId="0" fontId="4" fillId="0" borderId="0" xfId="0" applyFont="1" applyBorder="1"/>
    <xf numFmtId="41" fontId="0" fillId="0" borderId="0" xfId="0" applyNumberFormat="1" applyFont="1"/>
    <xf numFmtId="167" fontId="9" fillId="0" borderId="0" xfId="0" applyNumberFormat="1" applyFont="1"/>
    <xf numFmtId="42" fontId="0" fillId="0" borderId="0" xfId="0" applyNumberFormat="1"/>
    <xf numFmtId="0" fontId="12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" fillId="2" borderId="1" xfId="0" applyFont="1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16E4"/>
      <color rgb="FFDA969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B2:AB86"/>
  <sheetViews>
    <sheetView showGridLines="0" tabSelected="1" zoomScaleNormal="100" workbookViewId="0">
      <selection activeCell="B2" sqref="B2"/>
    </sheetView>
  </sheetViews>
  <sheetFormatPr defaultRowHeight="14.4" outlineLevelRow="1" x14ac:dyDescent="0.3"/>
  <cols>
    <col min="1" max="2" width="1.6640625" customWidth="1"/>
    <col min="3" max="8" width="13.6640625" customWidth="1"/>
    <col min="9" max="10" width="1.6640625" customWidth="1"/>
    <col min="11" max="16" width="13.6640625" customWidth="1"/>
    <col min="17" max="18" width="1.6640625" customWidth="1"/>
    <col min="19" max="24" width="13.6640625" customWidth="1"/>
  </cols>
  <sheetData>
    <row r="2" spans="2:28" x14ac:dyDescent="0.3">
      <c r="B2" s="1" t="s">
        <v>36</v>
      </c>
    </row>
    <row r="3" spans="2:28" x14ac:dyDescent="0.3">
      <c r="B3" s="7" t="s">
        <v>13</v>
      </c>
    </row>
    <row r="4" spans="2:28" x14ac:dyDescent="0.3">
      <c r="B4" s="7"/>
    </row>
    <row r="5" spans="2:28" x14ac:dyDescent="0.3">
      <c r="B5" s="33" t="s">
        <v>37</v>
      </c>
      <c r="C5" s="34"/>
      <c r="D5" s="34"/>
      <c r="E5" s="34"/>
      <c r="F5" s="34"/>
      <c r="G5" s="34"/>
      <c r="H5" s="34"/>
      <c r="J5" s="33" t="s">
        <v>38</v>
      </c>
      <c r="K5" s="34"/>
      <c r="L5" s="34"/>
      <c r="M5" s="34"/>
      <c r="N5" s="34"/>
      <c r="O5" s="34"/>
      <c r="P5" s="34"/>
      <c r="Q5" s="2"/>
      <c r="R5" s="33" t="s">
        <v>39</v>
      </c>
      <c r="S5" s="34"/>
      <c r="T5" s="34"/>
      <c r="U5" s="34"/>
      <c r="V5" s="34"/>
      <c r="W5" s="34"/>
      <c r="X5" s="34"/>
    </row>
    <row r="6" spans="2:28" x14ac:dyDescent="0.3">
      <c r="B6" s="8"/>
      <c r="C6" s="2"/>
      <c r="D6" s="2"/>
      <c r="E6" s="2"/>
      <c r="F6" s="2"/>
      <c r="G6" s="2"/>
      <c r="H6" s="2"/>
      <c r="J6" s="8"/>
      <c r="K6" s="2"/>
      <c r="L6" s="2"/>
      <c r="M6" s="2"/>
      <c r="N6" s="2"/>
      <c r="O6" s="2"/>
      <c r="P6" s="2"/>
      <c r="Q6" s="2"/>
      <c r="R6" s="8"/>
      <c r="S6" s="2"/>
      <c r="T6" s="2"/>
      <c r="U6" s="2"/>
      <c r="V6" s="2"/>
      <c r="W6" s="2"/>
      <c r="X6" s="2"/>
    </row>
    <row r="7" spans="2:28" hidden="1" outlineLevel="1" x14ac:dyDescent="0.3">
      <c r="B7" s="8"/>
      <c r="C7" s="2" t="s">
        <v>4</v>
      </c>
      <c r="D7" s="2"/>
      <c r="E7" s="13">
        <v>0.32</v>
      </c>
      <c r="F7" s="2"/>
      <c r="G7" s="2"/>
      <c r="H7" s="2"/>
      <c r="J7" s="8"/>
      <c r="K7" s="2" t="s">
        <v>4</v>
      </c>
      <c r="L7" s="2"/>
      <c r="M7" s="13">
        <v>0.32</v>
      </c>
      <c r="N7" s="2"/>
      <c r="O7" s="2"/>
      <c r="P7" s="2"/>
      <c r="Q7" s="2"/>
      <c r="R7" s="8"/>
      <c r="S7" s="2" t="s">
        <v>4</v>
      </c>
      <c r="T7" s="2"/>
      <c r="U7" s="13">
        <v>0.35</v>
      </c>
      <c r="V7" s="2"/>
      <c r="W7" s="2"/>
      <c r="X7" s="2"/>
    </row>
    <row r="8" spans="2:28" hidden="1" outlineLevel="1" x14ac:dyDescent="0.3">
      <c r="B8" s="8"/>
      <c r="C8" s="2"/>
      <c r="D8" s="2"/>
      <c r="E8" s="2"/>
      <c r="F8" s="2"/>
      <c r="G8" s="2"/>
      <c r="H8" s="2"/>
      <c r="J8" s="8"/>
      <c r="K8" s="2"/>
      <c r="L8" s="2"/>
      <c r="M8" s="2"/>
      <c r="N8" s="2"/>
      <c r="O8" s="2"/>
      <c r="P8" s="2"/>
      <c r="Q8" s="2"/>
      <c r="R8" s="8"/>
      <c r="S8" s="2"/>
      <c r="T8" s="2"/>
      <c r="U8" s="2"/>
      <c r="V8" s="2"/>
      <c r="W8" s="2"/>
      <c r="X8" s="2"/>
    </row>
    <row r="9" spans="2:28" hidden="1" outlineLevel="1" x14ac:dyDescent="0.3">
      <c r="B9" s="8"/>
      <c r="C9" s="2" t="s">
        <v>75</v>
      </c>
      <c r="D9" s="2"/>
      <c r="E9" s="29">
        <v>365</v>
      </c>
      <c r="F9" s="29">
        <v>365</v>
      </c>
      <c r="G9" s="29">
        <v>366</v>
      </c>
      <c r="H9" s="29">
        <v>365</v>
      </c>
      <c r="J9" s="8"/>
      <c r="K9" s="2" t="s">
        <v>75</v>
      </c>
      <c r="L9" s="2"/>
      <c r="M9" s="29">
        <v>365</v>
      </c>
      <c r="N9" s="29">
        <v>365</v>
      </c>
      <c r="O9" s="29">
        <v>366</v>
      </c>
      <c r="P9" s="29">
        <v>365</v>
      </c>
      <c r="Q9" s="2"/>
      <c r="R9" s="8"/>
      <c r="S9" s="2" t="s">
        <v>75</v>
      </c>
      <c r="T9" s="2"/>
      <c r="U9" s="29">
        <v>365</v>
      </c>
      <c r="V9" s="29">
        <v>365</v>
      </c>
      <c r="W9" s="29">
        <v>366</v>
      </c>
      <c r="X9" s="29">
        <v>365</v>
      </c>
    </row>
    <row r="10" spans="2:28" hidden="1" outlineLevel="1" x14ac:dyDescent="0.3">
      <c r="B10" s="8"/>
      <c r="C10" s="2"/>
      <c r="D10" s="2"/>
      <c r="E10" s="2"/>
      <c r="F10" s="2"/>
      <c r="G10" s="2"/>
      <c r="H10" s="2"/>
      <c r="J10" s="8"/>
      <c r="K10" s="2"/>
      <c r="L10" s="2"/>
      <c r="M10" s="2"/>
      <c r="N10" s="2"/>
      <c r="O10" s="2"/>
      <c r="P10" s="2"/>
      <c r="Q10" s="2"/>
      <c r="R10" s="8"/>
      <c r="S10" s="2"/>
      <c r="T10" s="2"/>
      <c r="U10" s="2"/>
      <c r="V10" s="2"/>
      <c r="W10" s="2"/>
      <c r="X10" s="2"/>
    </row>
    <row r="11" spans="2:28" collapsed="1" x14ac:dyDescent="0.3">
      <c r="B11" s="35" t="s">
        <v>45</v>
      </c>
      <c r="C11" s="36"/>
      <c r="D11" s="36"/>
      <c r="E11" s="3"/>
      <c r="F11" s="3" t="s">
        <v>8</v>
      </c>
      <c r="G11" s="3" t="s">
        <v>9</v>
      </c>
      <c r="H11" s="3" t="s">
        <v>10</v>
      </c>
      <c r="J11" s="35" t="s">
        <v>45</v>
      </c>
      <c r="K11" s="36"/>
      <c r="L11" s="36"/>
      <c r="M11" s="3"/>
      <c r="N11" s="3" t="s">
        <v>8</v>
      </c>
      <c r="O11" s="3" t="s">
        <v>9</v>
      </c>
      <c r="P11" s="3" t="s">
        <v>10</v>
      </c>
      <c r="Q11" s="2"/>
      <c r="R11" s="35" t="s">
        <v>45</v>
      </c>
      <c r="S11" s="36"/>
      <c r="T11" s="36"/>
      <c r="U11" s="3"/>
      <c r="V11" s="3" t="s">
        <v>8</v>
      </c>
      <c r="W11" s="3" t="s">
        <v>9</v>
      </c>
      <c r="X11" s="3" t="s">
        <v>10</v>
      </c>
      <c r="Y11" s="2"/>
    </row>
    <row r="12" spans="2:28" x14ac:dyDescent="0.3">
      <c r="C12" s="19" t="s">
        <v>11</v>
      </c>
      <c r="E12" s="15">
        <v>421395</v>
      </c>
      <c r="F12" s="15">
        <v>446509</v>
      </c>
      <c r="G12" s="15">
        <v>468651</v>
      </c>
      <c r="H12" s="15">
        <v>476294</v>
      </c>
      <c r="K12" s="19" t="s">
        <v>11</v>
      </c>
      <c r="M12" s="15">
        <v>34204</v>
      </c>
      <c r="N12" s="15">
        <v>48077</v>
      </c>
      <c r="O12" s="15">
        <v>61093</v>
      </c>
      <c r="P12" s="15">
        <v>74452</v>
      </c>
      <c r="S12" s="19" t="s">
        <v>11</v>
      </c>
      <c r="U12" s="15">
        <v>1657.1389999999999</v>
      </c>
      <c r="V12" s="15">
        <v>2266.5390000000002</v>
      </c>
      <c r="W12" s="15">
        <v>3050.1950000000002</v>
      </c>
      <c r="X12" s="15">
        <v>4071.0030000000002</v>
      </c>
    </row>
    <row r="13" spans="2:28" x14ac:dyDescent="0.3">
      <c r="C13" s="6" t="s">
        <v>48</v>
      </c>
      <c r="F13" s="26">
        <f>+F12/E12-1</f>
        <v>5.959728995360658E-2</v>
      </c>
      <c r="G13" s="26">
        <f>+G12/F12-1</f>
        <v>4.9589146019453079E-2</v>
      </c>
      <c r="H13" s="26">
        <f>+H12/G12-1</f>
        <v>1.6308511024194949E-2</v>
      </c>
      <c r="K13" s="6" t="s">
        <v>48</v>
      </c>
      <c r="N13" s="26">
        <f>+N12/M12-1</f>
        <v>0.40559583674424049</v>
      </c>
      <c r="O13" s="26">
        <f>+O12/N12-1</f>
        <v>0.27073236682821311</v>
      </c>
      <c r="P13" s="26">
        <f>+P12/O12-1</f>
        <v>0.21866662301736706</v>
      </c>
      <c r="S13" s="6" t="s">
        <v>48</v>
      </c>
      <c r="V13" s="26">
        <f>+V12/U12-1</f>
        <v>0.36774223526209959</v>
      </c>
      <c r="W13" s="26">
        <f>+W12/V12-1</f>
        <v>0.34575006209908588</v>
      </c>
      <c r="X13" s="26">
        <f>+X12/W12-1</f>
        <v>0.33466975062250115</v>
      </c>
    </row>
    <row r="14" spans="2:28" x14ac:dyDescent="0.3">
      <c r="C14" s="19" t="s">
        <v>44</v>
      </c>
      <c r="F14" s="16">
        <v>334993</v>
      </c>
      <c r="G14" s="16">
        <v>352297</v>
      </c>
      <c r="H14" s="16">
        <v>358069</v>
      </c>
      <c r="K14" s="19" t="s">
        <v>44</v>
      </c>
      <c r="N14" s="16">
        <v>37288</v>
      </c>
      <c r="O14" s="16">
        <v>45971</v>
      </c>
      <c r="P14" s="16">
        <v>54181</v>
      </c>
      <c r="S14" s="19" t="s">
        <v>76</v>
      </c>
      <c r="V14" s="11">
        <f>488.886+1812.738</f>
        <v>2301.6240000000003</v>
      </c>
      <c r="W14" s="11">
        <f>683.579+2477.326</f>
        <v>3160.9049999999997</v>
      </c>
      <c r="X14" s="11">
        <f>968.428+3388.649</f>
        <v>4357.0770000000002</v>
      </c>
      <c r="Z14" s="32"/>
      <c r="AA14" s="32"/>
      <c r="AB14" s="32"/>
    </row>
    <row r="15" spans="2:28" x14ac:dyDescent="0.3">
      <c r="C15" s="6" t="s">
        <v>47</v>
      </c>
      <c r="F15" s="26">
        <f>+F14/F$12</f>
        <v>0.75024915511221502</v>
      </c>
      <c r="G15" s="26">
        <f t="shared" ref="G15:H15" si="0">+G14/G$12</f>
        <v>0.75172569780070886</v>
      </c>
      <c r="H15" s="26">
        <f t="shared" si="0"/>
        <v>0.7517814627100069</v>
      </c>
      <c r="K15" s="6" t="s">
        <v>47</v>
      </c>
      <c r="N15" s="26">
        <f>+N14/N$12</f>
        <v>0.77558915905734549</v>
      </c>
      <c r="O15" s="26">
        <f t="shared" ref="O15" si="1">+O14/O$12</f>
        <v>0.75247573371744714</v>
      </c>
      <c r="P15" s="26">
        <f t="shared" ref="P15" si="2">+P14/P$12</f>
        <v>0.72773061838499975</v>
      </c>
      <c r="S15" s="6" t="s">
        <v>47</v>
      </c>
      <c r="V15" s="26">
        <f>+V14/V$12</f>
        <v>1.0154795483333841</v>
      </c>
      <c r="W15" s="26">
        <f t="shared" ref="W15" si="3">+W14/W$12</f>
        <v>1.03629604008924</v>
      </c>
      <c r="X15" s="26">
        <f t="shared" ref="X15" si="4">+X14/X$12</f>
        <v>1.0702711346564961</v>
      </c>
    </row>
    <row r="16" spans="2:28" x14ac:dyDescent="0.3">
      <c r="C16" s="19" t="s">
        <v>12</v>
      </c>
      <c r="F16" s="16">
        <v>16387</v>
      </c>
      <c r="G16" s="16">
        <v>17756</v>
      </c>
      <c r="H16" s="16">
        <v>16695</v>
      </c>
      <c r="K16" s="19" t="s">
        <v>12</v>
      </c>
      <c r="N16" s="16">
        <v>631</v>
      </c>
      <c r="O16" s="16">
        <v>-39</v>
      </c>
      <c r="P16" s="16">
        <v>274</v>
      </c>
      <c r="S16" s="19" t="s">
        <v>12</v>
      </c>
      <c r="V16" s="16">
        <v>-11.571999999999999</v>
      </c>
      <c r="W16" s="16">
        <v>-270.44499999999999</v>
      </c>
      <c r="X16" s="16">
        <v>-232.17500000000001</v>
      </c>
    </row>
    <row r="17" spans="2:25" x14ac:dyDescent="0.3">
      <c r="C17" s="6" t="s">
        <v>47</v>
      </c>
      <c r="F17" s="26">
        <f>+F16/F$12</f>
        <v>3.6700268079702759E-2</v>
      </c>
      <c r="G17" s="26">
        <f t="shared" ref="G17" si="5">+G16/G$12</f>
        <v>3.7887468500013871E-2</v>
      </c>
      <c r="H17" s="26">
        <f t="shared" ref="H17" si="6">+H16/H$12</f>
        <v>3.5051879721348579E-2</v>
      </c>
      <c r="K17" s="6" t="s">
        <v>47</v>
      </c>
      <c r="N17" s="26">
        <f>+N16/N$12</f>
        <v>1.3124779000353599E-2</v>
      </c>
      <c r="O17" s="26">
        <f t="shared" ref="O17" si="7">+O16/O$12</f>
        <v>-6.3837100813513828E-4</v>
      </c>
      <c r="P17" s="26">
        <f t="shared" ref="P17" si="8">+P16/P$12</f>
        <v>3.6802234997045076E-3</v>
      </c>
      <c r="S17" s="6" t="s">
        <v>47</v>
      </c>
      <c r="V17" s="26">
        <f>+V16/V$12</f>
        <v>-5.1055816820270898E-3</v>
      </c>
      <c r="W17" s="26">
        <f t="shared" ref="W17" si="9">+W16/W$12</f>
        <v>-8.8664823068689044E-2</v>
      </c>
      <c r="X17" s="26">
        <f t="shared" ref="X17" si="10">+X16/X$12</f>
        <v>-5.7031399878604852E-2</v>
      </c>
    </row>
    <row r="18" spans="2:25" x14ac:dyDescent="0.3">
      <c r="C18" s="19" t="s">
        <v>43</v>
      </c>
      <c r="F18" s="16">
        <v>2159</v>
      </c>
      <c r="G18" s="16">
        <v>2063</v>
      </c>
      <c r="H18" s="16">
        <v>2216</v>
      </c>
      <c r="K18" s="19" t="s">
        <v>43</v>
      </c>
      <c r="N18" s="16">
        <v>4</v>
      </c>
      <c r="O18" s="16">
        <v>52</v>
      </c>
      <c r="P18" s="16">
        <v>103</v>
      </c>
      <c r="S18" s="19" t="s">
        <v>43</v>
      </c>
      <c r="V18" s="16">
        <v>-6.222999999999999</v>
      </c>
      <c r="W18" s="16">
        <v>11.385999999999999</v>
      </c>
      <c r="X18" s="16">
        <v>66.992999999999995</v>
      </c>
    </row>
    <row r="19" spans="2:25" x14ac:dyDescent="0.3">
      <c r="B19" s="8"/>
      <c r="C19" s="2"/>
      <c r="D19" s="2"/>
      <c r="E19" s="2"/>
      <c r="F19" s="2"/>
      <c r="G19" s="2"/>
      <c r="H19" s="2"/>
      <c r="J19" s="8"/>
      <c r="K19" s="2"/>
      <c r="L19" s="2"/>
      <c r="M19" s="2"/>
      <c r="N19" s="2"/>
      <c r="O19" s="2"/>
      <c r="P19" s="2"/>
      <c r="Q19" s="2"/>
      <c r="R19" s="8"/>
      <c r="S19" s="2"/>
      <c r="T19" s="2"/>
      <c r="U19" s="2"/>
      <c r="V19" s="2"/>
      <c r="W19" s="2"/>
      <c r="X19" s="2"/>
      <c r="Y19" s="2"/>
    </row>
    <row r="20" spans="2:25" x14ac:dyDescent="0.3">
      <c r="B20" s="8"/>
      <c r="C20" s="8" t="s">
        <v>15</v>
      </c>
      <c r="D20" s="2"/>
      <c r="E20" s="2"/>
      <c r="F20" s="21">
        <v>26491</v>
      </c>
      <c r="G20" s="21">
        <v>27725</v>
      </c>
      <c r="H20" s="21">
        <v>26872</v>
      </c>
      <c r="J20" s="8"/>
      <c r="K20" s="8" t="s">
        <v>15</v>
      </c>
      <c r="L20" s="2"/>
      <c r="M20" s="2"/>
      <c r="N20" s="21">
        <v>862</v>
      </c>
      <c r="O20" s="21">
        <v>676</v>
      </c>
      <c r="P20" s="21">
        <v>745</v>
      </c>
      <c r="Q20" s="2"/>
      <c r="R20" s="8"/>
      <c r="S20" s="8" t="s">
        <v>15</v>
      </c>
      <c r="T20" s="2"/>
      <c r="U20" s="2"/>
      <c r="V20" s="21">
        <v>-35.085000000000001</v>
      </c>
      <c r="W20" s="21">
        <v>-110.71</v>
      </c>
      <c r="X20" s="21">
        <v>-286.07400000000001</v>
      </c>
      <c r="Y20" s="2"/>
    </row>
    <row r="21" spans="2:25" x14ac:dyDescent="0.3">
      <c r="B21" s="8"/>
      <c r="C21" s="9" t="s">
        <v>40</v>
      </c>
      <c r="D21" s="2"/>
      <c r="E21" s="2"/>
      <c r="F21" s="16">
        <v>8106</v>
      </c>
      <c r="G21" s="16">
        <v>8478</v>
      </c>
      <c r="H21" s="16">
        <v>8870</v>
      </c>
      <c r="J21" s="8"/>
      <c r="K21" s="9" t="s">
        <v>40</v>
      </c>
      <c r="L21" s="2"/>
      <c r="M21" s="2"/>
      <c r="N21" s="16">
        <v>1083</v>
      </c>
      <c r="O21" s="16">
        <v>2159</v>
      </c>
      <c r="P21" s="16">
        <v>3253</v>
      </c>
      <c r="Q21" s="2"/>
      <c r="R21" s="8"/>
      <c r="S21" s="9" t="s">
        <v>40</v>
      </c>
      <c r="T21" s="2"/>
      <c r="U21" s="2"/>
      <c r="V21" s="11">
        <f>157.286+10.347+107.195</f>
        <v>274.82799999999997</v>
      </c>
      <c r="W21" s="11">
        <f>216.795+24.086+154.818</f>
        <v>395.69899999999996</v>
      </c>
      <c r="X21" s="11">
        <f>369.423+49.796+194.553</f>
        <v>613.77199999999993</v>
      </c>
      <c r="Y21" s="2"/>
    </row>
    <row r="22" spans="2:25" x14ac:dyDescent="0.3">
      <c r="B22" s="8"/>
      <c r="C22" s="4" t="s">
        <v>16</v>
      </c>
      <c r="D22" s="5"/>
      <c r="E22" s="5"/>
      <c r="F22" s="17">
        <f t="shared" ref="F22" si="11">SUM(F20:F21)</f>
        <v>34597</v>
      </c>
      <c r="G22" s="17">
        <f t="shared" ref="G22" si="12">SUM(G20:G21)</f>
        <v>36203</v>
      </c>
      <c r="H22" s="17">
        <f t="shared" ref="H22" si="13">SUM(H20:H21)</f>
        <v>35742</v>
      </c>
      <c r="J22" s="8"/>
      <c r="K22" s="4" t="s">
        <v>16</v>
      </c>
      <c r="L22" s="5"/>
      <c r="M22" s="5"/>
      <c r="N22" s="17">
        <f>SUM(N20:N21)</f>
        <v>1945</v>
      </c>
      <c r="O22" s="17">
        <f t="shared" ref="O22:P22" si="14">SUM(O20:O21)</f>
        <v>2835</v>
      </c>
      <c r="P22" s="17">
        <f t="shared" si="14"/>
        <v>3998</v>
      </c>
      <c r="Q22" s="2"/>
      <c r="R22" s="8"/>
      <c r="S22" s="4" t="s">
        <v>16</v>
      </c>
      <c r="T22" s="5"/>
      <c r="U22" s="5"/>
      <c r="V22" s="17">
        <f>SUM(V20:V21)</f>
        <v>239.74299999999997</v>
      </c>
      <c r="W22" s="17">
        <f t="shared" ref="W22:X22" si="15">SUM(W20:W21)</f>
        <v>284.98899999999998</v>
      </c>
      <c r="X22" s="17">
        <f t="shared" si="15"/>
        <v>327.69799999999992</v>
      </c>
      <c r="Y22" s="2"/>
    </row>
    <row r="23" spans="2:25" x14ac:dyDescent="0.3">
      <c r="B23" s="8"/>
      <c r="C23" s="2"/>
      <c r="D23" s="2"/>
      <c r="E23" s="2"/>
      <c r="F23" s="2"/>
      <c r="G23" s="2"/>
      <c r="H23" s="2"/>
      <c r="J23" s="8"/>
      <c r="K23" s="2"/>
      <c r="L23" s="2"/>
      <c r="M23" s="2"/>
      <c r="N23" s="2"/>
      <c r="O23" s="2"/>
      <c r="P23" s="2"/>
      <c r="Q23" s="2"/>
      <c r="R23" s="8"/>
      <c r="S23" s="2"/>
      <c r="T23" s="2"/>
      <c r="U23" s="2"/>
      <c r="V23" s="2"/>
      <c r="W23" s="2"/>
      <c r="X23" s="2"/>
      <c r="Y23" s="2"/>
    </row>
    <row r="24" spans="2:25" x14ac:dyDescent="0.3">
      <c r="B24" s="8"/>
      <c r="C24" s="8" t="s">
        <v>17</v>
      </c>
      <c r="D24" s="2"/>
      <c r="E24" s="2"/>
      <c r="F24" s="14">
        <f>24255-13510</f>
        <v>10745</v>
      </c>
      <c r="G24" s="14">
        <f>25591-12898</f>
        <v>12693</v>
      </c>
      <c r="H24" s="14">
        <f>23257-13115</f>
        <v>10142</v>
      </c>
      <c r="J24" s="8"/>
      <c r="K24" s="8" t="s">
        <v>17</v>
      </c>
      <c r="L24" s="2"/>
      <c r="M24" s="2"/>
      <c r="N24" s="14">
        <f>3903-1811</f>
        <v>2092</v>
      </c>
      <c r="O24" s="14">
        <f>4180-3785</f>
        <v>395</v>
      </c>
      <c r="P24" s="14">
        <f>5475-3444</f>
        <v>2031</v>
      </c>
      <c r="Q24" s="2"/>
      <c r="R24" s="8"/>
      <c r="S24" s="8" t="s">
        <v>17</v>
      </c>
      <c r="T24" s="2"/>
      <c r="U24" s="2"/>
      <c r="V24" s="14">
        <f>591.507-151.645</f>
        <v>439.86199999999997</v>
      </c>
      <c r="W24" s="14">
        <f>736.897-175.601</f>
        <v>561.29600000000005</v>
      </c>
      <c r="X24" s="14">
        <f>875.469-299.11</f>
        <v>576.35900000000004</v>
      </c>
      <c r="Y24" s="2"/>
    </row>
    <row r="25" spans="2:25" x14ac:dyDescent="0.3">
      <c r="B25" s="8"/>
      <c r="C25" s="2"/>
      <c r="D25" s="2"/>
      <c r="E25" s="2"/>
      <c r="F25" s="2"/>
      <c r="G25" s="2"/>
      <c r="H25" s="2"/>
      <c r="J25" s="8"/>
      <c r="K25" s="2"/>
      <c r="L25" s="2"/>
      <c r="M25" s="2"/>
      <c r="N25" s="2"/>
      <c r="O25" s="2"/>
      <c r="P25" s="2"/>
      <c r="Q25" s="2"/>
      <c r="R25" s="8"/>
      <c r="S25" s="2"/>
      <c r="T25" s="2"/>
      <c r="U25" s="2"/>
      <c r="V25" s="2"/>
      <c r="W25" s="2"/>
      <c r="X25" s="2"/>
      <c r="Y25" s="2"/>
    </row>
    <row r="26" spans="2:25" x14ac:dyDescent="0.3">
      <c r="B26" s="8"/>
      <c r="C26" s="27" t="s">
        <v>18</v>
      </c>
      <c r="D26" s="2"/>
      <c r="E26" s="2"/>
      <c r="F26" s="26">
        <f>+F20/F12</f>
        <v>5.932915126010898E-2</v>
      </c>
      <c r="G26" s="26">
        <f t="shared" ref="G26:H26" si="16">+G20/G12</f>
        <v>5.9159161081487076E-2</v>
      </c>
      <c r="H26" s="26">
        <f t="shared" si="16"/>
        <v>5.6418934523634563E-2</v>
      </c>
      <c r="J26" s="8"/>
      <c r="K26" s="27" t="s">
        <v>18</v>
      </c>
      <c r="L26" s="2"/>
      <c r="M26" s="2"/>
      <c r="N26" s="26">
        <f>+N20/N12</f>
        <v>1.79295713126859E-2</v>
      </c>
      <c r="O26" s="26">
        <f t="shared" ref="O26:P26" si="17">+O20/O12</f>
        <v>1.1065097474342396E-2</v>
      </c>
      <c r="P26" s="26">
        <f t="shared" si="17"/>
        <v>1.0006447106860796E-2</v>
      </c>
      <c r="Q26" s="2"/>
      <c r="R26" s="8"/>
      <c r="S26" s="27" t="s">
        <v>18</v>
      </c>
      <c r="T26" s="2"/>
      <c r="U26" s="2"/>
      <c r="V26" s="26">
        <f>+V20/V12</f>
        <v>-1.547954833338407E-2</v>
      </c>
      <c r="W26" s="26">
        <f t="shared" ref="W26:X26" si="18">+W20/W12</f>
        <v>-3.6296040089240193E-2</v>
      </c>
      <c r="X26" s="26">
        <f t="shared" si="18"/>
        <v>-7.0271134656496204E-2</v>
      </c>
      <c r="Y26" s="2"/>
    </row>
    <row r="27" spans="2:25" x14ac:dyDescent="0.3">
      <c r="B27" s="8"/>
      <c r="C27" s="27" t="s">
        <v>19</v>
      </c>
      <c r="D27" s="2"/>
      <c r="E27" s="2"/>
      <c r="F27" s="26">
        <f>+F22/F12</f>
        <v>7.7483320604959813E-2</v>
      </c>
      <c r="G27" s="26">
        <f t="shared" ref="G27:H27" si="19">+G22/G12</f>
        <v>7.7249381736089334E-2</v>
      </c>
      <c r="H27" s="26">
        <f t="shared" si="19"/>
        <v>7.5041885894006649E-2</v>
      </c>
      <c r="J27" s="8"/>
      <c r="K27" s="27" t="s">
        <v>19</v>
      </c>
      <c r="L27" s="2"/>
      <c r="M27" s="2"/>
      <c r="N27" s="26">
        <f>+N22/N12</f>
        <v>4.0455935270503569E-2</v>
      </c>
      <c r="O27" s="26">
        <f t="shared" ref="O27:P27" si="20">+O22/O12</f>
        <v>4.6404661745208124E-2</v>
      </c>
      <c r="P27" s="26">
        <f t="shared" si="20"/>
        <v>5.3699027561381833E-2</v>
      </c>
      <c r="Q27" s="2"/>
      <c r="R27" s="8"/>
      <c r="S27" s="27" t="s">
        <v>19</v>
      </c>
      <c r="T27" s="2"/>
      <c r="U27" s="2"/>
      <c r="V27" s="26">
        <f>+V22/V12</f>
        <v>0.10577492820551508</v>
      </c>
      <c r="W27" s="26">
        <f t="shared" ref="W27:X27" si="21">+W22/W12</f>
        <v>9.343304280545997E-2</v>
      </c>
      <c r="X27" s="26">
        <f t="shared" si="21"/>
        <v>8.0495641983069022E-2</v>
      </c>
      <c r="Y27" s="2"/>
    </row>
    <row r="28" spans="2:25" x14ac:dyDescent="0.3">
      <c r="B28" s="8"/>
      <c r="C28" s="28" t="s">
        <v>20</v>
      </c>
      <c r="D28" s="2"/>
      <c r="E28" s="2"/>
      <c r="F28" s="26">
        <f>+F24/F12</f>
        <v>2.406446454606738E-2</v>
      </c>
      <c r="G28" s="26">
        <f t="shared" ref="G28:H28" si="22">+G24/G12</f>
        <v>2.7084120166179098E-2</v>
      </c>
      <c r="H28" s="26">
        <f t="shared" si="22"/>
        <v>2.1293570777712927E-2</v>
      </c>
      <c r="J28" s="8"/>
      <c r="K28" s="28" t="s">
        <v>20</v>
      </c>
      <c r="L28" s="2"/>
      <c r="M28" s="2"/>
      <c r="N28" s="26">
        <f>+N24/N12</f>
        <v>4.3513530378351394E-2</v>
      </c>
      <c r="O28" s="26">
        <f t="shared" ref="O28:P28" si="23">+O24/O12</f>
        <v>6.4655525182917848E-3</v>
      </c>
      <c r="P28" s="26">
        <f t="shared" si="23"/>
        <v>2.7279320904743998E-2</v>
      </c>
      <c r="Q28" s="2"/>
      <c r="R28" s="8"/>
      <c r="S28" s="28" t="s">
        <v>20</v>
      </c>
      <c r="T28" s="2"/>
      <c r="U28" s="2"/>
      <c r="V28" s="26">
        <f>+V24/V12</f>
        <v>0.19406769528342549</v>
      </c>
      <c r="W28" s="26">
        <f t="shared" ref="W28:X28" si="24">+W24/W12</f>
        <v>0.18401971021524854</v>
      </c>
      <c r="X28" s="26">
        <f t="shared" si="24"/>
        <v>0.1415766581355995</v>
      </c>
      <c r="Y28" s="2"/>
    </row>
    <row r="29" spans="2:25" x14ac:dyDescent="0.3">
      <c r="B29" s="8"/>
      <c r="C29" s="2"/>
      <c r="D29" s="2"/>
      <c r="E29" s="2"/>
      <c r="F29" s="2"/>
      <c r="G29" s="2"/>
      <c r="H29" s="2"/>
      <c r="J29" s="8"/>
      <c r="K29" s="2"/>
      <c r="L29" s="2"/>
      <c r="M29" s="2"/>
      <c r="N29" s="2"/>
      <c r="O29" s="2"/>
      <c r="P29" s="2"/>
      <c r="Q29" s="2"/>
      <c r="R29" s="8"/>
      <c r="S29" s="2"/>
      <c r="T29" s="2"/>
      <c r="U29" s="2"/>
      <c r="V29" s="2"/>
      <c r="W29" s="2"/>
      <c r="X29" s="2"/>
      <c r="Y29" s="2"/>
    </row>
    <row r="30" spans="2:25" x14ac:dyDescent="0.3">
      <c r="B30" s="8"/>
      <c r="C30" s="10" t="s">
        <v>41</v>
      </c>
      <c r="D30" s="2"/>
      <c r="E30" s="16">
        <v>68542</v>
      </c>
      <c r="F30" s="16">
        <v>71315</v>
      </c>
      <c r="G30" s="16">
        <v>76343</v>
      </c>
      <c r="H30" s="16">
        <v>76255</v>
      </c>
      <c r="J30" s="8"/>
      <c r="K30" s="10" t="s">
        <v>41</v>
      </c>
      <c r="L30" s="2"/>
      <c r="M30" s="16">
        <v>6864</v>
      </c>
      <c r="N30" s="16">
        <v>7757</v>
      </c>
      <c r="O30" s="16">
        <v>8192</v>
      </c>
      <c r="P30" s="16">
        <v>9746</v>
      </c>
      <c r="Q30" s="2"/>
      <c r="R30" s="8"/>
      <c r="S30" s="10" t="s">
        <v>41</v>
      </c>
      <c r="T30" s="2"/>
      <c r="U30" s="16">
        <v>1276.491</v>
      </c>
      <c r="V30" s="16">
        <v>1587.36</v>
      </c>
      <c r="W30" s="16">
        <v>2317.6329999999998</v>
      </c>
      <c r="X30" s="16">
        <v>3038.51</v>
      </c>
      <c r="Y30" s="2"/>
    </row>
    <row r="31" spans="2:25" x14ac:dyDescent="0.3">
      <c r="B31" s="8"/>
      <c r="C31" s="10" t="s">
        <v>7</v>
      </c>
      <c r="D31" s="2"/>
      <c r="E31" s="16">
        <v>71247</v>
      </c>
      <c r="F31" s="16">
        <v>75761</v>
      </c>
      <c r="G31" s="16">
        <v>81738</v>
      </c>
      <c r="H31" s="16">
        <v>81339</v>
      </c>
      <c r="J31" s="8"/>
      <c r="K31" s="10" t="s">
        <v>7</v>
      </c>
      <c r="L31" s="2"/>
      <c r="M31" s="16">
        <v>6864</v>
      </c>
      <c r="N31" s="16">
        <v>7757</v>
      </c>
      <c r="O31" s="16">
        <v>8192</v>
      </c>
      <c r="P31" s="16">
        <v>9746</v>
      </c>
      <c r="Q31" s="2"/>
      <c r="R31" s="8"/>
      <c r="S31" s="10" t="s">
        <v>7</v>
      </c>
      <c r="T31" s="2"/>
      <c r="U31" s="16">
        <v>1276.491</v>
      </c>
      <c r="V31" s="16">
        <v>1587.36</v>
      </c>
      <c r="W31" s="16">
        <v>2317.6329999999998</v>
      </c>
      <c r="X31" s="16">
        <v>3038.51</v>
      </c>
      <c r="Y31" s="2"/>
    </row>
    <row r="32" spans="2:25" x14ac:dyDescent="0.3">
      <c r="B32" s="8"/>
      <c r="C32" s="12" t="s">
        <v>42</v>
      </c>
      <c r="D32" s="2"/>
      <c r="E32" s="11">
        <f>3150+40692+336+4655+1031</f>
        <v>49864</v>
      </c>
      <c r="F32" s="11">
        <f>3009+44070+326+1975+4047</f>
        <v>53427</v>
      </c>
      <c r="G32" s="11">
        <f>3023+38394+327+5587+6805</f>
        <v>54136</v>
      </c>
      <c r="H32" s="11">
        <f>2788+41771+309+4103+7670</f>
        <v>56641</v>
      </c>
      <c r="J32" s="8"/>
      <c r="K32" s="12" t="s">
        <v>42</v>
      </c>
      <c r="L32" s="2"/>
      <c r="M32" s="30">
        <f>184+276+181</f>
        <v>641</v>
      </c>
      <c r="N32" s="30">
        <f>255+598+562</f>
        <v>1415</v>
      </c>
      <c r="O32" s="30">
        <f>3084+737+9</f>
        <v>3830</v>
      </c>
      <c r="P32" s="30">
        <f>3191+1435+555</f>
        <v>5181</v>
      </c>
      <c r="Q32" s="2"/>
      <c r="R32" s="8"/>
      <c r="S32" s="12" t="s">
        <v>42</v>
      </c>
      <c r="T32" s="2"/>
      <c r="U32" s="11">
        <f>472.538+24.487</f>
        <v>497.02500000000003</v>
      </c>
      <c r="V32" s="11">
        <f>496.149+48.651</f>
        <v>544.79999999999995</v>
      </c>
      <c r="W32" s="11">
        <f>521.278+126.658</f>
        <v>647.93600000000004</v>
      </c>
      <c r="X32" s="11">
        <f>255+1046.93+30+542.159+594.303+40.171</f>
        <v>2508.5629999999996</v>
      </c>
      <c r="Y32" s="2"/>
    </row>
    <row r="33" spans="2:25" x14ac:dyDescent="0.3">
      <c r="B33" s="8"/>
      <c r="C33" s="2" t="s">
        <v>0</v>
      </c>
      <c r="D33" s="2"/>
      <c r="E33" s="16">
        <v>180782</v>
      </c>
      <c r="F33" s="16">
        <v>193406</v>
      </c>
      <c r="G33" s="16">
        <v>203105</v>
      </c>
      <c r="H33" s="16">
        <v>204751</v>
      </c>
      <c r="J33" s="8"/>
      <c r="K33" s="2" t="s">
        <v>0</v>
      </c>
      <c r="L33" s="2"/>
      <c r="M33" s="16">
        <v>18797</v>
      </c>
      <c r="N33" s="16">
        <v>25278</v>
      </c>
      <c r="O33" s="16">
        <v>32555</v>
      </c>
      <c r="P33" s="16">
        <v>40159</v>
      </c>
      <c r="Q33" s="2"/>
      <c r="R33" s="8"/>
      <c r="S33" s="2" t="s">
        <v>0</v>
      </c>
      <c r="T33" s="2"/>
      <c r="U33" s="16">
        <v>3091.165</v>
      </c>
      <c r="V33" s="16">
        <v>4164.1540000000005</v>
      </c>
      <c r="W33" s="16">
        <v>5528.95</v>
      </c>
      <c r="X33" s="16">
        <v>9152.93</v>
      </c>
      <c r="Y33" s="2"/>
    </row>
    <row r="34" spans="2:25" x14ac:dyDescent="0.3">
      <c r="B34" s="8"/>
      <c r="C34" s="12" t="s">
        <v>24</v>
      </c>
      <c r="D34" s="2"/>
      <c r="E34" s="11">
        <f>+E31+E32</f>
        <v>121111</v>
      </c>
      <c r="F34" s="11">
        <f>+F31+F32</f>
        <v>129188</v>
      </c>
      <c r="G34" s="11">
        <f>+G31+G32</f>
        <v>135874</v>
      </c>
      <c r="H34" s="11">
        <f>+H31+H32</f>
        <v>137980</v>
      </c>
      <c r="J34" s="8"/>
      <c r="K34" s="12" t="s">
        <v>24</v>
      </c>
      <c r="L34" s="2"/>
      <c r="M34" s="11">
        <f>+M31+M32</f>
        <v>7505</v>
      </c>
      <c r="N34" s="11">
        <f>+N31+N32</f>
        <v>9172</v>
      </c>
      <c r="O34" s="11">
        <f>+O31+O32</f>
        <v>12022</v>
      </c>
      <c r="P34" s="11">
        <f>+P31+P32</f>
        <v>14927</v>
      </c>
      <c r="Q34" s="2"/>
      <c r="R34" s="8"/>
      <c r="S34" s="12" t="s">
        <v>24</v>
      </c>
      <c r="T34" s="2"/>
      <c r="U34" s="11">
        <f>+U31+U32</f>
        <v>1773.5160000000001</v>
      </c>
      <c r="V34" s="11">
        <f>+V31+V32</f>
        <v>2132.16</v>
      </c>
      <c r="W34" s="11">
        <f>+W31+W32</f>
        <v>2965.569</v>
      </c>
      <c r="X34" s="11">
        <f>+X31+X32</f>
        <v>5547.0730000000003</v>
      </c>
      <c r="Y34" s="2"/>
    </row>
    <row r="36" spans="2:25" x14ac:dyDescent="0.3">
      <c r="C36" t="s">
        <v>5</v>
      </c>
      <c r="E36" s="16">
        <v>52012</v>
      </c>
      <c r="F36" s="16">
        <v>54975</v>
      </c>
      <c r="G36" s="16">
        <v>59940</v>
      </c>
      <c r="H36" s="16">
        <v>61185</v>
      </c>
      <c r="K36" t="s">
        <v>5</v>
      </c>
      <c r="M36" s="16">
        <v>13747</v>
      </c>
      <c r="N36" s="16">
        <v>17490</v>
      </c>
      <c r="O36" s="16">
        <v>21296</v>
      </c>
      <c r="P36" s="16">
        <v>24625</v>
      </c>
      <c r="S36" t="s">
        <v>5</v>
      </c>
      <c r="U36" s="16">
        <v>1074.924</v>
      </c>
      <c r="V36" s="16">
        <v>1672.222</v>
      </c>
      <c r="W36" s="16">
        <v>2015.88</v>
      </c>
      <c r="X36" s="16">
        <v>2680.252</v>
      </c>
    </row>
    <row r="37" spans="2:25" x14ac:dyDescent="0.3">
      <c r="C37" t="s">
        <v>6</v>
      </c>
      <c r="E37" s="16">
        <v>58603</v>
      </c>
      <c r="F37" s="16">
        <v>62300</v>
      </c>
      <c r="G37" s="16">
        <v>71818</v>
      </c>
      <c r="H37" s="16">
        <v>69345</v>
      </c>
      <c r="K37" t="s">
        <v>6</v>
      </c>
      <c r="M37" s="16">
        <v>10372</v>
      </c>
      <c r="N37" s="16">
        <v>14896</v>
      </c>
      <c r="O37" s="16">
        <v>19002</v>
      </c>
      <c r="P37" s="16">
        <v>22980</v>
      </c>
      <c r="S37" t="s">
        <v>6</v>
      </c>
      <c r="U37" s="16">
        <v>1276.4659999999999</v>
      </c>
      <c r="V37" s="16">
        <v>2323.471</v>
      </c>
      <c r="W37" s="16">
        <v>2917.6239999999998</v>
      </c>
      <c r="X37" s="16">
        <v>3980.1880000000001</v>
      </c>
    </row>
    <row r="38" spans="2:25" x14ac:dyDescent="0.3">
      <c r="C38" t="s">
        <v>1</v>
      </c>
      <c r="E38" s="16">
        <v>5089</v>
      </c>
      <c r="F38" s="16">
        <v>5937</v>
      </c>
      <c r="G38" s="16">
        <v>6768</v>
      </c>
      <c r="H38" s="16">
        <v>6677</v>
      </c>
      <c r="K38" t="s">
        <v>1</v>
      </c>
      <c r="M38" s="16">
        <v>1587</v>
      </c>
      <c r="N38" s="16">
        <v>2571</v>
      </c>
      <c r="O38" s="16">
        <v>3817</v>
      </c>
      <c r="P38" s="16">
        <v>4767</v>
      </c>
      <c r="S38" t="s">
        <v>1</v>
      </c>
      <c r="U38" s="16">
        <v>426.94299999999998</v>
      </c>
      <c r="V38" s="16">
        <v>683.745</v>
      </c>
      <c r="W38" s="16">
        <v>872.63400000000001</v>
      </c>
      <c r="X38" s="16">
        <v>1360.837</v>
      </c>
    </row>
    <row r="39" spans="2:25" x14ac:dyDescent="0.3">
      <c r="C39" t="s">
        <v>3</v>
      </c>
      <c r="E39" s="16">
        <v>36437</v>
      </c>
      <c r="F39" s="16">
        <v>40714</v>
      </c>
      <c r="G39" s="16">
        <v>43803</v>
      </c>
      <c r="H39" s="16">
        <v>44858</v>
      </c>
      <c r="K39" t="s">
        <v>3</v>
      </c>
      <c r="M39" s="16">
        <v>3202</v>
      </c>
      <c r="N39" s="16">
        <v>4992</v>
      </c>
      <c r="O39" s="16">
        <v>6031</v>
      </c>
      <c r="P39" s="16">
        <v>7411</v>
      </c>
      <c r="S39" t="s">
        <v>3</v>
      </c>
      <c r="U39" s="16">
        <v>0</v>
      </c>
      <c r="V39" s="16">
        <v>0</v>
      </c>
      <c r="W39" s="16">
        <v>0</v>
      </c>
      <c r="X39" s="16">
        <v>0</v>
      </c>
    </row>
    <row r="40" spans="2:25" x14ac:dyDescent="0.3">
      <c r="C40" t="s">
        <v>2</v>
      </c>
      <c r="E40" s="16">
        <v>33676</v>
      </c>
      <c r="F40" s="16">
        <v>36608</v>
      </c>
      <c r="G40" s="16">
        <v>38080</v>
      </c>
      <c r="H40" s="16">
        <v>37415</v>
      </c>
      <c r="K40" t="s">
        <v>2</v>
      </c>
      <c r="M40" s="16">
        <v>8051</v>
      </c>
      <c r="N40" s="16">
        <v>11145</v>
      </c>
      <c r="O40" s="16">
        <v>13318</v>
      </c>
      <c r="P40" s="16">
        <v>15133</v>
      </c>
      <c r="S40" t="s">
        <v>77</v>
      </c>
      <c r="U40" s="16">
        <v>363.22699999999998</v>
      </c>
      <c r="V40" s="16">
        <v>535.97</v>
      </c>
      <c r="W40" s="16">
        <v>597.70600000000002</v>
      </c>
      <c r="X40" s="16">
        <v>934.32399999999996</v>
      </c>
    </row>
    <row r="42" spans="2:25" x14ac:dyDescent="0.3">
      <c r="C42" t="s">
        <v>23</v>
      </c>
      <c r="F42" s="11">
        <f>+F20*(1-$E$7)</f>
        <v>18013.879999999997</v>
      </c>
      <c r="G42" s="11">
        <f t="shared" ref="G42:H42" si="25">+G20*(1-$E$7)</f>
        <v>18853</v>
      </c>
      <c r="H42" s="11">
        <f t="shared" si="25"/>
        <v>18272.96</v>
      </c>
      <c r="K42" t="s">
        <v>23</v>
      </c>
      <c r="N42" s="11">
        <f>+N20*(1-$M$7)</f>
        <v>586.16</v>
      </c>
      <c r="O42" s="11">
        <f t="shared" ref="O42:P42" si="26">+O20*(1-$M$7)</f>
        <v>459.67999999999995</v>
      </c>
      <c r="P42" s="11">
        <f t="shared" si="26"/>
        <v>506.59999999999997</v>
      </c>
      <c r="S42" t="s">
        <v>23</v>
      </c>
      <c r="V42" s="11">
        <f>+V20*(1-$U$7)</f>
        <v>-22.805250000000001</v>
      </c>
      <c r="W42" s="11">
        <f t="shared" ref="W42:X42" si="27">+W20*(1-$U$7)</f>
        <v>-71.961500000000001</v>
      </c>
      <c r="X42" s="11">
        <f t="shared" si="27"/>
        <v>-185.94810000000001</v>
      </c>
    </row>
    <row r="44" spans="2:25" x14ac:dyDescent="0.3">
      <c r="C44" t="s">
        <v>21</v>
      </c>
      <c r="F44" s="18">
        <f>+F16/AVERAGE(E30:F30)</f>
        <v>0.23433936091865262</v>
      </c>
      <c r="G44" s="18">
        <f>+G16/AVERAGE(F30:G30)</f>
        <v>0.24050169987403325</v>
      </c>
      <c r="H44" s="18">
        <f t="shared" ref="H44" si="28">+H16/AVERAGE(G30:H30)</f>
        <v>0.2188102072111037</v>
      </c>
      <c r="K44" t="s">
        <v>21</v>
      </c>
      <c r="N44" s="25">
        <f>+N16/AVERAGE(M30:N30)</f>
        <v>8.6314205594692564E-2</v>
      </c>
      <c r="O44" s="25">
        <f t="shared" ref="O44:P44" si="29">+O16/AVERAGE(N30:O30)</f>
        <v>-4.8905887516458709E-3</v>
      </c>
      <c r="P44" s="25">
        <f t="shared" si="29"/>
        <v>3.0549671089307614E-2</v>
      </c>
      <c r="S44" t="s">
        <v>21</v>
      </c>
      <c r="V44" s="25">
        <f>+V16/AVERAGE(U30:V30)</f>
        <v>-8.081426023909764E-3</v>
      </c>
      <c r="W44" s="25">
        <f>+W16/AVERAGE(V30:W30)</f>
        <v>-0.13851241218614221</v>
      </c>
      <c r="X44" s="25">
        <f>+X16/AVERAGE(W30:X30)</f>
        <v>-8.6694847392984095E-2</v>
      </c>
    </row>
    <row r="45" spans="2:25" x14ac:dyDescent="0.3">
      <c r="C45" t="s">
        <v>22</v>
      </c>
      <c r="F45" s="18">
        <f>+F16/AVERAGE(E33:F33)</f>
        <v>8.7586988358792903E-2</v>
      </c>
      <c r="G45" s="18">
        <f>+G16/AVERAGE(F33:G33)</f>
        <v>8.9561197545591414E-2</v>
      </c>
      <c r="H45" s="18">
        <f t="shared" ref="H45" si="30">+H16/AVERAGE(G33:H33)</f>
        <v>8.1867129575144165E-2</v>
      </c>
      <c r="K45" t="s">
        <v>22</v>
      </c>
      <c r="N45" s="25">
        <f>+N16/AVERAGE(M33:N33)</f>
        <v>2.8633011911514464E-2</v>
      </c>
      <c r="O45" s="25">
        <f t="shared" ref="O45:P45" si="31">+O16/AVERAGE(N33:O33)</f>
        <v>-1.3487109435789254E-3</v>
      </c>
      <c r="P45" s="25">
        <f t="shared" si="31"/>
        <v>7.5363753885084031E-3</v>
      </c>
      <c r="S45" t="s">
        <v>22</v>
      </c>
      <c r="V45" s="25">
        <f>+V16/AVERAGE(U33:V33)</f>
        <v>-3.1899355493535154E-3</v>
      </c>
      <c r="W45" s="25">
        <f>+W16/AVERAGE(V33:W33)</f>
        <v>-5.580152652855061E-2</v>
      </c>
      <c r="X45" s="25">
        <f>+X16/AVERAGE(W33:X33)</f>
        <v>-3.1627421011478092E-2</v>
      </c>
    </row>
    <row r="46" spans="2:25" x14ac:dyDescent="0.3">
      <c r="C46" t="s">
        <v>25</v>
      </c>
      <c r="F46" s="18">
        <f>+F42/AVERAGE(E34:F34)</f>
        <v>0.14393888908864996</v>
      </c>
      <c r="G46" s="18">
        <f>+G42/AVERAGE(F34:G34)</f>
        <v>0.14225351049943033</v>
      </c>
      <c r="H46" s="18">
        <f t="shared" ref="H46" si="32">+H42/AVERAGE(G34:H34)</f>
        <v>0.13345037866892578</v>
      </c>
      <c r="K46" t="s">
        <v>25</v>
      </c>
      <c r="N46" s="25">
        <f>+N42/AVERAGE(M34:N34)</f>
        <v>7.0295616717635068E-2</v>
      </c>
      <c r="O46" s="25">
        <f t="shared" ref="O46:P46" si="33">+O42/AVERAGE(N34:O34)</f>
        <v>4.3378314617344524E-2</v>
      </c>
      <c r="P46" s="25">
        <f t="shared" si="33"/>
        <v>3.7596942372629782E-2</v>
      </c>
      <c r="S46" t="s">
        <v>25</v>
      </c>
      <c r="V46" s="25">
        <f>+V42/AVERAGE(U34:V34)</f>
        <v>-1.1678004012621632E-2</v>
      </c>
      <c r="W46" s="25">
        <f>+W42/AVERAGE(V34:W34)</f>
        <v>-2.8232767963930608E-2</v>
      </c>
      <c r="X46" s="25">
        <f>+X42/AVERAGE(W34:X34)</f>
        <v>-4.3687517929216338E-2</v>
      </c>
    </row>
    <row r="48" spans="2:25" x14ac:dyDescent="0.3">
      <c r="C48" t="s">
        <v>26</v>
      </c>
      <c r="F48" s="22">
        <f>+F32/F22</f>
        <v>1.5442668439460068</v>
      </c>
      <c r="G48" s="22">
        <f t="shared" ref="G48:H48" si="34">+G32/G22</f>
        <v>1.4953456895837363</v>
      </c>
      <c r="H48" s="22">
        <f t="shared" si="34"/>
        <v>1.584718258631302</v>
      </c>
      <c r="K48" t="s">
        <v>26</v>
      </c>
      <c r="N48" s="22">
        <f>+N32/N22</f>
        <v>0.72750642673521848</v>
      </c>
      <c r="O48" s="22">
        <f t="shared" ref="O48:P48" si="35">+O32/O22</f>
        <v>1.3509700176366843</v>
      </c>
      <c r="P48" s="22">
        <f t="shared" si="35"/>
        <v>1.2958979489744873</v>
      </c>
      <c r="S48" t="s">
        <v>26</v>
      </c>
      <c r="V48" s="22">
        <f>+V32/V22</f>
        <v>2.2724333974297477</v>
      </c>
      <c r="W48" s="22">
        <f>+W32/W22</f>
        <v>2.273547400075091</v>
      </c>
      <c r="X48" s="22">
        <f>+X32/X22</f>
        <v>7.6551062258542935</v>
      </c>
    </row>
    <row r="49" spans="2:24" x14ac:dyDescent="0.3">
      <c r="C49" t="s">
        <v>27</v>
      </c>
      <c r="F49" s="22">
        <f>+F22/F18</f>
        <v>16.024548402037979</v>
      </c>
      <c r="G49" s="22">
        <f t="shared" ref="G49:H49" si="36">+G22/G18</f>
        <v>17.548715462918082</v>
      </c>
      <c r="H49" s="22">
        <f t="shared" si="36"/>
        <v>16.129061371841154</v>
      </c>
      <c r="K49" t="s">
        <v>27</v>
      </c>
      <c r="N49" s="22">
        <f>+N22/N18</f>
        <v>486.25</v>
      </c>
      <c r="O49" s="22">
        <f t="shared" ref="O49:P49" si="37">+O22/O18</f>
        <v>54.519230769230766</v>
      </c>
      <c r="P49" s="22">
        <f t="shared" si="37"/>
        <v>38.815533980582522</v>
      </c>
      <c r="S49" t="s">
        <v>27</v>
      </c>
      <c r="V49" s="22">
        <f>+V22/V18</f>
        <v>-38.52530933633296</v>
      </c>
      <c r="W49" s="22">
        <f t="shared" ref="W49:X49" si="38">+W22/W18</f>
        <v>25.029773405937114</v>
      </c>
      <c r="X49" s="22">
        <f t="shared" si="38"/>
        <v>4.8915259803263016</v>
      </c>
    </row>
    <row r="51" spans="2:24" x14ac:dyDescent="0.3">
      <c r="C51" t="s">
        <v>28</v>
      </c>
      <c r="F51" s="23">
        <f>+F12/AVERAGE(E33:F33)</f>
        <v>2.3865490074508</v>
      </c>
      <c r="G51" s="23">
        <f>+G12/AVERAGE(F33:G33)</f>
        <v>2.3638738900055736</v>
      </c>
      <c r="H51" s="23">
        <f>+H12/AVERAGE(G33:H33)</f>
        <v>2.3355988388058528</v>
      </c>
      <c r="K51" t="s">
        <v>28</v>
      </c>
      <c r="N51" s="23">
        <f>+N12/AVERAGE(M33:N33)</f>
        <v>2.1815995462280204</v>
      </c>
      <c r="O51" s="23">
        <f t="shared" ref="O51:P51" si="39">+O12/AVERAGE(N33:O33)</f>
        <v>2.1127384019504434</v>
      </c>
      <c r="P51" s="23">
        <f t="shared" si="39"/>
        <v>2.0478037241796629</v>
      </c>
      <c r="S51" t="s">
        <v>28</v>
      </c>
      <c r="V51" s="23">
        <f>+V12/AVERAGE(U33:V33)</f>
        <v>0.62479375476116217</v>
      </c>
      <c r="W51" s="23">
        <f>+W12/AVERAGE(V33:W33)</f>
        <v>0.62935361056685257</v>
      </c>
      <c r="X51" s="23">
        <f>+X12/AVERAGE(W33:X33)</f>
        <v>0.55456154116502787</v>
      </c>
    </row>
    <row r="52" spans="2:24" x14ac:dyDescent="0.3">
      <c r="C52" t="s">
        <v>29</v>
      </c>
      <c r="F52" s="23">
        <f>+F36/F37</f>
        <v>0.8824237560192616</v>
      </c>
      <c r="G52" s="23">
        <f t="shared" ref="G52:H52" si="40">+G36/G37</f>
        <v>0.83460970787267819</v>
      </c>
      <c r="H52" s="23">
        <f t="shared" si="40"/>
        <v>0.88232749296993296</v>
      </c>
      <c r="K52" t="s">
        <v>29</v>
      </c>
      <c r="N52" s="23">
        <f>+N36/N37</f>
        <v>1.174140708915145</v>
      </c>
      <c r="O52" s="23">
        <f t="shared" ref="O52:P52" si="41">+O36/O37</f>
        <v>1.1207241343016525</v>
      </c>
      <c r="P52" s="23">
        <f t="shared" si="41"/>
        <v>1.0715839860748477</v>
      </c>
      <c r="S52" t="s">
        <v>29</v>
      </c>
      <c r="V52" s="23">
        <f>+V36/V37</f>
        <v>0.71970857393959298</v>
      </c>
      <c r="W52" s="23">
        <f>+W36/W37</f>
        <v>0.69093207349541963</v>
      </c>
      <c r="X52" s="23">
        <f>+X36/X37</f>
        <v>0.67339834198786586</v>
      </c>
    </row>
    <row r="54" spans="2:24" x14ac:dyDescent="0.3">
      <c r="C54" t="s">
        <v>30</v>
      </c>
      <c r="F54" s="23">
        <f>+F14/AVERAGE(E39:F39)</f>
        <v>8.6840870500706409</v>
      </c>
      <c r="G54" s="23">
        <f>+G14/AVERAGE(F39:G39)</f>
        <v>8.3367133239466611</v>
      </c>
      <c r="H54" s="23">
        <f>+H14/AVERAGE(G39:H39)</f>
        <v>8.0772605768037806</v>
      </c>
      <c r="K54" t="s">
        <v>30</v>
      </c>
      <c r="N54" s="23">
        <f>+N14/AVERAGE(M39:N39)</f>
        <v>9.1012936294849887</v>
      </c>
      <c r="O54" s="23">
        <f t="shared" ref="O54:P54" si="42">+O14/AVERAGE(N39:O39)</f>
        <v>8.3409235235416848</v>
      </c>
      <c r="P54" s="23">
        <f t="shared" si="42"/>
        <v>8.0614491891087638</v>
      </c>
      <c r="S54" t="s">
        <v>30</v>
      </c>
      <c r="V54" s="24" t="s">
        <v>14</v>
      </c>
      <c r="W54" s="24" t="s">
        <v>14</v>
      </c>
      <c r="X54" s="24" t="s">
        <v>14</v>
      </c>
    </row>
    <row r="55" spans="2:24" x14ac:dyDescent="0.3">
      <c r="C55" s="6" t="s">
        <v>33</v>
      </c>
      <c r="F55" s="20">
        <f>+F$9/F54</f>
        <v>42.030900645685136</v>
      </c>
      <c r="G55" s="20">
        <f t="shared" ref="G55:H55" si="43">+G$9/G54</f>
        <v>43.902193319840933</v>
      </c>
      <c r="H55" s="20">
        <f t="shared" si="43"/>
        <v>45.188587953718418</v>
      </c>
      <c r="K55" s="6" t="s">
        <v>33</v>
      </c>
      <c r="N55" s="20">
        <f>+N$9/N54</f>
        <v>40.104189015232784</v>
      </c>
      <c r="O55" s="20">
        <f t="shared" ref="O55:P55" si="44">+O$9/O54</f>
        <v>43.880033064323165</v>
      </c>
      <c r="P55" s="20">
        <f t="shared" si="44"/>
        <v>45.277218951292888</v>
      </c>
      <c r="S55" s="6" t="s">
        <v>33</v>
      </c>
      <c r="V55" s="31" t="s">
        <v>14</v>
      </c>
      <c r="W55" s="31" t="s">
        <v>14</v>
      </c>
      <c r="X55" s="31" t="s">
        <v>14</v>
      </c>
    </row>
    <row r="56" spans="2:24" x14ac:dyDescent="0.3">
      <c r="C56" t="s">
        <v>31</v>
      </c>
      <c r="F56" s="23">
        <f>+F12/AVERAGE(E38:F38)</f>
        <v>80.992018864502086</v>
      </c>
      <c r="G56" s="23">
        <f>+G12/AVERAGE(F38:G38)</f>
        <v>73.774262101534831</v>
      </c>
      <c r="H56" s="23">
        <f>+H12/AVERAGE(G38:H38)</f>
        <v>70.850725176645597</v>
      </c>
      <c r="K56" t="s">
        <v>31</v>
      </c>
      <c r="N56" s="23">
        <f>+N12/AVERAGE(M38:N38)</f>
        <v>23.125060125060124</v>
      </c>
      <c r="O56" s="23">
        <f t="shared" ref="O56:P56" si="45">+O12/AVERAGE(N38:O38)</f>
        <v>19.127426424546023</v>
      </c>
      <c r="P56" s="23">
        <f t="shared" si="45"/>
        <v>17.346691519105313</v>
      </c>
      <c r="S56" t="s">
        <v>31</v>
      </c>
      <c r="V56" s="23">
        <f>+V12/AVERAGE(U38:V38)</f>
        <v>4.0813243683194562</v>
      </c>
      <c r="W56" s="23">
        <f>+W12/AVERAGE(V38:W38)</f>
        <v>3.9196044151199678</v>
      </c>
      <c r="X56" s="23">
        <f>+X12/AVERAGE(W38:X38)</f>
        <v>3.6454496163146959</v>
      </c>
    </row>
    <row r="57" spans="2:24" x14ac:dyDescent="0.3">
      <c r="C57" s="6" t="s">
        <v>34</v>
      </c>
      <c r="F57" s="20">
        <f>+F$9/F56</f>
        <v>4.5066168879014761</v>
      </c>
      <c r="G57" s="20">
        <f t="shared" ref="G57" si="46">+G$9/G56</f>
        <v>4.9610797800495465</v>
      </c>
      <c r="H57" s="20">
        <f t="shared" ref="H57" si="47">+H$9/H56</f>
        <v>5.1516762755776888</v>
      </c>
      <c r="K57" s="6" t="s">
        <v>34</v>
      </c>
      <c r="N57" s="20">
        <f>+N$9/N56</f>
        <v>15.783742746011608</v>
      </c>
      <c r="O57" s="20">
        <f t="shared" ref="O57:P57" si="48">+O$9/O56</f>
        <v>19.13482723061562</v>
      </c>
      <c r="P57" s="20">
        <f t="shared" si="48"/>
        <v>21.041476387471121</v>
      </c>
      <c r="S57" s="6" t="s">
        <v>34</v>
      </c>
      <c r="V57" s="20">
        <f>+V$9/V56</f>
        <v>89.431754759128339</v>
      </c>
      <c r="W57" s="20">
        <f t="shared" ref="W57" si="49">+W$9/W56</f>
        <v>93.376770009786256</v>
      </c>
      <c r="X57" s="20">
        <f t="shared" ref="X57" si="50">+X$9/X56</f>
        <v>100.12482366139254</v>
      </c>
    </row>
    <row r="58" spans="2:24" x14ac:dyDescent="0.3">
      <c r="C58" t="s">
        <v>32</v>
      </c>
      <c r="F58" s="23">
        <f>+F14/AVERAGE(E40:F40)</f>
        <v>9.5325536395196639</v>
      </c>
      <c r="G58" s="23">
        <f>+G14/AVERAGE(F40:G40)</f>
        <v>9.4338314053127679</v>
      </c>
      <c r="H58" s="23">
        <f>+H14/AVERAGE(G40:H40)</f>
        <v>9.485899728458838</v>
      </c>
      <c r="K58" t="s">
        <v>32</v>
      </c>
      <c r="N58" s="23">
        <f>+N14/AVERAGE(M40:N40)</f>
        <v>3.8849760366743071</v>
      </c>
      <c r="O58" s="23">
        <f t="shared" ref="O58:P58" si="51">+O14/AVERAGE(N40:O40)</f>
        <v>3.7584106609982424</v>
      </c>
      <c r="P58" s="23">
        <f t="shared" si="51"/>
        <v>3.8087237706934731</v>
      </c>
      <c r="S58" t="s">
        <v>32</v>
      </c>
      <c r="V58" s="23">
        <f>+V14/AVERAGE(U40:V40)</f>
        <v>5.1192875421070134</v>
      </c>
      <c r="W58" s="23">
        <f>+W14/AVERAGE(V40:W40)</f>
        <v>5.5763816116774105</v>
      </c>
      <c r="X58" s="23">
        <f>+X14/AVERAGE(W40:X40)</f>
        <v>5.6879786949341726</v>
      </c>
    </row>
    <row r="59" spans="2:24" x14ac:dyDescent="0.3">
      <c r="C59" s="6" t="s">
        <v>35</v>
      </c>
      <c r="F59" s="20">
        <f>+F$9/F58</f>
        <v>38.289844862429959</v>
      </c>
      <c r="G59" s="20">
        <f t="shared" ref="G59" si="52">+G$9/G58</f>
        <v>38.796538148210175</v>
      </c>
      <c r="H59" s="20">
        <f t="shared" ref="H59" si="53">+H$9/H58</f>
        <v>38.478163426602137</v>
      </c>
      <c r="K59" s="6" t="s">
        <v>35</v>
      </c>
      <c r="N59" s="20">
        <f>+N$9/N58</f>
        <v>93.951673460630772</v>
      </c>
      <c r="O59" s="20">
        <f t="shared" ref="O59:P59" si="54">+O$9/O58</f>
        <v>97.381588392682346</v>
      </c>
      <c r="P59" s="20">
        <f t="shared" si="54"/>
        <v>95.832625828242371</v>
      </c>
      <c r="S59" s="6" t="s">
        <v>35</v>
      </c>
      <c r="V59" s="20">
        <f>+V$9/V58</f>
        <v>71.298983891374093</v>
      </c>
      <c r="W59" s="20">
        <f t="shared" ref="W59" si="55">+W$9/W58</f>
        <v>65.633958628936966</v>
      </c>
      <c r="X59" s="20">
        <f t="shared" ref="X59" si="56">+X$9/X58</f>
        <v>64.170423198855559</v>
      </c>
    </row>
    <row r="61" spans="2:24" x14ac:dyDescent="0.3">
      <c r="B61" s="37" t="s">
        <v>46</v>
      </c>
      <c r="C61" s="36"/>
      <c r="D61" s="36"/>
      <c r="E61" s="3"/>
      <c r="F61" s="3"/>
      <c r="G61" s="3"/>
      <c r="H61" s="3"/>
      <c r="R61" s="37" t="s">
        <v>64</v>
      </c>
      <c r="S61" s="36"/>
      <c r="T61" s="36"/>
      <c r="U61" s="3"/>
      <c r="V61" s="3"/>
      <c r="W61" s="3"/>
      <c r="X61" s="3"/>
    </row>
    <row r="63" spans="2:24" x14ac:dyDescent="0.3">
      <c r="C63" t="s">
        <v>49</v>
      </c>
      <c r="S63" t="s">
        <v>65</v>
      </c>
    </row>
    <row r="64" spans="2:24" x14ac:dyDescent="0.3">
      <c r="C64" t="s">
        <v>50</v>
      </c>
    </row>
    <row r="65" spans="3:19" x14ac:dyDescent="0.3">
      <c r="S65" t="s">
        <v>66</v>
      </c>
    </row>
    <row r="66" spans="3:19" x14ac:dyDescent="0.3">
      <c r="C66" t="s">
        <v>55</v>
      </c>
    </row>
    <row r="67" spans="3:19" x14ac:dyDescent="0.3">
      <c r="S67" t="s">
        <v>67</v>
      </c>
    </row>
    <row r="68" spans="3:19" x14ac:dyDescent="0.3">
      <c r="C68" t="s">
        <v>53</v>
      </c>
    </row>
    <row r="69" spans="3:19" x14ac:dyDescent="0.3">
      <c r="C69" t="s">
        <v>54</v>
      </c>
      <c r="S69" t="s">
        <v>79</v>
      </c>
    </row>
    <row r="71" spans="3:19" x14ac:dyDescent="0.3">
      <c r="C71" t="s">
        <v>51</v>
      </c>
      <c r="S71" s="1" t="s">
        <v>68</v>
      </c>
    </row>
    <row r="72" spans="3:19" x14ac:dyDescent="0.3">
      <c r="C72" t="s">
        <v>52</v>
      </c>
    </row>
    <row r="73" spans="3:19" x14ac:dyDescent="0.3">
      <c r="S73" s="1" t="s">
        <v>69</v>
      </c>
    </row>
    <row r="74" spans="3:19" x14ac:dyDescent="0.3">
      <c r="C74" t="s">
        <v>78</v>
      </c>
    </row>
    <row r="75" spans="3:19" x14ac:dyDescent="0.3">
      <c r="S75" t="s">
        <v>70</v>
      </c>
    </row>
    <row r="76" spans="3:19" x14ac:dyDescent="0.3">
      <c r="C76" s="1" t="s">
        <v>56</v>
      </c>
    </row>
    <row r="77" spans="3:19" x14ac:dyDescent="0.3">
      <c r="S77" s="1" t="s">
        <v>71</v>
      </c>
    </row>
    <row r="78" spans="3:19" x14ac:dyDescent="0.3">
      <c r="C78" s="1" t="s">
        <v>57</v>
      </c>
      <c r="S78" t="s">
        <v>72</v>
      </c>
    </row>
    <row r="79" spans="3:19" x14ac:dyDescent="0.3">
      <c r="C79" t="s">
        <v>58</v>
      </c>
      <c r="S79" t="s">
        <v>73</v>
      </c>
    </row>
    <row r="80" spans="3:19" x14ac:dyDescent="0.3">
      <c r="C80" s="7" t="s">
        <v>59</v>
      </c>
      <c r="S80" t="s">
        <v>74</v>
      </c>
    </row>
    <row r="82" spans="3:3" x14ac:dyDescent="0.3">
      <c r="C82" t="s">
        <v>60</v>
      </c>
    </row>
    <row r="83" spans="3:3" x14ac:dyDescent="0.3">
      <c r="C83" t="s">
        <v>61</v>
      </c>
    </row>
    <row r="85" spans="3:3" x14ac:dyDescent="0.3">
      <c r="C85" s="1" t="s">
        <v>62</v>
      </c>
    </row>
    <row r="86" spans="3:3" x14ac:dyDescent="0.3">
      <c r="C86" t="s">
        <v>63</v>
      </c>
    </row>
  </sheetData>
  <pageMargins left="0.7" right="0.7" top="0.75" bottom="0.75" header="0.3" footer="0.3"/>
  <pageSetup orientation="portrait" r:id="rId1"/>
  <ignoredErrors>
    <ignoredError sqref="G51:H53 G44:H46 F44:F46 F51 G54:H54 F54 V44:X46 V51:X51 V56:X56 V59:X59 N44:P55" formulaRange="1"/>
    <ignoredError sqref="F56 G56:H56 F58 G58:H58 V57:X57 V58:X58 N56:P59" formula="1" formulaRange="1"/>
    <ignoredError sqref="F57:H57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Key-Metrics-Ratios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BIWS</dc:creator>
  <cp:lastModifiedBy>BIWS</cp:lastModifiedBy>
  <cp:lastPrinted>2014-05-10T21:28:04Z</cp:lastPrinted>
  <dcterms:created xsi:type="dcterms:W3CDTF">2014-03-23T05:39:11Z</dcterms:created>
  <dcterms:modified xsi:type="dcterms:W3CDTF">2015-01-20T16:49:50Z</dcterms:modified>
</cp:coreProperties>
</file>