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8" windowWidth="14808" windowHeight="8016" tabRatio="710"/>
  </bookViews>
  <sheets>
    <sheet name="Assumptions" sheetId="4" r:id="rId1"/>
    <sheet name="Data" sheetId="5" r:id="rId2"/>
    <sheet name="DCF" sheetId="14" r:id="rId3"/>
    <sheet name="Hedges" sheetId="13" r:id="rId4"/>
    <sheet name="Rollup" sheetId="11" r:id="rId5"/>
    <sheet name="Start" sheetId="7" r:id="rId6"/>
    <sheet name="PD" sheetId="6" r:id="rId7"/>
    <sheet name="PA" sheetId="9" r:id="rId8"/>
    <sheet name="WY" sheetId="10" r:id="rId9"/>
    <sheet name="UT" sheetId="12" r:id="rId10"/>
    <sheet name="End" sheetId="8" r:id="rId11"/>
  </sheets>
  <definedNames>
    <definedName name="Bbl_to_Mcfe">Assumptions!$K$8</definedName>
    <definedName name="Circ_Ref">Assumptions!$K$11</definedName>
    <definedName name="Company_Name">Assumptions!$K$6</definedName>
    <definedName name="Discount_Rate">Assumptions!$K$10</definedName>
    <definedName name="Drill_Schedule_Range">Assumptions!$N$74:$R$116</definedName>
    <definedName name="Drill_Schedule_Region_Row">Assumptions!$N$74:$R$74</definedName>
    <definedName name="Drill_Schedule_Year_Column">Assumptions!$N$74:$N$116</definedName>
    <definedName name="FY_Date">Assumptions!$K$22</definedName>
    <definedName name="FY_Quarter_End_Date">Assumptions!$K$19</definedName>
    <definedName name="GA_Per_Mcfe">Assumptions!$R$11</definedName>
    <definedName name="Gas_Price_Diff">Assumptions!$W$8</definedName>
    <definedName name="Initial_Tax_Rate">Assumptions!$K$27</definedName>
    <definedName name="Initial_Tax_Rate_Years">Assumptions!$K$28</definedName>
    <definedName name="LOE_Per_Mcfe">Assumptions!$R$8</definedName>
    <definedName name="LT_Gas">Assumptions!$K$14</definedName>
    <definedName name="LT_Oil">Assumptions!$K$15</definedName>
    <definedName name="NGL_Price_Diff_vs_Oil">Assumptions!$W$10</definedName>
    <definedName name="NOL">Assumptions!$K$30</definedName>
    <definedName name="Oil_Price_Diff">Assumptions!$W$9</definedName>
    <definedName name="Other_OpEx_Per_Mcfe">Assumptions!$R$10</definedName>
    <definedName name="_xlnm.Print_Area" localSheetId="1">Data!$A$1:$Q$68</definedName>
    <definedName name="_xlnm.Print_Area" localSheetId="3">Hedges!$A$1:$J$71</definedName>
    <definedName name="Prod_Taxes_Per_Mcfe">Assumptions!$R$9</definedName>
    <definedName name="Regional_Input_Range">Assumptions!$N$26:$U$34</definedName>
    <definedName name="Regional_Input_Region_Row">Assumptions!$N$26:$U$26</definedName>
    <definedName name="Regional_Input_Var_Column">Assumptions!$N$26:$N$34</definedName>
    <definedName name="Remainder_Date">Assumptions!$K$21</definedName>
    <definedName name="Reserve_Credit_Categories_Col">Assumptions!$N$43:$N$48</definedName>
    <definedName name="Reserve_Credit_Range">Assumptions!$N$43:$U$48</definedName>
    <definedName name="Reserve_Credit_Regions_Row">Assumptions!$N$43:$U$43</definedName>
    <definedName name="Share_Price">Assumptions!$K$7</definedName>
    <definedName name="Stat_Tax_Rate">Assumptions!$K$29</definedName>
    <definedName name="Stub_Per_Adj">Assumptions!$K$24</definedName>
    <definedName name="Units">Assumptions!$K$9</definedName>
    <definedName name="Valuation_Date">Assumptions!$K$20</definedName>
    <definedName name="Wells_Input_Range">Data!$C$63:$I$67</definedName>
    <definedName name="Wells_Input_Region_Column">Data!$C$63:$C$67</definedName>
    <definedName name="Wells_Input_Reserve_Row">Data!$C$63:$I$63</definedName>
  </definedNames>
  <calcPr calcId="152511" calcMode="autoNoTable" iterate="1"/>
</workbook>
</file>

<file path=xl/calcChain.xml><?xml version="1.0" encoding="utf-8"?>
<calcChain xmlns="http://schemas.openxmlformats.org/spreadsheetml/2006/main">
  <c r="R8" i="4" l="1"/>
  <c r="AT125" i="10" l="1"/>
  <c r="AT125" i="12"/>
  <c r="L61" i="5"/>
  <c r="H101" i="4" l="1"/>
  <c r="O183" i="4"/>
  <c r="O182" i="4"/>
  <c r="O181" i="4"/>
  <c r="O180" i="4"/>
  <c r="O179" i="4"/>
  <c r="O178" i="4"/>
  <c r="O177" i="4"/>
  <c r="O176" i="4"/>
  <c r="O175" i="4"/>
  <c r="O174" i="4"/>
  <c r="O173" i="4"/>
  <c r="N173" i="4"/>
  <c r="S172" i="4"/>
  <c r="T172" i="4" s="1"/>
  <c r="U172" i="4" s="1"/>
  <c r="V172" i="4" s="1"/>
  <c r="W172" i="4" s="1"/>
  <c r="X172" i="4" s="1"/>
  <c r="Y172" i="4" s="1"/>
  <c r="Z172" i="4" s="1"/>
  <c r="R172" i="4"/>
  <c r="Q172" i="4"/>
  <c r="Q171" i="4" s="1"/>
  <c r="P171" i="4"/>
  <c r="Q155" i="4"/>
  <c r="R155" i="4" s="1"/>
  <c r="S155" i="4" s="1"/>
  <c r="T155" i="4" s="1"/>
  <c r="U155" i="4" s="1"/>
  <c r="V155" i="4" s="1"/>
  <c r="W155" i="4" s="1"/>
  <c r="X155" i="4" s="1"/>
  <c r="Y155" i="4" s="1"/>
  <c r="Z155" i="4" s="1"/>
  <c r="O166" i="4"/>
  <c r="O165" i="4"/>
  <c r="O164" i="4"/>
  <c r="O163" i="4"/>
  <c r="O162" i="4"/>
  <c r="O161" i="4"/>
  <c r="O160" i="4"/>
  <c r="O159" i="4"/>
  <c r="O158" i="4"/>
  <c r="O157" i="4"/>
  <c r="O156" i="4"/>
  <c r="N156" i="4"/>
  <c r="Q123" i="4"/>
  <c r="R123" i="4" s="1"/>
  <c r="S123" i="4" s="1"/>
  <c r="T123" i="4" s="1"/>
  <c r="U123" i="4" s="1"/>
  <c r="V123" i="4" s="1"/>
  <c r="W123" i="4" s="1"/>
  <c r="X123" i="4" s="1"/>
  <c r="Y123" i="4" s="1"/>
  <c r="Z123" i="4" s="1"/>
  <c r="R139" i="4"/>
  <c r="S139" i="4" s="1"/>
  <c r="T139" i="4" s="1"/>
  <c r="U139" i="4" s="1"/>
  <c r="V139" i="4" s="1"/>
  <c r="W139" i="4" s="1"/>
  <c r="X139" i="4" s="1"/>
  <c r="Y139" i="4" s="1"/>
  <c r="Z139" i="4" s="1"/>
  <c r="Q139" i="4"/>
  <c r="N140" i="4"/>
  <c r="O150" i="4"/>
  <c r="O149" i="4"/>
  <c r="O148" i="4"/>
  <c r="O147" i="4"/>
  <c r="O146" i="4"/>
  <c r="O145" i="4"/>
  <c r="O144" i="4"/>
  <c r="O143" i="4"/>
  <c r="O142" i="4"/>
  <c r="O141" i="4"/>
  <c r="O140" i="4"/>
  <c r="O127" i="4"/>
  <c r="O128" i="4" s="1"/>
  <c r="O129" i="4" s="1"/>
  <c r="O130" i="4" s="1"/>
  <c r="O131" i="4" s="1"/>
  <c r="O132" i="4" s="1"/>
  <c r="O133" i="4" s="1"/>
  <c r="O134" i="4" s="1"/>
  <c r="O126" i="4"/>
  <c r="O125" i="4"/>
  <c r="R171" i="4" l="1"/>
  <c r="S171" i="4" l="1"/>
  <c r="T171" i="4" l="1"/>
  <c r="U171" i="4" l="1"/>
  <c r="V171" i="4" l="1"/>
  <c r="W171" i="4" l="1"/>
  <c r="X171" i="4" l="1"/>
  <c r="Z171" i="4" l="1"/>
  <c r="Y171" i="4"/>
  <c r="H95" i="4" l="1"/>
  <c r="F66" i="4" l="1"/>
  <c r="H66" i="4" s="1"/>
  <c r="H67" i="4" s="1"/>
  <c r="H92" i="4" s="1"/>
  <c r="G60" i="14" l="1"/>
  <c r="H60" i="14" s="1"/>
  <c r="I60" i="14" s="1"/>
  <c r="J60" i="14" s="1"/>
  <c r="K60" i="14" s="1"/>
  <c r="L60" i="14" s="1"/>
  <c r="M60" i="14" s="1"/>
  <c r="N60" i="14" s="1"/>
  <c r="O60" i="14" s="1"/>
  <c r="P60" i="14" s="1"/>
  <c r="Q60" i="14" s="1"/>
  <c r="R60" i="14" s="1"/>
  <c r="S60" i="14" s="1"/>
  <c r="T60" i="14" s="1"/>
  <c r="U60" i="14" s="1"/>
  <c r="V60" i="14" s="1"/>
  <c r="W60" i="14" s="1"/>
  <c r="X60" i="14" s="1"/>
  <c r="Y60" i="14" s="1"/>
  <c r="Z60" i="14" s="1"/>
  <c r="AA60" i="14" s="1"/>
  <c r="AB60" i="14" s="1"/>
  <c r="AC60" i="14" s="1"/>
  <c r="AD60" i="14" s="1"/>
  <c r="AE60" i="14" s="1"/>
  <c r="AF60" i="14" s="1"/>
  <c r="AG60" i="14" s="1"/>
  <c r="AH60" i="14" s="1"/>
  <c r="AI60" i="14" s="1"/>
  <c r="AJ60" i="14" s="1"/>
  <c r="AK60" i="14" s="1"/>
  <c r="AL60" i="14" s="1"/>
  <c r="AM60" i="14" s="1"/>
  <c r="AN60" i="14" s="1"/>
  <c r="AO60" i="14" s="1"/>
  <c r="AP60" i="14" s="1"/>
  <c r="AQ60" i="14" s="1"/>
  <c r="AR60" i="14" s="1"/>
  <c r="AS60" i="14" s="1"/>
  <c r="AT60" i="14" s="1"/>
  <c r="AU60" i="14" s="1"/>
  <c r="G59" i="14"/>
  <c r="AW6" i="14"/>
  <c r="G61" i="14" l="1"/>
  <c r="H59" i="14"/>
  <c r="E94" i="14"/>
  <c r="AW7" i="14"/>
  <c r="AV7" i="14"/>
  <c r="G62" i="14" l="1"/>
  <c r="G63" i="14" s="1"/>
  <c r="G65" i="14" s="1"/>
  <c r="I59" i="14"/>
  <c r="H61" i="14"/>
  <c r="AX7" i="14"/>
  <c r="F118" i="14"/>
  <c r="AW118" i="14" s="1"/>
  <c r="E118" i="14"/>
  <c r="F111" i="14"/>
  <c r="G108" i="14" s="1"/>
  <c r="AX45" i="14"/>
  <c r="AV45" i="14"/>
  <c r="H118" i="14" l="1"/>
  <c r="G118" i="14"/>
  <c r="AX118" i="14"/>
  <c r="AT118" i="14"/>
  <c r="AL118" i="14"/>
  <c r="AD118" i="14"/>
  <c r="V118" i="14"/>
  <c r="N118" i="14"/>
  <c r="J118" i="14"/>
  <c r="AS118" i="14"/>
  <c r="AK118" i="14"/>
  <c r="AC118" i="14"/>
  <c r="U118" i="14"/>
  <c r="M118" i="14"/>
  <c r="Z118" i="14"/>
  <c r="AM118" i="14"/>
  <c r="AR118" i="14"/>
  <c r="AJ118" i="14"/>
  <c r="AB118" i="14"/>
  <c r="T118" i="14"/>
  <c r="L118" i="14"/>
  <c r="R118" i="14"/>
  <c r="AQ118" i="14"/>
  <c r="AI118" i="14"/>
  <c r="AA118" i="14"/>
  <c r="S118" i="14"/>
  <c r="K118" i="14"/>
  <c r="AH118" i="14"/>
  <c r="AE118" i="14"/>
  <c r="AP118" i="14"/>
  <c r="W118" i="14"/>
  <c r="AO118" i="14"/>
  <c r="AG118" i="14"/>
  <c r="Y118" i="14"/>
  <c r="Q118" i="14"/>
  <c r="I118" i="14"/>
  <c r="O118" i="14"/>
  <c r="AN118" i="14"/>
  <c r="AF118" i="14"/>
  <c r="X118" i="14"/>
  <c r="P118" i="14"/>
  <c r="AU118" i="14"/>
  <c r="H62" i="14"/>
  <c r="H63" i="14" s="1"/>
  <c r="H65" i="14" s="1"/>
  <c r="J59" i="14"/>
  <c r="I61" i="14"/>
  <c r="AV118" i="14"/>
  <c r="AV166" i="14"/>
  <c r="T123" i="14"/>
  <c r="U123" i="14" s="1"/>
  <c r="V123" i="14" s="1"/>
  <c r="W123" i="14" s="1"/>
  <c r="X123" i="14" s="1"/>
  <c r="Y123" i="14" s="1"/>
  <c r="Z123" i="14" s="1"/>
  <c r="AA123" i="14" s="1"/>
  <c r="AB123" i="14" s="1"/>
  <c r="AC123" i="14" s="1"/>
  <c r="AD123" i="14" s="1"/>
  <c r="AE123" i="14" s="1"/>
  <c r="AF123" i="14" s="1"/>
  <c r="AG123" i="14" s="1"/>
  <c r="AH123" i="14" s="1"/>
  <c r="AI123" i="14" s="1"/>
  <c r="AJ123" i="14" s="1"/>
  <c r="AK123" i="14" s="1"/>
  <c r="AL123" i="14" s="1"/>
  <c r="AM123" i="14" s="1"/>
  <c r="AN123" i="14" s="1"/>
  <c r="AO123" i="14" s="1"/>
  <c r="AP123" i="14" s="1"/>
  <c r="AQ123" i="14" s="1"/>
  <c r="AR123" i="14" s="1"/>
  <c r="AS123" i="14" s="1"/>
  <c r="AT123" i="14" s="1"/>
  <c r="AU123" i="14" s="1"/>
  <c r="S123" i="14"/>
  <c r="I62" i="14" l="1"/>
  <c r="I63" i="14" s="1"/>
  <c r="I65" i="14" s="1"/>
  <c r="K59" i="14"/>
  <c r="J61" i="14"/>
  <c r="L59" i="14" l="1"/>
  <c r="K61" i="14"/>
  <c r="J62" i="14"/>
  <c r="J63" i="14" s="1"/>
  <c r="J65" i="14" s="1"/>
  <c r="J69" i="14" s="1"/>
  <c r="E63" i="4"/>
  <c r="F63" i="4"/>
  <c r="G63" i="4"/>
  <c r="H63" i="4"/>
  <c r="K43" i="4"/>
  <c r="K44" i="4" s="1"/>
  <c r="K45" i="4" s="1"/>
  <c r="F90" i="14" s="1"/>
  <c r="K39" i="4"/>
  <c r="G99" i="14" l="1"/>
  <c r="G88" i="14"/>
  <c r="M59" i="14"/>
  <c r="L61" i="14"/>
  <c r="K62" i="14"/>
  <c r="K63" i="14" s="1"/>
  <c r="K65" i="14" s="1"/>
  <c r="K69" i="14" s="1"/>
  <c r="I6" i="14"/>
  <c r="J6" i="14" s="1"/>
  <c r="K6" i="14" s="1"/>
  <c r="L6" i="14" s="1"/>
  <c r="M6" i="14" s="1"/>
  <c r="N6" i="14" s="1"/>
  <c r="O6" i="14" s="1"/>
  <c r="P6" i="14" s="1"/>
  <c r="Q6" i="14" s="1"/>
  <c r="R6" i="14" s="1"/>
  <c r="S6" i="14" s="1"/>
  <c r="T6" i="14" s="1"/>
  <c r="U6" i="14" s="1"/>
  <c r="V6" i="14" s="1"/>
  <c r="W6" i="14" s="1"/>
  <c r="X6" i="14" s="1"/>
  <c r="Y6" i="14" s="1"/>
  <c r="Z6" i="14" s="1"/>
  <c r="AA6" i="14" s="1"/>
  <c r="AB6" i="14" s="1"/>
  <c r="AC6" i="14" s="1"/>
  <c r="AD6" i="14" s="1"/>
  <c r="AE6" i="14" s="1"/>
  <c r="AF6" i="14" s="1"/>
  <c r="AG6" i="14" s="1"/>
  <c r="AH6" i="14" s="1"/>
  <c r="AI6" i="14" s="1"/>
  <c r="AJ6" i="14" s="1"/>
  <c r="AK6" i="14" s="1"/>
  <c r="AL6" i="14" s="1"/>
  <c r="AM6" i="14" s="1"/>
  <c r="AN6" i="14" s="1"/>
  <c r="AO6" i="14" s="1"/>
  <c r="AP6" i="14" s="1"/>
  <c r="AQ6" i="14" s="1"/>
  <c r="AR6" i="14" s="1"/>
  <c r="AS6" i="14" s="1"/>
  <c r="AT6" i="14" s="1"/>
  <c r="AU6" i="14" s="1"/>
  <c r="I7" i="14"/>
  <c r="J7" i="14"/>
  <c r="K7" i="14" s="1"/>
  <c r="L7" i="14" s="1"/>
  <c r="M7" i="14" s="1"/>
  <c r="N7" i="14" s="1"/>
  <c r="O7" i="14" s="1"/>
  <c r="P7" i="14" s="1"/>
  <c r="Q7" i="14" s="1"/>
  <c r="R7" i="14" s="1"/>
  <c r="S7" i="14" s="1"/>
  <c r="T7" i="14" s="1"/>
  <c r="U7" i="14" s="1"/>
  <c r="V7" i="14" s="1"/>
  <c r="W7" i="14" s="1"/>
  <c r="X7" i="14" s="1"/>
  <c r="Y7" i="14" s="1"/>
  <c r="Z7" i="14" s="1"/>
  <c r="AA7" i="14" s="1"/>
  <c r="AB7" i="14" s="1"/>
  <c r="AC7" i="14" s="1"/>
  <c r="AD7" i="14" s="1"/>
  <c r="AE7" i="14" s="1"/>
  <c r="AF7" i="14" s="1"/>
  <c r="AG7" i="14" s="1"/>
  <c r="AH7" i="14" s="1"/>
  <c r="AI7" i="14" s="1"/>
  <c r="AJ7" i="14" s="1"/>
  <c r="AK7" i="14" s="1"/>
  <c r="AL7" i="14" s="1"/>
  <c r="AM7" i="14" s="1"/>
  <c r="AN7" i="14" s="1"/>
  <c r="AO7" i="14" s="1"/>
  <c r="AP7" i="14" s="1"/>
  <c r="AQ7" i="14" s="1"/>
  <c r="AR7" i="14" s="1"/>
  <c r="AS7" i="14" s="1"/>
  <c r="AT7" i="14" s="1"/>
  <c r="AU7" i="14" s="1"/>
  <c r="H6" i="14"/>
  <c r="H7" i="14"/>
  <c r="L62" i="14" l="1"/>
  <c r="L63" i="14" s="1"/>
  <c r="L65" i="14" s="1"/>
  <c r="L69" i="14" s="1"/>
  <c r="N59" i="14"/>
  <c r="M61" i="14"/>
  <c r="E124" i="14"/>
  <c r="E125" i="14" s="1"/>
  <c r="E126" i="14" s="1"/>
  <c r="E127" i="14" s="1"/>
  <c r="E128" i="14" s="1"/>
  <c r="E129" i="14" s="1"/>
  <c r="E130" i="14" s="1"/>
  <c r="E131" i="14" s="1"/>
  <c r="E132" i="14" s="1"/>
  <c r="E133" i="14" s="1"/>
  <c r="E134" i="14" s="1"/>
  <c r="E135" i="14" s="1"/>
  <c r="E136" i="14" s="1"/>
  <c r="E137" i="14" s="1"/>
  <c r="E138" i="14" s="1"/>
  <c r="E139" i="14" s="1"/>
  <c r="E140" i="14" s="1"/>
  <c r="E141" i="14" s="1"/>
  <c r="E142" i="14" s="1"/>
  <c r="E143" i="14" s="1"/>
  <c r="E144" i="14" s="1"/>
  <c r="E145" i="14" s="1"/>
  <c r="E146" i="14" s="1"/>
  <c r="E147" i="14" s="1"/>
  <c r="E148" i="14" s="1"/>
  <c r="E149" i="14" s="1"/>
  <c r="E150" i="14" s="1"/>
  <c r="E151" i="14" s="1"/>
  <c r="E152" i="14" s="1"/>
  <c r="E153" i="14" s="1"/>
  <c r="E154" i="14" s="1"/>
  <c r="E155" i="14" s="1"/>
  <c r="E156" i="14" s="1"/>
  <c r="E157" i="14" s="1"/>
  <c r="E158" i="14" s="1"/>
  <c r="E159" i="14" s="1"/>
  <c r="E160" i="14" s="1"/>
  <c r="E161" i="14" s="1"/>
  <c r="E162" i="14" s="1"/>
  <c r="E163" i="14" s="1"/>
  <c r="E164" i="14" s="1"/>
  <c r="N122" i="14"/>
  <c r="O122" i="14" s="1"/>
  <c r="P122" i="14" s="1"/>
  <c r="Q122" i="14" s="1"/>
  <c r="R122" i="14" s="1"/>
  <c r="S122" i="14" s="1"/>
  <c r="T122" i="14" s="1"/>
  <c r="U122" i="14" s="1"/>
  <c r="V122" i="14" s="1"/>
  <c r="W122" i="14" s="1"/>
  <c r="X122" i="14" s="1"/>
  <c r="Y122" i="14" s="1"/>
  <c r="Z122" i="14" s="1"/>
  <c r="AA122" i="14" s="1"/>
  <c r="AB122" i="14" s="1"/>
  <c r="AC122" i="14" s="1"/>
  <c r="AD122" i="14" s="1"/>
  <c r="AE122" i="14" s="1"/>
  <c r="AF122" i="14" s="1"/>
  <c r="AG122" i="14" s="1"/>
  <c r="AH122" i="14" s="1"/>
  <c r="AI122" i="14" s="1"/>
  <c r="AJ122" i="14" s="1"/>
  <c r="AK122" i="14" s="1"/>
  <c r="AL122" i="14" s="1"/>
  <c r="AM122" i="14" s="1"/>
  <c r="AN122" i="14" s="1"/>
  <c r="AO122" i="14" s="1"/>
  <c r="AP122" i="14" s="1"/>
  <c r="AQ122" i="14" s="1"/>
  <c r="AR122" i="14" s="1"/>
  <c r="AS122" i="14" s="1"/>
  <c r="AT122" i="14" s="1"/>
  <c r="AU122" i="14" s="1"/>
  <c r="L122" i="14"/>
  <c r="M122" i="14" s="1"/>
  <c r="I122" i="14"/>
  <c r="J122" i="14" s="1"/>
  <c r="K122" i="14" s="1"/>
  <c r="H122" i="14"/>
  <c r="AX121" i="14"/>
  <c r="AW121" i="14"/>
  <c r="AV121" i="14"/>
  <c r="G5" i="14"/>
  <c r="H5" i="14" s="1"/>
  <c r="M62" i="14" l="1"/>
  <c r="M63" i="14" s="1"/>
  <c r="M65" i="14" s="1"/>
  <c r="M69" i="14" s="1"/>
  <c r="O59" i="14"/>
  <c r="N61" i="14"/>
  <c r="G121" i="14"/>
  <c r="H121" i="14"/>
  <c r="I5" i="14"/>
  <c r="P59" i="14" l="1"/>
  <c r="O61" i="14"/>
  <c r="H159" i="14"/>
  <c r="H154" i="14"/>
  <c r="H143" i="14"/>
  <c r="H161" i="14"/>
  <c r="H152" i="14"/>
  <c r="H158" i="14"/>
  <c r="H155" i="14"/>
  <c r="H142" i="14"/>
  <c r="H157" i="14"/>
  <c r="H156" i="14"/>
  <c r="H162" i="14"/>
  <c r="H151" i="14"/>
  <c r="H146" i="14"/>
  <c r="H160" i="14"/>
  <c r="H153" i="14"/>
  <c r="H144" i="14"/>
  <c r="H163" i="14"/>
  <c r="H150" i="14"/>
  <c r="H147" i="14"/>
  <c r="H164" i="14"/>
  <c r="H149" i="14"/>
  <c r="H148" i="14"/>
  <c r="H134" i="14"/>
  <c r="H131" i="14"/>
  <c r="H133" i="14"/>
  <c r="H138" i="14"/>
  <c r="H127" i="14"/>
  <c r="H136" i="14"/>
  <c r="H129" i="14"/>
  <c r="H126" i="14"/>
  <c r="H141" i="14"/>
  <c r="H140" i="14"/>
  <c r="H139" i="14"/>
  <c r="H135" i="14"/>
  <c r="H145" i="14"/>
  <c r="H130" i="14"/>
  <c r="H137" i="14"/>
  <c r="H128" i="14"/>
  <c r="H132" i="14"/>
  <c r="G164" i="14"/>
  <c r="G149" i="14"/>
  <c r="G148" i="14"/>
  <c r="G159" i="14"/>
  <c r="G154" i="14"/>
  <c r="G161" i="14"/>
  <c r="G152" i="14"/>
  <c r="G145" i="14"/>
  <c r="G158" i="14"/>
  <c r="G155" i="14"/>
  <c r="G157" i="14"/>
  <c r="G156" i="14"/>
  <c r="G162" i="14"/>
  <c r="G151" i="14"/>
  <c r="G146" i="14"/>
  <c r="G160" i="14"/>
  <c r="G153" i="14"/>
  <c r="G144" i="14"/>
  <c r="G163" i="14"/>
  <c r="G150" i="14"/>
  <c r="G147" i="14"/>
  <c r="G143" i="14"/>
  <c r="G131" i="14"/>
  <c r="G133" i="14"/>
  <c r="G132" i="14"/>
  <c r="G138" i="14"/>
  <c r="G127" i="14"/>
  <c r="G136" i="14"/>
  <c r="G129" i="14"/>
  <c r="G139" i="14"/>
  <c r="G140" i="14"/>
  <c r="G126" i="14"/>
  <c r="G125" i="14"/>
  <c r="G141" i="14"/>
  <c r="G142" i="14"/>
  <c r="G135" i="14"/>
  <c r="G130" i="14"/>
  <c r="G137" i="14"/>
  <c r="G128" i="14"/>
  <c r="G134" i="14"/>
  <c r="N62" i="14"/>
  <c r="N63" i="14" s="1"/>
  <c r="N65" i="14" s="1"/>
  <c r="N69" i="14" s="1"/>
  <c r="I121" i="14"/>
  <c r="J5" i="14"/>
  <c r="I161" i="14" l="1"/>
  <c r="I152" i="14"/>
  <c r="I145" i="14"/>
  <c r="I158" i="14"/>
  <c r="I155" i="14"/>
  <c r="I157" i="14"/>
  <c r="I156" i="14"/>
  <c r="I162" i="14"/>
  <c r="I151" i="14"/>
  <c r="I160" i="14"/>
  <c r="I153" i="14"/>
  <c r="I144" i="14"/>
  <c r="I163" i="14"/>
  <c r="I150" i="14"/>
  <c r="I147" i="14"/>
  <c r="I164" i="14"/>
  <c r="I149" i="14"/>
  <c r="I148" i="14"/>
  <c r="I159" i="14"/>
  <c r="I154" i="14"/>
  <c r="I143" i="14"/>
  <c r="I138" i="14"/>
  <c r="I127" i="14"/>
  <c r="I136" i="14"/>
  <c r="I139" i="14"/>
  <c r="I130" i="14"/>
  <c r="I142" i="14"/>
  <c r="I141" i="14"/>
  <c r="I140" i="14"/>
  <c r="I137" i="14"/>
  <c r="I135" i="14"/>
  <c r="I128" i="14"/>
  <c r="I134" i="14"/>
  <c r="I131" i="14"/>
  <c r="I133" i="14"/>
  <c r="I132" i="14"/>
  <c r="I146" i="14"/>
  <c r="I129" i="14"/>
  <c r="O62" i="14"/>
  <c r="O63" i="14" s="1"/>
  <c r="O65" i="14" s="1"/>
  <c r="O69" i="14" s="1"/>
  <c r="Q59" i="14"/>
  <c r="P61" i="14"/>
  <c r="J121" i="14"/>
  <c r="K5" i="14"/>
  <c r="P62" i="14" l="1"/>
  <c r="P63" i="14" s="1"/>
  <c r="P65" i="14" s="1"/>
  <c r="P69" i="14" s="1"/>
  <c r="J158" i="14"/>
  <c r="J155" i="14"/>
  <c r="J157" i="14"/>
  <c r="J156" i="14"/>
  <c r="J162" i="14"/>
  <c r="J151" i="14"/>
  <c r="J146" i="14"/>
  <c r="J160" i="14"/>
  <c r="J153" i="14"/>
  <c r="J163" i="14"/>
  <c r="J150" i="14"/>
  <c r="J147" i="14"/>
  <c r="J164" i="14"/>
  <c r="J149" i="14"/>
  <c r="J148" i="14"/>
  <c r="J159" i="14"/>
  <c r="J154" i="14"/>
  <c r="J143" i="14"/>
  <c r="J161" i="14"/>
  <c r="J152" i="14"/>
  <c r="J145" i="14"/>
  <c r="J138" i="14"/>
  <c r="J144" i="14"/>
  <c r="J141" i="14"/>
  <c r="J140" i="14"/>
  <c r="J142" i="14"/>
  <c r="J135" i="14"/>
  <c r="J130" i="14"/>
  <c r="J137" i="14"/>
  <c r="J128" i="14"/>
  <c r="J134" i="14"/>
  <c r="J131" i="14"/>
  <c r="J133" i="14"/>
  <c r="J132" i="14"/>
  <c r="J136" i="14"/>
  <c r="J129" i="14"/>
  <c r="J139" i="14"/>
  <c r="R59" i="14"/>
  <c r="Q61" i="14"/>
  <c r="K121" i="14"/>
  <c r="L5" i="14"/>
  <c r="K157" i="14" l="1"/>
  <c r="K156" i="14"/>
  <c r="K162" i="14"/>
  <c r="K151" i="14"/>
  <c r="K160" i="14"/>
  <c r="K153" i="14"/>
  <c r="K144" i="14"/>
  <c r="K163" i="14"/>
  <c r="K150" i="14"/>
  <c r="K164" i="14"/>
  <c r="K149" i="14"/>
  <c r="K148" i="14"/>
  <c r="K159" i="14"/>
  <c r="K154" i="14"/>
  <c r="K143" i="14"/>
  <c r="K161" i="14"/>
  <c r="K152" i="14"/>
  <c r="K145" i="14"/>
  <c r="K158" i="14"/>
  <c r="K155" i="14"/>
  <c r="K142" i="14"/>
  <c r="K146" i="14"/>
  <c r="K136" i="14"/>
  <c r="K139" i="14"/>
  <c r="K147" i="14"/>
  <c r="K135" i="14"/>
  <c r="K130" i="14"/>
  <c r="K134" i="14"/>
  <c r="K133" i="14"/>
  <c r="K137" i="14"/>
  <c r="K131" i="14"/>
  <c r="K132" i="14"/>
  <c r="K138" i="14"/>
  <c r="K129" i="14"/>
  <c r="K141" i="14"/>
  <c r="K140" i="14"/>
  <c r="S59" i="14"/>
  <c r="R61" i="14"/>
  <c r="Q62" i="14"/>
  <c r="Q63" i="14" s="1"/>
  <c r="Q65" i="14" s="1"/>
  <c r="Q69" i="14" s="1"/>
  <c r="L121" i="14"/>
  <c r="M5" i="14"/>
  <c r="L162" i="14" l="1"/>
  <c r="L151" i="14"/>
  <c r="L146" i="14"/>
  <c r="L160" i="14"/>
  <c r="L153" i="14"/>
  <c r="L163" i="14"/>
  <c r="L150" i="14"/>
  <c r="L147" i="14"/>
  <c r="L164" i="14"/>
  <c r="L149" i="14"/>
  <c r="L159" i="14"/>
  <c r="L154" i="14"/>
  <c r="L143" i="14"/>
  <c r="L161" i="14"/>
  <c r="L152" i="14"/>
  <c r="L145" i="14"/>
  <c r="L158" i="14"/>
  <c r="L155" i="14"/>
  <c r="L142" i="14"/>
  <c r="L157" i="14"/>
  <c r="L156" i="14"/>
  <c r="L139" i="14"/>
  <c r="L140" i="14"/>
  <c r="L137" i="14"/>
  <c r="L134" i="14"/>
  <c r="L131" i="14"/>
  <c r="L148" i="14"/>
  <c r="L132" i="14"/>
  <c r="L130" i="14"/>
  <c r="L133" i="14"/>
  <c r="L138" i="14"/>
  <c r="L136" i="14"/>
  <c r="L141" i="14"/>
  <c r="L144" i="14"/>
  <c r="L135" i="14"/>
  <c r="R62" i="14"/>
  <c r="R63" i="14" s="1"/>
  <c r="R65" i="14" s="1"/>
  <c r="R69" i="14" s="1"/>
  <c r="T59" i="14"/>
  <c r="S61" i="14"/>
  <c r="M121" i="14"/>
  <c r="N5" i="14"/>
  <c r="M160" i="14" l="1"/>
  <c r="M153" i="14"/>
  <c r="M144" i="14"/>
  <c r="M163" i="14"/>
  <c r="M150" i="14"/>
  <c r="M164" i="14"/>
  <c r="M149" i="14"/>
  <c r="M148" i="14"/>
  <c r="M159" i="14"/>
  <c r="M154" i="14"/>
  <c r="M161" i="14"/>
  <c r="M152" i="14"/>
  <c r="M145" i="14"/>
  <c r="M158" i="14"/>
  <c r="M155" i="14"/>
  <c r="M142" i="14"/>
  <c r="M157" i="14"/>
  <c r="M156" i="14"/>
  <c r="M162" i="14"/>
  <c r="M151" i="14"/>
  <c r="M146" i="14"/>
  <c r="M141" i="14"/>
  <c r="M140" i="14"/>
  <c r="M135" i="14"/>
  <c r="M134" i="14"/>
  <c r="M131" i="14"/>
  <c r="M132" i="14"/>
  <c r="M133" i="14"/>
  <c r="M138" i="14"/>
  <c r="M136" i="14"/>
  <c r="M143" i="14"/>
  <c r="M139" i="14"/>
  <c r="M147" i="14"/>
  <c r="M137" i="14"/>
  <c r="S62" i="14"/>
  <c r="S63" i="14" s="1"/>
  <c r="S65" i="14" s="1"/>
  <c r="S69" i="14" s="1"/>
  <c r="U59" i="14"/>
  <c r="T61" i="14"/>
  <c r="N121" i="14"/>
  <c r="O5" i="14"/>
  <c r="T62" i="14" l="1"/>
  <c r="T63" i="14" s="1"/>
  <c r="T65" i="14" s="1"/>
  <c r="T69" i="14" s="1"/>
  <c r="V59" i="14"/>
  <c r="U61" i="14"/>
  <c r="N163" i="14"/>
  <c r="N150" i="14"/>
  <c r="N147" i="14"/>
  <c r="N164" i="14"/>
  <c r="N159" i="14"/>
  <c r="N154" i="14"/>
  <c r="N143" i="14"/>
  <c r="N161" i="14"/>
  <c r="N152" i="14"/>
  <c r="N158" i="14"/>
  <c r="N155" i="14"/>
  <c r="N157" i="14"/>
  <c r="N156" i="14"/>
  <c r="N162" i="14"/>
  <c r="N151" i="14"/>
  <c r="N146" i="14"/>
  <c r="N160" i="14"/>
  <c r="N153" i="14"/>
  <c r="N144" i="14"/>
  <c r="N149" i="14"/>
  <c r="N135" i="14"/>
  <c r="N134" i="14"/>
  <c r="N133" i="14"/>
  <c r="N132" i="14"/>
  <c r="N145" i="14"/>
  <c r="N136" i="14"/>
  <c r="N148" i="14"/>
  <c r="N142" i="14"/>
  <c r="N138" i="14"/>
  <c r="N139" i="14"/>
  <c r="N141" i="14"/>
  <c r="N140" i="14"/>
  <c r="N137" i="14"/>
  <c r="O121" i="14"/>
  <c r="P5" i="14"/>
  <c r="O164" i="14" l="1"/>
  <c r="O149" i="14"/>
  <c r="O148" i="14"/>
  <c r="O159" i="14"/>
  <c r="O154" i="14"/>
  <c r="O161" i="14"/>
  <c r="O152" i="14"/>
  <c r="O145" i="14"/>
  <c r="O158" i="14"/>
  <c r="O155" i="14"/>
  <c r="O157" i="14"/>
  <c r="O156" i="14"/>
  <c r="O162" i="14"/>
  <c r="O151" i="14"/>
  <c r="O146" i="14"/>
  <c r="O160" i="14"/>
  <c r="O153" i="14"/>
  <c r="O144" i="14"/>
  <c r="O163" i="14"/>
  <c r="O150" i="14"/>
  <c r="O147" i="14"/>
  <c r="O137" i="14"/>
  <c r="O134" i="14"/>
  <c r="O142" i="14"/>
  <c r="O138" i="14"/>
  <c r="O136" i="14"/>
  <c r="O139" i="14"/>
  <c r="O141" i="14"/>
  <c r="O140" i="14"/>
  <c r="O143" i="14"/>
  <c r="O135" i="14"/>
  <c r="O133" i="14"/>
  <c r="U62" i="14"/>
  <c r="U63" i="14" s="1"/>
  <c r="U65" i="14" s="1"/>
  <c r="U69" i="14" s="1"/>
  <c r="W59" i="14"/>
  <c r="V61" i="14"/>
  <c r="P121" i="14"/>
  <c r="Q5" i="14"/>
  <c r="P159" i="14" l="1"/>
  <c r="P154" i="14"/>
  <c r="P143" i="14"/>
  <c r="P161" i="14"/>
  <c r="P152" i="14"/>
  <c r="P158" i="14"/>
  <c r="P155" i="14"/>
  <c r="P142" i="14"/>
  <c r="P157" i="14"/>
  <c r="P156" i="14"/>
  <c r="P162" i="14"/>
  <c r="P151" i="14"/>
  <c r="P146" i="14"/>
  <c r="P160" i="14"/>
  <c r="P153" i="14"/>
  <c r="P144" i="14"/>
  <c r="P163" i="14"/>
  <c r="P150" i="14"/>
  <c r="P147" i="14"/>
  <c r="P164" i="14"/>
  <c r="P149" i="14"/>
  <c r="P148" i="14"/>
  <c r="P138" i="14"/>
  <c r="P136" i="14"/>
  <c r="P135" i="14"/>
  <c r="P145" i="14"/>
  <c r="P139" i="14"/>
  <c r="P141" i="14"/>
  <c r="P140" i="14"/>
  <c r="P137" i="14"/>
  <c r="P134" i="14"/>
  <c r="V62" i="14"/>
  <c r="V63" i="14" s="1"/>
  <c r="V65" i="14" s="1"/>
  <c r="V69" i="14" s="1"/>
  <c r="X59" i="14"/>
  <c r="W61" i="14"/>
  <c r="Q121" i="14"/>
  <c r="R5" i="14"/>
  <c r="Q161" i="14" l="1"/>
  <c r="Q152" i="14"/>
  <c r="Q145" i="14"/>
  <c r="Q158" i="14"/>
  <c r="Q155" i="14"/>
  <c r="Q157" i="14"/>
  <c r="Q156" i="14"/>
  <c r="Q162" i="14"/>
  <c r="Q151" i="14"/>
  <c r="Q160" i="14"/>
  <c r="Q153" i="14"/>
  <c r="Q144" i="14"/>
  <c r="Q163" i="14"/>
  <c r="Q150" i="14"/>
  <c r="Q147" i="14"/>
  <c r="Q164" i="14"/>
  <c r="Q149" i="14"/>
  <c r="Q148" i="14"/>
  <c r="Q159" i="14"/>
  <c r="Q154" i="14"/>
  <c r="Q143" i="14"/>
  <c r="Q136" i="14"/>
  <c r="Q142" i="14"/>
  <c r="Q139" i="14"/>
  <c r="Q137" i="14"/>
  <c r="Q141" i="14"/>
  <c r="Q140" i="14"/>
  <c r="Q135" i="14"/>
  <c r="Q146" i="14"/>
  <c r="Q138" i="14"/>
  <c r="W62" i="14"/>
  <c r="W63" i="14" s="1"/>
  <c r="W65" i="14" s="1"/>
  <c r="W69" i="14" s="1"/>
  <c r="Y59" i="14"/>
  <c r="X61" i="14"/>
  <c r="R121" i="14"/>
  <c r="S5" i="14"/>
  <c r="R158" i="14" l="1"/>
  <c r="R155" i="14"/>
  <c r="R142" i="14"/>
  <c r="R157" i="14"/>
  <c r="R156" i="14"/>
  <c r="R162" i="14"/>
  <c r="R151" i="14"/>
  <c r="R146" i="14"/>
  <c r="R160" i="14"/>
  <c r="R153" i="14"/>
  <c r="R163" i="14"/>
  <c r="R150" i="14"/>
  <c r="R147" i="14"/>
  <c r="R164" i="14"/>
  <c r="R149" i="14"/>
  <c r="R148" i="14"/>
  <c r="R159" i="14"/>
  <c r="R154" i="14"/>
  <c r="R143" i="14"/>
  <c r="R161" i="14"/>
  <c r="R152" i="14"/>
  <c r="R145" i="14"/>
  <c r="R138" i="14"/>
  <c r="R144" i="14"/>
  <c r="R136" i="14"/>
  <c r="R139" i="14"/>
  <c r="R141" i="14"/>
  <c r="R140" i="14"/>
  <c r="R137" i="14"/>
  <c r="X62" i="14"/>
  <c r="X63" i="14" s="1"/>
  <c r="X65" i="14" s="1"/>
  <c r="X69" i="14" s="1"/>
  <c r="Z59" i="14"/>
  <c r="Y61" i="14"/>
  <c r="S121" i="14"/>
  <c r="T5" i="14"/>
  <c r="AA59" i="14" l="1"/>
  <c r="Z61" i="14"/>
  <c r="S157" i="14"/>
  <c r="S156" i="14"/>
  <c r="S162" i="14"/>
  <c r="S151" i="14"/>
  <c r="S160" i="14"/>
  <c r="S153" i="14"/>
  <c r="S144" i="14"/>
  <c r="S163" i="14"/>
  <c r="S150" i="14"/>
  <c r="S164" i="14"/>
  <c r="S149" i="14"/>
  <c r="S148" i="14"/>
  <c r="S159" i="14"/>
  <c r="S154" i="14"/>
  <c r="S143" i="14"/>
  <c r="S161" i="14"/>
  <c r="S152" i="14"/>
  <c r="S145" i="14"/>
  <c r="S158" i="14"/>
  <c r="S155" i="14"/>
  <c r="S142" i="14"/>
  <c r="S141" i="14"/>
  <c r="S140" i="14"/>
  <c r="S147" i="14"/>
  <c r="S137" i="14"/>
  <c r="S146" i="14"/>
  <c r="S138" i="14"/>
  <c r="S139" i="14"/>
  <c r="Y62" i="14"/>
  <c r="Y63" i="14" s="1"/>
  <c r="Y65" i="14" s="1"/>
  <c r="Y69" i="14" s="1"/>
  <c r="T121" i="14"/>
  <c r="U5" i="14"/>
  <c r="Z62" i="14" l="1"/>
  <c r="Z63" i="14" s="1"/>
  <c r="Z65" i="14" s="1"/>
  <c r="Z69" i="14" s="1"/>
  <c r="T162" i="14"/>
  <c r="T151" i="14"/>
  <c r="T146" i="14"/>
  <c r="T160" i="14"/>
  <c r="T153" i="14"/>
  <c r="T163" i="14"/>
  <c r="T150" i="14"/>
  <c r="T147" i="14"/>
  <c r="T164" i="14"/>
  <c r="T149" i="14"/>
  <c r="T159" i="14"/>
  <c r="T154" i="14"/>
  <c r="T143" i="14"/>
  <c r="T161" i="14"/>
  <c r="T152" i="14"/>
  <c r="T145" i="14"/>
  <c r="T158" i="14"/>
  <c r="T155" i="14"/>
  <c r="T142" i="14"/>
  <c r="T157" i="14"/>
  <c r="T156" i="14"/>
  <c r="T141" i="14"/>
  <c r="T144" i="14"/>
  <c r="T139" i="14"/>
  <c r="T148" i="14"/>
  <c r="T138" i="14"/>
  <c r="T140" i="14"/>
  <c r="AB59" i="14"/>
  <c r="AA61" i="14"/>
  <c r="U121" i="14"/>
  <c r="V5" i="14"/>
  <c r="U160" i="14" l="1"/>
  <c r="U153" i="14"/>
  <c r="U144" i="14"/>
  <c r="U163" i="14"/>
  <c r="U150" i="14"/>
  <c r="U164" i="14"/>
  <c r="U149" i="14"/>
  <c r="U148" i="14"/>
  <c r="U159" i="14"/>
  <c r="U154" i="14"/>
  <c r="U161" i="14"/>
  <c r="U152" i="14"/>
  <c r="U145" i="14"/>
  <c r="U158" i="14"/>
  <c r="U155" i="14"/>
  <c r="U142" i="14"/>
  <c r="U157" i="14"/>
  <c r="U156" i="14"/>
  <c r="U141" i="14"/>
  <c r="U162" i="14"/>
  <c r="U151" i="14"/>
  <c r="U146" i="14"/>
  <c r="U147" i="14"/>
  <c r="U140" i="14"/>
  <c r="U143" i="14"/>
  <c r="U139" i="14"/>
  <c r="AC59" i="14"/>
  <c r="AB61" i="14"/>
  <c r="AA62" i="14"/>
  <c r="AA63" i="14" s="1"/>
  <c r="AA65" i="14" s="1"/>
  <c r="AA69" i="14" s="1"/>
  <c r="V121" i="14"/>
  <c r="W5" i="14"/>
  <c r="AB62" i="14" l="1"/>
  <c r="AB63" i="14" s="1"/>
  <c r="AB65" i="14" s="1"/>
  <c r="AB69" i="14" s="1"/>
  <c r="V163" i="14"/>
  <c r="V150" i="14"/>
  <c r="V147" i="14"/>
  <c r="V164" i="14"/>
  <c r="V159" i="14"/>
  <c r="V154" i="14"/>
  <c r="V143" i="14"/>
  <c r="V161" i="14"/>
  <c r="V152" i="14"/>
  <c r="V158" i="14"/>
  <c r="V155" i="14"/>
  <c r="V142" i="14"/>
  <c r="V157" i="14"/>
  <c r="V156" i="14"/>
  <c r="V162" i="14"/>
  <c r="V151" i="14"/>
  <c r="V146" i="14"/>
  <c r="V160" i="14"/>
  <c r="V153" i="14"/>
  <c r="V144" i="14"/>
  <c r="V141" i="14"/>
  <c r="V148" i="14"/>
  <c r="V145" i="14"/>
  <c r="V149" i="14"/>
  <c r="V140" i="14"/>
  <c r="AD59" i="14"/>
  <c r="AC61" i="14"/>
  <c r="W121" i="14"/>
  <c r="X5" i="14"/>
  <c r="W164" i="14" l="1"/>
  <c r="W149" i="14"/>
  <c r="W148" i="14"/>
  <c r="W159" i="14"/>
  <c r="W154" i="14"/>
  <c r="W161" i="14"/>
  <c r="W152" i="14"/>
  <c r="W145" i="14"/>
  <c r="W158" i="14"/>
  <c r="W155" i="14"/>
  <c r="W157" i="14"/>
  <c r="W156" i="14"/>
  <c r="W162" i="14"/>
  <c r="W151" i="14"/>
  <c r="W146" i="14"/>
  <c r="W160" i="14"/>
  <c r="W153" i="14"/>
  <c r="W144" i="14"/>
  <c r="W163" i="14"/>
  <c r="W150" i="14"/>
  <c r="W147" i="14"/>
  <c r="W141" i="14"/>
  <c r="W143" i="14"/>
  <c r="W142" i="14"/>
  <c r="AC62" i="14"/>
  <c r="AC63" i="14" s="1"/>
  <c r="AC65" i="14" s="1"/>
  <c r="AC69" i="14" s="1"/>
  <c r="AE59" i="14"/>
  <c r="AD61" i="14"/>
  <c r="X121" i="14"/>
  <c r="Y5" i="14"/>
  <c r="X159" i="14" l="1"/>
  <c r="X154" i="14"/>
  <c r="X143" i="14"/>
  <c r="X161" i="14"/>
  <c r="X152" i="14"/>
  <c r="X158" i="14"/>
  <c r="X155" i="14"/>
  <c r="X142" i="14"/>
  <c r="X157" i="14"/>
  <c r="X156" i="14"/>
  <c r="X162" i="14"/>
  <c r="X151" i="14"/>
  <c r="X146" i="14"/>
  <c r="X160" i="14"/>
  <c r="X153" i="14"/>
  <c r="X144" i="14"/>
  <c r="X163" i="14"/>
  <c r="X150" i="14"/>
  <c r="X147" i="14"/>
  <c r="X164" i="14"/>
  <c r="X149" i="14"/>
  <c r="X148" i="14"/>
  <c r="X145" i="14"/>
  <c r="AD62" i="14"/>
  <c r="AD63" i="14" s="1"/>
  <c r="AD65" i="14" s="1"/>
  <c r="AD69" i="14" s="1"/>
  <c r="AF59" i="14"/>
  <c r="AE61" i="14"/>
  <c r="Y121" i="14"/>
  <c r="Z5" i="14"/>
  <c r="Y161" i="14" l="1"/>
  <c r="Y152" i="14"/>
  <c r="Y145" i="14"/>
  <c r="Y158" i="14"/>
  <c r="Y155" i="14"/>
  <c r="Y157" i="14"/>
  <c r="Y156" i="14"/>
  <c r="Y162" i="14"/>
  <c r="Y151" i="14"/>
  <c r="Y160" i="14"/>
  <c r="Y153" i="14"/>
  <c r="Y144" i="14"/>
  <c r="Y163" i="14"/>
  <c r="Y150" i="14"/>
  <c r="Y147" i="14"/>
  <c r="Y164" i="14"/>
  <c r="Y149" i="14"/>
  <c r="Y148" i="14"/>
  <c r="Y159" i="14"/>
  <c r="Y154" i="14"/>
  <c r="Y143" i="14"/>
  <c r="Y146" i="14"/>
  <c r="AE62" i="14"/>
  <c r="AE63" i="14" s="1"/>
  <c r="AE65" i="14" s="1"/>
  <c r="AE69" i="14" s="1"/>
  <c r="AG59" i="14"/>
  <c r="AF61" i="14"/>
  <c r="Z121" i="14"/>
  <c r="AA5" i="14"/>
  <c r="AF62" i="14" l="1"/>
  <c r="AF63" i="14" s="1"/>
  <c r="AF65" i="14" s="1"/>
  <c r="AF69" i="14" s="1"/>
  <c r="Z158" i="14"/>
  <c r="Z155" i="14"/>
  <c r="Z157" i="14"/>
  <c r="Z156" i="14"/>
  <c r="Z162" i="14"/>
  <c r="Z151" i="14"/>
  <c r="Z146" i="14"/>
  <c r="Z160" i="14"/>
  <c r="Z153" i="14"/>
  <c r="Z163" i="14"/>
  <c r="Z150" i="14"/>
  <c r="Z147" i="14"/>
  <c r="Z164" i="14"/>
  <c r="Z149" i="14"/>
  <c r="Z148" i="14"/>
  <c r="Z159" i="14"/>
  <c r="Z154" i="14"/>
  <c r="Z161" i="14"/>
  <c r="Z152" i="14"/>
  <c r="Z145" i="14"/>
  <c r="Z144" i="14"/>
  <c r="AH59" i="14"/>
  <c r="AG61" i="14"/>
  <c r="AA121" i="14"/>
  <c r="AB5" i="14"/>
  <c r="AI59" i="14" l="1"/>
  <c r="AH61" i="14"/>
  <c r="AA157" i="14"/>
  <c r="AA156" i="14"/>
  <c r="AA162" i="14"/>
  <c r="AA151" i="14"/>
  <c r="AA160" i="14"/>
  <c r="AA153" i="14"/>
  <c r="AA163" i="14"/>
  <c r="AA150" i="14"/>
  <c r="AA164" i="14"/>
  <c r="AA149" i="14"/>
  <c r="AA148" i="14"/>
  <c r="AA159" i="14"/>
  <c r="AA154" i="14"/>
  <c r="AA161" i="14"/>
  <c r="AA152" i="14"/>
  <c r="AA145" i="14"/>
  <c r="AA158" i="14"/>
  <c r="AA155" i="14"/>
  <c r="AA146" i="14"/>
  <c r="AA147" i="14"/>
  <c r="AG62" i="14"/>
  <c r="AG63" i="14" s="1"/>
  <c r="AG65" i="14" s="1"/>
  <c r="AG69" i="14" s="1"/>
  <c r="AB121" i="14"/>
  <c r="AC5" i="14"/>
  <c r="AB162" i="14" l="1"/>
  <c r="AB151" i="14"/>
  <c r="AB146" i="14"/>
  <c r="AB160" i="14"/>
  <c r="AB153" i="14"/>
  <c r="AB163" i="14"/>
  <c r="AB150" i="14"/>
  <c r="AB147" i="14"/>
  <c r="AB164" i="14"/>
  <c r="AB149" i="14"/>
  <c r="AB148" i="14"/>
  <c r="AB159" i="14"/>
  <c r="AB154" i="14"/>
  <c r="AB161" i="14"/>
  <c r="AB152" i="14"/>
  <c r="AB158" i="14"/>
  <c r="AB155" i="14"/>
  <c r="AB157" i="14"/>
  <c r="AB156" i="14"/>
  <c r="AH62" i="14"/>
  <c r="AH63" i="14" s="1"/>
  <c r="AH65" i="14" s="1"/>
  <c r="AH69" i="14" s="1"/>
  <c r="AJ59" i="14"/>
  <c r="AI61" i="14"/>
  <c r="AD5" i="14"/>
  <c r="AC121" i="14"/>
  <c r="AI62" i="14" l="1"/>
  <c r="AI63" i="14" s="1"/>
  <c r="AI65" i="14" s="1"/>
  <c r="AI69" i="14" s="1"/>
  <c r="AK59" i="14"/>
  <c r="AJ61" i="14"/>
  <c r="AC160" i="14"/>
  <c r="AC153" i="14"/>
  <c r="AC163" i="14"/>
  <c r="AC150" i="14"/>
  <c r="AC164" i="14"/>
  <c r="AC149" i="14"/>
  <c r="AC148" i="14"/>
  <c r="AC159" i="14"/>
  <c r="AC154" i="14"/>
  <c r="AC161" i="14"/>
  <c r="AC152" i="14"/>
  <c r="AC158" i="14"/>
  <c r="AC155" i="14"/>
  <c r="AC157" i="14"/>
  <c r="AC156" i="14"/>
  <c r="AC162" i="14"/>
  <c r="AC151" i="14"/>
  <c r="AC147" i="14"/>
  <c r="AD121" i="14"/>
  <c r="AE5" i="14"/>
  <c r="AD163" i="14" l="1"/>
  <c r="AD150" i="14"/>
  <c r="AD164" i="14"/>
  <c r="AD149" i="14"/>
  <c r="AD159" i="14"/>
  <c r="AD154" i="14"/>
  <c r="AD161" i="14"/>
  <c r="AD152" i="14"/>
  <c r="AD158" i="14"/>
  <c r="AD155" i="14"/>
  <c r="AD157" i="14"/>
  <c r="AD156" i="14"/>
  <c r="AD162" i="14"/>
  <c r="AD151" i="14"/>
  <c r="AD160" i="14"/>
  <c r="AD153" i="14"/>
  <c r="AD148" i="14"/>
  <c r="AJ62" i="14"/>
  <c r="AJ63" i="14" s="1"/>
  <c r="AJ65" i="14" s="1"/>
  <c r="AJ69" i="14" s="1"/>
  <c r="AL59" i="14"/>
  <c r="AK61" i="14"/>
  <c r="AE121" i="14"/>
  <c r="AF5" i="14"/>
  <c r="AE164" i="14" l="1"/>
  <c r="AE149" i="14"/>
  <c r="AE159" i="14"/>
  <c r="AE154" i="14"/>
  <c r="AE161" i="14"/>
  <c r="AE152" i="14"/>
  <c r="AE158" i="14"/>
  <c r="AE155" i="14"/>
  <c r="AE157" i="14"/>
  <c r="AE156" i="14"/>
  <c r="AE162" i="14"/>
  <c r="AE151" i="14"/>
  <c r="AE160" i="14"/>
  <c r="AE153" i="14"/>
  <c r="AE163" i="14"/>
  <c r="AE150" i="14"/>
  <c r="AK62" i="14"/>
  <c r="AK63" i="14" s="1"/>
  <c r="AK65" i="14" s="1"/>
  <c r="AK69" i="14" s="1"/>
  <c r="AM59" i="14"/>
  <c r="AL61" i="14"/>
  <c r="AF121" i="14"/>
  <c r="AG5" i="14"/>
  <c r="AF159" i="14" l="1"/>
  <c r="AF154" i="14"/>
  <c r="AF161" i="14"/>
  <c r="AF152" i="14"/>
  <c r="AF158" i="14"/>
  <c r="AF155" i="14"/>
  <c r="AF157" i="14"/>
  <c r="AF156" i="14"/>
  <c r="AF162" i="14"/>
  <c r="AF151" i="14"/>
  <c r="AF160" i="14"/>
  <c r="AF153" i="14"/>
  <c r="AF163" i="14"/>
  <c r="AF150" i="14"/>
  <c r="AF164" i="14"/>
  <c r="AL62" i="14"/>
  <c r="AL63" i="14" s="1"/>
  <c r="AL65" i="14" s="1"/>
  <c r="AL69" i="14" s="1"/>
  <c r="AN59" i="14"/>
  <c r="AM61" i="14"/>
  <c r="AG121" i="14"/>
  <c r="AH5" i="14"/>
  <c r="AG161" i="14" l="1"/>
  <c r="AG152" i="14"/>
  <c r="AG158" i="14"/>
  <c r="AG155" i="14"/>
  <c r="AG157" i="14"/>
  <c r="AG156" i="14"/>
  <c r="AG162" i="14"/>
  <c r="AG151" i="14"/>
  <c r="AG160" i="14"/>
  <c r="AG153" i="14"/>
  <c r="AG163" i="14"/>
  <c r="AG164" i="14"/>
  <c r="AG159" i="14"/>
  <c r="AG154" i="14"/>
  <c r="AM62" i="14"/>
  <c r="AM63" i="14" s="1"/>
  <c r="AM65" i="14" s="1"/>
  <c r="AM69" i="14" s="1"/>
  <c r="AO59" i="14"/>
  <c r="AN61" i="14"/>
  <c r="AH121" i="14"/>
  <c r="AI5" i="14"/>
  <c r="AN62" i="14" l="1"/>
  <c r="AN63" i="14" s="1"/>
  <c r="AN65" i="14" s="1"/>
  <c r="AN69" i="14" s="1"/>
  <c r="AH158" i="14"/>
  <c r="AH155" i="14"/>
  <c r="AH157" i="14"/>
  <c r="AH156" i="14"/>
  <c r="AH162" i="14"/>
  <c r="AH160" i="14"/>
  <c r="AH153" i="14"/>
  <c r="AH163" i="14"/>
  <c r="AH164" i="14"/>
  <c r="AH159" i="14"/>
  <c r="AH154" i="14"/>
  <c r="AH161" i="14"/>
  <c r="AH152" i="14"/>
  <c r="AP59" i="14"/>
  <c r="AO61" i="14"/>
  <c r="AI121" i="14"/>
  <c r="AJ5" i="14"/>
  <c r="AQ59" i="14" l="1"/>
  <c r="AP61" i="14"/>
  <c r="AI157" i="14"/>
  <c r="AI156" i="14"/>
  <c r="AI162" i="14"/>
  <c r="AI160" i="14"/>
  <c r="AI153" i="14"/>
  <c r="AI163" i="14"/>
  <c r="AI164" i="14"/>
  <c r="AI159" i="14"/>
  <c r="AI154" i="14"/>
  <c r="AI161" i="14"/>
  <c r="AI158" i="14"/>
  <c r="AI155" i="14"/>
  <c r="AO62" i="14"/>
  <c r="AO63" i="14" s="1"/>
  <c r="AO65" i="14" s="1"/>
  <c r="AO69" i="14" s="1"/>
  <c r="AJ121" i="14"/>
  <c r="AK5" i="14"/>
  <c r="AP62" i="14" l="1"/>
  <c r="AP63" i="14" s="1"/>
  <c r="AP65" i="14" s="1"/>
  <c r="AP69" i="14" s="1"/>
  <c r="AJ162" i="14"/>
  <c r="AJ160" i="14"/>
  <c r="AJ163" i="14"/>
  <c r="AJ164" i="14"/>
  <c r="AJ159" i="14"/>
  <c r="AJ154" i="14"/>
  <c r="AJ161" i="14"/>
  <c r="AJ158" i="14"/>
  <c r="AJ155" i="14"/>
  <c r="AJ157" i="14"/>
  <c r="AJ156" i="14"/>
  <c r="AR59" i="14"/>
  <c r="AQ61" i="14"/>
  <c r="AK121" i="14"/>
  <c r="AL5" i="14"/>
  <c r="AK160" i="14" l="1"/>
  <c r="AK163" i="14"/>
  <c r="AK164" i="14"/>
  <c r="AK159" i="14"/>
  <c r="AK161" i="14"/>
  <c r="AK158" i="14"/>
  <c r="AK155" i="14"/>
  <c r="AK157" i="14"/>
  <c r="AK156" i="14"/>
  <c r="AK162" i="14"/>
  <c r="AS59" i="14"/>
  <c r="AR61" i="14"/>
  <c r="AQ62" i="14"/>
  <c r="AQ63" i="14" s="1"/>
  <c r="AQ65" i="14" s="1"/>
  <c r="AQ69" i="14" s="1"/>
  <c r="AM5" i="14"/>
  <c r="AL121" i="14"/>
  <c r="AL163" i="14" l="1"/>
  <c r="AL164" i="14"/>
  <c r="AL159" i="14"/>
  <c r="AL161" i="14"/>
  <c r="AL158" i="14"/>
  <c r="AL157" i="14"/>
  <c r="AL156" i="14"/>
  <c r="AL162" i="14"/>
  <c r="AL160" i="14"/>
  <c r="AR62" i="14"/>
  <c r="AR63" i="14" s="1"/>
  <c r="AR65" i="14" s="1"/>
  <c r="AR69" i="14" s="1"/>
  <c r="AT59" i="14"/>
  <c r="AS61" i="14"/>
  <c r="AM121" i="14"/>
  <c r="AN5" i="14"/>
  <c r="AM164" i="14" l="1"/>
  <c r="AM159" i="14"/>
  <c r="AM161" i="14"/>
  <c r="AM158" i="14"/>
  <c r="AM157" i="14"/>
  <c r="AM162" i="14"/>
  <c r="AM160" i="14"/>
  <c r="AM163" i="14"/>
  <c r="AS62" i="14"/>
  <c r="AS63" i="14" s="1"/>
  <c r="AS65" i="14" s="1"/>
  <c r="AS69" i="14" s="1"/>
  <c r="AU59" i="14"/>
  <c r="AT61" i="14"/>
  <c r="AN121" i="14"/>
  <c r="AO5" i="14"/>
  <c r="AW59" i="14" l="1"/>
  <c r="AU61" i="14"/>
  <c r="AN159" i="14"/>
  <c r="AN161" i="14"/>
  <c r="AN158" i="14"/>
  <c r="AN162" i="14"/>
  <c r="AN160" i="14"/>
  <c r="AN163" i="14"/>
  <c r="AN164" i="14"/>
  <c r="AT62" i="14"/>
  <c r="AT63" i="14" s="1"/>
  <c r="AT65" i="14" s="1"/>
  <c r="AT69" i="14" s="1"/>
  <c r="AO121" i="14"/>
  <c r="AP5" i="14"/>
  <c r="AO161" i="14" l="1"/>
  <c r="AO162" i="14"/>
  <c r="AO160" i="14"/>
  <c r="AO163" i="14"/>
  <c r="AO164" i="14"/>
  <c r="AO159" i="14"/>
  <c r="AU62" i="14"/>
  <c r="AU63" i="14" s="1"/>
  <c r="AU65" i="14" s="1"/>
  <c r="AU69" i="14" s="1"/>
  <c r="AP121" i="14"/>
  <c r="AQ5" i="14"/>
  <c r="AP162" i="14" l="1"/>
  <c r="AP160" i="14"/>
  <c r="AP163" i="14"/>
  <c r="AP164" i="14"/>
  <c r="AP161" i="14"/>
  <c r="AQ121" i="14"/>
  <c r="AR5" i="14"/>
  <c r="AQ162" i="14" l="1"/>
  <c r="AQ163" i="14"/>
  <c r="AQ164" i="14"/>
  <c r="AQ161" i="14"/>
  <c r="AR121" i="14"/>
  <c r="AS5" i="14"/>
  <c r="AR162" i="14" l="1"/>
  <c r="AR163" i="14"/>
  <c r="AR164" i="14"/>
  <c r="AS121" i="14"/>
  <c r="AT5" i="14"/>
  <c r="AS163" i="14" l="1"/>
  <c r="AS164" i="14"/>
  <c r="AT121" i="14"/>
  <c r="AT164" i="14" s="1"/>
  <c r="AU5" i="14"/>
  <c r="AU121" i="14" s="1"/>
  <c r="G4" i="13" l="1"/>
  <c r="G35" i="13" s="1"/>
  <c r="B2" i="13"/>
  <c r="G27" i="13" l="1"/>
  <c r="H4" i="13"/>
  <c r="G63" i="13"/>
  <c r="G53" i="13"/>
  <c r="G44" i="13"/>
  <c r="G19" i="13"/>
  <c r="X151" i="12"/>
  <c r="Z148" i="12"/>
  <c r="V146" i="12"/>
  <c r="X143" i="12"/>
  <c r="Z140" i="12"/>
  <c r="V138" i="12"/>
  <c r="X135" i="12"/>
  <c r="Z132" i="12"/>
  <c r="V130" i="12"/>
  <c r="Z269" i="12"/>
  <c r="V267" i="12"/>
  <c r="X264" i="12"/>
  <c r="H35" i="13" l="1"/>
  <c r="H19" i="13"/>
  <c r="H44" i="13"/>
  <c r="H53" i="13"/>
  <c r="I4" i="13"/>
  <c r="H63" i="13"/>
  <c r="H27" i="13"/>
  <c r="V162" i="12"/>
  <c r="V181" i="12"/>
  <c r="Z191" i="12"/>
  <c r="V205" i="12"/>
  <c r="X218" i="12"/>
  <c r="Z240" i="12"/>
  <c r="V254" i="12"/>
  <c r="X267" i="12"/>
  <c r="X130" i="12"/>
  <c r="V133" i="12"/>
  <c r="Z135" i="12"/>
  <c r="X138" i="12"/>
  <c r="V141" i="12"/>
  <c r="Z143" i="12"/>
  <c r="X146" i="12"/>
  <c r="V149" i="12"/>
  <c r="Z151" i="12"/>
  <c r="X154" i="12"/>
  <c r="V157" i="12"/>
  <c r="Z159" i="12"/>
  <c r="X162" i="12"/>
  <c r="V165" i="12"/>
  <c r="Z167" i="12"/>
  <c r="X181" i="12"/>
  <c r="V184" i="12"/>
  <c r="Z186" i="12"/>
  <c r="X189" i="12"/>
  <c r="V192" i="12"/>
  <c r="Z194" i="12"/>
  <c r="X197" i="12"/>
  <c r="V200" i="12"/>
  <c r="Z202" i="12"/>
  <c r="X205" i="12"/>
  <c r="V208" i="12"/>
  <c r="Z210" i="12"/>
  <c r="X213" i="12"/>
  <c r="V216" i="12"/>
  <c r="Z218" i="12"/>
  <c r="X230" i="12"/>
  <c r="V233" i="12"/>
  <c r="Z235" i="12"/>
  <c r="X238" i="12"/>
  <c r="V241" i="12"/>
  <c r="Z243" i="12"/>
  <c r="X246" i="12"/>
  <c r="V249" i="12"/>
  <c r="Z251" i="12"/>
  <c r="X254" i="12"/>
  <c r="V257" i="12"/>
  <c r="Z259" i="12"/>
  <c r="X262" i="12"/>
  <c r="V265" i="12"/>
  <c r="Z267" i="12"/>
  <c r="Z130" i="12"/>
  <c r="X133" i="12"/>
  <c r="V136" i="12"/>
  <c r="Z138" i="12"/>
  <c r="X141" i="12"/>
  <c r="V144" i="12"/>
  <c r="Z146" i="12"/>
  <c r="X149" i="12"/>
  <c r="V152" i="12"/>
  <c r="Z154" i="12"/>
  <c r="X157" i="12"/>
  <c r="V160" i="12"/>
  <c r="Z162" i="12"/>
  <c r="X165" i="12"/>
  <c r="V168" i="12"/>
  <c r="V179" i="12"/>
  <c r="Z181" i="12"/>
  <c r="X184" i="12"/>
  <c r="V187" i="12"/>
  <c r="Z189" i="12"/>
  <c r="X192" i="12"/>
  <c r="V195" i="12"/>
  <c r="Z197" i="12"/>
  <c r="X200" i="12"/>
  <c r="V203" i="12"/>
  <c r="Z205" i="12"/>
  <c r="X208" i="12"/>
  <c r="V211" i="12"/>
  <c r="Z213" i="12"/>
  <c r="X216" i="12"/>
  <c r="V219" i="12"/>
  <c r="V221" i="12" s="1"/>
  <c r="Z230" i="12"/>
  <c r="X233" i="12"/>
  <c r="V236" i="12"/>
  <c r="Z238" i="12"/>
  <c r="X241" i="12"/>
  <c r="V244" i="12"/>
  <c r="Z246" i="12"/>
  <c r="X249" i="12"/>
  <c r="V252" i="12"/>
  <c r="Z254" i="12"/>
  <c r="X257" i="12"/>
  <c r="V260" i="12"/>
  <c r="Z262" i="12"/>
  <c r="X265" i="12"/>
  <c r="V268" i="12"/>
  <c r="V131" i="12"/>
  <c r="Z133" i="12"/>
  <c r="X136" i="12"/>
  <c r="V139" i="12"/>
  <c r="Z141" i="12"/>
  <c r="X144" i="12"/>
  <c r="V147" i="12"/>
  <c r="Z149" i="12"/>
  <c r="X152" i="12"/>
  <c r="V155" i="12"/>
  <c r="Z157" i="12"/>
  <c r="X160" i="12"/>
  <c r="V163" i="12"/>
  <c r="Z165" i="12"/>
  <c r="X168" i="12"/>
  <c r="X179" i="12"/>
  <c r="V182" i="12"/>
  <c r="Z184" i="12"/>
  <c r="X187" i="12"/>
  <c r="V190" i="12"/>
  <c r="Z192" i="12"/>
  <c r="X195" i="12"/>
  <c r="V198" i="12"/>
  <c r="Z200" i="12"/>
  <c r="X203" i="12"/>
  <c r="V206" i="12"/>
  <c r="Z208" i="12"/>
  <c r="X211" i="12"/>
  <c r="V214" i="12"/>
  <c r="Z216" i="12"/>
  <c r="X219" i="12"/>
  <c r="V231" i="12"/>
  <c r="Z233" i="12"/>
  <c r="X236" i="12"/>
  <c r="V239" i="12"/>
  <c r="Z241" i="12"/>
  <c r="X244" i="12"/>
  <c r="V247" i="12"/>
  <c r="Z249" i="12"/>
  <c r="X252" i="12"/>
  <c r="V255" i="12"/>
  <c r="Z257" i="12"/>
  <c r="X260" i="12"/>
  <c r="V263" i="12"/>
  <c r="Z265" i="12"/>
  <c r="X268" i="12"/>
  <c r="X131" i="12"/>
  <c r="V134" i="12"/>
  <c r="Z136" i="12"/>
  <c r="X139" i="12"/>
  <c r="V142" i="12"/>
  <c r="Z144" i="12"/>
  <c r="X147" i="12"/>
  <c r="V150" i="12"/>
  <c r="Z152" i="12"/>
  <c r="X155" i="12"/>
  <c r="V158" i="12"/>
  <c r="Z160" i="12"/>
  <c r="X163" i="12"/>
  <c r="V166" i="12"/>
  <c r="Z168" i="12"/>
  <c r="Z179" i="12"/>
  <c r="X182" i="12"/>
  <c r="V185" i="12"/>
  <c r="Z187" i="12"/>
  <c r="X190" i="12"/>
  <c r="V193" i="12"/>
  <c r="Z195" i="12"/>
  <c r="X198" i="12"/>
  <c r="V201" i="12"/>
  <c r="Z203" i="12"/>
  <c r="X206" i="12"/>
  <c r="V209" i="12"/>
  <c r="Z211" i="12"/>
  <c r="X214" i="12"/>
  <c r="V217" i="12"/>
  <c r="Z219" i="12"/>
  <c r="Z221" i="12" s="1"/>
  <c r="X231" i="12"/>
  <c r="V234" i="12"/>
  <c r="Z236" i="12"/>
  <c r="X239" i="12"/>
  <c r="V242" i="12"/>
  <c r="Z244" i="12"/>
  <c r="X247" i="12"/>
  <c r="V250" i="12"/>
  <c r="Z252" i="12"/>
  <c r="X255" i="12"/>
  <c r="V258" i="12"/>
  <c r="Z260" i="12"/>
  <c r="X263" i="12"/>
  <c r="V266" i="12"/>
  <c r="Z268" i="12"/>
  <c r="X159" i="12"/>
  <c r="V189" i="12"/>
  <c r="Z199" i="12"/>
  <c r="X210" i="12"/>
  <c r="Z232" i="12"/>
  <c r="V246" i="12"/>
  <c r="Z256" i="12"/>
  <c r="Z264" i="12"/>
  <c r="V129" i="12"/>
  <c r="Z131" i="12"/>
  <c r="X134" i="12"/>
  <c r="V137" i="12"/>
  <c r="Z139" i="12"/>
  <c r="X142" i="12"/>
  <c r="V145" i="12"/>
  <c r="Z147" i="12"/>
  <c r="X150" i="12"/>
  <c r="V153" i="12"/>
  <c r="Z155" i="12"/>
  <c r="X158" i="12"/>
  <c r="V161" i="12"/>
  <c r="Z163" i="12"/>
  <c r="X166" i="12"/>
  <c r="V169" i="12"/>
  <c r="V171" i="12" s="1"/>
  <c r="V180" i="12"/>
  <c r="Z182" i="12"/>
  <c r="X185" i="12"/>
  <c r="V188" i="12"/>
  <c r="Z190" i="12"/>
  <c r="X193" i="12"/>
  <c r="V196" i="12"/>
  <c r="Z198" i="12"/>
  <c r="X201" i="12"/>
  <c r="V204" i="12"/>
  <c r="Z206" i="12"/>
  <c r="X209" i="12"/>
  <c r="V212" i="12"/>
  <c r="Z214" i="12"/>
  <c r="X217" i="12"/>
  <c r="V229" i="12"/>
  <c r="Z231" i="12"/>
  <c r="X234" i="12"/>
  <c r="V237" i="12"/>
  <c r="Z239" i="12"/>
  <c r="X242" i="12"/>
  <c r="V245" i="12"/>
  <c r="Z247" i="12"/>
  <c r="X250" i="12"/>
  <c r="V253" i="12"/>
  <c r="Z255" i="12"/>
  <c r="X258" i="12"/>
  <c r="V261" i="12"/>
  <c r="Z263" i="12"/>
  <c r="X266" i="12"/>
  <c r="V269" i="12"/>
  <c r="V271" i="12" s="1"/>
  <c r="V154" i="12"/>
  <c r="Z164" i="12"/>
  <c r="Z183" i="12"/>
  <c r="X194" i="12"/>
  <c r="X202" i="12"/>
  <c r="V213" i="12"/>
  <c r="V230" i="12"/>
  <c r="V238" i="12"/>
  <c r="Z248" i="12"/>
  <c r="V262" i="12"/>
  <c r="X129" i="12"/>
  <c r="V132" i="12"/>
  <c r="Z134" i="12"/>
  <c r="X137" i="12"/>
  <c r="V140" i="12"/>
  <c r="Z142" i="12"/>
  <c r="X145" i="12"/>
  <c r="V148" i="12"/>
  <c r="Z150" i="12"/>
  <c r="X153" i="12"/>
  <c r="V156" i="12"/>
  <c r="Z158" i="12"/>
  <c r="X161" i="12"/>
  <c r="V164" i="12"/>
  <c r="Z166" i="12"/>
  <c r="X169" i="12"/>
  <c r="X171" i="12" s="1"/>
  <c r="X180" i="12"/>
  <c r="V183" i="12"/>
  <c r="Z185" i="12"/>
  <c r="X188" i="12"/>
  <c r="V191" i="12"/>
  <c r="Z193" i="12"/>
  <c r="X196" i="12"/>
  <c r="V199" i="12"/>
  <c r="Z201" i="12"/>
  <c r="X204" i="12"/>
  <c r="V207" i="12"/>
  <c r="Z209" i="12"/>
  <c r="X212" i="12"/>
  <c r="V215" i="12"/>
  <c r="Z217" i="12"/>
  <c r="X229" i="12"/>
  <c r="V232" i="12"/>
  <c r="Z234" i="12"/>
  <c r="X237" i="12"/>
  <c r="V240" i="12"/>
  <c r="Z242" i="12"/>
  <c r="X245" i="12"/>
  <c r="V248" i="12"/>
  <c r="Z250" i="12"/>
  <c r="X253" i="12"/>
  <c r="V256" i="12"/>
  <c r="Z258" i="12"/>
  <c r="X261" i="12"/>
  <c r="V264" i="12"/>
  <c r="Z266" i="12"/>
  <c r="X269" i="12"/>
  <c r="Z156" i="12"/>
  <c r="X167" i="12"/>
  <c r="X186" i="12"/>
  <c r="V197" i="12"/>
  <c r="Z207" i="12"/>
  <c r="Z215" i="12"/>
  <c r="X235" i="12"/>
  <c r="X243" i="12"/>
  <c r="X251" i="12"/>
  <c r="X259" i="12"/>
  <c r="Z129" i="12"/>
  <c r="X132" i="12"/>
  <c r="V135" i="12"/>
  <c r="Z137" i="12"/>
  <c r="X140" i="12"/>
  <c r="V143" i="12"/>
  <c r="Z145" i="12"/>
  <c r="X148" i="12"/>
  <c r="V151" i="12"/>
  <c r="Z153" i="12"/>
  <c r="X156" i="12"/>
  <c r="V159" i="12"/>
  <c r="Z161" i="12"/>
  <c r="X164" i="12"/>
  <c r="V167" i="12"/>
  <c r="Z169" i="12"/>
  <c r="Z180" i="12"/>
  <c r="X183" i="12"/>
  <c r="V186" i="12"/>
  <c r="Z188" i="12"/>
  <c r="X191" i="12"/>
  <c r="V194" i="12"/>
  <c r="Z196" i="12"/>
  <c r="X199" i="12"/>
  <c r="V202" i="12"/>
  <c r="Z204" i="12"/>
  <c r="X207" i="12"/>
  <c r="V210" i="12"/>
  <c r="Z212" i="12"/>
  <c r="X215" i="12"/>
  <c r="V218" i="12"/>
  <c r="Z229" i="12"/>
  <c r="X232" i="12"/>
  <c r="V235" i="12"/>
  <c r="Z237" i="12"/>
  <c r="X240" i="12"/>
  <c r="V243" i="12"/>
  <c r="Z245" i="12"/>
  <c r="X248" i="12"/>
  <c r="V251" i="12"/>
  <c r="Z253" i="12"/>
  <c r="X256" i="12"/>
  <c r="V259" i="12"/>
  <c r="Z261" i="12"/>
  <c r="Z271" i="12"/>
  <c r="X271" i="12"/>
  <c r="X221" i="12"/>
  <c r="Z171" i="12"/>
  <c r="I35" i="13" l="1"/>
  <c r="I19" i="13"/>
  <c r="I44" i="13"/>
  <c r="I53" i="13"/>
  <c r="I63" i="13"/>
  <c r="I27" i="13"/>
  <c r="Z69" i="12" l="1"/>
  <c r="X69" i="12"/>
  <c r="V69" i="12"/>
  <c r="Z68" i="12"/>
  <c r="X68" i="12"/>
  <c r="V68" i="12"/>
  <c r="Z67" i="12"/>
  <c r="X67" i="12"/>
  <c r="V67" i="12"/>
  <c r="Z66" i="12"/>
  <c r="X66" i="12"/>
  <c r="V66" i="12"/>
  <c r="Z65" i="12"/>
  <c r="X65" i="12"/>
  <c r="V65" i="12"/>
  <c r="Z64" i="12"/>
  <c r="X64" i="12"/>
  <c r="V64" i="12"/>
  <c r="Z63" i="12"/>
  <c r="X63" i="12"/>
  <c r="V63" i="12"/>
  <c r="Z62" i="12"/>
  <c r="X62" i="12"/>
  <c r="V62" i="12"/>
  <c r="Z61" i="12"/>
  <c r="X61" i="12"/>
  <c r="V61" i="12"/>
  <c r="Z60" i="12"/>
  <c r="X60" i="12"/>
  <c r="V60" i="12"/>
  <c r="Z59" i="12"/>
  <c r="X59" i="12"/>
  <c r="V59" i="12"/>
  <c r="Z58" i="12"/>
  <c r="X58" i="12"/>
  <c r="V58" i="12"/>
  <c r="Z57" i="12"/>
  <c r="X57" i="12"/>
  <c r="V57" i="12"/>
  <c r="Z56" i="12"/>
  <c r="X56" i="12"/>
  <c r="V56" i="12"/>
  <c r="Z55" i="12"/>
  <c r="X55" i="12"/>
  <c r="V55" i="12"/>
  <c r="Z54" i="12"/>
  <c r="X54" i="12"/>
  <c r="V54" i="12"/>
  <c r="Z53" i="12"/>
  <c r="X53" i="12"/>
  <c r="V53" i="12"/>
  <c r="Z52" i="12"/>
  <c r="X52" i="12"/>
  <c r="V52" i="12"/>
  <c r="Z51" i="12"/>
  <c r="X51" i="12"/>
  <c r="V51" i="12"/>
  <c r="Z50" i="12"/>
  <c r="X50" i="12"/>
  <c r="V50" i="12"/>
  <c r="Z49" i="12"/>
  <c r="X49" i="12"/>
  <c r="V49" i="12"/>
  <c r="Z48" i="12"/>
  <c r="X48" i="12"/>
  <c r="V48" i="12"/>
  <c r="Z47" i="12"/>
  <c r="X47" i="12"/>
  <c r="V47" i="12"/>
  <c r="Z46" i="12"/>
  <c r="X46" i="12"/>
  <c r="V46" i="12"/>
  <c r="Z45" i="12"/>
  <c r="X45" i="12"/>
  <c r="V45" i="12"/>
  <c r="Z44" i="12"/>
  <c r="X44" i="12"/>
  <c r="V44" i="12"/>
  <c r="Z43" i="12"/>
  <c r="X43" i="12"/>
  <c r="V43" i="12"/>
  <c r="Z42" i="12"/>
  <c r="X42" i="12"/>
  <c r="V42" i="12"/>
  <c r="Z41" i="12"/>
  <c r="X41" i="12"/>
  <c r="V41" i="12"/>
  <c r="Z40" i="12"/>
  <c r="X40" i="12"/>
  <c r="V40" i="12"/>
  <c r="Z39" i="12"/>
  <c r="X39" i="12"/>
  <c r="V39" i="12"/>
  <c r="Z38" i="12"/>
  <c r="X38" i="12"/>
  <c r="V38" i="12"/>
  <c r="Z37" i="12"/>
  <c r="X37" i="12"/>
  <c r="V37" i="12"/>
  <c r="Z36" i="12"/>
  <c r="X36" i="12"/>
  <c r="V36" i="12"/>
  <c r="Z35" i="12"/>
  <c r="X35" i="12"/>
  <c r="V35" i="12"/>
  <c r="Z34" i="12"/>
  <c r="X34" i="12"/>
  <c r="V34" i="12"/>
  <c r="Z33" i="12"/>
  <c r="X33" i="12"/>
  <c r="V33" i="12"/>
  <c r="Z32" i="12"/>
  <c r="X32" i="12"/>
  <c r="V32" i="12"/>
  <c r="Z31" i="12"/>
  <c r="X31" i="12"/>
  <c r="V31" i="12"/>
  <c r="Z30" i="12"/>
  <c r="X30" i="12"/>
  <c r="V30" i="12"/>
  <c r="Z29" i="12"/>
  <c r="X29" i="12"/>
  <c r="V29" i="12"/>
  <c r="Z71" i="12" l="1"/>
  <c r="V71" i="12"/>
  <c r="X71" i="12"/>
  <c r="Z86" i="4" l="1"/>
  <c r="AD86" i="4" s="1"/>
  <c r="Z79" i="4"/>
  <c r="AD79" i="4" s="1"/>
  <c r="Z78" i="4"/>
  <c r="AD78" i="4" s="1"/>
  <c r="Z76" i="4"/>
  <c r="AD76" i="4" s="1"/>
  <c r="Z75" i="4"/>
  <c r="AD75" i="4" s="1"/>
  <c r="Z115" i="4"/>
  <c r="AD115" i="4" s="1"/>
  <c r="Z77" i="4"/>
  <c r="AD77" i="4" s="1"/>
  <c r="Z102" i="4" l="1"/>
  <c r="AD102" i="4" s="1"/>
  <c r="Z87" i="4"/>
  <c r="AD87" i="4" s="1"/>
  <c r="Z103" i="4"/>
  <c r="AD103" i="4" s="1"/>
  <c r="Z88" i="4"/>
  <c r="AD88" i="4" s="1"/>
  <c r="Z112" i="4"/>
  <c r="AD112" i="4" s="1"/>
  <c r="Z81" i="4"/>
  <c r="AD81" i="4" s="1"/>
  <c r="Z89" i="4"/>
  <c r="AD89" i="4" s="1"/>
  <c r="Z97" i="4"/>
  <c r="AD97" i="4" s="1"/>
  <c r="Z105" i="4"/>
  <c r="AD105" i="4" s="1"/>
  <c r="Z113" i="4"/>
  <c r="AD113" i="4" s="1"/>
  <c r="Z94" i="4"/>
  <c r="AD94" i="4" s="1"/>
  <c r="Z111" i="4"/>
  <c r="AD111" i="4" s="1"/>
  <c r="Z80" i="4"/>
  <c r="AD80" i="4" s="1"/>
  <c r="Z98" i="4"/>
  <c r="AD98" i="4" s="1"/>
  <c r="Z91" i="4"/>
  <c r="AD91" i="4" s="1"/>
  <c r="Z99" i="4"/>
  <c r="AD99" i="4" s="1"/>
  <c r="Z107" i="4"/>
  <c r="AD107" i="4" s="1"/>
  <c r="Z110" i="4"/>
  <c r="AD110" i="4" s="1"/>
  <c r="Z95" i="4"/>
  <c r="AD95" i="4" s="1"/>
  <c r="Z96" i="4"/>
  <c r="AD96" i="4" s="1"/>
  <c r="Z104" i="4"/>
  <c r="AD104" i="4" s="1"/>
  <c r="Z82" i="4"/>
  <c r="AD82" i="4" s="1"/>
  <c r="Z106" i="4"/>
  <c r="AD106" i="4" s="1"/>
  <c r="Z84" i="4"/>
  <c r="AD84" i="4" s="1"/>
  <c r="Z92" i="4"/>
  <c r="AD92" i="4" s="1"/>
  <c r="Z100" i="4"/>
  <c r="AD100" i="4" s="1"/>
  <c r="Z108" i="4"/>
  <c r="AD108" i="4" s="1"/>
  <c r="V116" i="4"/>
  <c r="Z116" i="4" s="1"/>
  <c r="AD116" i="4" s="1"/>
  <c r="Z90" i="4"/>
  <c r="AD90" i="4" s="1"/>
  <c r="Z114" i="4"/>
  <c r="AD114" i="4" s="1"/>
  <c r="Z83" i="4"/>
  <c r="AD83" i="4" s="1"/>
  <c r="Z85" i="4"/>
  <c r="AD85" i="4" s="1"/>
  <c r="Z93" i="4"/>
  <c r="AD93" i="4" s="1"/>
  <c r="Z101" i="4"/>
  <c r="AD101" i="4" s="1"/>
  <c r="Z109" i="4"/>
  <c r="AD109" i="4" s="1"/>
  <c r="AH71" i="12"/>
  <c r="AI71" i="12" s="1"/>
  <c r="AJ71" i="12" s="1"/>
  <c r="AH29" i="12"/>
  <c r="AH30" i="12" s="1"/>
  <c r="AH31" i="12" s="1"/>
  <c r="AH32" i="12" s="1"/>
  <c r="AH33" i="12" s="1"/>
  <c r="AH34" i="12" s="1"/>
  <c r="AH35" i="12" s="1"/>
  <c r="AH36" i="12" s="1"/>
  <c r="AH37" i="12" s="1"/>
  <c r="AH38" i="12" s="1"/>
  <c r="AH39" i="12" s="1"/>
  <c r="AH40" i="12" s="1"/>
  <c r="AH41" i="12" s="1"/>
  <c r="AH42" i="12" s="1"/>
  <c r="AH43" i="12" s="1"/>
  <c r="AH44" i="12" s="1"/>
  <c r="AH45" i="12" s="1"/>
  <c r="AH46" i="12" s="1"/>
  <c r="AH47" i="12" s="1"/>
  <c r="AH48" i="12" s="1"/>
  <c r="AH49" i="12" s="1"/>
  <c r="AH50" i="12" s="1"/>
  <c r="AH51" i="12" s="1"/>
  <c r="AH52" i="12" s="1"/>
  <c r="AH53" i="12" s="1"/>
  <c r="AH54" i="12" s="1"/>
  <c r="AH55" i="12" s="1"/>
  <c r="AH56" i="12" s="1"/>
  <c r="AH57" i="12" s="1"/>
  <c r="AH58" i="12" s="1"/>
  <c r="AH59" i="12" s="1"/>
  <c r="AH60" i="12" s="1"/>
  <c r="AH61" i="12" s="1"/>
  <c r="AH62" i="12" s="1"/>
  <c r="AH63" i="12" s="1"/>
  <c r="AH64" i="12" s="1"/>
  <c r="AH65" i="12" s="1"/>
  <c r="AH66" i="12" s="1"/>
  <c r="AH67" i="12" s="1"/>
  <c r="AH68" i="12" s="1"/>
  <c r="AH69" i="12" s="1"/>
  <c r="AI69" i="12" s="1"/>
  <c r="AJ69" i="12" s="1"/>
  <c r="C279" i="12"/>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Q274" i="12"/>
  <c r="AD274" i="12" s="1"/>
  <c r="AH271" i="12"/>
  <c r="AI271" i="12" s="1"/>
  <c r="AJ271" i="12" s="1"/>
  <c r="CR270" i="12"/>
  <c r="AH229" i="12"/>
  <c r="AI229" i="12" s="1"/>
  <c r="AJ229" i="12" s="1"/>
  <c r="C229" i="12"/>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AN224" i="12"/>
  <c r="Q224" i="12"/>
  <c r="AD224" i="12" s="1"/>
  <c r="AH221" i="12"/>
  <c r="AI221" i="12" s="1"/>
  <c r="AJ221" i="12" s="1"/>
  <c r="CR220" i="12"/>
  <c r="AO179" i="12"/>
  <c r="AO229" i="12" s="1"/>
  <c r="AH179" i="12"/>
  <c r="AH180" i="12" s="1"/>
  <c r="C179" i="12"/>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S178" i="12"/>
  <c r="CS228" i="12" s="1"/>
  <c r="CR178" i="12"/>
  <c r="CR228" i="12" s="1"/>
  <c r="CQ178" i="12"/>
  <c r="CQ228" i="12" s="1"/>
  <c r="BB178" i="12"/>
  <c r="BB228" i="12" s="1"/>
  <c r="AN174" i="12"/>
  <c r="Q174" i="12"/>
  <c r="AD174" i="12" s="1"/>
  <c r="AH171" i="12"/>
  <c r="AI171" i="12" s="1"/>
  <c r="AJ171" i="12" s="1"/>
  <c r="CR170" i="12"/>
  <c r="AO130" i="12"/>
  <c r="AH129" i="12"/>
  <c r="AH130" i="12" s="1"/>
  <c r="AH131" i="12" s="1"/>
  <c r="C129" i="12"/>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BC128" i="12"/>
  <c r="BC178" i="12" s="1"/>
  <c r="BC228" i="12" s="1"/>
  <c r="AN124" i="12"/>
  <c r="Q124" i="12"/>
  <c r="AD124" i="12" s="1"/>
  <c r="Q74" i="12"/>
  <c r="AD74" i="12" s="1"/>
  <c r="AO29" i="12"/>
  <c r="C29" i="12"/>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Q24" i="12"/>
  <c r="AD24" i="12" s="1"/>
  <c r="W12" i="12"/>
  <c r="Y12" i="12" s="1"/>
  <c r="Y16" i="12" s="1"/>
  <c r="G6" i="12" s="1"/>
  <c r="X8" i="12"/>
  <c r="W8" i="12"/>
  <c r="V8" i="12"/>
  <c r="Y7" i="12"/>
  <c r="AW8" i="12" s="1"/>
  <c r="R7" i="12"/>
  <c r="Y6" i="12"/>
  <c r="AW7" i="12" s="1"/>
  <c r="R5" i="12"/>
  <c r="Q61" i="5"/>
  <c r="P61" i="5"/>
  <c r="O61" i="5"/>
  <c r="N61" i="5"/>
  <c r="I61" i="5"/>
  <c r="E61" i="5"/>
  <c r="AI29" i="12" l="1"/>
  <c r="AJ29" i="12" s="1"/>
  <c r="Y8" i="12"/>
  <c r="Y21" i="12" s="1"/>
  <c r="J61" i="5"/>
  <c r="K61" i="5" s="1"/>
  <c r="AI30" i="12"/>
  <c r="AJ30" i="12" s="1"/>
  <c r="AI35" i="12"/>
  <c r="AJ35" i="12" s="1"/>
  <c r="AI41" i="12"/>
  <c r="AJ41" i="12" s="1"/>
  <c r="AI47" i="12"/>
  <c r="AJ47" i="12" s="1"/>
  <c r="AI53" i="12"/>
  <c r="AJ53" i="12" s="1"/>
  <c r="AI64" i="12"/>
  <c r="AJ64" i="12" s="1"/>
  <c r="AI36" i="12"/>
  <c r="AJ36" i="12" s="1"/>
  <c r="AI42" i="12"/>
  <c r="AJ42" i="12" s="1"/>
  <c r="AI54" i="12"/>
  <c r="AJ54" i="12" s="1"/>
  <c r="AI59" i="12"/>
  <c r="AJ59" i="12" s="1"/>
  <c r="AI65" i="12"/>
  <c r="AJ65" i="12" s="1"/>
  <c r="AI31" i="12"/>
  <c r="AJ31" i="12" s="1"/>
  <c r="AI37" i="12"/>
  <c r="AJ37" i="12" s="1"/>
  <c r="AI48" i="12"/>
  <c r="AJ48" i="12" s="1"/>
  <c r="AI60" i="12"/>
  <c r="AJ60" i="12" s="1"/>
  <c r="AI66" i="12"/>
  <c r="AJ66" i="12" s="1"/>
  <c r="AI179" i="12"/>
  <c r="AJ179" i="12" s="1"/>
  <c r="BD128" i="12"/>
  <c r="BD129" i="12" s="1"/>
  <c r="AI38" i="12"/>
  <c r="AJ38" i="12" s="1"/>
  <c r="AI43" i="12"/>
  <c r="AJ43" i="12" s="1"/>
  <c r="AI49" i="12"/>
  <c r="AJ49" i="12" s="1"/>
  <c r="AI55" i="12"/>
  <c r="AJ55" i="12" s="1"/>
  <c r="AI61" i="12"/>
  <c r="AJ61" i="12" s="1"/>
  <c r="AI32" i="12"/>
  <c r="AJ32" i="12" s="1"/>
  <c r="AI44" i="12"/>
  <c r="AJ44" i="12" s="1"/>
  <c r="AI50" i="12"/>
  <c r="AJ50" i="12" s="1"/>
  <c r="AI62" i="12"/>
  <c r="AJ62" i="12" s="1"/>
  <c r="AI67" i="12"/>
  <c r="AJ67" i="12" s="1"/>
  <c r="AI33" i="12"/>
  <c r="AJ33" i="12" s="1"/>
  <c r="AI39" i="12"/>
  <c r="AJ39" i="12" s="1"/>
  <c r="AI45" i="12"/>
  <c r="AJ45" i="12" s="1"/>
  <c r="AI56" i="12"/>
  <c r="AJ56" i="12" s="1"/>
  <c r="AI68" i="12"/>
  <c r="AJ68" i="12" s="1"/>
  <c r="AI34" i="12"/>
  <c r="AJ34" i="12" s="1"/>
  <c r="AI46" i="12"/>
  <c r="AJ46" i="12" s="1"/>
  <c r="AI51" i="12"/>
  <c r="AJ51" i="12" s="1"/>
  <c r="AI57" i="12"/>
  <c r="AJ57" i="12" s="1"/>
  <c r="AI63" i="12"/>
  <c r="AJ63" i="12" s="1"/>
  <c r="AI40" i="12"/>
  <c r="AJ40" i="12" s="1"/>
  <c r="AI52" i="12"/>
  <c r="AJ52" i="12" s="1"/>
  <c r="AI58" i="12"/>
  <c r="AJ58" i="12" s="1"/>
  <c r="AI129" i="12"/>
  <c r="AJ129" i="12" s="1"/>
  <c r="AH132" i="12"/>
  <c r="AI131" i="12"/>
  <c r="AJ131" i="12" s="1"/>
  <c r="AO30" i="12"/>
  <c r="AI130" i="12"/>
  <c r="AJ130" i="12" s="1"/>
  <c r="BE128" i="12"/>
  <c r="AO180" i="12"/>
  <c r="AO131" i="12"/>
  <c r="BC129" i="12"/>
  <c r="AI180" i="12"/>
  <c r="AJ180" i="12" s="1"/>
  <c r="AH181" i="12"/>
  <c r="BC179" i="12"/>
  <c r="BC229" i="12"/>
  <c r="AH230" i="12"/>
  <c r="AH271" i="11"/>
  <c r="AH229" i="11"/>
  <c r="AH230" i="11" s="1"/>
  <c r="AH231" i="11" s="1"/>
  <c r="AH232" i="11" s="1"/>
  <c r="AH233" i="11" s="1"/>
  <c r="AH234" i="11" s="1"/>
  <c r="AH235" i="11" s="1"/>
  <c r="AH236" i="11" s="1"/>
  <c r="AH237" i="11" s="1"/>
  <c r="AH238" i="11" s="1"/>
  <c r="AH239" i="11" s="1"/>
  <c r="AH240" i="11" s="1"/>
  <c r="AH241" i="11" s="1"/>
  <c r="AH242" i="11" s="1"/>
  <c r="AH243" i="11" s="1"/>
  <c r="AH244" i="11" s="1"/>
  <c r="AH245" i="11" s="1"/>
  <c r="AH246" i="11" s="1"/>
  <c r="AH247" i="11" s="1"/>
  <c r="AH248" i="11" s="1"/>
  <c r="AH249" i="11" s="1"/>
  <c r="AH250" i="11" s="1"/>
  <c r="AH251" i="11" s="1"/>
  <c r="AH252" i="11" s="1"/>
  <c r="AH253" i="11" s="1"/>
  <c r="AH254" i="11" s="1"/>
  <c r="AH255" i="11" s="1"/>
  <c r="AH256" i="11" s="1"/>
  <c r="AH257" i="11" s="1"/>
  <c r="AH258" i="11" s="1"/>
  <c r="AH259" i="11" s="1"/>
  <c r="AH260" i="11" s="1"/>
  <c r="AH261" i="11" s="1"/>
  <c r="AH262" i="11" s="1"/>
  <c r="AH263" i="11" s="1"/>
  <c r="AH264" i="11" s="1"/>
  <c r="AH265" i="11" s="1"/>
  <c r="AH266" i="11" s="1"/>
  <c r="AH267" i="11" s="1"/>
  <c r="AH268" i="11" s="1"/>
  <c r="AH269" i="11" s="1"/>
  <c r="AH221" i="11"/>
  <c r="AH179" i="11"/>
  <c r="AH180" i="11" s="1"/>
  <c r="AH181" i="11" s="1"/>
  <c r="AH182" i="11" s="1"/>
  <c r="AH183" i="11" s="1"/>
  <c r="AH184" i="11" s="1"/>
  <c r="AH185" i="11" s="1"/>
  <c r="AH186" i="11" s="1"/>
  <c r="AH187" i="11" s="1"/>
  <c r="AH188" i="11" s="1"/>
  <c r="AH189" i="11" s="1"/>
  <c r="AH190" i="11" s="1"/>
  <c r="AH191" i="11" s="1"/>
  <c r="AH192" i="11" s="1"/>
  <c r="AH193" i="11" s="1"/>
  <c r="AH194" i="11" s="1"/>
  <c r="AH195" i="11" s="1"/>
  <c r="AH196" i="11" s="1"/>
  <c r="AH197" i="11" s="1"/>
  <c r="AH198" i="11" s="1"/>
  <c r="AH199" i="11" s="1"/>
  <c r="AH200" i="11" s="1"/>
  <c r="AH201" i="11" s="1"/>
  <c r="AH202" i="11" s="1"/>
  <c r="AH203" i="11" s="1"/>
  <c r="AH204" i="11" s="1"/>
  <c r="AH205" i="11" s="1"/>
  <c r="AH206" i="11" s="1"/>
  <c r="AH207" i="11" s="1"/>
  <c r="AH208" i="11" s="1"/>
  <c r="AH209" i="11" s="1"/>
  <c r="AH210" i="11" s="1"/>
  <c r="AH211" i="11" s="1"/>
  <c r="AH212" i="11" s="1"/>
  <c r="AH213" i="11" s="1"/>
  <c r="AH214" i="11" s="1"/>
  <c r="AH215" i="11" s="1"/>
  <c r="AH216" i="11" s="1"/>
  <c r="AH217" i="11" s="1"/>
  <c r="AH218" i="11" s="1"/>
  <c r="AH219" i="11" s="1"/>
  <c r="AH171" i="11"/>
  <c r="AH129" i="11"/>
  <c r="AH130" i="11" s="1"/>
  <c r="AH131" i="11" s="1"/>
  <c r="AH132" i="11" s="1"/>
  <c r="AH133" i="11" s="1"/>
  <c r="AH134" i="11" s="1"/>
  <c r="AH135" i="11" s="1"/>
  <c r="AH136" i="11" s="1"/>
  <c r="AH137" i="11" s="1"/>
  <c r="AH138" i="11" s="1"/>
  <c r="AH139" i="11" s="1"/>
  <c r="AH140" i="11" s="1"/>
  <c r="AH141" i="11" s="1"/>
  <c r="AH142" i="11" s="1"/>
  <c r="AH143" i="11" s="1"/>
  <c r="AH144" i="11" s="1"/>
  <c r="AH145" i="11" s="1"/>
  <c r="AH146" i="11" s="1"/>
  <c r="AH147" i="11" s="1"/>
  <c r="AH148" i="11" s="1"/>
  <c r="AH149" i="11" s="1"/>
  <c r="AH150" i="11" s="1"/>
  <c r="AH151" i="11" s="1"/>
  <c r="AH152" i="11" s="1"/>
  <c r="AH153" i="11" s="1"/>
  <c r="AH154" i="11" s="1"/>
  <c r="AH155" i="11" s="1"/>
  <c r="AH156" i="11" s="1"/>
  <c r="AH157" i="11" s="1"/>
  <c r="AH158" i="11" s="1"/>
  <c r="AH159" i="11" s="1"/>
  <c r="AH160" i="11" s="1"/>
  <c r="AH161" i="11" s="1"/>
  <c r="AH162" i="11" s="1"/>
  <c r="AH163" i="11" s="1"/>
  <c r="AH164" i="11" s="1"/>
  <c r="AH165" i="11" s="1"/>
  <c r="AH166" i="11" s="1"/>
  <c r="AH167" i="11" s="1"/>
  <c r="AH168" i="11" s="1"/>
  <c r="AH169" i="11" s="1"/>
  <c r="AH121" i="11"/>
  <c r="AH79" i="11"/>
  <c r="AH80" i="11" s="1"/>
  <c r="AH81" i="11" s="1"/>
  <c r="AH82" i="11" s="1"/>
  <c r="AH83" i="11" s="1"/>
  <c r="AH84" i="11" s="1"/>
  <c r="AH85" i="11" s="1"/>
  <c r="AH86" i="11" s="1"/>
  <c r="AH87" i="11" s="1"/>
  <c r="AH88" i="11" s="1"/>
  <c r="AH89" i="11" s="1"/>
  <c r="AH90" i="11" s="1"/>
  <c r="AH91" i="11" s="1"/>
  <c r="AH92" i="11" s="1"/>
  <c r="AH93" i="11" s="1"/>
  <c r="AH94" i="11" s="1"/>
  <c r="AH95" i="11" s="1"/>
  <c r="AH96" i="11" s="1"/>
  <c r="AH97" i="11" s="1"/>
  <c r="AH98" i="11" s="1"/>
  <c r="AH99" i="11" s="1"/>
  <c r="AH100" i="11" s="1"/>
  <c r="AH101" i="11" s="1"/>
  <c r="AH102" i="11" s="1"/>
  <c r="AH103" i="11" s="1"/>
  <c r="AH104" i="11" s="1"/>
  <c r="AH105" i="11" s="1"/>
  <c r="AH106" i="11" s="1"/>
  <c r="AH107" i="11" s="1"/>
  <c r="AH108" i="11" s="1"/>
  <c r="AH109" i="11" s="1"/>
  <c r="AH110" i="11" s="1"/>
  <c r="AH111" i="11" s="1"/>
  <c r="AH112" i="11" s="1"/>
  <c r="AH113" i="11" s="1"/>
  <c r="AH114" i="11" s="1"/>
  <c r="AH115" i="11" s="1"/>
  <c r="AH116" i="11" s="1"/>
  <c r="AH117" i="11" s="1"/>
  <c r="AH118" i="11" s="1"/>
  <c r="AH119" i="11" s="1"/>
  <c r="M61" i="5" l="1"/>
  <c r="AT126" i="12"/>
  <c r="AU172" i="12" s="1"/>
  <c r="G5" i="12"/>
  <c r="Y18" i="12"/>
  <c r="Y19" i="12"/>
  <c r="Y20" i="12"/>
  <c r="BD178" i="12"/>
  <c r="BD228" i="12" s="1"/>
  <c r="BD229" i="12" s="1"/>
  <c r="BD130" i="12"/>
  <c r="AO230" i="12"/>
  <c r="AH133" i="12"/>
  <c r="AI132" i="12"/>
  <c r="AJ132" i="12" s="1"/>
  <c r="AI230" i="12"/>
  <c r="AJ230" i="12" s="1"/>
  <c r="AH231" i="12"/>
  <c r="AI181" i="12"/>
  <c r="AJ181" i="12" s="1"/>
  <c r="AH182" i="12"/>
  <c r="BE178" i="12"/>
  <c r="BE180" i="12" s="1"/>
  <c r="BE129" i="12"/>
  <c r="BF128" i="12"/>
  <c r="BE130" i="12"/>
  <c r="AO181" i="12"/>
  <c r="AO132" i="12"/>
  <c r="BE131" i="12"/>
  <c r="BF131" i="12"/>
  <c r="AO31" i="12"/>
  <c r="Q274" i="11"/>
  <c r="AD274" i="11" s="1"/>
  <c r="C229" i="11"/>
  <c r="C230" i="11" s="1"/>
  <c r="C231" i="11" s="1"/>
  <c r="C232" i="11" s="1"/>
  <c r="C233" i="11" s="1"/>
  <c r="C234" i="11" s="1"/>
  <c r="C235" i="11" s="1"/>
  <c r="C236" i="11" s="1"/>
  <c r="C237" i="11" s="1"/>
  <c r="C238" i="11" s="1"/>
  <c r="C239" i="11" s="1"/>
  <c r="C240" i="11" s="1"/>
  <c r="C241" i="11" s="1"/>
  <c r="C242" i="11" s="1"/>
  <c r="C243" i="11" s="1"/>
  <c r="C244" i="11" s="1"/>
  <c r="C245" i="11" s="1"/>
  <c r="C246" i="11" s="1"/>
  <c r="C247" i="11" s="1"/>
  <c r="C248" i="11" s="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Q224" i="11"/>
  <c r="AD224" i="11" s="1"/>
  <c r="C179" i="1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C205" i="11" s="1"/>
  <c r="C206" i="11" s="1"/>
  <c r="C207" i="11" s="1"/>
  <c r="C208" i="11" s="1"/>
  <c r="C209" i="11" s="1"/>
  <c r="C210" i="11" s="1"/>
  <c r="C211" i="11" s="1"/>
  <c r="C212" i="11" s="1"/>
  <c r="C213" i="11" s="1"/>
  <c r="C214" i="11" s="1"/>
  <c r="C215" i="11" s="1"/>
  <c r="C216" i="11" s="1"/>
  <c r="C217" i="11" s="1"/>
  <c r="C218" i="11" s="1"/>
  <c r="C219" i="11" s="1"/>
  <c r="Q174" i="11"/>
  <c r="AD174" i="11" s="1"/>
  <c r="C129" i="11"/>
  <c r="C130" i="11" s="1"/>
  <c r="C131" i="11" s="1"/>
  <c r="C132" i="11" s="1"/>
  <c r="C133" i="11" s="1"/>
  <c r="C134" i="11" s="1"/>
  <c r="C135" i="11" s="1"/>
  <c r="C136" i="11" s="1"/>
  <c r="C137" i="11" s="1"/>
  <c r="C138" i="11" s="1"/>
  <c r="C139" i="11" s="1"/>
  <c r="C140" i="11" s="1"/>
  <c r="C141" i="11" s="1"/>
  <c r="C142" i="11" s="1"/>
  <c r="C143" i="11" s="1"/>
  <c r="C144" i="11" s="1"/>
  <c r="C145" i="11" s="1"/>
  <c r="C146" i="11" s="1"/>
  <c r="C147" i="11" s="1"/>
  <c r="C148" i="11" s="1"/>
  <c r="C149" i="11" s="1"/>
  <c r="C150" i="11" s="1"/>
  <c r="C151" i="11" s="1"/>
  <c r="C152" i="11" s="1"/>
  <c r="C153" i="11" s="1"/>
  <c r="C154" i="11" s="1"/>
  <c r="C155" i="11" s="1"/>
  <c r="C156" i="11" s="1"/>
  <c r="C157" i="11" s="1"/>
  <c r="C158" i="11" s="1"/>
  <c r="C159" i="11" s="1"/>
  <c r="C160" i="11" s="1"/>
  <c r="C161" i="11" s="1"/>
  <c r="C162" i="11" s="1"/>
  <c r="C163" i="11" s="1"/>
  <c r="C164" i="11" s="1"/>
  <c r="C165" i="11" s="1"/>
  <c r="C166" i="11" s="1"/>
  <c r="C167" i="11" s="1"/>
  <c r="C168" i="11" s="1"/>
  <c r="C169" i="11" s="1"/>
  <c r="Q124" i="11"/>
  <c r="AD124" i="11" s="1"/>
  <c r="C79" i="11"/>
  <c r="C80" i="11" s="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C107" i="11" s="1"/>
  <c r="C108" i="11" s="1"/>
  <c r="C109" i="11" s="1"/>
  <c r="C110" i="11" s="1"/>
  <c r="C111" i="11" s="1"/>
  <c r="C112" i="11" s="1"/>
  <c r="C113" i="11" s="1"/>
  <c r="C114" i="11" s="1"/>
  <c r="C115" i="11" s="1"/>
  <c r="C116" i="11" s="1"/>
  <c r="C117" i="11" s="1"/>
  <c r="C118" i="11" s="1"/>
  <c r="C119" i="11" s="1"/>
  <c r="Q74" i="11"/>
  <c r="AD74" i="11" s="1"/>
  <c r="AH71" i="11"/>
  <c r="AH29" i="11"/>
  <c r="AH30" i="11" s="1"/>
  <c r="AH31" i="11" s="1"/>
  <c r="AH32" i="11" s="1"/>
  <c r="AH33" i="11" s="1"/>
  <c r="AH34" i="11" s="1"/>
  <c r="AH35" i="11" s="1"/>
  <c r="AH36" i="11" s="1"/>
  <c r="AH37" i="11" s="1"/>
  <c r="AH38" i="11" s="1"/>
  <c r="AH39" i="11" s="1"/>
  <c r="AH40" i="11" s="1"/>
  <c r="AH41" i="11" s="1"/>
  <c r="AH42" i="11" s="1"/>
  <c r="AH43" i="11" s="1"/>
  <c r="AH44" i="11" s="1"/>
  <c r="AH45" i="11" s="1"/>
  <c r="AH46" i="11" s="1"/>
  <c r="AH47" i="11" s="1"/>
  <c r="AH48" i="11" s="1"/>
  <c r="AH49" i="11" s="1"/>
  <c r="AH50" i="11" s="1"/>
  <c r="AH51" i="11" s="1"/>
  <c r="AH52" i="11" s="1"/>
  <c r="AH53" i="11" s="1"/>
  <c r="AH54" i="11" s="1"/>
  <c r="AH55" i="11" s="1"/>
  <c r="AH56" i="11" s="1"/>
  <c r="AH57" i="11" s="1"/>
  <c r="AH58" i="11" s="1"/>
  <c r="AH59" i="11" s="1"/>
  <c r="AH60" i="11" s="1"/>
  <c r="AH61" i="11" s="1"/>
  <c r="AH62" i="11" s="1"/>
  <c r="AH63" i="11" s="1"/>
  <c r="AH64" i="11" s="1"/>
  <c r="AH65" i="11" s="1"/>
  <c r="AH66" i="11" s="1"/>
  <c r="AH67" i="11" s="1"/>
  <c r="AH68" i="11" s="1"/>
  <c r="AH69" i="11" s="1"/>
  <c r="C29" i="11"/>
  <c r="C279" i="11" s="1"/>
  <c r="Q24" i="11"/>
  <c r="AD24" i="11" s="1"/>
  <c r="BD179" i="12" l="1"/>
  <c r="BD180" i="12"/>
  <c r="BF178" i="12"/>
  <c r="BG128" i="12"/>
  <c r="BF129" i="12"/>
  <c r="BF130" i="12"/>
  <c r="AI182" i="12"/>
  <c r="AJ182" i="12" s="1"/>
  <c r="AH183" i="12"/>
  <c r="AI231" i="12"/>
  <c r="AJ231" i="12" s="1"/>
  <c r="AH232" i="12"/>
  <c r="BE228" i="12"/>
  <c r="BE229" i="12" s="1"/>
  <c r="BE179" i="12"/>
  <c r="AO32" i="12"/>
  <c r="AO231" i="12"/>
  <c r="BE181" i="12"/>
  <c r="BE230" i="12"/>
  <c r="BD230" i="12"/>
  <c r="AO182" i="12"/>
  <c r="BG132" i="12"/>
  <c r="AO133" i="12"/>
  <c r="BF132" i="12"/>
  <c r="AH134" i="12"/>
  <c r="AI133" i="12"/>
  <c r="AJ133" i="12" s="1"/>
  <c r="C30" i="11"/>
  <c r="AT126" i="10"/>
  <c r="BF228" i="12" l="1"/>
  <c r="BF179" i="12"/>
  <c r="BF180" i="12"/>
  <c r="AO183" i="12"/>
  <c r="AO134" i="12"/>
  <c r="BG133" i="12"/>
  <c r="AO232" i="12"/>
  <c r="BF182" i="12"/>
  <c r="BF181" i="12"/>
  <c r="AI183" i="12"/>
  <c r="AJ183" i="12" s="1"/>
  <c r="AH184" i="12"/>
  <c r="AH135" i="12"/>
  <c r="AI134" i="12"/>
  <c r="AJ134" i="12" s="1"/>
  <c r="BE231" i="12"/>
  <c r="AO33" i="12"/>
  <c r="AI232" i="12"/>
  <c r="AJ232" i="12" s="1"/>
  <c r="AH233" i="12"/>
  <c r="BG178" i="12"/>
  <c r="BG182" i="12" s="1"/>
  <c r="BG129" i="12"/>
  <c r="BH128" i="12"/>
  <c r="BH133" i="12" s="1"/>
  <c r="BG130" i="12"/>
  <c r="BG131" i="12"/>
  <c r="C280" i="11"/>
  <c r="C31" i="11"/>
  <c r="C279" i="10"/>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Q274" i="10"/>
  <c r="AD274" i="10" s="1"/>
  <c r="AH271" i="10"/>
  <c r="AI271" i="10" s="1"/>
  <c r="AJ271" i="10" s="1"/>
  <c r="CR270" i="10"/>
  <c r="AH229" i="10"/>
  <c r="AH230" i="10" s="1"/>
  <c r="C229" i="10"/>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AN224" i="10"/>
  <c r="Q224" i="10"/>
  <c r="AD224" i="10" s="1"/>
  <c r="AH221" i="10"/>
  <c r="AI221" i="10" s="1"/>
  <c r="AJ221" i="10" s="1"/>
  <c r="CR220" i="10"/>
  <c r="AO179" i="10"/>
  <c r="AO229" i="10" s="1"/>
  <c r="AH179" i="10"/>
  <c r="AH180" i="10" s="1"/>
  <c r="C179" i="10"/>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S178" i="10"/>
  <c r="CS228" i="10" s="1"/>
  <c r="CR178" i="10"/>
  <c r="CR228" i="10" s="1"/>
  <c r="CQ178" i="10"/>
  <c r="CQ228" i="10" s="1"/>
  <c r="BB178" i="10"/>
  <c r="BB228" i="10" s="1"/>
  <c r="AN174" i="10"/>
  <c r="AD174" i="10"/>
  <c r="Q174" i="10"/>
  <c r="AH171" i="10"/>
  <c r="AI171" i="10" s="1"/>
  <c r="AJ171" i="10" s="1"/>
  <c r="CR170" i="10"/>
  <c r="AO130" i="10"/>
  <c r="AO131" i="10" s="1"/>
  <c r="AH129" i="10"/>
  <c r="AH130" i="10" s="1"/>
  <c r="C129" i="10"/>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BC128" i="10"/>
  <c r="AU172" i="10"/>
  <c r="AN124" i="10"/>
  <c r="AD124" i="10"/>
  <c r="Q124" i="10"/>
  <c r="AD74" i="10"/>
  <c r="Q74" i="10"/>
  <c r="AO29" i="10"/>
  <c r="AO30" i="10" s="1"/>
  <c r="AO31" i="10" s="1"/>
  <c r="AD24" i="10"/>
  <c r="Q24" i="10"/>
  <c r="I19" i="10"/>
  <c r="M18" i="10"/>
  <c r="V161" i="10" s="1"/>
  <c r="I18" i="10"/>
  <c r="I17" i="10"/>
  <c r="R7" i="10"/>
  <c r="R6" i="10"/>
  <c r="R5" i="10"/>
  <c r="AI179" i="10" l="1"/>
  <c r="AJ179" i="10" s="1"/>
  <c r="BF229" i="12"/>
  <c r="BF230" i="12"/>
  <c r="BF232" i="12"/>
  <c r="AO184" i="12"/>
  <c r="BH134" i="12"/>
  <c r="AO135" i="12"/>
  <c r="BH178" i="12"/>
  <c r="BI128" i="12"/>
  <c r="BI134" i="12" s="1"/>
  <c r="BH129" i="12"/>
  <c r="BH130" i="12"/>
  <c r="BH131" i="12"/>
  <c r="BH132" i="12"/>
  <c r="AO34" i="12"/>
  <c r="AO233" i="12"/>
  <c r="BH183" i="12"/>
  <c r="BG183" i="12"/>
  <c r="V143" i="10"/>
  <c r="AH136" i="12"/>
  <c r="AI135" i="12"/>
  <c r="AJ135" i="12" s="1"/>
  <c r="BG228" i="12"/>
  <c r="BG232" i="12" s="1"/>
  <c r="BG179" i="12"/>
  <c r="BG180" i="12"/>
  <c r="BG181" i="12"/>
  <c r="AI233" i="12"/>
  <c r="AJ233" i="12" s="1"/>
  <c r="AH234" i="12"/>
  <c r="BF231" i="12"/>
  <c r="AI184" i="12"/>
  <c r="AJ184" i="12" s="1"/>
  <c r="AH185" i="12"/>
  <c r="AI129" i="10"/>
  <c r="AJ129" i="10" s="1"/>
  <c r="AI229" i="10"/>
  <c r="AJ229" i="10" s="1"/>
  <c r="V180" i="10"/>
  <c r="V135" i="10"/>
  <c r="V158" i="10"/>
  <c r="V144" i="10"/>
  <c r="V129" i="10"/>
  <c r="V136" i="10"/>
  <c r="V137" i="10"/>
  <c r="C281" i="11"/>
  <c r="C32" i="11"/>
  <c r="AO181" i="10"/>
  <c r="AO132" i="10"/>
  <c r="AO32" i="10"/>
  <c r="BC178" i="10"/>
  <c r="BD128" i="10"/>
  <c r="BD130" i="10" s="1"/>
  <c r="AH131" i="10"/>
  <c r="AI130" i="10"/>
  <c r="AJ130" i="10" s="1"/>
  <c r="BC129" i="10"/>
  <c r="AO180" i="10"/>
  <c r="V134" i="10"/>
  <c r="V142" i="10"/>
  <c r="V150" i="10"/>
  <c r="V145" i="10"/>
  <c r="V149" i="10"/>
  <c r="V153" i="10"/>
  <c r="V162" i="10"/>
  <c r="V130" i="10"/>
  <c r="V138" i="10"/>
  <c r="V146" i="10"/>
  <c r="V154" i="10"/>
  <c r="V269" i="10"/>
  <c r="V268" i="10"/>
  <c r="V267" i="10"/>
  <c r="V266" i="10"/>
  <c r="V261" i="10"/>
  <c r="V262" i="10"/>
  <c r="V265" i="10"/>
  <c r="V264" i="10"/>
  <c r="V263" i="10"/>
  <c r="V257" i="10"/>
  <c r="V255" i="10"/>
  <c r="V260" i="10"/>
  <c r="V259" i="10"/>
  <c r="V258" i="10"/>
  <c r="V253" i="10"/>
  <c r="V252" i="10"/>
  <c r="V251" i="10"/>
  <c r="V250" i="10"/>
  <c r="V249" i="10"/>
  <c r="V248" i="10"/>
  <c r="V247" i="10"/>
  <c r="V246" i="10"/>
  <c r="V245" i="10"/>
  <c r="V244" i="10"/>
  <c r="V254" i="10"/>
  <c r="V256" i="10"/>
  <c r="V243" i="10"/>
  <c r="V242" i="10"/>
  <c r="V241" i="10"/>
  <c r="V240" i="10"/>
  <c r="V239" i="10"/>
  <c r="V238" i="10"/>
  <c r="V237" i="10"/>
  <c r="V236" i="10"/>
  <c r="V235" i="10"/>
  <c r="V234" i="10"/>
  <c r="V233" i="10"/>
  <c r="V232" i="10"/>
  <c r="V231" i="10"/>
  <c r="V230" i="10"/>
  <c r="V229" i="10"/>
  <c r="V219" i="10"/>
  <c r="V218" i="10"/>
  <c r="V216" i="10"/>
  <c r="V208" i="10"/>
  <c r="V213" i="10"/>
  <c r="V212" i="10"/>
  <c r="V211" i="10"/>
  <c r="V217" i="10"/>
  <c r="V215" i="10"/>
  <c r="V210" i="10"/>
  <c r="V205" i="10"/>
  <c r="V201" i="10"/>
  <c r="V197" i="10"/>
  <c r="V199" i="10"/>
  <c r="V206" i="10"/>
  <c r="V202" i="10"/>
  <c r="V198" i="10"/>
  <c r="V207" i="10"/>
  <c r="V203" i="10"/>
  <c r="V187" i="10"/>
  <c r="V195" i="10"/>
  <c r="V191" i="10"/>
  <c r="V188" i="10"/>
  <c r="V209" i="10"/>
  <c r="V204" i="10"/>
  <c r="V200" i="10"/>
  <c r="V196" i="10"/>
  <c r="V192" i="10"/>
  <c r="V189" i="10"/>
  <c r="V214" i="10"/>
  <c r="V167" i="10"/>
  <c r="V159" i="10"/>
  <c r="V193" i="10"/>
  <c r="V186" i="10"/>
  <c r="V182" i="10"/>
  <c r="V166" i="10"/>
  <c r="V165" i="10"/>
  <c r="V157" i="10"/>
  <c r="V183" i="10"/>
  <c r="V164" i="10"/>
  <c r="V156" i="10"/>
  <c r="V190" i="10"/>
  <c r="V163" i="10"/>
  <c r="V194" i="10"/>
  <c r="V185" i="10"/>
  <c r="V181" i="10"/>
  <c r="V168" i="10"/>
  <c r="V160" i="10"/>
  <c r="V152" i="10"/>
  <c r="V179" i="10"/>
  <c r="V184" i="10"/>
  <c r="V155" i="10"/>
  <c r="V131" i="10"/>
  <c r="V139" i="10"/>
  <c r="V147" i="10"/>
  <c r="V151" i="10"/>
  <c r="V132" i="10"/>
  <c r="V140" i="10"/>
  <c r="V148" i="10"/>
  <c r="V169" i="10"/>
  <c r="V133" i="10"/>
  <c r="V141" i="10"/>
  <c r="AI180" i="10"/>
  <c r="AJ180" i="10" s="1"/>
  <c r="AH181" i="10"/>
  <c r="AI230" i="10"/>
  <c r="AJ230" i="10" s="1"/>
  <c r="AH231" i="10"/>
  <c r="BH228" i="12" l="1"/>
  <c r="BH179" i="12"/>
  <c r="BH180" i="12"/>
  <c r="BH181" i="12"/>
  <c r="BH182" i="12"/>
  <c r="AI185" i="12"/>
  <c r="AJ185" i="12" s="1"/>
  <c r="AH186" i="12"/>
  <c r="AH137" i="12"/>
  <c r="AI136" i="12"/>
  <c r="AJ136" i="12" s="1"/>
  <c r="AO234" i="12"/>
  <c r="BH184" i="12"/>
  <c r="BG233" i="12"/>
  <c r="BH233" i="12"/>
  <c r="AI234" i="12"/>
  <c r="AJ234" i="12" s="1"/>
  <c r="AH235" i="12"/>
  <c r="BG229" i="12"/>
  <c r="BG230" i="12"/>
  <c r="BG231" i="12"/>
  <c r="AO35" i="12"/>
  <c r="BI178" i="12"/>
  <c r="BJ128" i="12"/>
  <c r="BI129" i="12"/>
  <c r="BI130" i="12"/>
  <c r="BI131" i="12"/>
  <c r="BI132" i="12"/>
  <c r="BI133" i="12"/>
  <c r="AO185" i="12"/>
  <c r="AO136" i="12"/>
  <c r="BI135" i="12"/>
  <c r="BJ135" i="12"/>
  <c r="C282" i="11"/>
  <c r="C33" i="11"/>
  <c r="V290" i="10"/>
  <c r="V309" i="10"/>
  <c r="V281" i="10"/>
  <c r="V289" i="10"/>
  <c r="V295" i="10"/>
  <c r="V303" i="10"/>
  <c r="V315" i="10"/>
  <c r="V171" i="10"/>
  <c r="V282" i="10"/>
  <c r="V308" i="10"/>
  <c r="AO231" i="10"/>
  <c r="AI231" i="10"/>
  <c r="AJ231" i="10" s="1"/>
  <c r="AH232" i="10"/>
  <c r="V284" i="10"/>
  <c r="V292" i="10"/>
  <c r="V298" i="10"/>
  <c r="V310" i="10"/>
  <c r="V316" i="10"/>
  <c r="BC228" i="10"/>
  <c r="BC229" i="10" s="1"/>
  <c r="BC179" i="10"/>
  <c r="V296" i="10"/>
  <c r="V285" i="10"/>
  <c r="V293" i="10"/>
  <c r="V299" i="10"/>
  <c r="V305" i="10"/>
  <c r="V317" i="10"/>
  <c r="AO33" i="10"/>
  <c r="V312" i="10"/>
  <c r="AO182" i="10"/>
  <c r="AO133" i="10"/>
  <c r="V291" i="10"/>
  <c r="AI181" i="10"/>
  <c r="AJ181" i="10" s="1"/>
  <c r="AH182" i="10"/>
  <c r="V221" i="10"/>
  <c r="V286" i="10"/>
  <c r="V306" i="10"/>
  <c r="V300" i="10"/>
  <c r="V307" i="10"/>
  <c r="V318" i="10"/>
  <c r="AO230" i="10"/>
  <c r="BD180" i="10"/>
  <c r="AH132" i="10"/>
  <c r="AI131" i="10"/>
  <c r="AJ131" i="10" s="1"/>
  <c r="V297" i="10"/>
  <c r="V279" i="10"/>
  <c r="V304" i="10"/>
  <c r="V313" i="10"/>
  <c r="V319" i="10"/>
  <c r="V271" i="10"/>
  <c r="V283" i="10"/>
  <c r="V311" i="10"/>
  <c r="BD178" i="10"/>
  <c r="BE128" i="10"/>
  <c r="BD129" i="10"/>
  <c r="V287" i="10"/>
  <c r="V301" i="10"/>
  <c r="V280" i="10"/>
  <c r="V288" i="10"/>
  <c r="V294" i="10"/>
  <c r="V302" i="10"/>
  <c r="V314" i="10"/>
  <c r="AI235" i="12" l="1"/>
  <c r="AJ235" i="12" s="1"/>
  <c r="AH236" i="12"/>
  <c r="AH138" i="12"/>
  <c r="AI137" i="12"/>
  <c r="AJ137" i="12" s="1"/>
  <c r="BJ178" i="12"/>
  <c r="BK128" i="12"/>
  <c r="BJ129" i="12"/>
  <c r="BJ130" i="12"/>
  <c r="BJ131" i="12"/>
  <c r="BJ132" i="12"/>
  <c r="BJ133" i="12"/>
  <c r="BJ134" i="12"/>
  <c r="AO36" i="12"/>
  <c r="BH229" i="12"/>
  <c r="BH230" i="12"/>
  <c r="BH231" i="12"/>
  <c r="BH232" i="12"/>
  <c r="BI228" i="12"/>
  <c r="BI234" i="12" s="1"/>
  <c r="BI179" i="12"/>
  <c r="BI180" i="12"/>
  <c r="BI181" i="12"/>
  <c r="BI182" i="12"/>
  <c r="BI183" i="12"/>
  <c r="BI184" i="12"/>
  <c r="AI186" i="12"/>
  <c r="AJ186" i="12" s="1"/>
  <c r="AH187" i="12"/>
  <c r="BH234" i="12"/>
  <c r="AO186" i="12"/>
  <c r="BJ136" i="12"/>
  <c r="AO137" i="12"/>
  <c r="AO235" i="12"/>
  <c r="BI185" i="12"/>
  <c r="BJ185" i="12"/>
  <c r="C283" i="11"/>
  <c r="C34" i="11"/>
  <c r="AH133" i="10"/>
  <c r="AI132" i="10"/>
  <c r="AJ132" i="10" s="1"/>
  <c r="AO183" i="10"/>
  <c r="AO134" i="10"/>
  <c r="AO34" i="10"/>
  <c r="AO232" i="10"/>
  <c r="AI182" i="10"/>
  <c r="AJ182" i="10" s="1"/>
  <c r="AH183" i="10"/>
  <c r="AI232" i="10"/>
  <c r="AJ232" i="10" s="1"/>
  <c r="AH233" i="10"/>
  <c r="BE178" i="10"/>
  <c r="BF128" i="10"/>
  <c r="BE129" i="10"/>
  <c r="BE131" i="10"/>
  <c r="BE130" i="10"/>
  <c r="BD228" i="10"/>
  <c r="BD229" i="10" s="1"/>
  <c r="BD179" i="10"/>
  <c r="AO187" i="12" l="1"/>
  <c r="BK137" i="12"/>
  <c r="AO138" i="12"/>
  <c r="AO236" i="12"/>
  <c r="BK186" i="12"/>
  <c r="BJ186" i="12"/>
  <c r="AI236" i="12"/>
  <c r="AJ236" i="12" s="1"/>
  <c r="AH237" i="12"/>
  <c r="AI187" i="12"/>
  <c r="AJ187" i="12" s="1"/>
  <c r="AH188" i="12"/>
  <c r="BK178" i="12"/>
  <c r="BK129" i="12"/>
  <c r="BL128" i="12"/>
  <c r="BL137" i="12" s="1"/>
  <c r="BK130" i="12"/>
  <c r="BK131" i="12"/>
  <c r="BK132" i="12"/>
  <c r="BK133" i="12"/>
  <c r="BK134" i="12"/>
  <c r="BK135" i="12"/>
  <c r="BI235" i="12"/>
  <c r="AO37" i="12"/>
  <c r="AI138" i="12"/>
  <c r="AJ138" i="12" s="1"/>
  <c r="AH139" i="12"/>
  <c r="BI229" i="12"/>
  <c r="BI230" i="12"/>
  <c r="BI231" i="12"/>
  <c r="BI232" i="12"/>
  <c r="BI233" i="12"/>
  <c r="BJ228" i="12"/>
  <c r="BJ235" i="12" s="1"/>
  <c r="BJ179" i="12"/>
  <c r="BJ180" i="12"/>
  <c r="BJ181" i="12"/>
  <c r="BJ182" i="12"/>
  <c r="BJ183" i="12"/>
  <c r="BJ184" i="12"/>
  <c r="BK136" i="12"/>
  <c r="C284" i="11"/>
  <c r="C35" i="11"/>
  <c r="AI183" i="10"/>
  <c r="AJ183" i="10" s="1"/>
  <c r="AH184" i="10"/>
  <c r="AO35" i="10"/>
  <c r="AO184" i="10"/>
  <c r="AO135" i="10"/>
  <c r="BF178" i="10"/>
  <c r="BG128" i="10"/>
  <c r="BF129" i="10"/>
  <c r="BF131" i="10"/>
  <c r="BF130" i="10"/>
  <c r="BF132" i="10"/>
  <c r="AI233" i="10"/>
  <c r="AJ233" i="10" s="1"/>
  <c r="AH234" i="10"/>
  <c r="BE228" i="10"/>
  <c r="BE179" i="10"/>
  <c r="BE181" i="10"/>
  <c r="BE180" i="10"/>
  <c r="AO233" i="10"/>
  <c r="BD230" i="10"/>
  <c r="AH134" i="10"/>
  <c r="AI133" i="10"/>
  <c r="AJ133" i="10" s="1"/>
  <c r="AO237" i="12" l="1"/>
  <c r="BK187" i="12"/>
  <c r="AI237" i="12"/>
  <c r="AJ237" i="12" s="1"/>
  <c r="AH238" i="12"/>
  <c r="AH140" i="12"/>
  <c r="AI139" i="12"/>
  <c r="AJ139" i="12" s="1"/>
  <c r="AO38" i="12"/>
  <c r="BK228" i="12"/>
  <c r="BK179" i="12"/>
  <c r="BK180" i="12"/>
  <c r="BK181" i="12"/>
  <c r="BK182" i="12"/>
  <c r="BK183" i="12"/>
  <c r="BK184" i="12"/>
  <c r="BK185" i="12"/>
  <c r="BL178" i="12"/>
  <c r="BL187" i="12" s="1"/>
  <c r="BM128" i="12"/>
  <c r="BM138" i="12" s="1"/>
  <c r="BL129" i="12"/>
  <c r="BL130" i="12"/>
  <c r="BL131" i="12"/>
  <c r="BL132" i="12"/>
  <c r="BL133" i="12"/>
  <c r="BL134" i="12"/>
  <c r="BL135" i="12"/>
  <c r="BL136" i="12"/>
  <c r="BK236" i="12"/>
  <c r="BJ236" i="12"/>
  <c r="AO188" i="12"/>
  <c r="BL138" i="12"/>
  <c r="AO139" i="12"/>
  <c r="BJ229" i="12"/>
  <c r="BJ230" i="12"/>
  <c r="BJ231" i="12"/>
  <c r="BJ232" i="12"/>
  <c r="BJ233" i="12"/>
  <c r="BJ234" i="12"/>
  <c r="AI188" i="12"/>
  <c r="AJ188" i="12" s="1"/>
  <c r="AH189" i="12"/>
  <c r="C285" i="11"/>
  <c r="C36" i="11"/>
  <c r="BG178" i="10"/>
  <c r="BG129" i="10"/>
  <c r="BH128" i="10"/>
  <c r="BG130" i="10"/>
  <c r="BG131" i="10"/>
  <c r="BG132" i="10"/>
  <c r="BG133" i="10"/>
  <c r="BE229" i="10"/>
  <c r="BE230" i="10"/>
  <c r="BE231" i="10"/>
  <c r="BF228" i="10"/>
  <c r="BF179" i="10"/>
  <c r="BF180" i="10"/>
  <c r="BF181" i="10"/>
  <c r="BF182" i="10"/>
  <c r="AO234" i="10"/>
  <c r="AH135" i="10"/>
  <c r="AI134" i="10"/>
  <c r="AJ134" i="10" s="1"/>
  <c r="AI234" i="10"/>
  <c r="AJ234" i="10" s="1"/>
  <c r="AH235" i="10"/>
  <c r="AO185" i="10"/>
  <c r="AO136" i="10"/>
  <c r="AO36" i="10"/>
  <c r="AI184" i="10"/>
  <c r="AJ184" i="10" s="1"/>
  <c r="AH185" i="10"/>
  <c r="BK229" i="12" l="1"/>
  <c r="BK230" i="12"/>
  <c r="BK231" i="12"/>
  <c r="BK232" i="12"/>
  <c r="BK233" i="12"/>
  <c r="BK234" i="12"/>
  <c r="BK235" i="12"/>
  <c r="AO238" i="12"/>
  <c r="BL188" i="12"/>
  <c r="AO39" i="12"/>
  <c r="AH141" i="12"/>
  <c r="AI140" i="12"/>
  <c r="AJ140" i="12" s="1"/>
  <c r="AI189" i="12"/>
  <c r="AJ189" i="12" s="1"/>
  <c r="AH190" i="12"/>
  <c r="AH239" i="12"/>
  <c r="AI238" i="12"/>
  <c r="AJ238" i="12" s="1"/>
  <c r="AO189" i="12"/>
  <c r="AO140" i="12"/>
  <c r="BM139" i="12"/>
  <c r="BM129" i="12"/>
  <c r="BM178" i="12"/>
  <c r="BN128" i="12"/>
  <c r="BN139" i="12" s="1"/>
  <c r="BM130" i="12"/>
  <c r="BM131" i="12"/>
  <c r="BM132" i="12"/>
  <c r="BM133" i="12"/>
  <c r="BM134" i="12"/>
  <c r="BM135" i="12"/>
  <c r="BM136" i="12"/>
  <c r="BM137" i="12"/>
  <c r="BL228" i="12"/>
  <c r="BL237" i="12" s="1"/>
  <c r="BL179" i="12"/>
  <c r="BL180" i="12"/>
  <c r="BL181" i="12"/>
  <c r="BL182" i="12"/>
  <c r="BL183" i="12"/>
  <c r="BL184" i="12"/>
  <c r="BL185" i="12"/>
  <c r="BL186" i="12"/>
  <c r="BK237" i="12"/>
  <c r="C286" i="11"/>
  <c r="C37" i="11"/>
  <c r="AO186" i="10"/>
  <c r="AO137" i="10"/>
  <c r="AI135" i="10"/>
  <c r="AJ135" i="10" s="1"/>
  <c r="AH136" i="10"/>
  <c r="AO235" i="10"/>
  <c r="BG228" i="10"/>
  <c r="BG179" i="10"/>
  <c r="BG180" i="10"/>
  <c r="BG181" i="10"/>
  <c r="BG182" i="10"/>
  <c r="BG183" i="10"/>
  <c r="AH236" i="10"/>
  <c r="AI235" i="10"/>
  <c r="AJ235" i="10" s="1"/>
  <c r="BH178" i="10"/>
  <c r="BH129" i="10"/>
  <c r="BI128" i="10"/>
  <c r="BH131" i="10"/>
  <c r="BH130" i="10"/>
  <c r="BH132" i="10"/>
  <c r="BH133" i="10"/>
  <c r="BH134" i="10"/>
  <c r="BF229" i="10"/>
  <c r="BF231" i="10"/>
  <c r="BF230" i="10"/>
  <c r="BF232" i="10"/>
  <c r="AI185" i="10"/>
  <c r="AJ185" i="10" s="1"/>
  <c r="AH186" i="10"/>
  <c r="AO37" i="10"/>
  <c r="AH142" i="12" l="1"/>
  <c r="AI141" i="12"/>
  <c r="AJ141" i="12" s="1"/>
  <c r="BM228" i="12"/>
  <c r="BM179" i="12"/>
  <c r="BM180" i="12"/>
  <c r="BM181" i="12"/>
  <c r="BM182" i="12"/>
  <c r="BM183" i="12"/>
  <c r="BM184" i="12"/>
  <c r="BM185" i="12"/>
  <c r="BM186" i="12"/>
  <c r="BM187" i="12"/>
  <c r="AO40" i="12"/>
  <c r="AO190" i="12"/>
  <c r="AO141" i="12"/>
  <c r="BN140" i="12"/>
  <c r="AO239" i="12"/>
  <c r="BM189" i="12"/>
  <c r="AH240" i="12"/>
  <c r="AI239" i="12"/>
  <c r="AJ239" i="12" s="1"/>
  <c r="BL229" i="12"/>
  <c r="BL230" i="12"/>
  <c r="BL231" i="12"/>
  <c r="BL232" i="12"/>
  <c r="BL233" i="12"/>
  <c r="BL234" i="12"/>
  <c r="BL235" i="12"/>
  <c r="BL236" i="12"/>
  <c r="AI190" i="12"/>
  <c r="AJ190" i="12" s="1"/>
  <c r="AH191" i="12"/>
  <c r="BM188" i="12"/>
  <c r="BL238" i="12"/>
  <c r="BM238" i="12"/>
  <c r="BN178" i="12"/>
  <c r="BO128" i="12"/>
  <c r="BO140" i="12" s="1"/>
  <c r="BN129" i="12"/>
  <c r="BN130" i="12"/>
  <c r="BN131" i="12"/>
  <c r="BN132" i="12"/>
  <c r="BN133" i="12"/>
  <c r="BN134" i="12"/>
  <c r="BN135" i="12"/>
  <c r="BN136" i="12"/>
  <c r="BN137" i="12"/>
  <c r="BN138" i="12"/>
  <c r="C287" i="11"/>
  <c r="C38" i="11"/>
  <c r="BG229" i="10"/>
  <c r="BG231" i="10"/>
  <c r="BG230" i="10"/>
  <c r="BG232" i="10"/>
  <c r="BG233" i="10"/>
  <c r="AI236" i="10"/>
  <c r="AJ236" i="10" s="1"/>
  <c r="AH237" i="10"/>
  <c r="BI178" i="10"/>
  <c r="BI129" i="10"/>
  <c r="BJ128" i="10"/>
  <c r="BI131" i="10"/>
  <c r="BI130" i="10"/>
  <c r="BI132" i="10"/>
  <c r="BI133" i="10"/>
  <c r="BI134" i="10"/>
  <c r="BI135" i="10"/>
  <c r="AH187" i="10"/>
  <c r="AI186" i="10"/>
  <c r="AJ186" i="10" s="1"/>
  <c r="AO236" i="10"/>
  <c r="AO38" i="10"/>
  <c r="BH228" i="10"/>
  <c r="BH179" i="10"/>
  <c r="BH181" i="10"/>
  <c r="BH180" i="10"/>
  <c r="BH182" i="10"/>
  <c r="BH183" i="10"/>
  <c r="BH184" i="10"/>
  <c r="AO187" i="10"/>
  <c r="AO138" i="10"/>
  <c r="AH137" i="10"/>
  <c r="AI136" i="10"/>
  <c r="AJ136" i="10" s="1"/>
  <c r="BN228" i="12" l="1"/>
  <c r="BN179" i="12"/>
  <c r="BN180" i="12"/>
  <c r="BN181" i="12"/>
  <c r="BN182" i="12"/>
  <c r="BN183" i="12"/>
  <c r="BN184" i="12"/>
  <c r="BN185" i="12"/>
  <c r="BN186" i="12"/>
  <c r="BN187" i="12"/>
  <c r="BN188" i="12"/>
  <c r="BM239" i="12"/>
  <c r="BN239" i="12"/>
  <c r="BO178" i="12"/>
  <c r="BO129" i="12"/>
  <c r="BP128" i="12"/>
  <c r="BO130" i="12"/>
  <c r="BO131" i="12"/>
  <c r="BO132" i="12"/>
  <c r="BO133" i="12"/>
  <c r="BO134" i="12"/>
  <c r="BO135" i="12"/>
  <c r="BO136" i="12"/>
  <c r="BO137" i="12"/>
  <c r="BO138" i="12"/>
  <c r="BO139" i="12"/>
  <c r="AI191" i="12"/>
  <c r="AJ191" i="12" s="1"/>
  <c r="AH192" i="12"/>
  <c r="AH143" i="12"/>
  <c r="AI142" i="12"/>
  <c r="AJ142" i="12" s="1"/>
  <c r="AO240" i="12"/>
  <c r="BO190" i="12"/>
  <c r="BN190" i="12"/>
  <c r="BN189" i="12"/>
  <c r="BM229" i="12"/>
  <c r="BM230" i="12"/>
  <c r="BM231" i="12"/>
  <c r="BM232" i="12"/>
  <c r="BM233" i="12"/>
  <c r="BM234" i="12"/>
  <c r="BM235" i="12"/>
  <c r="BM236" i="12"/>
  <c r="BM237" i="12"/>
  <c r="AO41" i="12"/>
  <c r="AO191" i="12"/>
  <c r="BP141" i="12"/>
  <c r="BO141" i="12"/>
  <c r="AO142" i="12"/>
  <c r="AH241" i="12"/>
  <c r="AI240" i="12"/>
  <c r="AJ240" i="12" s="1"/>
  <c r="C288" i="11"/>
  <c r="C39" i="11"/>
  <c r="AO39" i="10"/>
  <c r="AH188" i="10"/>
  <c r="AI187" i="10"/>
  <c r="AJ187" i="10" s="1"/>
  <c r="AH138" i="10"/>
  <c r="AI137" i="10"/>
  <c r="AJ137" i="10" s="1"/>
  <c r="BH229" i="10"/>
  <c r="BH230" i="10"/>
  <c r="BH231" i="10"/>
  <c r="BH232" i="10"/>
  <c r="BH233" i="10"/>
  <c r="BH234" i="10"/>
  <c r="BJ178" i="10"/>
  <c r="BK128" i="10"/>
  <c r="BJ129" i="10"/>
  <c r="BJ131" i="10"/>
  <c r="BJ130" i="10"/>
  <c r="BJ132" i="10"/>
  <c r="BJ133" i="10"/>
  <c r="BJ134" i="10"/>
  <c r="BJ135" i="10"/>
  <c r="BJ136" i="10"/>
  <c r="AO188" i="10"/>
  <c r="AO139" i="10"/>
  <c r="AO237" i="10"/>
  <c r="BI228" i="10"/>
  <c r="BI179" i="10"/>
  <c r="BI180" i="10"/>
  <c r="BI181" i="10"/>
  <c r="BI182" i="10"/>
  <c r="BI183" i="10"/>
  <c r="BI184" i="10"/>
  <c r="BI185" i="10"/>
  <c r="AI237" i="10"/>
  <c r="AJ237" i="10" s="1"/>
  <c r="AH238" i="10"/>
  <c r="AO241" i="12" l="1"/>
  <c r="BO191" i="12"/>
  <c r="AH242" i="12"/>
  <c r="AI241" i="12"/>
  <c r="AJ241" i="12" s="1"/>
  <c r="AO192" i="12"/>
  <c r="AO143" i="12"/>
  <c r="BP142" i="12"/>
  <c r="BN240" i="12"/>
  <c r="BP178" i="12"/>
  <c r="BP191" i="12" s="1"/>
  <c r="BQ128" i="12"/>
  <c r="BQ142" i="12" s="1"/>
  <c r="BP129" i="12"/>
  <c r="BP130" i="12"/>
  <c r="BP131" i="12"/>
  <c r="BP132" i="12"/>
  <c r="BP133" i="12"/>
  <c r="BP134" i="12"/>
  <c r="BP135" i="12"/>
  <c r="BP136" i="12"/>
  <c r="BP137" i="12"/>
  <c r="BP138" i="12"/>
  <c r="BP139" i="12"/>
  <c r="BP140" i="12"/>
  <c r="BN229" i="12"/>
  <c r="BN230" i="12"/>
  <c r="BN231" i="12"/>
  <c r="BN232" i="12"/>
  <c r="BN233" i="12"/>
  <c r="BN234" i="12"/>
  <c r="BN235" i="12"/>
  <c r="BN236" i="12"/>
  <c r="BN237" i="12"/>
  <c r="BN238" i="12"/>
  <c r="AI143" i="12"/>
  <c r="AJ143" i="12" s="1"/>
  <c r="AH144" i="12"/>
  <c r="AO42" i="12"/>
  <c r="BO228" i="12"/>
  <c r="BO240" i="12" s="1"/>
  <c r="BO179" i="12"/>
  <c r="BO180" i="12"/>
  <c r="BO181" i="12"/>
  <c r="BO182" i="12"/>
  <c r="BO183" i="12"/>
  <c r="BO184" i="12"/>
  <c r="BO185" i="12"/>
  <c r="BO186" i="12"/>
  <c r="BO187" i="12"/>
  <c r="BO188" i="12"/>
  <c r="BO189" i="12"/>
  <c r="AI192" i="12"/>
  <c r="AJ192" i="12" s="1"/>
  <c r="AH193" i="12"/>
  <c r="C289" i="11"/>
  <c r="C40" i="11"/>
  <c r="AO189" i="10"/>
  <c r="AO140" i="10"/>
  <c r="BI229" i="10"/>
  <c r="BI230" i="10"/>
  <c r="BI231" i="10"/>
  <c r="BI232" i="10"/>
  <c r="BI233" i="10"/>
  <c r="BI234" i="10"/>
  <c r="BI235" i="10"/>
  <c r="AH189" i="10"/>
  <c r="AI188" i="10"/>
  <c r="AJ188" i="10" s="1"/>
  <c r="AO238" i="10"/>
  <c r="AH239" i="10"/>
  <c r="AI238" i="10"/>
  <c r="AJ238" i="10" s="1"/>
  <c r="BK178" i="10"/>
  <c r="BL128" i="10"/>
  <c r="BK129" i="10"/>
  <c r="BK131" i="10"/>
  <c r="BK130" i="10"/>
  <c r="BK132" i="10"/>
  <c r="BK133" i="10"/>
  <c r="BK134" i="10"/>
  <c r="BK135" i="10"/>
  <c r="BK136" i="10"/>
  <c r="BK137" i="10"/>
  <c r="AH139" i="10"/>
  <c r="AI138" i="10"/>
  <c r="AJ138" i="10" s="1"/>
  <c r="BJ228" i="10"/>
  <c r="BJ179" i="10"/>
  <c r="BJ181" i="10"/>
  <c r="BJ180" i="10"/>
  <c r="BJ182" i="10"/>
  <c r="BJ183" i="10"/>
  <c r="BJ184" i="10"/>
  <c r="BJ185" i="10"/>
  <c r="BJ186" i="10"/>
  <c r="AO40" i="10"/>
  <c r="AO43" i="12" l="1"/>
  <c r="AO242" i="12"/>
  <c r="BP192" i="12"/>
  <c r="AI193" i="12"/>
  <c r="AJ193" i="12" s="1"/>
  <c r="AH194" i="12"/>
  <c r="BO229" i="12"/>
  <c r="BO230" i="12"/>
  <c r="BO231" i="12"/>
  <c r="BO232" i="12"/>
  <c r="BO233" i="12"/>
  <c r="BO234" i="12"/>
  <c r="BO235" i="12"/>
  <c r="BO236" i="12"/>
  <c r="BO237" i="12"/>
  <c r="BO238" i="12"/>
  <c r="BO239" i="12"/>
  <c r="AH145" i="12"/>
  <c r="AI144" i="12"/>
  <c r="AJ144" i="12" s="1"/>
  <c r="AH243" i="12"/>
  <c r="AI242" i="12"/>
  <c r="AJ242" i="12" s="1"/>
  <c r="BQ178" i="12"/>
  <c r="BR128" i="12"/>
  <c r="BR143" i="12" s="1"/>
  <c r="BQ129" i="12"/>
  <c r="BQ130" i="12"/>
  <c r="BQ131" i="12"/>
  <c r="BQ132" i="12"/>
  <c r="BQ133" i="12"/>
  <c r="BQ134" i="12"/>
  <c r="BQ135" i="12"/>
  <c r="BQ136" i="12"/>
  <c r="BQ137" i="12"/>
  <c r="BQ138" i="12"/>
  <c r="BQ139" i="12"/>
  <c r="BQ140" i="12"/>
  <c r="BQ141" i="12"/>
  <c r="BO241" i="12"/>
  <c r="BP241" i="12"/>
  <c r="BP228" i="12"/>
  <c r="BP179" i="12"/>
  <c r="BP180" i="12"/>
  <c r="BP181" i="12"/>
  <c r="BP182" i="12"/>
  <c r="BP183" i="12"/>
  <c r="BP184" i="12"/>
  <c r="BP185" i="12"/>
  <c r="BP186" i="12"/>
  <c r="BP187" i="12"/>
  <c r="BP188" i="12"/>
  <c r="BP189" i="12"/>
  <c r="BP190" i="12"/>
  <c r="AO193" i="12"/>
  <c r="AO144" i="12"/>
  <c r="BQ143" i="12"/>
  <c r="C290" i="11"/>
  <c r="C41" i="11"/>
  <c r="AI239" i="10"/>
  <c r="AJ239" i="10" s="1"/>
  <c r="AH240" i="10"/>
  <c r="BL178" i="10"/>
  <c r="BM128" i="10"/>
  <c r="BL129" i="10"/>
  <c r="BL130" i="10"/>
  <c r="BL131" i="10"/>
  <c r="BL132" i="10"/>
  <c r="BL133" i="10"/>
  <c r="BL134" i="10"/>
  <c r="BL135" i="10"/>
  <c r="BL136" i="10"/>
  <c r="BL137" i="10"/>
  <c r="BL138" i="10"/>
  <c r="BJ229" i="10"/>
  <c r="BJ230" i="10"/>
  <c r="BJ231" i="10"/>
  <c r="BJ232" i="10"/>
  <c r="BJ233" i="10"/>
  <c r="BJ234" i="10"/>
  <c r="BJ235" i="10"/>
  <c r="BJ236" i="10"/>
  <c r="BK228" i="10"/>
  <c r="BK179" i="10"/>
  <c r="BK181" i="10"/>
  <c r="BK180" i="10"/>
  <c r="BK182" i="10"/>
  <c r="BK183" i="10"/>
  <c r="BK184" i="10"/>
  <c r="BK185" i="10"/>
  <c r="BK186" i="10"/>
  <c r="BK187" i="10"/>
  <c r="AO239" i="10"/>
  <c r="AI189" i="10"/>
  <c r="AJ189" i="10" s="1"/>
  <c r="AH190" i="10"/>
  <c r="AO41" i="10"/>
  <c r="AH140" i="10"/>
  <c r="AI139" i="10"/>
  <c r="AJ139" i="10" s="1"/>
  <c r="AO190" i="10"/>
  <c r="AO141" i="10"/>
  <c r="BP229" i="12" l="1"/>
  <c r="BP230" i="12"/>
  <c r="BP231" i="12"/>
  <c r="BP232" i="12"/>
  <c r="BP233" i="12"/>
  <c r="BP234" i="12"/>
  <c r="BP235" i="12"/>
  <c r="BP236" i="12"/>
  <c r="BP237" i="12"/>
  <c r="BP238" i="12"/>
  <c r="BP239" i="12"/>
  <c r="BP240" i="12"/>
  <c r="AH244" i="12"/>
  <c r="AI243" i="12"/>
  <c r="AJ243" i="12" s="1"/>
  <c r="BR178" i="12"/>
  <c r="BR193" i="12" s="1"/>
  <c r="BS128" i="12"/>
  <c r="BR129" i="12"/>
  <c r="BR130" i="12"/>
  <c r="BR131" i="12"/>
  <c r="BR132" i="12"/>
  <c r="BR133" i="12"/>
  <c r="BR134" i="12"/>
  <c r="BR135" i="12"/>
  <c r="BR136" i="12"/>
  <c r="BR137" i="12"/>
  <c r="BR138" i="12"/>
  <c r="BR139" i="12"/>
  <c r="BR140" i="12"/>
  <c r="BR141" i="12"/>
  <c r="BR142" i="12"/>
  <c r="BQ228" i="12"/>
  <c r="BQ242" i="12" s="1"/>
  <c r="BQ179" i="12"/>
  <c r="BQ180" i="12"/>
  <c r="BQ181" i="12"/>
  <c r="BQ182" i="12"/>
  <c r="BQ183" i="12"/>
  <c r="BQ184" i="12"/>
  <c r="BQ185" i="12"/>
  <c r="BQ186" i="12"/>
  <c r="BQ187" i="12"/>
  <c r="BQ188" i="12"/>
  <c r="BQ189" i="12"/>
  <c r="BQ190" i="12"/>
  <c r="BQ191" i="12"/>
  <c r="AI145" i="12"/>
  <c r="AJ145" i="12" s="1"/>
  <c r="AH146" i="12"/>
  <c r="BQ192" i="12"/>
  <c r="AO194" i="12"/>
  <c r="BS144" i="12"/>
  <c r="BR144" i="12"/>
  <c r="AO145" i="12"/>
  <c r="AO243" i="12"/>
  <c r="BQ193" i="12"/>
  <c r="AI194" i="12"/>
  <c r="AJ194" i="12" s="1"/>
  <c r="AH195" i="12"/>
  <c r="BP242" i="12"/>
  <c r="AO44" i="12"/>
  <c r="C291" i="11"/>
  <c r="C42" i="11"/>
  <c r="AH141" i="10"/>
  <c r="AI140" i="10"/>
  <c r="AJ140" i="10" s="1"/>
  <c r="AO191" i="10"/>
  <c r="AO142" i="10"/>
  <c r="AI190" i="10"/>
  <c r="AJ190" i="10" s="1"/>
  <c r="AH191" i="10"/>
  <c r="BK229" i="10"/>
  <c r="BK231" i="10"/>
  <c r="BK230" i="10"/>
  <c r="BK232" i="10"/>
  <c r="BK233" i="10"/>
  <c r="BK234" i="10"/>
  <c r="BK235" i="10"/>
  <c r="BK236" i="10"/>
  <c r="BK237" i="10"/>
  <c r="BL228" i="10"/>
  <c r="BL179" i="10"/>
  <c r="BL181" i="10"/>
  <c r="BL180" i="10"/>
  <c r="BL182" i="10"/>
  <c r="BL183" i="10"/>
  <c r="BL184" i="10"/>
  <c r="BL185" i="10"/>
  <c r="BL186" i="10"/>
  <c r="BL187" i="10"/>
  <c r="BL188" i="10"/>
  <c r="AO240" i="10"/>
  <c r="AH241" i="10"/>
  <c r="AI240" i="10"/>
  <c r="AJ240" i="10" s="1"/>
  <c r="AO42" i="10"/>
  <c r="BM178" i="10"/>
  <c r="BN128" i="10"/>
  <c r="BM129" i="10"/>
  <c r="BM131" i="10"/>
  <c r="BM130" i="10"/>
  <c r="BM132" i="10"/>
  <c r="BM133" i="10"/>
  <c r="BM134" i="10"/>
  <c r="BM135" i="10"/>
  <c r="BM136" i="10"/>
  <c r="BM137" i="10"/>
  <c r="BM138" i="10"/>
  <c r="BM139" i="10"/>
  <c r="BS178" i="12" l="1"/>
  <c r="BS194" i="12" s="1"/>
  <c r="BS129" i="12"/>
  <c r="BS130" i="12"/>
  <c r="BT128" i="12"/>
  <c r="BS131" i="12"/>
  <c r="BS132" i="12"/>
  <c r="BS133" i="12"/>
  <c r="BS134" i="12"/>
  <c r="BS135" i="12"/>
  <c r="BS136" i="12"/>
  <c r="BS137" i="12"/>
  <c r="BS138" i="12"/>
  <c r="BS139" i="12"/>
  <c r="BS140" i="12"/>
  <c r="BS141" i="12"/>
  <c r="BS142" i="12"/>
  <c r="BS143" i="12"/>
  <c r="AO244" i="12"/>
  <c r="BR194" i="12"/>
  <c r="AO45" i="12"/>
  <c r="BQ243" i="12"/>
  <c r="BQ229" i="12"/>
  <c r="BQ230" i="12"/>
  <c r="BQ231" i="12"/>
  <c r="BQ232" i="12"/>
  <c r="BQ233" i="12"/>
  <c r="BQ234" i="12"/>
  <c r="BQ235" i="12"/>
  <c r="BQ236" i="12"/>
  <c r="BQ237" i="12"/>
  <c r="BQ238" i="12"/>
  <c r="BQ239" i="12"/>
  <c r="BQ240" i="12"/>
  <c r="BQ241" i="12"/>
  <c r="AI195" i="12"/>
  <c r="AJ195" i="12" s="1"/>
  <c r="AH196" i="12"/>
  <c r="AH147" i="12"/>
  <c r="AI146" i="12"/>
  <c r="AJ146" i="12" s="1"/>
  <c r="BR228" i="12"/>
  <c r="BR179" i="12"/>
  <c r="BR180" i="12"/>
  <c r="BR181" i="12"/>
  <c r="BR182" i="12"/>
  <c r="BR183" i="12"/>
  <c r="BR184" i="12"/>
  <c r="BR185" i="12"/>
  <c r="BR186" i="12"/>
  <c r="BR187" i="12"/>
  <c r="BR188" i="12"/>
  <c r="BR189" i="12"/>
  <c r="BR190" i="12"/>
  <c r="BR191" i="12"/>
  <c r="BR192" i="12"/>
  <c r="AO195" i="12"/>
  <c r="AO146" i="12"/>
  <c r="BS145" i="12"/>
  <c r="AH245" i="12"/>
  <c r="AI244" i="12"/>
  <c r="AJ244" i="12" s="1"/>
  <c r="C292" i="11"/>
  <c r="C43" i="11"/>
  <c r="AO43" i="10"/>
  <c r="AI191" i="10"/>
  <c r="AJ191" i="10" s="1"/>
  <c r="AH192" i="10"/>
  <c r="AO241" i="10"/>
  <c r="BL229" i="10"/>
  <c r="BL230" i="10"/>
  <c r="BL231" i="10"/>
  <c r="BL232" i="10"/>
  <c r="BL233" i="10"/>
  <c r="BL234" i="10"/>
  <c r="BL235" i="10"/>
  <c r="BL236" i="10"/>
  <c r="BL237" i="10"/>
  <c r="BL238" i="10"/>
  <c r="AO192" i="10"/>
  <c r="AO143" i="10"/>
  <c r="AI241" i="10"/>
  <c r="AJ241" i="10" s="1"/>
  <c r="AH242" i="10"/>
  <c r="BN178" i="10"/>
  <c r="BO128" i="10"/>
  <c r="BN129" i="10"/>
  <c r="BN131" i="10"/>
  <c r="BN130" i="10"/>
  <c r="BN132" i="10"/>
  <c r="BN133" i="10"/>
  <c r="BN134" i="10"/>
  <c r="BN135" i="10"/>
  <c r="BN136" i="10"/>
  <c r="BN137" i="10"/>
  <c r="BN138" i="10"/>
  <c r="BN139" i="10"/>
  <c r="BN140" i="10"/>
  <c r="AH142" i="10"/>
  <c r="AI141" i="10"/>
  <c r="AJ141" i="10" s="1"/>
  <c r="BM228" i="10"/>
  <c r="BM179" i="10"/>
  <c r="BM181" i="10"/>
  <c r="BM180" i="10"/>
  <c r="BM182" i="10"/>
  <c r="BM183" i="10"/>
  <c r="BM184" i="10"/>
  <c r="BM185" i="10"/>
  <c r="BM186" i="10"/>
  <c r="BM187" i="10"/>
  <c r="BM188" i="10"/>
  <c r="BM189" i="10"/>
  <c r="AO196" i="12" l="1"/>
  <c r="AO147" i="12"/>
  <c r="BT146" i="12"/>
  <c r="AH246" i="12"/>
  <c r="AI245" i="12"/>
  <c r="AJ245" i="12" s="1"/>
  <c r="BR229" i="12"/>
  <c r="BR230" i="12"/>
  <c r="BR231" i="12"/>
  <c r="BR232" i="12"/>
  <c r="BR233" i="12"/>
  <c r="BR234" i="12"/>
  <c r="BR235" i="12"/>
  <c r="BR236" i="12"/>
  <c r="BR237" i="12"/>
  <c r="BR238" i="12"/>
  <c r="BR239" i="12"/>
  <c r="BR240" i="12"/>
  <c r="BR241" i="12"/>
  <c r="BR242" i="12"/>
  <c r="AH148" i="12"/>
  <c r="AI147" i="12"/>
  <c r="AJ147" i="12" s="1"/>
  <c r="AO46" i="12"/>
  <c r="BS228" i="12"/>
  <c r="BS179" i="12"/>
  <c r="BS180" i="12"/>
  <c r="BS181" i="12"/>
  <c r="BS182" i="12"/>
  <c r="BS183" i="12"/>
  <c r="BS184" i="12"/>
  <c r="BS185" i="12"/>
  <c r="BS186" i="12"/>
  <c r="BS187" i="12"/>
  <c r="BS188" i="12"/>
  <c r="BS189" i="12"/>
  <c r="BS190" i="12"/>
  <c r="BS191" i="12"/>
  <c r="BS192" i="12"/>
  <c r="BS193" i="12"/>
  <c r="AI196" i="12"/>
  <c r="AJ196" i="12" s="1"/>
  <c r="AH197" i="12"/>
  <c r="BR244" i="12"/>
  <c r="BR243" i="12"/>
  <c r="BT178" i="12"/>
  <c r="BU128" i="12"/>
  <c r="BT129" i="12"/>
  <c r="BT130" i="12"/>
  <c r="BT131" i="12"/>
  <c r="BT132" i="12"/>
  <c r="BT133" i="12"/>
  <c r="BT134" i="12"/>
  <c r="BT135" i="12"/>
  <c r="BT136" i="12"/>
  <c r="BT137" i="12"/>
  <c r="BT138" i="12"/>
  <c r="BT139" i="12"/>
  <c r="BT140" i="12"/>
  <c r="BT141" i="12"/>
  <c r="BT142" i="12"/>
  <c r="BT143" i="12"/>
  <c r="BT144" i="12"/>
  <c r="BT145" i="12"/>
  <c r="AO245" i="12"/>
  <c r="BS195" i="12"/>
  <c r="BT195" i="12"/>
  <c r="C293" i="11"/>
  <c r="C44" i="11"/>
  <c r="BM229" i="10"/>
  <c r="BM230" i="10"/>
  <c r="BM231" i="10"/>
  <c r="BM232" i="10"/>
  <c r="BM233" i="10"/>
  <c r="BM234" i="10"/>
  <c r="BM235" i="10"/>
  <c r="BM236" i="10"/>
  <c r="BM237" i="10"/>
  <c r="BM238" i="10"/>
  <c r="BM239" i="10"/>
  <c r="AO242" i="10"/>
  <c r="AO193" i="10"/>
  <c r="AO144" i="10"/>
  <c r="AH143" i="10"/>
  <c r="AI142" i="10"/>
  <c r="AJ142" i="10" s="1"/>
  <c r="BO178" i="10"/>
  <c r="BO129" i="10"/>
  <c r="BP128" i="10"/>
  <c r="BO130" i="10"/>
  <c r="BO131" i="10"/>
  <c r="BO132" i="10"/>
  <c r="BO133" i="10"/>
  <c r="BO134" i="10"/>
  <c r="BO135" i="10"/>
  <c r="BO136" i="10"/>
  <c r="BO137" i="10"/>
  <c r="BO138" i="10"/>
  <c r="BO139" i="10"/>
  <c r="BO140" i="10"/>
  <c r="BO141" i="10"/>
  <c r="BN228" i="10"/>
  <c r="BN179" i="10"/>
  <c r="BN180" i="10"/>
  <c r="BN181" i="10"/>
  <c r="BN182" i="10"/>
  <c r="BN183" i="10"/>
  <c r="BN184" i="10"/>
  <c r="BN185" i="10"/>
  <c r="BN186" i="10"/>
  <c r="BN187" i="10"/>
  <c r="BN188" i="10"/>
  <c r="BN189" i="10"/>
  <c r="BN190" i="10"/>
  <c r="AI192" i="10"/>
  <c r="AJ192" i="10" s="1"/>
  <c r="AH193" i="10"/>
  <c r="AH243" i="10"/>
  <c r="AI242" i="10"/>
  <c r="AJ242" i="10" s="1"/>
  <c r="AO44" i="10"/>
  <c r="AH247" i="12" l="1"/>
  <c r="AI246" i="12"/>
  <c r="AJ246" i="12" s="1"/>
  <c r="BS245" i="12"/>
  <c r="BU129" i="12"/>
  <c r="BU178" i="12"/>
  <c r="BV128" i="12"/>
  <c r="BV147" i="12" s="1"/>
  <c r="BU130" i="12"/>
  <c r="BU131" i="12"/>
  <c r="BU132" i="12"/>
  <c r="BU133" i="12"/>
  <c r="BU134" i="12"/>
  <c r="BU135" i="12"/>
  <c r="BU136" i="12"/>
  <c r="BU137" i="12"/>
  <c r="BU138" i="12"/>
  <c r="BU139" i="12"/>
  <c r="BU140" i="12"/>
  <c r="BU141" i="12"/>
  <c r="BU142" i="12"/>
  <c r="BU143" i="12"/>
  <c r="BU144" i="12"/>
  <c r="BU145" i="12"/>
  <c r="AH198" i="12"/>
  <c r="AI197" i="12"/>
  <c r="AJ197" i="12" s="1"/>
  <c r="AO47" i="12"/>
  <c r="AO197" i="12"/>
  <c r="BU147" i="12"/>
  <c r="AO148" i="12"/>
  <c r="BS229" i="12"/>
  <c r="BS230" i="12"/>
  <c r="BS231" i="12"/>
  <c r="BS232" i="12"/>
  <c r="BS233" i="12"/>
  <c r="BS234" i="12"/>
  <c r="BS235" i="12"/>
  <c r="BS236" i="12"/>
  <c r="BS237" i="12"/>
  <c r="BS238" i="12"/>
  <c r="BS239" i="12"/>
  <c r="BS240" i="12"/>
  <c r="BS241" i="12"/>
  <c r="BS242" i="12"/>
  <c r="BS243" i="12"/>
  <c r="BT228" i="12"/>
  <c r="BT179" i="12"/>
  <c r="BT180" i="12"/>
  <c r="BT181" i="12"/>
  <c r="BT182" i="12"/>
  <c r="BT183" i="12"/>
  <c r="BT184" i="12"/>
  <c r="BT185" i="12"/>
  <c r="BT186" i="12"/>
  <c r="BT187" i="12"/>
  <c r="BT188" i="12"/>
  <c r="BT189" i="12"/>
  <c r="BT190" i="12"/>
  <c r="BT191" i="12"/>
  <c r="BT192" i="12"/>
  <c r="BT193" i="12"/>
  <c r="BT194" i="12"/>
  <c r="BS244" i="12"/>
  <c r="BU146" i="12"/>
  <c r="AO246" i="12"/>
  <c r="BU196" i="12"/>
  <c r="BT196" i="12"/>
  <c r="AH149" i="12"/>
  <c r="AI148" i="12"/>
  <c r="AJ148" i="12" s="1"/>
  <c r="C294" i="11"/>
  <c r="C45" i="11"/>
  <c r="AH144" i="10"/>
  <c r="AI143" i="10"/>
  <c r="AJ143" i="10" s="1"/>
  <c r="AH244" i="10"/>
  <c r="AI243" i="10"/>
  <c r="AJ243" i="10" s="1"/>
  <c r="BN229" i="10"/>
  <c r="BN231" i="10"/>
  <c r="BN230" i="10"/>
  <c r="BN232" i="10"/>
  <c r="BN233" i="10"/>
  <c r="BN234" i="10"/>
  <c r="BN235" i="10"/>
  <c r="BN236" i="10"/>
  <c r="BN237" i="10"/>
  <c r="BN238" i="10"/>
  <c r="BN239" i="10"/>
  <c r="BN240" i="10"/>
  <c r="AO194" i="10"/>
  <c r="AO145" i="10"/>
  <c r="AO45" i="10"/>
  <c r="AI193" i="10"/>
  <c r="AJ193" i="10" s="1"/>
  <c r="AH194" i="10"/>
  <c r="BP178" i="10"/>
  <c r="BP129" i="10"/>
  <c r="BP130" i="10"/>
  <c r="BQ128" i="10"/>
  <c r="BP131" i="10"/>
  <c r="BP132" i="10"/>
  <c r="BP133" i="10"/>
  <c r="BP134" i="10"/>
  <c r="BP135" i="10"/>
  <c r="BP136" i="10"/>
  <c r="BP137" i="10"/>
  <c r="BP138" i="10"/>
  <c r="BP139" i="10"/>
  <c r="BP140" i="10"/>
  <c r="BP141" i="10"/>
  <c r="BP142" i="10"/>
  <c r="AO243" i="10"/>
  <c r="BO228" i="10"/>
  <c r="BO179" i="10"/>
  <c r="BO180" i="10"/>
  <c r="BO181" i="10"/>
  <c r="BO182" i="10"/>
  <c r="BO183" i="10"/>
  <c r="BO184" i="10"/>
  <c r="BO185" i="10"/>
  <c r="BO186" i="10"/>
  <c r="BO187" i="10"/>
  <c r="BO188" i="10"/>
  <c r="BO189" i="10"/>
  <c r="BO190" i="10"/>
  <c r="BO191" i="10"/>
  <c r="AO48" i="12" l="1"/>
  <c r="AH248" i="12"/>
  <c r="AI247" i="12"/>
  <c r="AJ247" i="12" s="1"/>
  <c r="BT246" i="12"/>
  <c r="AI198" i="12"/>
  <c r="AJ198" i="12" s="1"/>
  <c r="AH199" i="12"/>
  <c r="BT229" i="12"/>
  <c r="BT230" i="12"/>
  <c r="BT231" i="12"/>
  <c r="BT232" i="12"/>
  <c r="BT233" i="12"/>
  <c r="BT234" i="12"/>
  <c r="BT235" i="12"/>
  <c r="BT236" i="12"/>
  <c r="BT237" i="12"/>
  <c r="BT238" i="12"/>
  <c r="BT239" i="12"/>
  <c r="BT240" i="12"/>
  <c r="BT241" i="12"/>
  <c r="BT242" i="12"/>
  <c r="BT243" i="12"/>
  <c r="BT244" i="12"/>
  <c r="BU228" i="12"/>
  <c r="BU246" i="12" s="1"/>
  <c r="BU179" i="12"/>
  <c r="BU180" i="12"/>
  <c r="BU181" i="12"/>
  <c r="BU182" i="12"/>
  <c r="BU183" i="12"/>
  <c r="BU184" i="12"/>
  <c r="BU185" i="12"/>
  <c r="BU186" i="12"/>
  <c r="BU187" i="12"/>
  <c r="BU188" i="12"/>
  <c r="BU189" i="12"/>
  <c r="BU190" i="12"/>
  <c r="BU191" i="12"/>
  <c r="BU192" i="12"/>
  <c r="BU193" i="12"/>
  <c r="BU194" i="12"/>
  <c r="BU195" i="12"/>
  <c r="BV178" i="12"/>
  <c r="BV197" i="12" s="1"/>
  <c r="BW128" i="12"/>
  <c r="BV129" i="12"/>
  <c r="BV130" i="12"/>
  <c r="BV131" i="12"/>
  <c r="BV132" i="12"/>
  <c r="BV133" i="12"/>
  <c r="BV134" i="12"/>
  <c r="BV135" i="12"/>
  <c r="BV136" i="12"/>
  <c r="BV137" i="12"/>
  <c r="BV138" i="12"/>
  <c r="BV139" i="12"/>
  <c r="BV140" i="12"/>
  <c r="BV141" i="12"/>
  <c r="BV142" i="12"/>
  <c r="BV143" i="12"/>
  <c r="BV144" i="12"/>
  <c r="BV145" i="12"/>
  <c r="BV146" i="12"/>
  <c r="AH150" i="12"/>
  <c r="AI149" i="12"/>
  <c r="AJ149" i="12" s="1"/>
  <c r="AO198" i="12"/>
  <c r="BW148" i="12"/>
  <c r="BV148" i="12"/>
  <c r="AO149" i="12"/>
  <c r="AO247" i="12"/>
  <c r="BU197" i="12"/>
  <c r="BT245" i="12"/>
  <c r="C295" i="11"/>
  <c r="C46" i="11"/>
  <c r="BP228" i="10"/>
  <c r="BP179" i="10"/>
  <c r="BP181" i="10"/>
  <c r="BP180" i="10"/>
  <c r="BP182" i="10"/>
  <c r="BP183" i="10"/>
  <c r="BP184" i="10"/>
  <c r="BP185" i="10"/>
  <c r="BP186" i="10"/>
  <c r="BP187" i="10"/>
  <c r="BP188" i="10"/>
  <c r="BP189" i="10"/>
  <c r="BP190" i="10"/>
  <c r="BP191" i="10"/>
  <c r="BP192" i="10"/>
  <c r="BO229" i="10"/>
  <c r="BO230" i="10"/>
  <c r="BO231" i="10"/>
  <c r="BO232" i="10"/>
  <c r="BO233" i="10"/>
  <c r="BO234" i="10"/>
  <c r="BO235" i="10"/>
  <c r="BO236" i="10"/>
  <c r="BO237" i="10"/>
  <c r="BO238" i="10"/>
  <c r="BO239" i="10"/>
  <c r="BO240" i="10"/>
  <c r="BO241" i="10"/>
  <c r="AI194" i="10"/>
  <c r="AJ194" i="10" s="1"/>
  <c r="AH195" i="10"/>
  <c r="AH245" i="10"/>
  <c r="AI244" i="10"/>
  <c r="AJ244" i="10" s="1"/>
  <c r="AO195" i="10"/>
  <c r="AO146" i="10"/>
  <c r="AO46" i="10"/>
  <c r="AH145" i="10"/>
  <c r="AI144" i="10"/>
  <c r="AJ144" i="10" s="1"/>
  <c r="AO244" i="10"/>
  <c r="BQ178" i="10"/>
  <c r="BQ130" i="10"/>
  <c r="BR128" i="10"/>
  <c r="BQ129" i="10"/>
  <c r="BQ131" i="10"/>
  <c r="BQ132" i="10"/>
  <c r="BQ133" i="10"/>
  <c r="BQ134" i="10"/>
  <c r="BQ135" i="10"/>
  <c r="BQ136" i="10"/>
  <c r="BQ137" i="10"/>
  <c r="BQ138" i="10"/>
  <c r="BQ139" i="10"/>
  <c r="BQ140" i="10"/>
  <c r="BQ141" i="10"/>
  <c r="BQ142" i="10"/>
  <c r="BQ143" i="10"/>
  <c r="BU247" i="12" l="1"/>
  <c r="AO49" i="12"/>
  <c r="AO248" i="12"/>
  <c r="BV198" i="12"/>
  <c r="AO199" i="12"/>
  <c r="BW149" i="12"/>
  <c r="AO150" i="12"/>
  <c r="BW178" i="12"/>
  <c r="BW198" i="12" s="1"/>
  <c r="BW129" i="12"/>
  <c r="BX128" i="12"/>
  <c r="BW130" i="12"/>
  <c r="BW131" i="12"/>
  <c r="BW132" i="12"/>
  <c r="BW133" i="12"/>
  <c r="BW134" i="12"/>
  <c r="BW135" i="12"/>
  <c r="BW136" i="12"/>
  <c r="BW137" i="12"/>
  <c r="BW138" i="12"/>
  <c r="BW139" i="12"/>
  <c r="BW140" i="12"/>
  <c r="BW141" i="12"/>
  <c r="BW142" i="12"/>
  <c r="BW143" i="12"/>
  <c r="BW144" i="12"/>
  <c r="BW145" i="12"/>
  <c r="BW146" i="12"/>
  <c r="BW147" i="12"/>
  <c r="AH249" i="12"/>
  <c r="AI248" i="12"/>
  <c r="AJ248" i="12" s="1"/>
  <c r="BV228" i="12"/>
  <c r="BV247" i="12" s="1"/>
  <c r="BV179" i="12"/>
  <c r="BV180" i="12"/>
  <c r="BV181" i="12"/>
  <c r="BV182" i="12"/>
  <c r="BV183" i="12"/>
  <c r="BV184" i="12"/>
  <c r="BV185" i="12"/>
  <c r="BV186" i="12"/>
  <c r="BV187" i="12"/>
  <c r="BV188" i="12"/>
  <c r="BV189" i="12"/>
  <c r="BV190" i="12"/>
  <c r="BV191" i="12"/>
  <c r="BV192" i="12"/>
  <c r="BV193" i="12"/>
  <c r="BV194" i="12"/>
  <c r="BV195" i="12"/>
  <c r="BV196" i="12"/>
  <c r="AH151" i="12"/>
  <c r="AI150" i="12"/>
  <c r="AJ150" i="12" s="1"/>
  <c r="BU229" i="12"/>
  <c r="BU230" i="12"/>
  <c r="BU231" i="12"/>
  <c r="BU232" i="12"/>
  <c r="BU233" i="12"/>
  <c r="BU234" i="12"/>
  <c r="BU235" i="12"/>
  <c r="BU236" i="12"/>
  <c r="BU237" i="12"/>
  <c r="BU238" i="12"/>
  <c r="BU239" i="12"/>
  <c r="BU240" i="12"/>
  <c r="BU241" i="12"/>
  <c r="BU242" i="12"/>
  <c r="BU243" i="12"/>
  <c r="BU244" i="12"/>
  <c r="BU245" i="12"/>
  <c r="AI199" i="12"/>
  <c r="AJ199" i="12" s="1"/>
  <c r="AH200" i="12"/>
  <c r="C296" i="11"/>
  <c r="C47" i="11"/>
  <c r="BQ228" i="10"/>
  <c r="BQ179" i="10"/>
  <c r="BQ180" i="10"/>
  <c r="BQ181" i="10"/>
  <c r="BQ182" i="10"/>
  <c r="BQ183" i="10"/>
  <c r="BQ184" i="10"/>
  <c r="BQ185" i="10"/>
  <c r="BQ186" i="10"/>
  <c r="BQ187" i="10"/>
  <c r="BQ188" i="10"/>
  <c r="BQ189" i="10"/>
  <c r="BQ190" i="10"/>
  <c r="BQ191" i="10"/>
  <c r="BQ192" i="10"/>
  <c r="BQ193" i="10"/>
  <c r="AI245" i="10"/>
  <c r="AJ245" i="10" s="1"/>
  <c r="AH246" i="10"/>
  <c r="AI195" i="10"/>
  <c r="AJ195" i="10" s="1"/>
  <c r="AH196" i="10"/>
  <c r="AO245" i="10"/>
  <c r="AO47" i="10"/>
  <c r="BP229" i="10"/>
  <c r="BP231" i="10"/>
  <c r="BP230" i="10"/>
  <c r="BP232" i="10"/>
  <c r="BP233" i="10"/>
  <c r="BP234" i="10"/>
  <c r="BP235" i="10"/>
  <c r="BP236" i="10"/>
  <c r="BP237" i="10"/>
  <c r="BP238" i="10"/>
  <c r="BP239" i="10"/>
  <c r="BP240" i="10"/>
  <c r="BP241" i="10"/>
  <c r="BP242" i="10"/>
  <c r="BR178" i="10"/>
  <c r="BS128" i="10"/>
  <c r="BR129" i="10"/>
  <c r="BR131" i="10"/>
  <c r="BR130" i="10"/>
  <c r="BR132" i="10"/>
  <c r="BR133" i="10"/>
  <c r="BR134" i="10"/>
  <c r="BR135" i="10"/>
  <c r="BR136" i="10"/>
  <c r="BR137" i="10"/>
  <c r="BR138" i="10"/>
  <c r="BR139" i="10"/>
  <c r="BR140" i="10"/>
  <c r="BR141" i="10"/>
  <c r="BR142" i="10"/>
  <c r="BR143" i="10"/>
  <c r="BR144" i="10"/>
  <c r="AH146" i="10"/>
  <c r="AI145" i="10"/>
  <c r="AJ145" i="10" s="1"/>
  <c r="AO196" i="10"/>
  <c r="AO147" i="10"/>
  <c r="AI151" i="12" l="1"/>
  <c r="AJ151" i="12" s="1"/>
  <c r="AH152" i="12"/>
  <c r="BV248" i="12"/>
  <c r="AO50" i="12"/>
  <c r="BX178" i="12"/>
  <c r="BY128" i="12"/>
  <c r="BX129" i="12"/>
  <c r="BX130" i="12"/>
  <c r="BX131" i="12"/>
  <c r="BX132" i="12"/>
  <c r="BX133" i="12"/>
  <c r="BX134" i="12"/>
  <c r="BX135" i="12"/>
  <c r="BX136" i="12"/>
  <c r="BX137" i="12"/>
  <c r="BX138" i="12"/>
  <c r="BX139" i="12"/>
  <c r="BX140" i="12"/>
  <c r="BX141" i="12"/>
  <c r="BX142" i="12"/>
  <c r="BX143" i="12"/>
  <c r="BX144" i="12"/>
  <c r="BX145" i="12"/>
  <c r="BX146" i="12"/>
  <c r="BX147" i="12"/>
  <c r="BX148" i="12"/>
  <c r="BX149" i="12"/>
  <c r="BW228" i="12"/>
  <c r="BW179" i="12"/>
  <c r="BW180" i="12"/>
  <c r="BW181" i="12"/>
  <c r="BW182" i="12"/>
  <c r="BW183" i="12"/>
  <c r="BW184" i="12"/>
  <c r="BW185" i="12"/>
  <c r="BW186" i="12"/>
  <c r="BW187" i="12"/>
  <c r="BW188" i="12"/>
  <c r="BW189" i="12"/>
  <c r="BW190" i="12"/>
  <c r="BW191" i="12"/>
  <c r="BW192" i="12"/>
  <c r="BW193" i="12"/>
  <c r="BW194" i="12"/>
  <c r="BW195" i="12"/>
  <c r="BW196" i="12"/>
  <c r="BW197" i="12"/>
  <c r="AO200" i="12"/>
  <c r="AO151" i="12"/>
  <c r="BY150" i="12"/>
  <c r="BX150" i="12"/>
  <c r="AO249" i="12"/>
  <c r="BX199" i="12"/>
  <c r="BW199" i="12"/>
  <c r="AI200" i="12"/>
  <c r="AJ200" i="12" s="1"/>
  <c r="AH201" i="12"/>
  <c r="BV229" i="12"/>
  <c r="BV230" i="12"/>
  <c r="BV231" i="12"/>
  <c r="BV232" i="12"/>
  <c r="BV233" i="12"/>
  <c r="BV234" i="12"/>
  <c r="BV235" i="12"/>
  <c r="BV236" i="12"/>
  <c r="BV237" i="12"/>
  <c r="BV238" i="12"/>
  <c r="BV239" i="12"/>
  <c r="BV240" i="12"/>
  <c r="BV241" i="12"/>
  <c r="BV242" i="12"/>
  <c r="BV243" i="12"/>
  <c r="BV244" i="12"/>
  <c r="BV245" i="12"/>
  <c r="BV246" i="12"/>
  <c r="AH250" i="12"/>
  <c r="AI249" i="12"/>
  <c r="AJ249" i="12" s="1"/>
  <c r="C297" i="11"/>
  <c r="C48" i="11"/>
  <c r="AO246" i="10"/>
  <c r="AO48" i="10"/>
  <c r="AH247" i="10"/>
  <c r="AI246" i="10"/>
  <c r="AJ246" i="10" s="1"/>
  <c r="AH147" i="10"/>
  <c r="AI146" i="10"/>
  <c r="AJ146" i="10" s="1"/>
  <c r="BS178" i="10"/>
  <c r="BT128" i="10"/>
  <c r="BS129" i="10"/>
  <c r="BS131" i="10"/>
  <c r="BS130" i="10"/>
  <c r="BS132" i="10"/>
  <c r="BS133" i="10"/>
  <c r="BS134" i="10"/>
  <c r="BS135" i="10"/>
  <c r="BS136" i="10"/>
  <c r="BS137" i="10"/>
  <c r="BS138" i="10"/>
  <c r="BS139" i="10"/>
  <c r="BS140" i="10"/>
  <c r="BS141" i="10"/>
  <c r="BS142" i="10"/>
  <c r="BS143" i="10"/>
  <c r="BS144" i="10"/>
  <c r="BS145" i="10"/>
  <c r="AH197" i="10"/>
  <c r="AI196" i="10"/>
  <c r="AJ196" i="10" s="1"/>
  <c r="BR228" i="10"/>
  <c r="BR179" i="10"/>
  <c r="BR181" i="10"/>
  <c r="BR180" i="10"/>
  <c r="BR182" i="10"/>
  <c r="BR183" i="10"/>
  <c r="BR184" i="10"/>
  <c r="BR185" i="10"/>
  <c r="BR186" i="10"/>
  <c r="BR187" i="10"/>
  <c r="BR188" i="10"/>
  <c r="BR189" i="10"/>
  <c r="BR190" i="10"/>
  <c r="BR191" i="10"/>
  <c r="BR192" i="10"/>
  <c r="BR193" i="10"/>
  <c r="BR194" i="10"/>
  <c r="BQ229" i="10"/>
  <c r="BQ231" i="10"/>
  <c r="BQ230" i="10"/>
  <c r="BQ232" i="10"/>
  <c r="BQ233" i="10"/>
  <c r="BQ234" i="10"/>
  <c r="BQ235" i="10"/>
  <c r="BQ236" i="10"/>
  <c r="BQ237" i="10"/>
  <c r="BQ238" i="10"/>
  <c r="BQ239" i="10"/>
  <c r="BQ240" i="10"/>
  <c r="BQ241" i="10"/>
  <c r="BQ242" i="10"/>
  <c r="BQ243" i="10"/>
  <c r="AO197" i="10"/>
  <c r="AO148" i="10"/>
  <c r="BY178" i="12" l="1"/>
  <c r="BZ128" i="12"/>
  <c r="BZ151" i="12" s="1"/>
  <c r="BY129" i="12"/>
  <c r="BY130" i="12"/>
  <c r="BY131" i="12"/>
  <c r="BY132" i="12"/>
  <c r="BY133" i="12"/>
  <c r="BY134" i="12"/>
  <c r="BY135" i="12"/>
  <c r="BY136" i="12"/>
  <c r="BY137" i="12"/>
  <c r="BY138" i="12"/>
  <c r="BY139" i="12"/>
  <c r="BY140" i="12"/>
  <c r="BY141" i="12"/>
  <c r="BY142" i="12"/>
  <c r="BY143" i="12"/>
  <c r="BY144" i="12"/>
  <c r="BY145" i="12"/>
  <c r="BY146" i="12"/>
  <c r="BY147" i="12"/>
  <c r="BY148" i="12"/>
  <c r="BY149" i="12"/>
  <c r="AO51" i="12"/>
  <c r="BW249" i="12"/>
  <c r="AO201" i="12"/>
  <c r="AO152" i="12"/>
  <c r="BY151" i="12"/>
  <c r="AO250" i="12"/>
  <c r="BY200" i="12"/>
  <c r="BX200" i="12"/>
  <c r="AH251" i="12"/>
  <c r="AI250" i="12"/>
  <c r="AJ250" i="12" s="1"/>
  <c r="BW229" i="12"/>
  <c r="BW230" i="12"/>
  <c r="BW231" i="12"/>
  <c r="BW232" i="12"/>
  <c r="BW233" i="12"/>
  <c r="BW234" i="12"/>
  <c r="BW235" i="12"/>
  <c r="BW236" i="12"/>
  <c r="BW237" i="12"/>
  <c r="BW238" i="12"/>
  <c r="BW239" i="12"/>
  <c r="BW240" i="12"/>
  <c r="BW241" i="12"/>
  <c r="BW242" i="12"/>
  <c r="BW243" i="12"/>
  <c r="BW244" i="12"/>
  <c r="BW245" i="12"/>
  <c r="BW246" i="12"/>
  <c r="BW247" i="12"/>
  <c r="BW248" i="12"/>
  <c r="AH153" i="12"/>
  <c r="AI152" i="12"/>
  <c r="AJ152" i="12" s="1"/>
  <c r="BX228" i="12"/>
  <c r="BX179" i="12"/>
  <c r="BX180" i="12"/>
  <c r="BX181" i="12"/>
  <c r="BX182" i="12"/>
  <c r="BX183" i="12"/>
  <c r="BX184" i="12"/>
  <c r="BX185" i="12"/>
  <c r="BX186" i="12"/>
  <c r="BX187" i="12"/>
  <c r="BX188" i="12"/>
  <c r="BX189" i="12"/>
  <c r="BX190" i="12"/>
  <c r="BX191" i="12"/>
  <c r="BX192" i="12"/>
  <c r="BX193" i="12"/>
  <c r="BX194" i="12"/>
  <c r="BX195" i="12"/>
  <c r="BX196" i="12"/>
  <c r="BX197" i="12"/>
  <c r="BX198" i="12"/>
  <c r="AI201" i="12"/>
  <c r="AJ201" i="12" s="1"/>
  <c r="AH202" i="12"/>
  <c r="C298" i="11"/>
  <c r="C49" i="11"/>
  <c r="BS228" i="10"/>
  <c r="BS179" i="10"/>
  <c r="BS180" i="10"/>
  <c r="BS181" i="10"/>
  <c r="BS182" i="10"/>
  <c r="BS183" i="10"/>
  <c r="BS184" i="10"/>
  <c r="BS185" i="10"/>
  <c r="BS186" i="10"/>
  <c r="BS187" i="10"/>
  <c r="BS188" i="10"/>
  <c r="BS189" i="10"/>
  <c r="BS190" i="10"/>
  <c r="BS191" i="10"/>
  <c r="BS192" i="10"/>
  <c r="BS193" i="10"/>
  <c r="BS194" i="10"/>
  <c r="BS195" i="10"/>
  <c r="AO198" i="10"/>
  <c r="AO149" i="10"/>
  <c r="BR229" i="10"/>
  <c r="BR230" i="10"/>
  <c r="BR231" i="10"/>
  <c r="BR232" i="10"/>
  <c r="BR233" i="10"/>
  <c r="BR234" i="10"/>
  <c r="BR235" i="10"/>
  <c r="BR236" i="10"/>
  <c r="BR237" i="10"/>
  <c r="BR238" i="10"/>
  <c r="BR239" i="10"/>
  <c r="BR240" i="10"/>
  <c r="BR241" i="10"/>
  <c r="BR242" i="10"/>
  <c r="BR243" i="10"/>
  <c r="BR244" i="10"/>
  <c r="BT178" i="10"/>
  <c r="BU128" i="10"/>
  <c r="BT129" i="10"/>
  <c r="BT131" i="10"/>
  <c r="BT130" i="10"/>
  <c r="BT132" i="10"/>
  <c r="BT133" i="10"/>
  <c r="BT134" i="10"/>
  <c r="BT135" i="10"/>
  <c r="BT136" i="10"/>
  <c r="BT137" i="10"/>
  <c r="BT138" i="10"/>
  <c r="BT139" i="10"/>
  <c r="BT140" i="10"/>
  <c r="BT141" i="10"/>
  <c r="BT142" i="10"/>
  <c r="BT143" i="10"/>
  <c r="BT144" i="10"/>
  <c r="BT145" i="10"/>
  <c r="BT146" i="10"/>
  <c r="AO247" i="10"/>
  <c r="AO49" i="10"/>
  <c r="AH198" i="10"/>
  <c r="AI197" i="10"/>
  <c r="AJ197" i="10" s="1"/>
  <c r="AI147" i="10"/>
  <c r="AJ147" i="10" s="1"/>
  <c r="AH148" i="10"/>
  <c r="AI247" i="10"/>
  <c r="AJ247" i="10" s="1"/>
  <c r="AH248" i="10"/>
  <c r="AO202" i="12" l="1"/>
  <c r="BZ152" i="12"/>
  <c r="AO153" i="12"/>
  <c r="AO251" i="12"/>
  <c r="BY201" i="12"/>
  <c r="AI202" i="12"/>
  <c r="AJ202" i="12" s="1"/>
  <c r="AH203" i="12"/>
  <c r="BX229" i="12"/>
  <c r="BX230" i="12"/>
  <c r="BX231" i="12"/>
  <c r="BX232" i="12"/>
  <c r="BX233" i="12"/>
  <c r="BX234" i="12"/>
  <c r="BX235" i="12"/>
  <c r="BX236" i="12"/>
  <c r="BX237" i="12"/>
  <c r="BX238" i="12"/>
  <c r="BX239" i="12"/>
  <c r="BX240" i="12"/>
  <c r="BX241" i="12"/>
  <c r="BX242" i="12"/>
  <c r="BX243" i="12"/>
  <c r="BX244" i="12"/>
  <c r="BX245" i="12"/>
  <c r="BX246" i="12"/>
  <c r="BX247" i="12"/>
  <c r="BX248" i="12"/>
  <c r="BX249" i="12"/>
  <c r="BZ178" i="12"/>
  <c r="BZ201" i="12" s="1"/>
  <c r="CA128" i="12"/>
  <c r="BZ129" i="12"/>
  <c r="BZ130" i="12"/>
  <c r="BZ131" i="12"/>
  <c r="BZ132" i="12"/>
  <c r="BZ133" i="12"/>
  <c r="BZ134" i="12"/>
  <c r="BZ135" i="12"/>
  <c r="BZ136" i="12"/>
  <c r="BZ137" i="12"/>
  <c r="BZ138" i="12"/>
  <c r="BZ139" i="12"/>
  <c r="BZ140" i="12"/>
  <c r="BZ141" i="12"/>
  <c r="BZ142" i="12"/>
  <c r="BZ143" i="12"/>
  <c r="BZ144" i="12"/>
  <c r="BZ145" i="12"/>
  <c r="BZ146" i="12"/>
  <c r="BZ147" i="12"/>
  <c r="BZ148" i="12"/>
  <c r="BZ149" i="12"/>
  <c r="BZ150" i="12"/>
  <c r="BY228" i="12"/>
  <c r="BY179" i="12"/>
  <c r="BY180" i="12"/>
  <c r="BY181" i="12"/>
  <c r="BY182" i="12"/>
  <c r="BY183" i="12"/>
  <c r="BY184" i="12"/>
  <c r="BY185" i="12"/>
  <c r="BY186" i="12"/>
  <c r="BY187" i="12"/>
  <c r="BY188" i="12"/>
  <c r="BY189" i="12"/>
  <c r="BY190" i="12"/>
  <c r="BY191" i="12"/>
  <c r="BY192" i="12"/>
  <c r="BY193" i="12"/>
  <c r="BY194" i="12"/>
  <c r="BY195" i="12"/>
  <c r="BY196" i="12"/>
  <c r="BY197" i="12"/>
  <c r="BY198" i="12"/>
  <c r="BY199" i="12"/>
  <c r="AO52" i="12"/>
  <c r="AH154" i="12"/>
  <c r="AI153" i="12"/>
  <c r="AJ153" i="12" s="1"/>
  <c r="AH252" i="12"/>
  <c r="AI251" i="12"/>
  <c r="AJ251" i="12" s="1"/>
  <c r="BY250" i="12"/>
  <c r="BX250" i="12"/>
  <c r="C299" i="11"/>
  <c r="C50" i="11"/>
  <c r="AI148" i="10"/>
  <c r="AJ148" i="10" s="1"/>
  <c r="AH149" i="10"/>
  <c r="AI198" i="10"/>
  <c r="AJ198" i="10" s="1"/>
  <c r="AH199" i="10"/>
  <c r="BT228" i="10"/>
  <c r="BT179" i="10"/>
  <c r="BT181" i="10"/>
  <c r="BT180" i="10"/>
  <c r="BT182" i="10"/>
  <c r="BT183" i="10"/>
  <c r="BT184" i="10"/>
  <c r="BT185" i="10"/>
  <c r="BT186" i="10"/>
  <c r="BT187" i="10"/>
  <c r="BT188" i="10"/>
  <c r="BT189" i="10"/>
  <c r="BT190" i="10"/>
  <c r="BT191" i="10"/>
  <c r="BT192" i="10"/>
  <c r="BT193" i="10"/>
  <c r="BT194" i="10"/>
  <c r="BT195" i="10"/>
  <c r="BT196" i="10"/>
  <c r="AO248" i="10"/>
  <c r="BS229" i="10"/>
  <c r="BS231" i="10"/>
  <c r="BS230" i="10"/>
  <c r="BS232" i="10"/>
  <c r="BS233" i="10"/>
  <c r="BS234" i="10"/>
  <c r="BS235" i="10"/>
  <c r="BS236" i="10"/>
  <c r="BS237" i="10"/>
  <c r="BS238" i="10"/>
  <c r="BS239" i="10"/>
  <c r="BS240" i="10"/>
  <c r="BS241" i="10"/>
  <c r="BS242" i="10"/>
  <c r="BS243" i="10"/>
  <c r="BS244" i="10"/>
  <c r="BS245" i="10"/>
  <c r="AI248" i="10"/>
  <c r="AJ248" i="10" s="1"/>
  <c r="AH249" i="10"/>
  <c r="AO50" i="10"/>
  <c r="AO199" i="10"/>
  <c r="AO150" i="10"/>
  <c r="BU178" i="10"/>
  <c r="BV128" i="10"/>
  <c r="BU129" i="10"/>
  <c r="BU131" i="10"/>
  <c r="BU130" i="10"/>
  <c r="BU132" i="10"/>
  <c r="BU133" i="10"/>
  <c r="BU134" i="10"/>
  <c r="BU135" i="10"/>
  <c r="BU136" i="10"/>
  <c r="BU137" i="10"/>
  <c r="BU138" i="10"/>
  <c r="BU139" i="10"/>
  <c r="BU140" i="10"/>
  <c r="BU141" i="10"/>
  <c r="BU142" i="10"/>
  <c r="BU143" i="10"/>
  <c r="BU144" i="10"/>
  <c r="BU145" i="10"/>
  <c r="BU146" i="10"/>
  <c r="BU147" i="10"/>
  <c r="AH253" i="12" l="1"/>
  <c r="AI252" i="12"/>
  <c r="AJ252" i="12" s="1"/>
  <c r="AH155" i="12"/>
  <c r="AI154" i="12"/>
  <c r="AJ154" i="12" s="1"/>
  <c r="AO53" i="12"/>
  <c r="CA178" i="12"/>
  <c r="CA129" i="12"/>
  <c r="CB128" i="12"/>
  <c r="CA130" i="12"/>
  <c r="CA131" i="12"/>
  <c r="CA132" i="12"/>
  <c r="CA133" i="12"/>
  <c r="CA134" i="12"/>
  <c r="CA135" i="12"/>
  <c r="CA136" i="12"/>
  <c r="CA137" i="12"/>
  <c r="CA138" i="12"/>
  <c r="CA139" i="12"/>
  <c r="CA140" i="12"/>
  <c r="CA141" i="12"/>
  <c r="CA142" i="12"/>
  <c r="CA143" i="12"/>
  <c r="CA144" i="12"/>
  <c r="CA145" i="12"/>
  <c r="CA146" i="12"/>
  <c r="CA147" i="12"/>
  <c r="CA148" i="12"/>
  <c r="CA149" i="12"/>
  <c r="CA150" i="12"/>
  <c r="CA151" i="12"/>
  <c r="CA152" i="12"/>
  <c r="BZ228" i="12"/>
  <c r="BZ179" i="12"/>
  <c r="BZ180" i="12"/>
  <c r="BZ181" i="12"/>
  <c r="BZ182" i="12"/>
  <c r="BZ183" i="12"/>
  <c r="BZ184" i="12"/>
  <c r="BZ185" i="12"/>
  <c r="BZ186" i="12"/>
  <c r="BZ187" i="12"/>
  <c r="BZ188" i="12"/>
  <c r="BZ189" i="12"/>
  <c r="BZ190" i="12"/>
  <c r="BZ191" i="12"/>
  <c r="BZ192" i="12"/>
  <c r="BZ193" i="12"/>
  <c r="BZ194" i="12"/>
  <c r="BZ195" i="12"/>
  <c r="BZ196" i="12"/>
  <c r="BZ197" i="12"/>
  <c r="BZ198" i="12"/>
  <c r="BZ199" i="12"/>
  <c r="BZ200" i="12"/>
  <c r="AI203" i="12"/>
  <c r="AJ203" i="12" s="1"/>
  <c r="AH204" i="12"/>
  <c r="AO203" i="12"/>
  <c r="AO154" i="12"/>
  <c r="CB153" i="12"/>
  <c r="CA153" i="12"/>
  <c r="BY251" i="12"/>
  <c r="AO252" i="12"/>
  <c r="BZ202" i="12"/>
  <c r="BY229" i="12"/>
  <c r="BY230" i="12"/>
  <c r="BY231" i="12"/>
  <c r="BY232" i="12"/>
  <c r="BY233" i="12"/>
  <c r="BY234" i="12"/>
  <c r="BY235" i="12"/>
  <c r="BY236" i="12"/>
  <c r="BY237" i="12"/>
  <c r="BY238" i="12"/>
  <c r="BY239" i="12"/>
  <c r="BY240" i="12"/>
  <c r="BY241" i="12"/>
  <c r="BY242" i="12"/>
  <c r="BY243" i="12"/>
  <c r="BY244" i="12"/>
  <c r="BY245" i="12"/>
  <c r="BY246" i="12"/>
  <c r="BY247" i="12"/>
  <c r="BY248" i="12"/>
  <c r="BY249" i="12"/>
  <c r="C300" i="11"/>
  <c r="C51" i="11"/>
  <c r="AO249" i="10"/>
  <c r="AI249" i="10"/>
  <c r="AJ249" i="10" s="1"/>
  <c r="AH250" i="10"/>
  <c r="BT229" i="10"/>
  <c r="BT231" i="10"/>
  <c r="BT230" i="10"/>
  <c r="BT232" i="10"/>
  <c r="BT233" i="10"/>
  <c r="BT234" i="10"/>
  <c r="BT235" i="10"/>
  <c r="BT236" i="10"/>
  <c r="BT237" i="10"/>
  <c r="BT238" i="10"/>
  <c r="BT239" i="10"/>
  <c r="BT240" i="10"/>
  <c r="BT241" i="10"/>
  <c r="BT242" i="10"/>
  <c r="BT243" i="10"/>
  <c r="BT244" i="10"/>
  <c r="BT245" i="10"/>
  <c r="BT246" i="10"/>
  <c r="AH150" i="10"/>
  <c r="AI149" i="10"/>
  <c r="AJ149" i="10" s="1"/>
  <c r="AO51" i="10"/>
  <c r="BV178" i="10"/>
  <c r="BW128" i="10"/>
  <c r="BV129" i="10"/>
  <c r="BV130" i="10"/>
  <c r="BV131" i="10"/>
  <c r="BV132" i="10"/>
  <c r="BV133" i="10"/>
  <c r="BV134" i="10"/>
  <c r="BV135" i="10"/>
  <c r="BV136" i="10"/>
  <c r="BV137" i="10"/>
  <c r="BV138" i="10"/>
  <c r="BV139" i="10"/>
  <c r="BV140" i="10"/>
  <c r="BV141" i="10"/>
  <c r="BV142" i="10"/>
  <c r="BV143" i="10"/>
  <c r="BV144" i="10"/>
  <c r="BV145" i="10"/>
  <c r="BV146" i="10"/>
  <c r="BV147" i="10"/>
  <c r="BV148" i="10"/>
  <c r="BU228" i="10"/>
  <c r="BU179" i="10"/>
  <c r="BU181" i="10"/>
  <c r="BU180" i="10"/>
  <c r="BU182" i="10"/>
  <c r="BU183" i="10"/>
  <c r="BU184" i="10"/>
  <c r="BU185" i="10"/>
  <c r="BU186" i="10"/>
  <c r="BU187" i="10"/>
  <c r="BU188" i="10"/>
  <c r="BU189" i="10"/>
  <c r="BU190" i="10"/>
  <c r="BU191" i="10"/>
  <c r="BU192" i="10"/>
  <c r="BU193" i="10"/>
  <c r="BU194" i="10"/>
  <c r="BU195" i="10"/>
  <c r="BU196" i="10"/>
  <c r="BU197" i="10"/>
  <c r="AO200" i="10"/>
  <c r="AO151" i="10"/>
  <c r="AI199" i="10"/>
  <c r="AJ199" i="10" s="1"/>
  <c r="AH200" i="10"/>
  <c r="AO204" i="12" l="1"/>
  <c r="AO155" i="12"/>
  <c r="CB154" i="12"/>
  <c r="CA228" i="12"/>
  <c r="CA179" i="12"/>
  <c r="CA180" i="12"/>
  <c r="CA181" i="12"/>
  <c r="CA182" i="12"/>
  <c r="CA183" i="12"/>
  <c r="CA184" i="12"/>
  <c r="CA185" i="12"/>
  <c r="CA186" i="12"/>
  <c r="CA187" i="12"/>
  <c r="CA188" i="12"/>
  <c r="CA189" i="12"/>
  <c r="CA190" i="12"/>
  <c r="CA191" i="12"/>
  <c r="CA192" i="12"/>
  <c r="CA193" i="12"/>
  <c r="CA194" i="12"/>
  <c r="CA195" i="12"/>
  <c r="CA196" i="12"/>
  <c r="CA197" i="12"/>
  <c r="CA198" i="12"/>
  <c r="CA199" i="12"/>
  <c r="CA200" i="12"/>
  <c r="CA201" i="12"/>
  <c r="AH156" i="12"/>
  <c r="AI155" i="12"/>
  <c r="AJ155" i="12" s="1"/>
  <c r="CA202" i="12"/>
  <c r="CB178" i="12"/>
  <c r="CB203" i="12" s="1"/>
  <c r="CC128" i="12"/>
  <c r="CC154" i="12" s="1"/>
  <c r="CB129" i="12"/>
  <c r="CB130" i="12"/>
  <c r="CB131" i="12"/>
  <c r="CB132" i="12"/>
  <c r="CB133" i="12"/>
  <c r="CB134" i="12"/>
  <c r="CB135" i="12"/>
  <c r="CB136" i="12"/>
  <c r="CB137" i="12"/>
  <c r="CB138" i="12"/>
  <c r="CB139" i="12"/>
  <c r="CB140" i="12"/>
  <c r="CB141" i="12"/>
  <c r="CB142" i="12"/>
  <c r="CB143" i="12"/>
  <c r="CB144" i="12"/>
  <c r="CB145" i="12"/>
  <c r="CB146" i="12"/>
  <c r="CB147" i="12"/>
  <c r="CB148" i="12"/>
  <c r="CB149" i="12"/>
  <c r="CB150" i="12"/>
  <c r="CB151" i="12"/>
  <c r="CB152" i="12"/>
  <c r="BZ252" i="12"/>
  <c r="CA252" i="12"/>
  <c r="AO253" i="12"/>
  <c r="CA203" i="12"/>
  <c r="AI204" i="12"/>
  <c r="AJ204" i="12" s="1"/>
  <c r="AH205" i="12"/>
  <c r="BZ229" i="12"/>
  <c r="BZ230" i="12"/>
  <c r="BZ231" i="12"/>
  <c r="BZ232" i="12"/>
  <c r="BZ233" i="12"/>
  <c r="BZ234" i="12"/>
  <c r="BZ235" i="12"/>
  <c r="BZ236" i="12"/>
  <c r="BZ237" i="12"/>
  <c r="BZ238" i="12"/>
  <c r="BZ239" i="12"/>
  <c r="BZ240" i="12"/>
  <c r="BZ241" i="12"/>
  <c r="BZ242" i="12"/>
  <c r="BZ243" i="12"/>
  <c r="BZ244" i="12"/>
  <c r="BZ245" i="12"/>
  <c r="BZ246" i="12"/>
  <c r="BZ247" i="12"/>
  <c r="BZ248" i="12"/>
  <c r="BZ249" i="12"/>
  <c r="BZ250" i="12"/>
  <c r="BZ251" i="12"/>
  <c r="AO54" i="12"/>
  <c r="AH254" i="12"/>
  <c r="AI253" i="12"/>
  <c r="AJ253" i="12" s="1"/>
  <c r="C301" i="11"/>
  <c r="C52" i="11"/>
  <c r="AH151" i="10"/>
  <c r="AI150" i="10"/>
  <c r="AJ150" i="10" s="1"/>
  <c r="AI250" i="10"/>
  <c r="AJ250" i="10" s="1"/>
  <c r="AH251" i="10"/>
  <c r="BU229" i="10"/>
  <c r="BU230" i="10"/>
  <c r="BU231" i="10"/>
  <c r="BU232" i="10"/>
  <c r="BU233" i="10"/>
  <c r="BU234" i="10"/>
  <c r="BU235" i="10"/>
  <c r="BU236" i="10"/>
  <c r="BU237" i="10"/>
  <c r="BU238" i="10"/>
  <c r="BU239" i="10"/>
  <c r="BU240" i="10"/>
  <c r="BU241" i="10"/>
  <c r="BU242" i="10"/>
  <c r="BU243" i="10"/>
  <c r="BU244" i="10"/>
  <c r="BU245" i="10"/>
  <c r="BU246" i="10"/>
  <c r="BU247" i="10"/>
  <c r="BW178" i="10"/>
  <c r="BW129" i="10"/>
  <c r="BX128" i="10"/>
  <c r="BW130" i="10"/>
  <c r="BW131" i="10"/>
  <c r="BW132" i="10"/>
  <c r="BW133" i="10"/>
  <c r="BW134" i="10"/>
  <c r="BW135" i="10"/>
  <c r="BW136" i="10"/>
  <c r="BW137" i="10"/>
  <c r="BW138" i="10"/>
  <c r="BW139" i="10"/>
  <c r="BW140" i="10"/>
  <c r="BW141" i="10"/>
  <c r="BW142" i="10"/>
  <c r="BW143" i="10"/>
  <c r="BW144" i="10"/>
  <c r="BW145" i="10"/>
  <c r="BW146" i="10"/>
  <c r="BW147" i="10"/>
  <c r="BW148" i="10"/>
  <c r="BW149" i="10"/>
  <c r="BV228" i="10"/>
  <c r="BV179" i="10"/>
  <c r="BV181" i="10"/>
  <c r="BV180" i="10"/>
  <c r="BV182" i="10"/>
  <c r="BV183" i="10"/>
  <c r="BV184" i="10"/>
  <c r="BV185" i="10"/>
  <c r="BV186" i="10"/>
  <c r="BV187" i="10"/>
  <c r="BV188" i="10"/>
  <c r="BV189" i="10"/>
  <c r="BV190" i="10"/>
  <c r="BV191" i="10"/>
  <c r="BV192" i="10"/>
  <c r="BV193" i="10"/>
  <c r="BV194" i="10"/>
  <c r="BV195" i="10"/>
  <c r="BV196" i="10"/>
  <c r="BV197" i="10"/>
  <c r="BV198" i="10"/>
  <c r="AI200" i="10"/>
  <c r="AJ200" i="10" s="1"/>
  <c r="AH201" i="10"/>
  <c r="AO250" i="10"/>
  <c r="AO201" i="10"/>
  <c r="AO152" i="10"/>
  <c r="AO52" i="10"/>
  <c r="AO205" i="12" l="1"/>
  <c r="CC155" i="12"/>
  <c r="AO156" i="12"/>
  <c r="AO55" i="12"/>
  <c r="AI205" i="12"/>
  <c r="AJ205" i="12" s="1"/>
  <c r="AH206" i="12"/>
  <c r="AO254" i="12"/>
  <c r="CB204" i="12"/>
  <c r="CB228" i="12"/>
  <c r="CB179" i="12"/>
  <c r="CB180" i="12"/>
  <c r="CB181" i="12"/>
  <c r="CB182" i="12"/>
  <c r="CB183" i="12"/>
  <c r="CB184" i="12"/>
  <c r="CB185" i="12"/>
  <c r="CB186" i="12"/>
  <c r="CB187" i="12"/>
  <c r="CB188" i="12"/>
  <c r="CB189" i="12"/>
  <c r="CB190" i="12"/>
  <c r="CB191" i="12"/>
  <c r="CB192" i="12"/>
  <c r="CB193" i="12"/>
  <c r="CB194" i="12"/>
  <c r="CB195" i="12"/>
  <c r="CB196" i="12"/>
  <c r="CB197" i="12"/>
  <c r="CB198" i="12"/>
  <c r="CB199" i="12"/>
  <c r="CB200" i="12"/>
  <c r="CB201" i="12"/>
  <c r="CB202" i="12"/>
  <c r="AH157" i="12"/>
  <c r="AI156" i="12"/>
  <c r="AJ156" i="12" s="1"/>
  <c r="AH255" i="12"/>
  <c r="AI254" i="12"/>
  <c r="AJ254" i="12" s="1"/>
  <c r="CA253" i="12"/>
  <c r="CC178" i="12"/>
  <c r="CC129" i="12"/>
  <c r="CD128" i="12"/>
  <c r="CC130" i="12"/>
  <c r="CC131" i="12"/>
  <c r="CC132" i="12"/>
  <c r="CC133" i="12"/>
  <c r="CC134" i="12"/>
  <c r="CC135" i="12"/>
  <c r="CC136" i="12"/>
  <c r="CC137" i="12"/>
  <c r="CC138" i="12"/>
  <c r="CC139" i="12"/>
  <c r="CC140" i="12"/>
  <c r="CC141" i="12"/>
  <c r="CC142" i="12"/>
  <c r="CC143" i="12"/>
  <c r="CC144" i="12"/>
  <c r="CC145" i="12"/>
  <c r="CC146" i="12"/>
  <c r="CC147" i="12"/>
  <c r="CC148" i="12"/>
  <c r="CC149" i="12"/>
  <c r="CC150" i="12"/>
  <c r="CC151" i="12"/>
  <c r="CC152" i="12"/>
  <c r="CC153" i="12"/>
  <c r="CA229" i="12"/>
  <c r="CA230" i="12"/>
  <c r="CA231" i="12"/>
  <c r="CA232" i="12"/>
  <c r="CA233" i="12"/>
  <c r="CA234" i="12"/>
  <c r="CA235" i="12"/>
  <c r="CA236" i="12"/>
  <c r="CA237" i="12"/>
  <c r="CA238" i="12"/>
  <c r="CA239" i="12"/>
  <c r="CA240" i="12"/>
  <c r="CA241" i="12"/>
  <c r="CA242" i="12"/>
  <c r="CA243" i="12"/>
  <c r="CA244" i="12"/>
  <c r="CA245" i="12"/>
  <c r="CA246" i="12"/>
  <c r="CA247" i="12"/>
  <c r="CA248" i="12"/>
  <c r="CA249" i="12"/>
  <c r="CA250" i="12"/>
  <c r="CA251" i="12"/>
  <c r="C302" i="11"/>
  <c r="C53" i="11"/>
  <c r="AO53" i="10"/>
  <c r="AO251" i="10"/>
  <c r="BW228" i="10"/>
  <c r="BW179" i="10"/>
  <c r="BW180" i="10"/>
  <c r="BW181" i="10"/>
  <c r="BW182" i="10"/>
  <c r="BW183" i="10"/>
  <c r="BW184" i="10"/>
  <c r="BW185" i="10"/>
  <c r="BW186" i="10"/>
  <c r="BW187" i="10"/>
  <c r="BW188" i="10"/>
  <c r="BW189" i="10"/>
  <c r="BW190" i="10"/>
  <c r="BW191" i="10"/>
  <c r="BW192" i="10"/>
  <c r="BW193" i="10"/>
  <c r="BW194" i="10"/>
  <c r="BW195" i="10"/>
  <c r="BW196" i="10"/>
  <c r="BW197" i="10"/>
  <c r="BW198" i="10"/>
  <c r="BW199" i="10"/>
  <c r="AI201" i="10"/>
  <c r="AJ201" i="10" s="1"/>
  <c r="AH202" i="10"/>
  <c r="AO202" i="10"/>
  <c r="AO153" i="10"/>
  <c r="BV229" i="10"/>
  <c r="BV231" i="10"/>
  <c r="BV230" i="10"/>
  <c r="BV232" i="10"/>
  <c r="BV233" i="10"/>
  <c r="BV234" i="10"/>
  <c r="BV235" i="10"/>
  <c r="BV236" i="10"/>
  <c r="BV237" i="10"/>
  <c r="BV238" i="10"/>
  <c r="BV239" i="10"/>
  <c r="BV240" i="10"/>
  <c r="BV241" i="10"/>
  <c r="BV242" i="10"/>
  <c r="BV243" i="10"/>
  <c r="BV244" i="10"/>
  <c r="BV245" i="10"/>
  <c r="BV246" i="10"/>
  <c r="BV247" i="10"/>
  <c r="BV248" i="10"/>
  <c r="BX178" i="10"/>
  <c r="BX129" i="10"/>
  <c r="BY128" i="10"/>
  <c r="BX130" i="10"/>
  <c r="BX131" i="10"/>
  <c r="BX132" i="10"/>
  <c r="BX133" i="10"/>
  <c r="BX134" i="10"/>
  <c r="BX135" i="10"/>
  <c r="BX136" i="10"/>
  <c r="BX137" i="10"/>
  <c r="BX138" i="10"/>
  <c r="BX139" i="10"/>
  <c r="BX140" i="10"/>
  <c r="BX141" i="10"/>
  <c r="BX142" i="10"/>
  <c r="BX143" i="10"/>
  <c r="BX144" i="10"/>
  <c r="BX145" i="10"/>
  <c r="BX146" i="10"/>
  <c r="BX147" i="10"/>
  <c r="BX148" i="10"/>
  <c r="BX149" i="10"/>
  <c r="BX150" i="10"/>
  <c r="AI251" i="10"/>
  <c r="AJ251" i="10" s="1"/>
  <c r="AH252" i="10"/>
  <c r="AI151" i="10"/>
  <c r="AJ151" i="10" s="1"/>
  <c r="AH152" i="10"/>
  <c r="CD178" i="12" l="1"/>
  <c r="CD205" i="12" s="1"/>
  <c r="CE128" i="12"/>
  <c r="CD129" i="12"/>
  <c r="CD130" i="12"/>
  <c r="CD131" i="12"/>
  <c r="CD132" i="12"/>
  <c r="CD133" i="12"/>
  <c r="CD134" i="12"/>
  <c r="CD135" i="12"/>
  <c r="CD136" i="12"/>
  <c r="CD137" i="12"/>
  <c r="CD138" i="12"/>
  <c r="CD139" i="12"/>
  <c r="CD140" i="12"/>
  <c r="CD141" i="12"/>
  <c r="CD142" i="12"/>
  <c r="CD143" i="12"/>
  <c r="CD144" i="12"/>
  <c r="CD145" i="12"/>
  <c r="CD146" i="12"/>
  <c r="CD147" i="12"/>
  <c r="CD148" i="12"/>
  <c r="CD149" i="12"/>
  <c r="CD150" i="12"/>
  <c r="CD151" i="12"/>
  <c r="CD152" i="12"/>
  <c r="CD153" i="12"/>
  <c r="CD154" i="12"/>
  <c r="CB254" i="12"/>
  <c r="AI255" i="12"/>
  <c r="AJ255" i="12" s="1"/>
  <c r="AH256" i="12"/>
  <c r="CB229" i="12"/>
  <c r="CB230" i="12"/>
  <c r="CB231" i="12"/>
  <c r="CB232" i="12"/>
  <c r="CB233" i="12"/>
  <c r="CB234" i="12"/>
  <c r="CB235" i="12"/>
  <c r="CB236" i="12"/>
  <c r="CB237" i="12"/>
  <c r="CB238" i="12"/>
  <c r="CB239" i="12"/>
  <c r="CB240" i="12"/>
  <c r="CB241" i="12"/>
  <c r="CB242" i="12"/>
  <c r="CB243" i="12"/>
  <c r="CB244" i="12"/>
  <c r="CB245" i="12"/>
  <c r="CB246" i="12"/>
  <c r="CB247" i="12"/>
  <c r="CB248" i="12"/>
  <c r="CB249" i="12"/>
  <c r="CB250" i="12"/>
  <c r="CB251" i="12"/>
  <c r="CB252" i="12"/>
  <c r="AO255" i="12"/>
  <c r="CC205" i="12"/>
  <c r="CC228" i="12"/>
  <c r="CC254" i="12" s="1"/>
  <c r="CC179" i="12"/>
  <c r="CC180" i="12"/>
  <c r="CC181" i="12"/>
  <c r="CC182" i="12"/>
  <c r="CC183" i="12"/>
  <c r="CC184" i="12"/>
  <c r="CC185" i="12"/>
  <c r="CC186" i="12"/>
  <c r="CC187" i="12"/>
  <c r="CC188" i="12"/>
  <c r="CC189" i="12"/>
  <c r="CC190" i="12"/>
  <c r="CC191" i="12"/>
  <c r="CC192" i="12"/>
  <c r="CC193" i="12"/>
  <c r="CC194" i="12"/>
  <c r="CC195" i="12"/>
  <c r="CC196" i="12"/>
  <c r="CC197" i="12"/>
  <c r="CC198" i="12"/>
  <c r="CC199" i="12"/>
  <c r="CC200" i="12"/>
  <c r="CC201" i="12"/>
  <c r="CC202" i="12"/>
  <c r="CC203" i="12"/>
  <c r="CB253" i="12"/>
  <c r="CC204" i="12"/>
  <c r="AO56" i="12"/>
  <c r="AH158" i="12"/>
  <c r="AI157" i="12"/>
  <c r="AJ157" i="12" s="1"/>
  <c r="AI206" i="12"/>
  <c r="AJ206" i="12" s="1"/>
  <c r="AH207" i="12"/>
  <c r="CD155" i="12"/>
  <c r="AO206" i="12"/>
  <c r="CD156" i="12"/>
  <c r="AO157" i="12"/>
  <c r="C303" i="11"/>
  <c r="C54" i="11"/>
  <c r="BW229" i="10"/>
  <c r="BW231" i="10"/>
  <c r="BW230" i="10"/>
  <c r="BW232" i="10"/>
  <c r="BW233" i="10"/>
  <c r="BW234" i="10"/>
  <c r="BW235" i="10"/>
  <c r="BW236" i="10"/>
  <c r="BW237" i="10"/>
  <c r="BW238" i="10"/>
  <c r="BW239" i="10"/>
  <c r="BW240" i="10"/>
  <c r="BW241" i="10"/>
  <c r="BW242" i="10"/>
  <c r="BW243" i="10"/>
  <c r="BW244" i="10"/>
  <c r="BW245" i="10"/>
  <c r="BW246" i="10"/>
  <c r="BW247" i="10"/>
  <c r="BW248" i="10"/>
  <c r="BW249" i="10"/>
  <c r="AO54" i="10"/>
  <c r="BY178" i="10"/>
  <c r="BZ128" i="10"/>
  <c r="BY129" i="10"/>
  <c r="BY130" i="10"/>
  <c r="BY131" i="10"/>
  <c r="BY132" i="10"/>
  <c r="BY133" i="10"/>
  <c r="BY134" i="10"/>
  <c r="BY135" i="10"/>
  <c r="BY136" i="10"/>
  <c r="BY137" i="10"/>
  <c r="BY138" i="10"/>
  <c r="BY139" i="10"/>
  <c r="BY140" i="10"/>
  <c r="BY141" i="10"/>
  <c r="BY142" i="10"/>
  <c r="BY143" i="10"/>
  <c r="BY144" i="10"/>
  <c r="BY145" i="10"/>
  <c r="BY146" i="10"/>
  <c r="BY147" i="10"/>
  <c r="BY148" i="10"/>
  <c r="BY149" i="10"/>
  <c r="BY150" i="10"/>
  <c r="BY151" i="10"/>
  <c r="AI252" i="10"/>
  <c r="AJ252" i="10" s="1"/>
  <c r="AH253" i="10"/>
  <c r="AO203" i="10"/>
  <c r="AO154" i="10"/>
  <c r="AH153" i="10"/>
  <c r="AI152" i="10"/>
  <c r="AJ152" i="10" s="1"/>
  <c r="BX228" i="10"/>
  <c r="BX179" i="10"/>
  <c r="BX181" i="10"/>
  <c r="BX180" i="10"/>
  <c r="BX182" i="10"/>
  <c r="BX183" i="10"/>
  <c r="BX184" i="10"/>
  <c r="BX185" i="10"/>
  <c r="BX186" i="10"/>
  <c r="BX187" i="10"/>
  <c r="BX188" i="10"/>
  <c r="BX189" i="10"/>
  <c r="BX190" i="10"/>
  <c r="BX191" i="10"/>
  <c r="BX192" i="10"/>
  <c r="BX193" i="10"/>
  <c r="BX194" i="10"/>
  <c r="BX195" i="10"/>
  <c r="BX196" i="10"/>
  <c r="BX197" i="10"/>
  <c r="BX198" i="10"/>
  <c r="BX199" i="10"/>
  <c r="BX200" i="10"/>
  <c r="AO252" i="10"/>
  <c r="AI202" i="10"/>
  <c r="AJ202" i="10" s="1"/>
  <c r="AH203" i="10"/>
  <c r="CC229" i="12" l="1"/>
  <c r="CC230" i="12"/>
  <c r="CC231" i="12"/>
  <c r="CC232" i="12"/>
  <c r="CC233" i="12"/>
  <c r="CC234" i="12"/>
  <c r="CC235" i="12"/>
  <c r="CC236" i="12"/>
  <c r="CC237" i="12"/>
  <c r="CC238" i="12"/>
  <c r="CC239" i="12"/>
  <c r="CC240" i="12"/>
  <c r="CC241" i="12"/>
  <c r="CC242" i="12"/>
  <c r="CC243" i="12"/>
  <c r="CC244" i="12"/>
  <c r="CC245" i="12"/>
  <c r="CC246" i="12"/>
  <c r="CC247" i="12"/>
  <c r="CC248" i="12"/>
  <c r="CC249" i="12"/>
  <c r="CC250" i="12"/>
  <c r="CC251" i="12"/>
  <c r="CC252" i="12"/>
  <c r="CC253" i="12"/>
  <c r="AI207" i="12"/>
  <c r="AJ207" i="12" s="1"/>
  <c r="AH208" i="12"/>
  <c r="AO256" i="12"/>
  <c r="CE206" i="12"/>
  <c r="CD206" i="12"/>
  <c r="AI256" i="12"/>
  <c r="AJ256" i="12" s="1"/>
  <c r="AH257" i="12"/>
  <c r="CE178" i="12"/>
  <c r="CE129" i="12"/>
  <c r="CF128" i="12"/>
  <c r="CE130" i="12"/>
  <c r="CE131" i="12"/>
  <c r="CE132" i="12"/>
  <c r="CE133" i="12"/>
  <c r="CE134" i="12"/>
  <c r="CE135" i="12"/>
  <c r="CE136" i="12"/>
  <c r="CE137" i="12"/>
  <c r="CE138" i="12"/>
  <c r="CE139" i="12"/>
  <c r="CE140" i="12"/>
  <c r="CE141" i="12"/>
  <c r="CE142" i="12"/>
  <c r="CE143" i="12"/>
  <c r="CE144" i="12"/>
  <c r="CE145" i="12"/>
  <c r="CE146" i="12"/>
  <c r="CE147" i="12"/>
  <c r="CE148" i="12"/>
  <c r="CE149" i="12"/>
  <c r="CE150" i="12"/>
  <c r="CE151" i="12"/>
  <c r="CE152" i="12"/>
  <c r="CE153" i="12"/>
  <c r="CE154" i="12"/>
  <c r="CE155" i="12"/>
  <c r="AO57" i="12"/>
  <c r="CD228" i="12"/>
  <c r="CD179" i="12"/>
  <c r="CD180" i="12"/>
  <c r="CD181" i="12"/>
  <c r="CD182" i="12"/>
  <c r="CD183" i="12"/>
  <c r="CD184" i="12"/>
  <c r="CD185" i="12"/>
  <c r="CD186" i="12"/>
  <c r="CD187" i="12"/>
  <c r="CD188" i="12"/>
  <c r="CD189" i="12"/>
  <c r="CD190" i="12"/>
  <c r="CD191" i="12"/>
  <c r="CD192" i="12"/>
  <c r="CD193" i="12"/>
  <c r="CD194" i="12"/>
  <c r="CD195" i="12"/>
  <c r="CD196" i="12"/>
  <c r="CD197" i="12"/>
  <c r="CD198" i="12"/>
  <c r="CD199" i="12"/>
  <c r="CD200" i="12"/>
  <c r="CD201" i="12"/>
  <c r="CD202" i="12"/>
  <c r="CD203" i="12"/>
  <c r="CD204" i="12"/>
  <c r="CD255" i="12"/>
  <c r="CC255" i="12"/>
  <c r="AH159" i="12"/>
  <c r="AI158" i="12"/>
  <c r="AJ158" i="12" s="1"/>
  <c r="AO207" i="12"/>
  <c r="CF157" i="12"/>
  <c r="AO158" i="12"/>
  <c r="CE157" i="12"/>
  <c r="CE156" i="12"/>
  <c r="C304" i="11"/>
  <c r="C55" i="11"/>
  <c r="AO204" i="10"/>
  <c r="AO155" i="10"/>
  <c r="AI203" i="10"/>
  <c r="AJ203" i="10" s="1"/>
  <c r="AH204" i="10"/>
  <c r="BX229" i="10"/>
  <c r="BX230" i="10"/>
  <c r="BX231" i="10"/>
  <c r="BX232" i="10"/>
  <c r="BX233" i="10"/>
  <c r="BX234" i="10"/>
  <c r="BX235" i="10"/>
  <c r="BX236" i="10"/>
  <c r="BX237" i="10"/>
  <c r="BX238" i="10"/>
  <c r="BX239" i="10"/>
  <c r="BX240" i="10"/>
  <c r="BX241" i="10"/>
  <c r="BX242" i="10"/>
  <c r="BX243" i="10"/>
  <c r="BX244" i="10"/>
  <c r="BX245" i="10"/>
  <c r="BX246" i="10"/>
  <c r="BX247" i="10"/>
  <c r="BX248" i="10"/>
  <c r="BX249" i="10"/>
  <c r="BX250" i="10"/>
  <c r="AO55" i="10"/>
  <c r="AH254" i="10"/>
  <c r="AI253" i="10"/>
  <c r="AJ253" i="10" s="1"/>
  <c r="AI153" i="10"/>
  <c r="AJ153" i="10" s="1"/>
  <c r="AH154" i="10"/>
  <c r="AO253" i="10"/>
  <c r="BZ178" i="10"/>
  <c r="CA128" i="10"/>
  <c r="BZ129" i="10"/>
  <c r="BZ131" i="10"/>
  <c r="BZ130" i="10"/>
  <c r="BZ132" i="10"/>
  <c r="BZ133" i="10"/>
  <c r="BZ134" i="10"/>
  <c r="BZ135" i="10"/>
  <c r="BZ136" i="10"/>
  <c r="BZ137" i="10"/>
  <c r="BZ138" i="10"/>
  <c r="BZ139" i="10"/>
  <c r="BZ140" i="10"/>
  <c r="BZ141" i="10"/>
  <c r="BZ142" i="10"/>
  <c r="BZ143" i="10"/>
  <c r="BZ144" i="10"/>
  <c r="BZ145" i="10"/>
  <c r="BZ146" i="10"/>
  <c r="BZ147" i="10"/>
  <c r="BZ148" i="10"/>
  <c r="BZ149" i="10"/>
  <c r="BZ150" i="10"/>
  <c r="BZ151" i="10"/>
  <c r="BZ152" i="10"/>
  <c r="BY228" i="10"/>
  <c r="BY179" i="10"/>
  <c r="BY181" i="10"/>
  <c r="BY180" i="10"/>
  <c r="BY182" i="10"/>
  <c r="BY183" i="10"/>
  <c r="BY184" i="10"/>
  <c r="BY185" i="10"/>
  <c r="BY186" i="10"/>
  <c r="BY187" i="10"/>
  <c r="BY188" i="10"/>
  <c r="BY189" i="10"/>
  <c r="BY190" i="10"/>
  <c r="BY191" i="10"/>
  <c r="BY192" i="10"/>
  <c r="BY193" i="10"/>
  <c r="BY194" i="10"/>
  <c r="BY195" i="10"/>
  <c r="BY196" i="10"/>
  <c r="BY197" i="10"/>
  <c r="BY198" i="10"/>
  <c r="BY199" i="10"/>
  <c r="BY200" i="10"/>
  <c r="BY201" i="10"/>
  <c r="AI257" i="12" l="1"/>
  <c r="AJ257" i="12" s="1"/>
  <c r="AH258" i="12"/>
  <c r="AO58" i="12"/>
  <c r="AI208" i="12"/>
  <c r="AJ208" i="12" s="1"/>
  <c r="AH209" i="12"/>
  <c r="CF178" i="12"/>
  <c r="CG128" i="12"/>
  <c r="CF129" i="12"/>
  <c r="CF130" i="12"/>
  <c r="CF131" i="12"/>
  <c r="CF132" i="12"/>
  <c r="CF133" i="12"/>
  <c r="CF134" i="12"/>
  <c r="CF135" i="12"/>
  <c r="CF136" i="12"/>
  <c r="CF137" i="12"/>
  <c r="CF138" i="12"/>
  <c r="CF139" i="12"/>
  <c r="CF140" i="12"/>
  <c r="CF141" i="12"/>
  <c r="CF142" i="12"/>
  <c r="CF143" i="12"/>
  <c r="CF144" i="12"/>
  <c r="CF145" i="12"/>
  <c r="CF146" i="12"/>
  <c r="CF147" i="12"/>
  <c r="CF148" i="12"/>
  <c r="CF149" i="12"/>
  <c r="CF150" i="12"/>
  <c r="CF151" i="12"/>
  <c r="CF152" i="12"/>
  <c r="CF153" i="12"/>
  <c r="CF154" i="12"/>
  <c r="CF155" i="12"/>
  <c r="CF156" i="12"/>
  <c r="AH160" i="12"/>
  <c r="AI159" i="12"/>
  <c r="AJ159" i="12" s="1"/>
  <c r="CD229" i="12"/>
  <c r="CD230" i="12"/>
  <c r="CD231" i="12"/>
  <c r="CD232" i="12"/>
  <c r="CD233" i="12"/>
  <c r="CD234" i="12"/>
  <c r="CD235" i="12"/>
  <c r="CD236" i="12"/>
  <c r="CD237" i="12"/>
  <c r="CD238" i="12"/>
  <c r="CD239" i="12"/>
  <c r="CD240" i="12"/>
  <c r="CD241" i="12"/>
  <c r="CD242" i="12"/>
  <c r="CD243" i="12"/>
  <c r="CD244" i="12"/>
  <c r="CD245" i="12"/>
  <c r="CD246" i="12"/>
  <c r="CD247" i="12"/>
  <c r="CD248" i="12"/>
  <c r="CD249" i="12"/>
  <c r="CD250" i="12"/>
  <c r="CD251" i="12"/>
  <c r="CD252" i="12"/>
  <c r="CD253" i="12"/>
  <c r="CD254" i="12"/>
  <c r="AO208" i="12"/>
  <c r="AO159" i="12"/>
  <c r="CF158" i="12"/>
  <c r="CE228" i="12"/>
  <c r="CE179" i="12"/>
  <c r="CE180" i="12"/>
  <c r="CE181" i="12"/>
  <c r="CE182" i="12"/>
  <c r="CE183" i="12"/>
  <c r="CE184" i="12"/>
  <c r="CE185" i="12"/>
  <c r="CE186" i="12"/>
  <c r="CE187" i="12"/>
  <c r="CE188" i="12"/>
  <c r="CE189" i="12"/>
  <c r="CE190" i="12"/>
  <c r="CE191" i="12"/>
  <c r="CE192" i="12"/>
  <c r="CE193" i="12"/>
  <c r="CE194" i="12"/>
  <c r="CE195" i="12"/>
  <c r="CE196" i="12"/>
  <c r="CE197" i="12"/>
  <c r="CE198" i="12"/>
  <c r="CE199" i="12"/>
  <c r="CE200" i="12"/>
  <c r="CE201" i="12"/>
  <c r="CE202" i="12"/>
  <c r="CE203" i="12"/>
  <c r="CE204" i="12"/>
  <c r="CE205" i="12"/>
  <c r="AO257" i="12"/>
  <c r="CE207" i="12"/>
  <c r="CE256" i="12"/>
  <c r="CD256" i="12"/>
  <c r="C305" i="11"/>
  <c r="C56" i="11"/>
  <c r="BY229" i="10"/>
  <c r="BY231" i="10"/>
  <c r="BY230" i="10"/>
  <c r="BY232" i="10"/>
  <c r="BY233" i="10"/>
  <c r="BY234" i="10"/>
  <c r="BY235" i="10"/>
  <c r="BY236" i="10"/>
  <c r="BY237" i="10"/>
  <c r="BY238" i="10"/>
  <c r="BY239" i="10"/>
  <c r="BY240" i="10"/>
  <c r="BY241" i="10"/>
  <c r="BY242" i="10"/>
  <c r="BY243" i="10"/>
  <c r="BY244" i="10"/>
  <c r="BY245" i="10"/>
  <c r="BY246" i="10"/>
  <c r="BY247" i="10"/>
  <c r="BY248" i="10"/>
  <c r="BY249" i="10"/>
  <c r="BY250" i="10"/>
  <c r="BY251" i="10"/>
  <c r="AH255" i="10"/>
  <c r="AI254" i="10"/>
  <c r="AJ254" i="10" s="1"/>
  <c r="AI204" i="10"/>
  <c r="AJ204" i="10" s="1"/>
  <c r="AH205" i="10"/>
  <c r="CA178" i="10"/>
  <c r="CB128" i="10"/>
  <c r="CA129" i="10"/>
  <c r="CA131" i="10"/>
  <c r="CA130" i="10"/>
  <c r="CA132" i="10"/>
  <c r="CA133" i="10"/>
  <c r="CA134" i="10"/>
  <c r="CA135" i="10"/>
  <c r="CA136" i="10"/>
  <c r="CA137" i="10"/>
  <c r="CA138" i="10"/>
  <c r="CA139" i="10"/>
  <c r="CA140" i="10"/>
  <c r="CA141" i="10"/>
  <c r="CA142" i="10"/>
  <c r="CA143" i="10"/>
  <c r="CA144" i="10"/>
  <c r="CA145" i="10"/>
  <c r="CA146" i="10"/>
  <c r="CA147" i="10"/>
  <c r="CA148" i="10"/>
  <c r="CA149" i="10"/>
  <c r="CA150" i="10"/>
  <c r="CA151" i="10"/>
  <c r="CA152" i="10"/>
  <c r="CA153" i="10"/>
  <c r="AO56" i="10"/>
  <c r="BZ228" i="10"/>
  <c r="BZ179" i="10"/>
  <c r="BZ180" i="10"/>
  <c r="BZ181" i="10"/>
  <c r="BZ182" i="10"/>
  <c r="BZ183" i="10"/>
  <c r="BZ184" i="10"/>
  <c r="BZ185" i="10"/>
  <c r="BZ186" i="10"/>
  <c r="BZ187" i="10"/>
  <c r="BZ188" i="10"/>
  <c r="BZ189" i="10"/>
  <c r="BZ190" i="10"/>
  <c r="BZ191" i="10"/>
  <c r="BZ192" i="10"/>
  <c r="BZ193" i="10"/>
  <c r="BZ194" i="10"/>
  <c r="BZ195" i="10"/>
  <c r="BZ196" i="10"/>
  <c r="BZ197" i="10"/>
  <c r="BZ198" i="10"/>
  <c r="BZ199" i="10"/>
  <c r="BZ200" i="10"/>
  <c r="BZ201" i="10"/>
  <c r="BZ202" i="10"/>
  <c r="AH155" i="10"/>
  <c r="AI154" i="10"/>
  <c r="AJ154" i="10" s="1"/>
  <c r="AO205" i="10"/>
  <c r="AO156" i="10"/>
  <c r="AO254" i="10"/>
  <c r="CE257" i="12" l="1"/>
  <c r="AO209" i="12"/>
  <c r="AO160" i="12"/>
  <c r="CG159" i="12"/>
  <c r="CF228" i="12"/>
  <c r="CF257" i="12" s="1"/>
  <c r="CF179" i="12"/>
  <c r="CF180" i="12"/>
  <c r="CF181" i="12"/>
  <c r="CF182" i="12"/>
  <c r="CF183" i="12"/>
  <c r="CF184" i="12"/>
  <c r="CF185" i="12"/>
  <c r="CF186" i="12"/>
  <c r="CF187" i="12"/>
  <c r="CF188" i="12"/>
  <c r="CF189" i="12"/>
  <c r="CF190" i="12"/>
  <c r="CF191" i="12"/>
  <c r="CF192" i="12"/>
  <c r="CF193" i="12"/>
  <c r="CF194" i="12"/>
  <c r="CF195" i="12"/>
  <c r="CF196" i="12"/>
  <c r="CF197" i="12"/>
  <c r="CF198" i="12"/>
  <c r="CF199" i="12"/>
  <c r="CF200" i="12"/>
  <c r="CF201" i="12"/>
  <c r="CF202" i="12"/>
  <c r="CF203" i="12"/>
  <c r="CF204" i="12"/>
  <c r="CF205" i="12"/>
  <c r="CF206" i="12"/>
  <c r="CF207" i="12"/>
  <c r="AH210" i="12"/>
  <c r="AI209" i="12"/>
  <c r="AJ209" i="12" s="1"/>
  <c r="AI258" i="12"/>
  <c r="AJ258" i="12" s="1"/>
  <c r="AH259" i="12"/>
  <c r="CE229" i="12"/>
  <c r="CE230" i="12"/>
  <c r="CE231" i="12"/>
  <c r="CE232" i="12"/>
  <c r="CE233" i="12"/>
  <c r="CE234" i="12"/>
  <c r="CE235" i="12"/>
  <c r="CE236" i="12"/>
  <c r="CE237" i="12"/>
  <c r="CE238" i="12"/>
  <c r="CE239" i="12"/>
  <c r="CE240" i="12"/>
  <c r="CE241" i="12"/>
  <c r="CE242" i="12"/>
  <c r="CE243" i="12"/>
  <c r="CE244" i="12"/>
  <c r="CE245" i="12"/>
  <c r="CE246" i="12"/>
  <c r="CE247" i="12"/>
  <c r="CE248" i="12"/>
  <c r="CE249" i="12"/>
  <c r="CE250" i="12"/>
  <c r="CE251" i="12"/>
  <c r="CE252" i="12"/>
  <c r="CE253" i="12"/>
  <c r="CE254" i="12"/>
  <c r="CE255" i="12"/>
  <c r="AO59" i="12"/>
  <c r="AH161" i="12"/>
  <c r="AI160" i="12"/>
  <c r="AJ160" i="12" s="1"/>
  <c r="CG178" i="12"/>
  <c r="CH128" i="12"/>
  <c r="CG129" i="12"/>
  <c r="CG130" i="12"/>
  <c r="CG131" i="12"/>
  <c r="CG132" i="12"/>
  <c r="CG133" i="12"/>
  <c r="CG134" i="12"/>
  <c r="CG135" i="12"/>
  <c r="CG136" i="12"/>
  <c r="CG137" i="12"/>
  <c r="CG138" i="12"/>
  <c r="CG139" i="12"/>
  <c r="CG140" i="12"/>
  <c r="CG141" i="12"/>
  <c r="CG142" i="12"/>
  <c r="CG143" i="12"/>
  <c r="CG144" i="12"/>
  <c r="CG145" i="12"/>
  <c r="CG146" i="12"/>
  <c r="CG147" i="12"/>
  <c r="CG148" i="12"/>
  <c r="CG149" i="12"/>
  <c r="CG150" i="12"/>
  <c r="CG151" i="12"/>
  <c r="CG152" i="12"/>
  <c r="CG153" i="12"/>
  <c r="CG154" i="12"/>
  <c r="CG155" i="12"/>
  <c r="CG156" i="12"/>
  <c r="CG157" i="12"/>
  <c r="CG158" i="12"/>
  <c r="AO258" i="12"/>
  <c r="CF208" i="12"/>
  <c r="CG208" i="12"/>
  <c r="C306" i="11"/>
  <c r="C57" i="11"/>
  <c r="AO206" i="10"/>
  <c r="AO157" i="10"/>
  <c r="AO57" i="10"/>
  <c r="AI205" i="10"/>
  <c r="AJ205" i="10" s="1"/>
  <c r="AH206" i="10"/>
  <c r="AH156" i="10"/>
  <c r="AI155" i="10"/>
  <c r="AJ155" i="10" s="1"/>
  <c r="BZ229" i="10"/>
  <c r="BZ230" i="10"/>
  <c r="BZ231" i="10"/>
  <c r="BZ232" i="10"/>
  <c r="BZ233" i="10"/>
  <c r="BZ234" i="10"/>
  <c r="BZ235" i="10"/>
  <c r="BZ236" i="10"/>
  <c r="BZ237" i="10"/>
  <c r="BZ238" i="10"/>
  <c r="BZ239" i="10"/>
  <c r="BZ240" i="10"/>
  <c r="BZ241" i="10"/>
  <c r="BZ242" i="10"/>
  <c r="BZ243" i="10"/>
  <c r="BZ244" i="10"/>
  <c r="BZ245" i="10"/>
  <c r="BZ246" i="10"/>
  <c r="BZ247" i="10"/>
  <c r="BZ248" i="10"/>
  <c r="BZ249" i="10"/>
  <c r="BZ250" i="10"/>
  <c r="BZ251" i="10"/>
  <c r="BZ252" i="10"/>
  <c r="CB178" i="10"/>
  <c r="CC128" i="10"/>
  <c r="CB129" i="10"/>
  <c r="CB130" i="10"/>
  <c r="CB131" i="10"/>
  <c r="CB132" i="10"/>
  <c r="CB133" i="10"/>
  <c r="CB134" i="10"/>
  <c r="CB135" i="10"/>
  <c r="CB136" i="10"/>
  <c r="CB137" i="10"/>
  <c r="CB138" i="10"/>
  <c r="CB139" i="10"/>
  <c r="CB140" i="10"/>
  <c r="CB141" i="10"/>
  <c r="CB142" i="10"/>
  <c r="CB143" i="10"/>
  <c r="CB144" i="10"/>
  <c r="CB145" i="10"/>
  <c r="CB146" i="10"/>
  <c r="CB147" i="10"/>
  <c r="CB148" i="10"/>
  <c r="CB149" i="10"/>
  <c r="CB150" i="10"/>
  <c r="CB151" i="10"/>
  <c r="CB152" i="10"/>
  <c r="CB153" i="10"/>
  <c r="CB154" i="10"/>
  <c r="CA228" i="10"/>
  <c r="CA179" i="10"/>
  <c r="CA181" i="10"/>
  <c r="CA180" i="10"/>
  <c r="CA182" i="10"/>
  <c r="CA183" i="10"/>
  <c r="CA184" i="10"/>
  <c r="CA185" i="10"/>
  <c r="CA186" i="10"/>
  <c r="CA187" i="10"/>
  <c r="CA188" i="10"/>
  <c r="CA189" i="10"/>
  <c r="CA190" i="10"/>
  <c r="CA191" i="10"/>
  <c r="CA192" i="10"/>
  <c r="CA193" i="10"/>
  <c r="CA194" i="10"/>
  <c r="CA195" i="10"/>
  <c r="CA196" i="10"/>
  <c r="CA197" i="10"/>
  <c r="CA198" i="10"/>
  <c r="CA199" i="10"/>
  <c r="CA200" i="10"/>
  <c r="CA201" i="10"/>
  <c r="CA202" i="10"/>
  <c r="CA203" i="10"/>
  <c r="AO255" i="10"/>
  <c r="AH256" i="10"/>
  <c r="AI255" i="10"/>
  <c r="AJ255" i="10" s="1"/>
  <c r="AI210" i="12" l="1"/>
  <c r="AJ210" i="12" s="1"/>
  <c r="AH211" i="12"/>
  <c r="AO259" i="12"/>
  <c r="CG209" i="12"/>
  <c r="CF258" i="12"/>
  <c r="AO60" i="12"/>
  <c r="AO210" i="12"/>
  <c r="CH160" i="12"/>
  <c r="AO161" i="12"/>
  <c r="AI259" i="12"/>
  <c r="AJ259" i="12" s="1"/>
  <c r="AH260" i="12"/>
  <c r="CH178" i="12"/>
  <c r="CH209" i="12" s="1"/>
  <c r="CI128" i="12"/>
  <c r="CH129" i="12"/>
  <c r="CH130" i="12"/>
  <c r="CH131" i="12"/>
  <c r="CH132" i="12"/>
  <c r="CH133" i="12"/>
  <c r="CH134" i="12"/>
  <c r="CH135" i="12"/>
  <c r="CH136" i="12"/>
  <c r="CH137" i="12"/>
  <c r="CH138" i="12"/>
  <c r="CH139" i="12"/>
  <c r="CH140" i="12"/>
  <c r="CH141" i="12"/>
  <c r="CH142" i="12"/>
  <c r="CH143" i="12"/>
  <c r="CH144" i="12"/>
  <c r="CH145" i="12"/>
  <c r="CH146" i="12"/>
  <c r="CH147" i="12"/>
  <c r="CH148" i="12"/>
  <c r="CH149" i="12"/>
  <c r="CH150" i="12"/>
  <c r="CH151" i="12"/>
  <c r="CH152" i="12"/>
  <c r="CH153" i="12"/>
  <c r="CH154" i="12"/>
  <c r="CH155" i="12"/>
  <c r="CH156" i="12"/>
  <c r="CH157" i="12"/>
  <c r="CH158" i="12"/>
  <c r="CF229" i="12"/>
  <c r="CF230" i="12"/>
  <c r="CF231" i="12"/>
  <c r="CF232" i="12"/>
  <c r="CF233" i="12"/>
  <c r="CF234" i="12"/>
  <c r="CF235" i="12"/>
  <c r="CF236" i="12"/>
  <c r="CF237" i="12"/>
  <c r="CF238" i="12"/>
  <c r="CF239" i="12"/>
  <c r="CF240" i="12"/>
  <c r="CF241" i="12"/>
  <c r="CF242" i="12"/>
  <c r="CF243" i="12"/>
  <c r="CF244" i="12"/>
  <c r="CF245" i="12"/>
  <c r="CF246" i="12"/>
  <c r="CF247" i="12"/>
  <c r="CF248" i="12"/>
  <c r="CF249" i="12"/>
  <c r="CF250" i="12"/>
  <c r="CF251" i="12"/>
  <c r="CF252" i="12"/>
  <c r="CF253" i="12"/>
  <c r="CF254" i="12"/>
  <c r="CF255" i="12"/>
  <c r="CF256" i="12"/>
  <c r="CH159" i="12"/>
  <c r="AH162" i="12"/>
  <c r="AI161" i="12"/>
  <c r="AJ161" i="12" s="1"/>
  <c r="CG228" i="12"/>
  <c r="CG258" i="12" s="1"/>
  <c r="CG179" i="12"/>
  <c r="CG180" i="12"/>
  <c r="CG181" i="12"/>
  <c r="CG182" i="12"/>
  <c r="CG183" i="12"/>
  <c r="CG184" i="12"/>
  <c r="CG185" i="12"/>
  <c r="CG186" i="12"/>
  <c r="CG187" i="12"/>
  <c r="CG188" i="12"/>
  <c r="CG189" i="12"/>
  <c r="CG190" i="12"/>
  <c r="CG191" i="12"/>
  <c r="CG192" i="12"/>
  <c r="CG193" i="12"/>
  <c r="CG194" i="12"/>
  <c r="CG195" i="12"/>
  <c r="CG196" i="12"/>
  <c r="CG197" i="12"/>
  <c r="CG198" i="12"/>
  <c r="CG199" i="12"/>
  <c r="CG200" i="12"/>
  <c r="CG201" i="12"/>
  <c r="CG202" i="12"/>
  <c r="CG203" i="12"/>
  <c r="CG204" i="12"/>
  <c r="CG205" i="12"/>
  <c r="CG206" i="12"/>
  <c r="CG207" i="12"/>
  <c r="C307" i="11"/>
  <c r="C58" i="11"/>
  <c r="AH257" i="10"/>
  <c r="AI256" i="10"/>
  <c r="AJ256" i="10" s="1"/>
  <c r="CB228" i="10"/>
  <c r="CB179" i="10"/>
  <c r="CB180" i="10"/>
  <c r="CB181" i="10"/>
  <c r="CB182" i="10"/>
  <c r="CB183" i="10"/>
  <c r="CB184" i="10"/>
  <c r="CB185" i="10"/>
  <c r="CB186" i="10"/>
  <c r="CB187" i="10"/>
  <c r="CB188" i="10"/>
  <c r="CB189" i="10"/>
  <c r="CB190" i="10"/>
  <c r="CB191" i="10"/>
  <c r="CB192" i="10"/>
  <c r="CB193" i="10"/>
  <c r="CB194" i="10"/>
  <c r="CB195" i="10"/>
  <c r="CB196" i="10"/>
  <c r="CB197" i="10"/>
  <c r="CB198" i="10"/>
  <c r="CB199" i="10"/>
  <c r="CB200" i="10"/>
  <c r="CB201" i="10"/>
  <c r="CB202" i="10"/>
  <c r="CB203" i="10"/>
  <c r="CB204" i="10"/>
  <c r="AO207" i="10"/>
  <c r="AO158" i="10"/>
  <c r="AI206" i="10"/>
  <c r="AJ206" i="10" s="1"/>
  <c r="AH207" i="10"/>
  <c r="AH157" i="10"/>
  <c r="AI156" i="10"/>
  <c r="AJ156" i="10" s="1"/>
  <c r="AO58" i="10"/>
  <c r="AO256" i="10"/>
  <c r="CA229" i="10"/>
  <c r="CA230" i="10"/>
  <c r="CA231" i="10"/>
  <c r="CA232" i="10"/>
  <c r="CA233" i="10"/>
  <c r="CA234" i="10"/>
  <c r="CA235" i="10"/>
  <c r="CA236" i="10"/>
  <c r="CA237" i="10"/>
  <c r="CA238" i="10"/>
  <c r="CA239" i="10"/>
  <c r="CA240" i="10"/>
  <c r="CA241" i="10"/>
  <c r="CA242" i="10"/>
  <c r="CA243" i="10"/>
  <c r="CA244" i="10"/>
  <c r="CA245" i="10"/>
  <c r="CA246" i="10"/>
  <c r="CA247" i="10"/>
  <c r="CA248" i="10"/>
  <c r="CA249" i="10"/>
  <c r="CA250" i="10"/>
  <c r="CA251" i="10"/>
  <c r="CA252" i="10"/>
  <c r="CA253" i="10"/>
  <c r="CC178" i="10"/>
  <c r="CD128" i="10"/>
  <c r="CC129" i="10"/>
  <c r="CC130" i="10"/>
  <c r="CC131" i="10"/>
  <c r="CC132" i="10"/>
  <c r="CC133" i="10"/>
  <c r="CC134" i="10"/>
  <c r="CC135" i="10"/>
  <c r="CC136" i="10"/>
  <c r="CC137" i="10"/>
  <c r="CC138" i="10"/>
  <c r="CC139" i="10"/>
  <c r="CC140" i="10"/>
  <c r="CC141" i="10"/>
  <c r="CC142" i="10"/>
  <c r="CC143" i="10"/>
  <c r="CC144" i="10"/>
  <c r="CC145" i="10"/>
  <c r="CC146" i="10"/>
  <c r="CC147" i="10"/>
  <c r="CC148" i="10"/>
  <c r="CC149" i="10"/>
  <c r="CC150" i="10"/>
  <c r="CC151" i="10"/>
  <c r="CC152" i="10"/>
  <c r="CC153" i="10"/>
  <c r="CC154" i="10"/>
  <c r="CC155" i="10"/>
  <c r="CG259" i="12" l="1"/>
  <c r="AO260" i="12"/>
  <c r="CH210" i="12"/>
  <c r="AH163" i="12"/>
  <c r="AI162" i="12"/>
  <c r="AJ162" i="12" s="1"/>
  <c r="CI178" i="12"/>
  <c r="CI210" i="12" s="1"/>
  <c r="CI129" i="12"/>
  <c r="CJ128" i="12"/>
  <c r="CI130" i="12"/>
  <c r="CI131" i="12"/>
  <c r="CI132" i="12"/>
  <c r="CI133" i="12"/>
  <c r="CI134" i="12"/>
  <c r="CI135" i="12"/>
  <c r="CI136" i="12"/>
  <c r="CI137" i="12"/>
  <c r="CI138" i="12"/>
  <c r="CI139" i="12"/>
  <c r="CI140" i="12"/>
  <c r="CI141" i="12"/>
  <c r="CI142" i="12"/>
  <c r="CI143" i="12"/>
  <c r="CI144" i="12"/>
  <c r="CI145" i="12"/>
  <c r="CI146" i="12"/>
  <c r="CI147" i="12"/>
  <c r="CI148" i="12"/>
  <c r="CI149" i="12"/>
  <c r="CI150" i="12"/>
  <c r="CI151" i="12"/>
  <c r="CI152" i="12"/>
  <c r="CI153" i="12"/>
  <c r="CI154" i="12"/>
  <c r="CI155" i="12"/>
  <c r="CI156" i="12"/>
  <c r="CI157" i="12"/>
  <c r="CI158" i="12"/>
  <c r="CI159" i="12"/>
  <c r="CH228" i="12"/>
  <c r="CH259" i="12" s="1"/>
  <c r="CH179" i="12"/>
  <c r="CH180" i="12"/>
  <c r="CH181" i="12"/>
  <c r="CH182" i="12"/>
  <c r="CH183" i="12"/>
  <c r="CH184" i="12"/>
  <c r="CH185" i="12"/>
  <c r="CH186" i="12"/>
  <c r="CH187" i="12"/>
  <c r="CH188" i="12"/>
  <c r="CH189" i="12"/>
  <c r="CH190" i="12"/>
  <c r="CH191" i="12"/>
  <c r="CH192" i="12"/>
  <c r="CH193" i="12"/>
  <c r="CH194" i="12"/>
  <c r="CH195" i="12"/>
  <c r="CH196" i="12"/>
  <c r="CH197" i="12"/>
  <c r="CH198" i="12"/>
  <c r="CH199" i="12"/>
  <c r="CH200" i="12"/>
  <c r="CH201" i="12"/>
  <c r="CH202" i="12"/>
  <c r="CH203" i="12"/>
  <c r="CH204" i="12"/>
  <c r="CH205" i="12"/>
  <c r="CH206" i="12"/>
  <c r="CH207" i="12"/>
  <c r="CH208" i="12"/>
  <c r="AO211" i="12"/>
  <c r="AO162" i="12"/>
  <c r="CJ161" i="12"/>
  <c r="CI161" i="12"/>
  <c r="AI211" i="12"/>
  <c r="AJ211" i="12" s="1"/>
  <c r="AH212" i="12"/>
  <c r="CG229" i="12"/>
  <c r="CG230" i="12"/>
  <c r="CG231" i="12"/>
  <c r="CG232" i="12"/>
  <c r="CG233" i="12"/>
  <c r="CG234" i="12"/>
  <c r="CG235" i="12"/>
  <c r="CG236" i="12"/>
  <c r="CG237" i="12"/>
  <c r="CG238" i="12"/>
  <c r="CG239" i="12"/>
  <c r="CG240" i="12"/>
  <c r="CG241" i="12"/>
  <c r="CG242" i="12"/>
  <c r="CG243" i="12"/>
  <c r="CG244" i="12"/>
  <c r="CG245" i="12"/>
  <c r="CG246" i="12"/>
  <c r="CG247" i="12"/>
  <c r="CG248" i="12"/>
  <c r="CG249" i="12"/>
  <c r="CG250" i="12"/>
  <c r="CG251" i="12"/>
  <c r="CG252" i="12"/>
  <c r="CG253" i="12"/>
  <c r="CG254" i="12"/>
  <c r="CG255" i="12"/>
  <c r="CG256" i="12"/>
  <c r="CG257" i="12"/>
  <c r="AI260" i="12"/>
  <c r="AJ260" i="12" s="1"/>
  <c r="AH261" i="12"/>
  <c r="CI160" i="12"/>
  <c r="AO61" i="12"/>
  <c r="C308" i="11"/>
  <c r="C59" i="11"/>
  <c r="AH158" i="10"/>
  <c r="AI157" i="10"/>
  <c r="AJ157" i="10" s="1"/>
  <c r="CE128" i="10"/>
  <c r="CD178" i="10"/>
  <c r="CD129" i="10"/>
  <c r="CD131" i="10"/>
  <c r="CD130" i="10"/>
  <c r="CD132" i="10"/>
  <c r="CD133" i="10"/>
  <c r="CD134" i="10"/>
  <c r="CD135" i="10"/>
  <c r="CD136" i="10"/>
  <c r="CD137" i="10"/>
  <c r="CD138" i="10"/>
  <c r="CD139" i="10"/>
  <c r="CD140" i="10"/>
  <c r="CD141" i="10"/>
  <c r="CD142" i="10"/>
  <c r="CD143" i="10"/>
  <c r="CD144" i="10"/>
  <c r="CD145" i="10"/>
  <c r="CD146" i="10"/>
  <c r="CD147" i="10"/>
  <c r="CD148" i="10"/>
  <c r="CD149" i="10"/>
  <c r="CD150" i="10"/>
  <c r="CD151" i="10"/>
  <c r="CD152" i="10"/>
  <c r="CD153" i="10"/>
  <c r="CD154" i="10"/>
  <c r="CD155" i="10"/>
  <c r="CD156" i="10"/>
  <c r="AH208" i="10"/>
  <c r="AI207" i="10"/>
  <c r="AJ207" i="10" s="1"/>
  <c r="CB229" i="10"/>
  <c r="CB231" i="10"/>
  <c r="CB230" i="10"/>
  <c r="CB232" i="10"/>
  <c r="CB233" i="10"/>
  <c r="CB234" i="10"/>
  <c r="CB235" i="10"/>
  <c r="CB236" i="10"/>
  <c r="CB237" i="10"/>
  <c r="CB238" i="10"/>
  <c r="CB239" i="10"/>
  <c r="CB240" i="10"/>
  <c r="CB241" i="10"/>
  <c r="CB242" i="10"/>
  <c r="CB243" i="10"/>
  <c r="CB244" i="10"/>
  <c r="CB245" i="10"/>
  <c r="CB246" i="10"/>
  <c r="CB247" i="10"/>
  <c r="CB248" i="10"/>
  <c r="CB249" i="10"/>
  <c r="CB250" i="10"/>
  <c r="CB251" i="10"/>
  <c r="CB252" i="10"/>
  <c r="CB253" i="10"/>
  <c r="CB254" i="10"/>
  <c r="AO208" i="10"/>
  <c r="AO159" i="10"/>
  <c r="AH258" i="10"/>
  <c r="AI257" i="10"/>
  <c r="AJ257" i="10" s="1"/>
  <c r="CC228" i="10"/>
  <c r="CC179" i="10"/>
  <c r="CC180" i="10"/>
  <c r="CC181" i="10"/>
  <c r="CC182" i="10"/>
  <c r="CC183" i="10"/>
  <c r="CC184" i="10"/>
  <c r="CC185" i="10"/>
  <c r="CC186" i="10"/>
  <c r="CC187" i="10"/>
  <c r="CC188" i="10"/>
  <c r="CC189" i="10"/>
  <c r="CC190" i="10"/>
  <c r="CC191" i="10"/>
  <c r="CC192" i="10"/>
  <c r="CC193" i="10"/>
  <c r="CC194" i="10"/>
  <c r="CC195" i="10"/>
  <c r="CC196" i="10"/>
  <c r="CC197" i="10"/>
  <c r="CC198" i="10"/>
  <c r="CC199" i="10"/>
  <c r="CC200" i="10"/>
  <c r="CC201" i="10"/>
  <c r="CC202" i="10"/>
  <c r="CC203" i="10"/>
  <c r="CC204" i="10"/>
  <c r="CC205" i="10"/>
  <c r="AO59" i="10"/>
  <c r="AO257" i="10"/>
  <c r="AI261" i="12" l="1"/>
  <c r="AJ261" i="12" s="1"/>
  <c r="AH262" i="12"/>
  <c r="CH260" i="12"/>
  <c r="CJ178" i="12"/>
  <c r="CK128" i="12"/>
  <c r="CJ129" i="12"/>
  <c r="CJ130" i="12"/>
  <c r="CJ131" i="12"/>
  <c r="CJ132" i="12"/>
  <c r="CJ133" i="12"/>
  <c r="CJ134" i="12"/>
  <c r="CJ135" i="12"/>
  <c r="CJ136" i="12"/>
  <c r="CJ137" i="12"/>
  <c r="CJ138" i="12"/>
  <c r="CJ139" i="12"/>
  <c r="CJ140" i="12"/>
  <c r="CJ141" i="12"/>
  <c r="CJ142" i="12"/>
  <c r="CJ143" i="12"/>
  <c r="CJ144" i="12"/>
  <c r="CJ145" i="12"/>
  <c r="CJ146" i="12"/>
  <c r="CJ147" i="12"/>
  <c r="CJ148" i="12"/>
  <c r="CJ149" i="12"/>
  <c r="CJ150" i="12"/>
  <c r="CJ151" i="12"/>
  <c r="CJ152" i="12"/>
  <c r="CJ153" i="12"/>
  <c r="CJ154" i="12"/>
  <c r="CJ155" i="12"/>
  <c r="CJ156" i="12"/>
  <c r="CJ157" i="12"/>
  <c r="CJ158" i="12"/>
  <c r="CJ159" i="12"/>
  <c r="CJ160" i="12"/>
  <c r="AO261" i="12"/>
  <c r="CI211" i="12"/>
  <c r="CH229" i="12"/>
  <c r="CH230" i="12"/>
  <c r="CH231" i="12"/>
  <c r="CH232" i="12"/>
  <c r="CH233" i="12"/>
  <c r="CH234" i="12"/>
  <c r="CH235" i="12"/>
  <c r="CH236" i="12"/>
  <c r="CH237" i="12"/>
  <c r="CH238" i="12"/>
  <c r="CH239" i="12"/>
  <c r="CH240" i="12"/>
  <c r="CH241" i="12"/>
  <c r="CH242" i="12"/>
  <c r="CH243" i="12"/>
  <c r="CH244" i="12"/>
  <c r="CH245" i="12"/>
  <c r="CH246" i="12"/>
  <c r="CH247" i="12"/>
  <c r="CH248" i="12"/>
  <c r="CH249" i="12"/>
  <c r="CH250" i="12"/>
  <c r="CH251" i="12"/>
  <c r="CH252" i="12"/>
  <c r="CH253" i="12"/>
  <c r="CH254" i="12"/>
  <c r="CH255" i="12"/>
  <c r="CH256" i="12"/>
  <c r="CH257" i="12"/>
  <c r="CH258" i="12"/>
  <c r="AO62" i="12"/>
  <c r="AO212" i="12"/>
  <c r="AO163" i="12"/>
  <c r="CK162" i="12"/>
  <c r="CJ162" i="12"/>
  <c r="CI228" i="12"/>
  <c r="CI179" i="12"/>
  <c r="CI180" i="12"/>
  <c r="CI181" i="12"/>
  <c r="CI182" i="12"/>
  <c r="CI183" i="12"/>
  <c r="CI184" i="12"/>
  <c r="CI185" i="12"/>
  <c r="CI186" i="12"/>
  <c r="CI187" i="12"/>
  <c r="CI188" i="12"/>
  <c r="CI189" i="12"/>
  <c r="CI190" i="12"/>
  <c r="CI191" i="12"/>
  <c r="CI192" i="12"/>
  <c r="CI193" i="12"/>
  <c r="CI194" i="12"/>
  <c r="CI195" i="12"/>
  <c r="CI196" i="12"/>
  <c r="CI197" i="12"/>
  <c r="CI198" i="12"/>
  <c r="CI199" i="12"/>
  <c r="CI200" i="12"/>
  <c r="CI201" i="12"/>
  <c r="CI202" i="12"/>
  <c r="CI203" i="12"/>
  <c r="CI204" i="12"/>
  <c r="CI205" i="12"/>
  <c r="CI206" i="12"/>
  <c r="CI207" i="12"/>
  <c r="CI208" i="12"/>
  <c r="CI209" i="12"/>
  <c r="AI212" i="12"/>
  <c r="AJ212" i="12" s="1"/>
  <c r="AH213" i="12"/>
  <c r="AH164" i="12"/>
  <c r="AI163" i="12"/>
  <c r="AJ163" i="12" s="1"/>
  <c r="C309" i="11"/>
  <c r="C60" i="11"/>
  <c r="AH259" i="10"/>
  <c r="AI258" i="10"/>
  <c r="AJ258" i="10" s="1"/>
  <c r="AO209" i="10"/>
  <c r="AO160" i="10"/>
  <c r="AH159" i="10"/>
  <c r="AI158" i="10"/>
  <c r="AJ158" i="10" s="1"/>
  <c r="AO60" i="10"/>
  <c r="AO258" i="10"/>
  <c r="AH209" i="10"/>
  <c r="AI208" i="10"/>
  <c r="AJ208" i="10" s="1"/>
  <c r="CD228" i="10"/>
  <c r="CD179" i="10"/>
  <c r="CD181" i="10"/>
  <c r="CD180" i="10"/>
  <c r="CD182" i="10"/>
  <c r="CD183" i="10"/>
  <c r="CD184" i="10"/>
  <c r="CD185" i="10"/>
  <c r="CD186" i="10"/>
  <c r="CD187" i="10"/>
  <c r="CD188" i="10"/>
  <c r="CD189" i="10"/>
  <c r="CD190" i="10"/>
  <c r="CD191" i="10"/>
  <c r="CD192" i="10"/>
  <c r="CD193" i="10"/>
  <c r="CD194" i="10"/>
  <c r="CD195" i="10"/>
  <c r="CD196" i="10"/>
  <c r="CD197" i="10"/>
  <c r="CD198" i="10"/>
  <c r="CD199" i="10"/>
  <c r="CD200" i="10"/>
  <c r="CD201" i="10"/>
  <c r="CD202" i="10"/>
  <c r="CD203" i="10"/>
  <c r="CD204" i="10"/>
  <c r="CD205" i="10"/>
  <c r="CD206" i="10"/>
  <c r="CC229" i="10"/>
  <c r="CC230" i="10"/>
  <c r="CC231" i="10"/>
  <c r="CC232" i="10"/>
  <c r="CC233" i="10"/>
  <c r="CC234" i="10"/>
  <c r="CC235" i="10"/>
  <c r="CC236" i="10"/>
  <c r="CC237" i="10"/>
  <c r="CC238" i="10"/>
  <c r="CC239" i="10"/>
  <c r="CC240" i="10"/>
  <c r="CC241" i="10"/>
  <c r="CC242" i="10"/>
  <c r="CC243" i="10"/>
  <c r="CC244" i="10"/>
  <c r="CC245" i="10"/>
  <c r="CC246" i="10"/>
  <c r="CC247" i="10"/>
  <c r="CC248" i="10"/>
  <c r="CC249" i="10"/>
  <c r="CC250" i="10"/>
  <c r="CC251" i="10"/>
  <c r="CC252" i="10"/>
  <c r="CC253" i="10"/>
  <c r="CC254" i="10"/>
  <c r="CC255" i="10"/>
  <c r="CE178" i="10"/>
  <c r="CE129" i="10"/>
  <c r="CF128" i="10"/>
  <c r="CE130" i="10"/>
  <c r="CE131" i="10"/>
  <c r="CE132" i="10"/>
  <c r="CE133" i="10"/>
  <c r="CE134" i="10"/>
  <c r="CE135" i="10"/>
  <c r="CE136" i="10"/>
  <c r="CE137" i="10"/>
  <c r="CE138" i="10"/>
  <c r="CE139" i="10"/>
  <c r="CE140" i="10"/>
  <c r="CE141" i="10"/>
  <c r="CE142" i="10"/>
  <c r="CE143" i="10"/>
  <c r="CE144" i="10"/>
  <c r="CE145" i="10"/>
  <c r="CE146" i="10"/>
  <c r="CE147" i="10"/>
  <c r="CE148" i="10"/>
  <c r="CE149" i="10"/>
  <c r="CE150" i="10"/>
  <c r="CE151" i="10"/>
  <c r="CE152" i="10"/>
  <c r="CE153" i="10"/>
  <c r="CE154" i="10"/>
  <c r="CE155" i="10"/>
  <c r="CE156" i="10"/>
  <c r="CE157" i="10"/>
  <c r="CJ228" i="12" l="1"/>
  <c r="CJ179" i="12"/>
  <c r="CJ180" i="12"/>
  <c r="CJ181" i="12"/>
  <c r="CJ182" i="12"/>
  <c r="CJ183" i="12"/>
  <c r="CJ184" i="12"/>
  <c r="CJ185" i="12"/>
  <c r="CJ186" i="12"/>
  <c r="CJ187" i="12"/>
  <c r="CJ188" i="12"/>
  <c r="CJ189" i="12"/>
  <c r="CJ190" i="12"/>
  <c r="CJ191" i="12"/>
  <c r="CJ192" i="12"/>
  <c r="CJ193" i="12"/>
  <c r="CJ194" i="12"/>
  <c r="CJ195" i="12"/>
  <c r="CJ196" i="12"/>
  <c r="CJ197" i="12"/>
  <c r="CJ198" i="12"/>
  <c r="CJ199" i="12"/>
  <c r="CJ200" i="12"/>
  <c r="CJ201" i="12"/>
  <c r="CJ202" i="12"/>
  <c r="CJ203" i="12"/>
  <c r="CJ204" i="12"/>
  <c r="CJ205" i="12"/>
  <c r="CJ206" i="12"/>
  <c r="CJ207" i="12"/>
  <c r="CJ208" i="12"/>
  <c r="CJ209" i="12"/>
  <c r="CJ210" i="12"/>
  <c r="AI262" i="12"/>
  <c r="AJ262" i="12" s="1"/>
  <c r="AH263" i="12"/>
  <c r="AO63" i="12"/>
  <c r="AH214" i="12"/>
  <c r="AI213" i="12"/>
  <c r="AJ213" i="12" s="1"/>
  <c r="CI229" i="12"/>
  <c r="CI230" i="12"/>
  <c r="CI231" i="12"/>
  <c r="CI232" i="12"/>
  <c r="CI233" i="12"/>
  <c r="CI234" i="12"/>
  <c r="CI235" i="12"/>
  <c r="CI236" i="12"/>
  <c r="CI237" i="12"/>
  <c r="CI238" i="12"/>
  <c r="CI239" i="12"/>
  <c r="CI240" i="12"/>
  <c r="CI241" i="12"/>
  <c r="CI242" i="12"/>
  <c r="CI243" i="12"/>
  <c r="CI244" i="12"/>
  <c r="CI245" i="12"/>
  <c r="CI246" i="12"/>
  <c r="CI247" i="12"/>
  <c r="CI248" i="12"/>
  <c r="CI249" i="12"/>
  <c r="CI250" i="12"/>
  <c r="CI251" i="12"/>
  <c r="CI252" i="12"/>
  <c r="CI253" i="12"/>
  <c r="CI254" i="12"/>
  <c r="CI255" i="12"/>
  <c r="CI256" i="12"/>
  <c r="CI257" i="12"/>
  <c r="CI258" i="12"/>
  <c r="CI259" i="12"/>
  <c r="CJ261" i="12"/>
  <c r="CI261" i="12"/>
  <c r="AO213" i="12"/>
  <c r="CK163" i="12"/>
  <c r="AO164" i="12"/>
  <c r="CJ211" i="12"/>
  <c r="AH165" i="12"/>
  <c r="AI164" i="12"/>
  <c r="AJ164" i="12" s="1"/>
  <c r="AO262" i="12"/>
  <c r="CJ212" i="12"/>
  <c r="CK178" i="12"/>
  <c r="CK212" i="12" s="1"/>
  <c r="CK129" i="12"/>
  <c r="CL128" i="12"/>
  <c r="CK130" i="12"/>
  <c r="CK131" i="12"/>
  <c r="CK132" i="12"/>
  <c r="CK133" i="12"/>
  <c r="CK134" i="12"/>
  <c r="CK135" i="12"/>
  <c r="CK136" i="12"/>
  <c r="CK137" i="12"/>
  <c r="CK138" i="12"/>
  <c r="CK139" i="12"/>
  <c r="CK140" i="12"/>
  <c r="CK141" i="12"/>
  <c r="CK142" i="12"/>
  <c r="CK143" i="12"/>
  <c r="CK144" i="12"/>
  <c r="CK145" i="12"/>
  <c r="CK146" i="12"/>
  <c r="CK147" i="12"/>
  <c r="CK148" i="12"/>
  <c r="CK149" i="12"/>
  <c r="CK150" i="12"/>
  <c r="CK151" i="12"/>
  <c r="CK152" i="12"/>
  <c r="CK153" i="12"/>
  <c r="CK154" i="12"/>
  <c r="CK155" i="12"/>
  <c r="CK156" i="12"/>
  <c r="CK157" i="12"/>
  <c r="CK158" i="12"/>
  <c r="CK159" i="12"/>
  <c r="CK160" i="12"/>
  <c r="CK161" i="12"/>
  <c r="CI260" i="12"/>
  <c r="C310" i="11"/>
  <c r="C61" i="11"/>
  <c r="AO259" i="10"/>
  <c r="AH210" i="10"/>
  <c r="AI209" i="10"/>
  <c r="AJ209" i="10" s="1"/>
  <c r="AO210" i="10"/>
  <c r="AO161" i="10"/>
  <c r="AH260" i="10"/>
  <c r="AI259" i="10"/>
  <c r="AJ259" i="10" s="1"/>
  <c r="CF178" i="10"/>
  <c r="CF129" i="10"/>
  <c r="CG128" i="10"/>
  <c r="CF130" i="10"/>
  <c r="CF131" i="10"/>
  <c r="CF132" i="10"/>
  <c r="CF133" i="10"/>
  <c r="CF134" i="10"/>
  <c r="CF135" i="10"/>
  <c r="CF136" i="10"/>
  <c r="CF137" i="10"/>
  <c r="CF138" i="10"/>
  <c r="CF139" i="10"/>
  <c r="CF140" i="10"/>
  <c r="CF141" i="10"/>
  <c r="CF142" i="10"/>
  <c r="CF143" i="10"/>
  <c r="CF144" i="10"/>
  <c r="CF145" i="10"/>
  <c r="CF146" i="10"/>
  <c r="CF147" i="10"/>
  <c r="CF148" i="10"/>
  <c r="CF149" i="10"/>
  <c r="CF150" i="10"/>
  <c r="CF151" i="10"/>
  <c r="CF152" i="10"/>
  <c r="CF153" i="10"/>
  <c r="CF154" i="10"/>
  <c r="CF155" i="10"/>
  <c r="CF156" i="10"/>
  <c r="CF157" i="10"/>
  <c r="CF158" i="10"/>
  <c r="AI159" i="10"/>
  <c r="AJ159" i="10" s="1"/>
  <c r="AH160" i="10"/>
  <c r="CD229" i="10"/>
  <c r="CD231" i="10"/>
  <c r="CD230" i="10"/>
  <c r="CD232" i="10"/>
  <c r="CD233" i="10"/>
  <c r="CD234" i="10"/>
  <c r="CD235" i="10"/>
  <c r="CD236" i="10"/>
  <c r="CD237" i="10"/>
  <c r="CD238" i="10"/>
  <c r="CD239" i="10"/>
  <c r="CD240" i="10"/>
  <c r="CD241" i="10"/>
  <c r="CD242" i="10"/>
  <c r="CD243" i="10"/>
  <c r="CD244" i="10"/>
  <c r="CD245" i="10"/>
  <c r="CD246" i="10"/>
  <c r="CD247" i="10"/>
  <c r="CD248" i="10"/>
  <c r="CD249" i="10"/>
  <c r="CD250" i="10"/>
  <c r="CD251" i="10"/>
  <c r="CD252" i="10"/>
  <c r="CD253" i="10"/>
  <c r="CD254" i="10"/>
  <c r="CD255" i="10"/>
  <c r="CD256" i="10"/>
  <c r="AO61" i="10"/>
  <c r="CE228" i="10"/>
  <c r="CE179" i="10"/>
  <c r="CE180" i="10"/>
  <c r="CE181" i="10"/>
  <c r="CE182" i="10"/>
  <c r="CE183" i="10"/>
  <c r="CE184" i="10"/>
  <c r="CE185" i="10"/>
  <c r="CE186" i="10"/>
  <c r="CE187" i="10"/>
  <c r="CE188" i="10"/>
  <c r="CE189" i="10"/>
  <c r="CE190" i="10"/>
  <c r="CE191" i="10"/>
  <c r="CE192" i="10"/>
  <c r="CE193" i="10"/>
  <c r="CE194" i="10"/>
  <c r="CE195" i="10"/>
  <c r="CE196" i="10"/>
  <c r="CE197" i="10"/>
  <c r="CE198" i="10"/>
  <c r="CE199" i="10"/>
  <c r="CE200" i="10"/>
  <c r="CE201" i="10"/>
  <c r="CE202" i="10"/>
  <c r="CE203" i="10"/>
  <c r="CE204" i="10"/>
  <c r="CE205" i="10"/>
  <c r="CE206" i="10"/>
  <c r="CE207" i="10"/>
  <c r="CJ262" i="12" l="1"/>
  <c r="AH215" i="12"/>
  <c r="AI214" i="12"/>
  <c r="AJ214" i="12" s="1"/>
  <c r="CL178" i="12"/>
  <c r="CM128" i="12"/>
  <c r="CL129" i="12"/>
  <c r="CL130" i="12"/>
  <c r="CL131" i="12"/>
  <c r="CL132" i="12"/>
  <c r="CL133" i="12"/>
  <c r="CL134" i="12"/>
  <c r="CL135" i="12"/>
  <c r="CL136" i="12"/>
  <c r="CL137" i="12"/>
  <c r="CL138" i="12"/>
  <c r="CL139" i="12"/>
  <c r="CL140" i="12"/>
  <c r="CL141" i="12"/>
  <c r="CL142" i="12"/>
  <c r="CL143" i="12"/>
  <c r="CL144" i="12"/>
  <c r="CL145" i="12"/>
  <c r="CL146" i="12"/>
  <c r="CL147" i="12"/>
  <c r="CL148" i="12"/>
  <c r="CL149" i="12"/>
  <c r="CL150" i="12"/>
  <c r="CL151" i="12"/>
  <c r="CL152" i="12"/>
  <c r="CL153" i="12"/>
  <c r="CL154" i="12"/>
  <c r="CL155" i="12"/>
  <c r="CL156" i="12"/>
  <c r="CL157" i="12"/>
  <c r="CL158" i="12"/>
  <c r="CL159" i="12"/>
  <c r="CL160" i="12"/>
  <c r="CL161" i="12"/>
  <c r="CL162" i="12"/>
  <c r="AO64" i="12"/>
  <c r="CJ229" i="12"/>
  <c r="CJ230" i="12"/>
  <c r="CJ231" i="12"/>
  <c r="CJ232" i="12"/>
  <c r="CJ233" i="12"/>
  <c r="CJ234" i="12"/>
  <c r="CJ235" i="12"/>
  <c r="CJ236" i="12"/>
  <c r="CJ237" i="12"/>
  <c r="CJ238" i="12"/>
  <c r="CJ239" i="12"/>
  <c r="CJ240" i="12"/>
  <c r="CJ241" i="12"/>
  <c r="CJ242" i="12"/>
  <c r="CJ243" i="12"/>
  <c r="CJ244" i="12"/>
  <c r="CJ245" i="12"/>
  <c r="CJ246" i="12"/>
  <c r="CJ247" i="12"/>
  <c r="CJ248" i="12"/>
  <c r="CJ249" i="12"/>
  <c r="CJ250" i="12"/>
  <c r="CJ251" i="12"/>
  <c r="CJ252" i="12"/>
  <c r="CJ253" i="12"/>
  <c r="CJ254" i="12"/>
  <c r="CJ255" i="12"/>
  <c r="CJ256" i="12"/>
  <c r="CJ257" i="12"/>
  <c r="CJ258" i="12"/>
  <c r="CJ259" i="12"/>
  <c r="CJ260" i="12"/>
  <c r="AO263" i="12"/>
  <c r="CL213" i="12"/>
  <c r="CK213" i="12"/>
  <c r="AO214" i="12"/>
  <c r="CL164" i="12"/>
  <c r="AO165" i="12"/>
  <c r="CK228" i="12"/>
  <c r="CK262" i="12" s="1"/>
  <c r="CK179" i="12"/>
  <c r="CK180" i="12"/>
  <c r="CK181" i="12"/>
  <c r="CK182" i="12"/>
  <c r="CK183" i="12"/>
  <c r="CK184" i="12"/>
  <c r="CK185" i="12"/>
  <c r="CK186" i="12"/>
  <c r="CK187" i="12"/>
  <c r="CK188" i="12"/>
  <c r="CK189" i="12"/>
  <c r="CK190" i="12"/>
  <c r="CK191" i="12"/>
  <c r="CK192" i="12"/>
  <c r="CK193" i="12"/>
  <c r="CK194" i="12"/>
  <c r="CK195" i="12"/>
  <c r="CK196" i="12"/>
  <c r="CK197" i="12"/>
  <c r="CK198" i="12"/>
  <c r="CK199" i="12"/>
  <c r="CK200" i="12"/>
  <c r="CK201" i="12"/>
  <c r="CK202" i="12"/>
  <c r="CK203" i="12"/>
  <c r="CK204" i="12"/>
  <c r="CK205" i="12"/>
  <c r="CK206" i="12"/>
  <c r="CK207" i="12"/>
  <c r="CK208" i="12"/>
  <c r="CK209" i="12"/>
  <c r="CK210" i="12"/>
  <c r="CK211" i="12"/>
  <c r="AH166" i="12"/>
  <c r="AI165" i="12"/>
  <c r="AJ165" i="12" s="1"/>
  <c r="CL163" i="12"/>
  <c r="AI263" i="12"/>
  <c r="AJ263" i="12" s="1"/>
  <c r="AH264" i="12"/>
  <c r="C311" i="11"/>
  <c r="C62" i="11"/>
  <c r="CG178" i="10"/>
  <c r="CG129" i="10"/>
  <c r="CH128" i="10"/>
  <c r="CG130" i="10"/>
  <c r="CG131" i="10"/>
  <c r="CG132" i="10"/>
  <c r="CG133" i="10"/>
  <c r="CG134" i="10"/>
  <c r="CG135" i="10"/>
  <c r="CG136" i="10"/>
  <c r="CG137" i="10"/>
  <c r="CG138" i="10"/>
  <c r="CG139" i="10"/>
  <c r="CG140" i="10"/>
  <c r="CG141" i="10"/>
  <c r="CG142" i="10"/>
  <c r="CG143" i="10"/>
  <c r="CG144" i="10"/>
  <c r="CG145" i="10"/>
  <c r="CG146" i="10"/>
  <c r="CG147" i="10"/>
  <c r="CG148" i="10"/>
  <c r="CG149" i="10"/>
  <c r="CG150" i="10"/>
  <c r="CG151" i="10"/>
  <c r="CG152" i="10"/>
  <c r="CG153" i="10"/>
  <c r="CG154" i="10"/>
  <c r="CG155" i="10"/>
  <c r="CG156" i="10"/>
  <c r="CG157" i="10"/>
  <c r="CG158" i="10"/>
  <c r="CG159" i="10"/>
  <c r="CF228" i="10"/>
  <c r="CF179" i="10"/>
  <c r="CF180" i="10"/>
  <c r="CF181" i="10"/>
  <c r="CF182" i="10"/>
  <c r="CF183" i="10"/>
  <c r="CF184" i="10"/>
  <c r="CF185" i="10"/>
  <c r="CF186" i="10"/>
  <c r="CF187" i="10"/>
  <c r="CF188" i="10"/>
  <c r="CF189" i="10"/>
  <c r="CF190" i="10"/>
  <c r="CF191" i="10"/>
  <c r="CF192" i="10"/>
  <c r="CF193" i="10"/>
  <c r="CF194" i="10"/>
  <c r="CF195" i="10"/>
  <c r="CF196" i="10"/>
  <c r="CF197" i="10"/>
  <c r="CF198" i="10"/>
  <c r="CF199" i="10"/>
  <c r="CF200" i="10"/>
  <c r="CF201" i="10"/>
  <c r="CF202" i="10"/>
  <c r="CF203" i="10"/>
  <c r="CF204" i="10"/>
  <c r="CF205" i="10"/>
  <c r="CF206" i="10"/>
  <c r="CF207" i="10"/>
  <c r="CF208" i="10"/>
  <c r="AO62" i="10"/>
  <c r="AI160" i="10"/>
  <c r="AJ160" i="10" s="1"/>
  <c r="AH161" i="10"/>
  <c r="AH261" i="10"/>
  <c r="AI260" i="10"/>
  <c r="AJ260" i="10" s="1"/>
  <c r="AO211" i="10"/>
  <c r="AO162" i="10"/>
  <c r="CE229" i="10"/>
  <c r="CE230" i="10"/>
  <c r="CE231" i="10"/>
  <c r="CE232" i="10"/>
  <c r="CE233" i="10"/>
  <c r="CE234" i="10"/>
  <c r="CE235" i="10"/>
  <c r="CE236" i="10"/>
  <c r="CE237" i="10"/>
  <c r="CE238" i="10"/>
  <c r="CE239" i="10"/>
  <c r="CE240" i="10"/>
  <c r="CE241" i="10"/>
  <c r="CE242" i="10"/>
  <c r="CE243" i="10"/>
  <c r="CE244" i="10"/>
  <c r="CE245" i="10"/>
  <c r="CE246" i="10"/>
  <c r="CE247" i="10"/>
  <c r="CE248" i="10"/>
  <c r="CE249" i="10"/>
  <c r="CE250" i="10"/>
  <c r="CE251" i="10"/>
  <c r="CE252" i="10"/>
  <c r="CE253" i="10"/>
  <c r="CE254" i="10"/>
  <c r="CE255" i="10"/>
  <c r="CE256" i="10"/>
  <c r="CE257" i="10"/>
  <c r="AI210" i="10"/>
  <c r="AJ210" i="10" s="1"/>
  <c r="AH211" i="10"/>
  <c r="AO260" i="10"/>
  <c r="AO264" i="12" l="1"/>
  <c r="CL214" i="12"/>
  <c r="AI264" i="12"/>
  <c r="AJ264" i="12" s="1"/>
  <c r="AH265" i="12"/>
  <c r="CK229" i="12"/>
  <c r="CK230" i="12"/>
  <c r="CK231" i="12"/>
  <c r="CK232" i="12"/>
  <c r="CK233" i="12"/>
  <c r="CK234" i="12"/>
  <c r="CK235" i="12"/>
  <c r="CK236" i="12"/>
  <c r="CK237" i="12"/>
  <c r="CK238" i="12"/>
  <c r="CK239" i="12"/>
  <c r="CK240" i="12"/>
  <c r="CK241" i="12"/>
  <c r="CK242" i="12"/>
  <c r="CK243" i="12"/>
  <c r="CK244" i="12"/>
  <c r="CK245" i="12"/>
  <c r="CK246" i="12"/>
  <c r="CK247" i="12"/>
  <c r="CK248" i="12"/>
  <c r="CK249" i="12"/>
  <c r="CK250" i="12"/>
  <c r="CK251" i="12"/>
  <c r="CK252" i="12"/>
  <c r="CK253" i="12"/>
  <c r="CK254" i="12"/>
  <c r="CK255" i="12"/>
  <c r="CK256" i="12"/>
  <c r="CK257" i="12"/>
  <c r="CK258" i="12"/>
  <c r="CK259" i="12"/>
  <c r="CK260" i="12"/>
  <c r="CK261" i="12"/>
  <c r="CL228" i="12"/>
  <c r="CL179" i="12"/>
  <c r="CL180" i="12"/>
  <c r="CL181" i="12"/>
  <c r="CL182" i="12"/>
  <c r="CL183" i="12"/>
  <c r="CL184" i="12"/>
  <c r="CL185" i="12"/>
  <c r="CL186" i="12"/>
  <c r="CL187" i="12"/>
  <c r="CL188" i="12"/>
  <c r="CL189" i="12"/>
  <c r="CL190" i="12"/>
  <c r="CL191" i="12"/>
  <c r="CL192" i="12"/>
  <c r="CL193" i="12"/>
  <c r="CL194" i="12"/>
  <c r="CL195" i="12"/>
  <c r="CL196" i="12"/>
  <c r="CL197" i="12"/>
  <c r="CL198" i="12"/>
  <c r="CL199" i="12"/>
  <c r="CL200" i="12"/>
  <c r="CL201" i="12"/>
  <c r="CL202" i="12"/>
  <c r="CL203" i="12"/>
  <c r="CL204" i="12"/>
  <c r="CL205" i="12"/>
  <c r="CL206" i="12"/>
  <c r="CL207" i="12"/>
  <c r="CL208" i="12"/>
  <c r="CL209" i="12"/>
  <c r="CL210" i="12"/>
  <c r="CL211" i="12"/>
  <c r="CL212" i="12"/>
  <c r="AO65" i="12"/>
  <c r="AO215" i="12"/>
  <c r="CM165" i="12"/>
  <c r="AO166" i="12"/>
  <c r="CM178" i="12"/>
  <c r="CM214" i="12" s="1"/>
  <c r="CM129" i="12"/>
  <c r="CN128" i="12"/>
  <c r="CN165" i="12" s="1"/>
  <c r="CM130" i="12"/>
  <c r="CM131" i="12"/>
  <c r="CM132" i="12"/>
  <c r="CM133" i="12"/>
  <c r="CM134" i="12"/>
  <c r="CM135" i="12"/>
  <c r="CM136" i="12"/>
  <c r="CM137" i="12"/>
  <c r="CM138" i="12"/>
  <c r="CM139" i="12"/>
  <c r="CM140" i="12"/>
  <c r="CM141" i="12"/>
  <c r="CM142" i="12"/>
  <c r="CM143" i="12"/>
  <c r="CM144" i="12"/>
  <c r="CM145" i="12"/>
  <c r="CM146" i="12"/>
  <c r="CM147" i="12"/>
  <c r="CM148" i="12"/>
  <c r="CM149" i="12"/>
  <c r="CM150" i="12"/>
  <c r="CM151" i="12"/>
  <c r="CM152" i="12"/>
  <c r="CM153" i="12"/>
  <c r="CM154" i="12"/>
  <c r="CM155" i="12"/>
  <c r="CM156" i="12"/>
  <c r="CM157" i="12"/>
  <c r="CM158" i="12"/>
  <c r="CM159" i="12"/>
  <c r="CM160" i="12"/>
  <c r="CM161" i="12"/>
  <c r="CM162" i="12"/>
  <c r="CM163" i="12"/>
  <c r="AH167" i="12"/>
  <c r="AI166" i="12"/>
  <c r="AJ166" i="12" s="1"/>
  <c r="CM164" i="12"/>
  <c r="CL263" i="12"/>
  <c r="CK263" i="12"/>
  <c r="AI215" i="12"/>
  <c r="AJ215" i="12" s="1"/>
  <c r="AH216" i="12"/>
  <c r="C312" i="11"/>
  <c r="C63" i="11"/>
  <c r="AI211" i="10"/>
  <c r="AJ211" i="10" s="1"/>
  <c r="AH212" i="10"/>
  <c r="AO63" i="10"/>
  <c r="CH178" i="10"/>
  <c r="CH130" i="10"/>
  <c r="CH129" i="10"/>
  <c r="CI128" i="10"/>
  <c r="CH131" i="10"/>
  <c r="CH132" i="10"/>
  <c r="CH133" i="10"/>
  <c r="CH134" i="10"/>
  <c r="CH135" i="10"/>
  <c r="CH136" i="10"/>
  <c r="CH137" i="10"/>
  <c r="CH138" i="10"/>
  <c r="CH139" i="10"/>
  <c r="CH140" i="10"/>
  <c r="CH141" i="10"/>
  <c r="CH142" i="10"/>
  <c r="CH143" i="10"/>
  <c r="CH144" i="10"/>
  <c r="CH145" i="10"/>
  <c r="CH146" i="10"/>
  <c r="CH147" i="10"/>
  <c r="CH148" i="10"/>
  <c r="CH149" i="10"/>
  <c r="CH150" i="10"/>
  <c r="CH151" i="10"/>
  <c r="CH152" i="10"/>
  <c r="CH153" i="10"/>
  <c r="CH154" i="10"/>
  <c r="CH155" i="10"/>
  <c r="CH156" i="10"/>
  <c r="CH157" i="10"/>
  <c r="CH158" i="10"/>
  <c r="CH159" i="10"/>
  <c r="CH160" i="10"/>
  <c r="AO212" i="10"/>
  <c r="AO163" i="10"/>
  <c r="AO261" i="10"/>
  <c r="CG228" i="10"/>
  <c r="CG179" i="10"/>
  <c r="CG180" i="10"/>
  <c r="CG181" i="10"/>
  <c r="CG182" i="10"/>
  <c r="CG183" i="10"/>
  <c r="CG184" i="10"/>
  <c r="CG185" i="10"/>
  <c r="CG186" i="10"/>
  <c r="CG187" i="10"/>
  <c r="CG188" i="10"/>
  <c r="CG189" i="10"/>
  <c r="CG190" i="10"/>
  <c r="CG191" i="10"/>
  <c r="CG192" i="10"/>
  <c r="CG193" i="10"/>
  <c r="CG194" i="10"/>
  <c r="CG195" i="10"/>
  <c r="CG196" i="10"/>
  <c r="CG197" i="10"/>
  <c r="CG198" i="10"/>
  <c r="CG199" i="10"/>
  <c r="CG200" i="10"/>
  <c r="CG201" i="10"/>
  <c r="CG202" i="10"/>
  <c r="CG203" i="10"/>
  <c r="CG204" i="10"/>
  <c r="CG205" i="10"/>
  <c r="CG206" i="10"/>
  <c r="CG207" i="10"/>
  <c r="CG208" i="10"/>
  <c r="CG209" i="10"/>
  <c r="CF229" i="10"/>
  <c r="CF230" i="10"/>
  <c r="CF231" i="10"/>
  <c r="CF232" i="10"/>
  <c r="CF233" i="10"/>
  <c r="CF234" i="10"/>
  <c r="CF235" i="10"/>
  <c r="CF236" i="10"/>
  <c r="CF237" i="10"/>
  <c r="CF238" i="10"/>
  <c r="CF239" i="10"/>
  <c r="CF240" i="10"/>
  <c r="CF241" i="10"/>
  <c r="CF242" i="10"/>
  <c r="CF243" i="10"/>
  <c r="CF244" i="10"/>
  <c r="CF245" i="10"/>
  <c r="CF246" i="10"/>
  <c r="CF247" i="10"/>
  <c r="CF248" i="10"/>
  <c r="CF249" i="10"/>
  <c r="CF250" i="10"/>
  <c r="CF251" i="10"/>
  <c r="CF252" i="10"/>
  <c r="CF253" i="10"/>
  <c r="CF254" i="10"/>
  <c r="CF255" i="10"/>
  <c r="CF256" i="10"/>
  <c r="CF257" i="10"/>
  <c r="CF258" i="10"/>
  <c r="AH262" i="10"/>
  <c r="AI261" i="10"/>
  <c r="AJ261" i="10" s="1"/>
  <c r="AH162" i="10"/>
  <c r="AI161" i="10"/>
  <c r="AJ161" i="10" s="1"/>
  <c r="CN178" i="12" l="1"/>
  <c r="CO128" i="12"/>
  <c r="CN129" i="12"/>
  <c r="CN130" i="12"/>
  <c r="CN131" i="12"/>
  <c r="CN132" i="12"/>
  <c r="CN133" i="12"/>
  <c r="CN134" i="12"/>
  <c r="CN135" i="12"/>
  <c r="CN136" i="12"/>
  <c r="CN137" i="12"/>
  <c r="CN138" i="12"/>
  <c r="CN139" i="12"/>
  <c r="CN140" i="12"/>
  <c r="CN141" i="12"/>
  <c r="CN142" i="12"/>
  <c r="CN143" i="12"/>
  <c r="CN144" i="12"/>
  <c r="CN145" i="12"/>
  <c r="CN146" i="12"/>
  <c r="CN147" i="12"/>
  <c r="CN148" i="12"/>
  <c r="CN149" i="12"/>
  <c r="CN150" i="12"/>
  <c r="CN151" i="12"/>
  <c r="CN152" i="12"/>
  <c r="CN153" i="12"/>
  <c r="CN154" i="12"/>
  <c r="CN155" i="12"/>
  <c r="CN156" i="12"/>
  <c r="CN157" i="12"/>
  <c r="CN158" i="12"/>
  <c r="CN159" i="12"/>
  <c r="CN160" i="12"/>
  <c r="CN161" i="12"/>
  <c r="CN162" i="12"/>
  <c r="CN163" i="12"/>
  <c r="CN164" i="12"/>
  <c r="AI265" i="12"/>
  <c r="AJ265" i="12" s="1"/>
  <c r="AH266" i="12"/>
  <c r="CL229" i="12"/>
  <c r="CL230" i="12"/>
  <c r="CL231" i="12"/>
  <c r="CL232" i="12"/>
  <c r="CL233" i="12"/>
  <c r="CL234" i="12"/>
  <c r="CL235" i="12"/>
  <c r="CL236" i="12"/>
  <c r="CL237" i="12"/>
  <c r="CL238" i="12"/>
  <c r="CL239" i="12"/>
  <c r="CL240" i="12"/>
  <c r="CL241" i="12"/>
  <c r="CL242" i="12"/>
  <c r="CL243" i="12"/>
  <c r="CL244" i="12"/>
  <c r="CL245" i="12"/>
  <c r="CL246" i="12"/>
  <c r="CL247" i="12"/>
  <c r="CL248" i="12"/>
  <c r="CL249" i="12"/>
  <c r="CL250" i="12"/>
  <c r="CL251" i="12"/>
  <c r="CL252" i="12"/>
  <c r="CL253" i="12"/>
  <c r="CL254" i="12"/>
  <c r="CL255" i="12"/>
  <c r="CL256" i="12"/>
  <c r="CL257" i="12"/>
  <c r="CL258" i="12"/>
  <c r="CL259" i="12"/>
  <c r="CL260" i="12"/>
  <c r="CL261" i="12"/>
  <c r="CL262" i="12"/>
  <c r="CM228" i="12"/>
  <c r="CM179" i="12"/>
  <c r="CM180" i="12"/>
  <c r="CM181" i="12"/>
  <c r="CM182" i="12"/>
  <c r="CM183" i="12"/>
  <c r="CM184" i="12"/>
  <c r="CM185" i="12"/>
  <c r="CM186" i="12"/>
  <c r="CM187" i="12"/>
  <c r="CM188" i="12"/>
  <c r="CM189" i="12"/>
  <c r="CM190" i="12"/>
  <c r="CM191" i="12"/>
  <c r="CM192" i="12"/>
  <c r="CM193" i="12"/>
  <c r="CM194" i="12"/>
  <c r="CM195" i="12"/>
  <c r="CM196" i="12"/>
  <c r="CM197" i="12"/>
  <c r="CM198" i="12"/>
  <c r="CM199" i="12"/>
  <c r="CM200" i="12"/>
  <c r="CM201" i="12"/>
  <c r="CM202" i="12"/>
  <c r="CM203" i="12"/>
  <c r="CM204" i="12"/>
  <c r="CM205" i="12"/>
  <c r="CM206" i="12"/>
  <c r="CM207" i="12"/>
  <c r="CM208" i="12"/>
  <c r="CM209" i="12"/>
  <c r="CM210" i="12"/>
  <c r="CM211" i="12"/>
  <c r="CM212" i="12"/>
  <c r="CM213" i="12"/>
  <c r="AO265" i="12"/>
  <c r="CM215" i="12"/>
  <c r="CM264" i="12"/>
  <c r="CL264" i="12"/>
  <c r="AO66" i="12"/>
  <c r="AI216" i="12"/>
  <c r="AJ216" i="12" s="1"/>
  <c r="AH217" i="12"/>
  <c r="AO216" i="12"/>
  <c r="AO167" i="12"/>
  <c r="CO166" i="12"/>
  <c r="CN166" i="12"/>
  <c r="AH168" i="12"/>
  <c r="AI167" i="12"/>
  <c r="AJ167" i="12" s="1"/>
  <c r="C313" i="11"/>
  <c r="C64" i="11"/>
  <c r="AH163" i="10"/>
  <c r="AI162" i="10"/>
  <c r="AJ162" i="10" s="1"/>
  <c r="AI262" i="10"/>
  <c r="AJ262" i="10" s="1"/>
  <c r="AH263" i="10"/>
  <c r="AO64" i="10"/>
  <c r="CG229" i="10"/>
  <c r="CG231" i="10"/>
  <c r="CG230" i="10"/>
  <c r="CG232" i="10"/>
  <c r="CG233" i="10"/>
  <c r="CG234" i="10"/>
  <c r="CG235" i="10"/>
  <c r="CG236" i="10"/>
  <c r="CG237" i="10"/>
  <c r="CG238" i="10"/>
  <c r="CG239" i="10"/>
  <c r="CG240" i="10"/>
  <c r="CG241" i="10"/>
  <c r="CG242" i="10"/>
  <c r="CG243" i="10"/>
  <c r="CG244" i="10"/>
  <c r="CG245" i="10"/>
  <c r="CG246" i="10"/>
  <c r="CG247" i="10"/>
  <c r="CG248" i="10"/>
  <c r="CG249" i="10"/>
  <c r="CG250" i="10"/>
  <c r="CG251" i="10"/>
  <c r="CG252" i="10"/>
  <c r="CG253" i="10"/>
  <c r="CG254" i="10"/>
  <c r="CG255" i="10"/>
  <c r="CG256" i="10"/>
  <c r="CG257" i="10"/>
  <c r="CG258" i="10"/>
  <c r="CG259" i="10"/>
  <c r="AO213" i="10"/>
  <c r="AO164" i="10"/>
  <c r="AI212" i="10"/>
  <c r="AJ212" i="10" s="1"/>
  <c r="AH213" i="10"/>
  <c r="CH228" i="10"/>
  <c r="CH179" i="10"/>
  <c r="CH181" i="10"/>
  <c r="CH180" i="10"/>
  <c r="CH182" i="10"/>
  <c r="CH183" i="10"/>
  <c r="CH184" i="10"/>
  <c r="CH185" i="10"/>
  <c r="CH186" i="10"/>
  <c r="CH187" i="10"/>
  <c r="CH188" i="10"/>
  <c r="CH189" i="10"/>
  <c r="CH190" i="10"/>
  <c r="CH191" i="10"/>
  <c r="CH192" i="10"/>
  <c r="CH193" i="10"/>
  <c r="CH194" i="10"/>
  <c r="CH195" i="10"/>
  <c r="CH196" i="10"/>
  <c r="CH197" i="10"/>
  <c r="CH198" i="10"/>
  <c r="CH199" i="10"/>
  <c r="CH200" i="10"/>
  <c r="CH201" i="10"/>
  <c r="CH202" i="10"/>
  <c r="CH203" i="10"/>
  <c r="CH204" i="10"/>
  <c r="CH205" i="10"/>
  <c r="CH206" i="10"/>
  <c r="CH207" i="10"/>
  <c r="CH208" i="10"/>
  <c r="CH209" i="10"/>
  <c r="CH210" i="10"/>
  <c r="CI178" i="10"/>
  <c r="CJ128" i="10"/>
  <c r="CI129" i="10"/>
  <c r="CI131" i="10"/>
  <c r="CI130" i="10"/>
  <c r="CI132" i="10"/>
  <c r="CI133" i="10"/>
  <c r="CI134" i="10"/>
  <c r="CI135" i="10"/>
  <c r="CI136" i="10"/>
  <c r="CI137" i="10"/>
  <c r="CI138" i="10"/>
  <c r="CI139" i="10"/>
  <c r="CI140" i="10"/>
  <c r="CI141" i="10"/>
  <c r="CI142" i="10"/>
  <c r="CI143" i="10"/>
  <c r="CI144" i="10"/>
  <c r="CI145" i="10"/>
  <c r="CI146" i="10"/>
  <c r="CI147" i="10"/>
  <c r="CI148" i="10"/>
  <c r="CI149" i="10"/>
  <c r="CI150" i="10"/>
  <c r="CI151" i="10"/>
  <c r="CI152" i="10"/>
  <c r="CI153" i="10"/>
  <c r="CI154" i="10"/>
  <c r="CI155" i="10"/>
  <c r="CI156" i="10"/>
  <c r="CI157" i="10"/>
  <c r="CI158" i="10"/>
  <c r="CI159" i="10"/>
  <c r="CI160" i="10"/>
  <c r="CI161" i="10"/>
  <c r="AO262" i="10"/>
  <c r="CM265" i="12" l="1"/>
  <c r="AO266" i="12"/>
  <c r="CO216" i="12"/>
  <c r="CN216" i="12"/>
  <c r="CO178" i="12"/>
  <c r="CP128" i="12"/>
  <c r="CO129" i="12"/>
  <c r="CO130" i="12"/>
  <c r="CO131" i="12"/>
  <c r="CO132" i="12"/>
  <c r="CO133" i="12"/>
  <c r="CO134" i="12"/>
  <c r="CO135" i="12"/>
  <c r="CO136" i="12"/>
  <c r="CO137" i="12"/>
  <c r="CO138" i="12"/>
  <c r="CO139" i="12"/>
  <c r="CO140" i="12"/>
  <c r="CO141" i="12"/>
  <c r="CO142" i="12"/>
  <c r="CO143" i="12"/>
  <c r="CO144" i="12"/>
  <c r="CO145" i="12"/>
  <c r="CO146" i="12"/>
  <c r="CO147" i="12"/>
  <c r="CO148" i="12"/>
  <c r="CO149" i="12"/>
  <c r="CO150" i="12"/>
  <c r="CO151" i="12"/>
  <c r="CO152" i="12"/>
  <c r="CO153" i="12"/>
  <c r="CO154" i="12"/>
  <c r="CO155" i="12"/>
  <c r="CO156" i="12"/>
  <c r="CO157" i="12"/>
  <c r="CO158" i="12"/>
  <c r="CO159" i="12"/>
  <c r="CO160" i="12"/>
  <c r="CO161" i="12"/>
  <c r="CO162" i="12"/>
  <c r="CO163" i="12"/>
  <c r="CO164" i="12"/>
  <c r="CO165" i="12"/>
  <c r="AO67" i="12"/>
  <c r="CN228" i="12"/>
  <c r="CN265" i="12" s="1"/>
  <c r="CN179" i="12"/>
  <c r="CN180" i="12"/>
  <c r="CN181" i="12"/>
  <c r="CN182" i="12"/>
  <c r="CN183" i="12"/>
  <c r="CN184" i="12"/>
  <c r="CN185" i="12"/>
  <c r="CN186" i="12"/>
  <c r="CN187" i="12"/>
  <c r="CN188" i="12"/>
  <c r="CN189" i="12"/>
  <c r="CN190" i="12"/>
  <c r="CN191" i="12"/>
  <c r="CN192" i="12"/>
  <c r="CN193" i="12"/>
  <c r="CN194" i="12"/>
  <c r="CN195" i="12"/>
  <c r="CN196" i="12"/>
  <c r="CN197" i="12"/>
  <c r="CN198" i="12"/>
  <c r="CN199" i="12"/>
  <c r="CN200" i="12"/>
  <c r="CN201" i="12"/>
  <c r="CN202" i="12"/>
  <c r="CN203" i="12"/>
  <c r="CN204" i="12"/>
  <c r="CN205" i="12"/>
  <c r="CN206" i="12"/>
  <c r="CN207" i="12"/>
  <c r="CN208" i="12"/>
  <c r="CN209" i="12"/>
  <c r="CN210" i="12"/>
  <c r="CN211" i="12"/>
  <c r="CN212" i="12"/>
  <c r="CN213" i="12"/>
  <c r="CN214" i="12"/>
  <c r="AH169" i="12"/>
  <c r="AI169" i="12" s="1"/>
  <c r="AJ169" i="12" s="1"/>
  <c r="AI168" i="12"/>
  <c r="AJ168" i="12" s="1"/>
  <c r="AO217" i="12"/>
  <c r="CP167" i="12"/>
  <c r="AO168" i="12"/>
  <c r="CO167" i="12"/>
  <c r="AH218" i="12"/>
  <c r="AI217" i="12"/>
  <c r="AJ217" i="12" s="1"/>
  <c r="AH267" i="12"/>
  <c r="AI266" i="12"/>
  <c r="AJ266" i="12" s="1"/>
  <c r="CN215" i="12"/>
  <c r="CM229" i="12"/>
  <c r="CM230" i="12"/>
  <c r="CM231" i="12"/>
  <c r="CM232" i="12"/>
  <c r="CM233" i="12"/>
  <c r="CM234" i="12"/>
  <c r="CM235" i="12"/>
  <c r="CM236" i="12"/>
  <c r="CM237" i="12"/>
  <c r="CM238" i="12"/>
  <c r="CM239" i="12"/>
  <c r="CM240" i="12"/>
  <c r="CM241" i="12"/>
  <c r="CM242" i="12"/>
  <c r="CM243" i="12"/>
  <c r="CM244" i="12"/>
  <c r="CM245" i="12"/>
  <c r="CM246" i="12"/>
  <c r="CM247" i="12"/>
  <c r="CM248" i="12"/>
  <c r="CM249" i="12"/>
  <c r="CM250" i="12"/>
  <c r="CM251" i="12"/>
  <c r="CM252" i="12"/>
  <c r="CM253" i="12"/>
  <c r="CM254" i="12"/>
  <c r="CM255" i="12"/>
  <c r="CM256" i="12"/>
  <c r="CM257" i="12"/>
  <c r="CM258" i="12"/>
  <c r="CM259" i="12"/>
  <c r="CM260" i="12"/>
  <c r="CM261" i="12"/>
  <c r="CM262" i="12"/>
  <c r="CM263" i="12"/>
  <c r="C314" i="11"/>
  <c r="C65" i="11"/>
  <c r="CH229" i="10"/>
  <c r="CH231" i="10"/>
  <c r="CH230" i="10"/>
  <c r="CH232" i="10"/>
  <c r="CH233" i="10"/>
  <c r="CH234" i="10"/>
  <c r="CH235" i="10"/>
  <c r="CH236" i="10"/>
  <c r="CH237" i="10"/>
  <c r="CH238" i="10"/>
  <c r="CH239" i="10"/>
  <c r="CH240" i="10"/>
  <c r="CH241" i="10"/>
  <c r="CH242" i="10"/>
  <c r="CH243" i="10"/>
  <c r="CH244" i="10"/>
  <c r="CH245" i="10"/>
  <c r="CH246" i="10"/>
  <c r="CH247" i="10"/>
  <c r="CH248" i="10"/>
  <c r="CH249" i="10"/>
  <c r="CH250" i="10"/>
  <c r="CH251" i="10"/>
  <c r="CH252" i="10"/>
  <c r="CH253" i="10"/>
  <c r="CH254" i="10"/>
  <c r="CH255" i="10"/>
  <c r="CH256" i="10"/>
  <c r="CH257" i="10"/>
  <c r="CH258" i="10"/>
  <c r="CH259" i="10"/>
  <c r="CH260" i="10"/>
  <c r="AI213" i="10"/>
  <c r="AJ213" i="10" s="1"/>
  <c r="AH214" i="10"/>
  <c r="AO214" i="10"/>
  <c r="AO165" i="10"/>
  <c r="AH264" i="10"/>
  <c r="AI263" i="10"/>
  <c r="AJ263" i="10" s="1"/>
  <c r="CJ178" i="10"/>
  <c r="CK128" i="10"/>
  <c r="CJ129" i="10"/>
  <c r="CJ131" i="10"/>
  <c r="CJ130" i="10"/>
  <c r="CJ132" i="10"/>
  <c r="CJ133" i="10"/>
  <c r="CJ134" i="10"/>
  <c r="CJ135" i="10"/>
  <c r="CJ136" i="10"/>
  <c r="CJ137" i="10"/>
  <c r="CJ138" i="10"/>
  <c r="CJ139" i="10"/>
  <c r="CJ140" i="10"/>
  <c r="CJ141" i="10"/>
  <c r="CJ142" i="10"/>
  <c r="CJ143" i="10"/>
  <c r="CJ144" i="10"/>
  <c r="CJ145" i="10"/>
  <c r="CJ146" i="10"/>
  <c r="CJ147" i="10"/>
  <c r="CJ148" i="10"/>
  <c r="CJ149" i="10"/>
  <c r="CJ150" i="10"/>
  <c r="CJ151" i="10"/>
  <c r="CJ152" i="10"/>
  <c r="CJ153" i="10"/>
  <c r="CJ154" i="10"/>
  <c r="CJ155" i="10"/>
  <c r="CJ156" i="10"/>
  <c r="CJ157" i="10"/>
  <c r="CJ158" i="10"/>
  <c r="CJ159" i="10"/>
  <c r="CJ160" i="10"/>
  <c r="CJ161" i="10"/>
  <c r="CJ162" i="10"/>
  <c r="CI228" i="10"/>
  <c r="CI179" i="10"/>
  <c r="CI180" i="10"/>
  <c r="CI181" i="10"/>
  <c r="CI182" i="10"/>
  <c r="CI183" i="10"/>
  <c r="CI184" i="10"/>
  <c r="CI185" i="10"/>
  <c r="CI186" i="10"/>
  <c r="CI187" i="10"/>
  <c r="CI188" i="10"/>
  <c r="CI189" i="10"/>
  <c r="CI190" i="10"/>
  <c r="CI191" i="10"/>
  <c r="CI192" i="10"/>
  <c r="CI193" i="10"/>
  <c r="CI194" i="10"/>
  <c r="CI195" i="10"/>
  <c r="CI196" i="10"/>
  <c r="CI197" i="10"/>
  <c r="CI198" i="10"/>
  <c r="CI199" i="10"/>
  <c r="CI200" i="10"/>
  <c r="CI201" i="10"/>
  <c r="CI202" i="10"/>
  <c r="CI203" i="10"/>
  <c r="CI204" i="10"/>
  <c r="CI205" i="10"/>
  <c r="CI206" i="10"/>
  <c r="CI207" i="10"/>
  <c r="CI208" i="10"/>
  <c r="CI209" i="10"/>
  <c r="CI210" i="10"/>
  <c r="CI211" i="10"/>
  <c r="AO263" i="10"/>
  <c r="AO65" i="10"/>
  <c r="AH164" i="10"/>
  <c r="AI163" i="10"/>
  <c r="AJ163" i="10" s="1"/>
  <c r="AO68" i="12" l="1"/>
  <c r="CO228" i="12"/>
  <c r="CO179" i="12"/>
  <c r="CO180" i="12"/>
  <c r="CO181" i="12"/>
  <c r="CO182" i="12"/>
  <c r="CO183" i="12"/>
  <c r="CO184" i="12"/>
  <c r="CO185" i="12"/>
  <c r="CO186" i="12"/>
  <c r="CO187" i="12"/>
  <c r="CO188" i="12"/>
  <c r="CO189" i="12"/>
  <c r="CO190" i="12"/>
  <c r="CO191" i="12"/>
  <c r="CO192" i="12"/>
  <c r="CO193" i="12"/>
  <c r="CO194" i="12"/>
  <c r="CO195" i="12"/>
  <c r="CO196" i="12"/>
  <c r="CO197" i="12"/>
  <c r="CO198" i="12"/>
  <c r="CO199" i="12"/>
  <c r="CO200" i="12"/>
  <c r="CO201" i="12"/>
  <c r="CO202" i="12"/>
  <c r="CO203" i="12"/>
  <c r="CO204" i="12"/>
  <c r="CO205" i="12"/>
  <c r="CO206" i="12"/>
  <c r="CO207" i="12"/>
  <c r="CO208" i="12"/>
  <c r="CO209" i="12"/>
  <c r="CO210" i="12"/>
  <c r="CO211" i="12"/>
  <c r="CO212" i="12"/>
  <c r="CO213" i="12"/>
  <c r="CO214" i="12"/>
  <c r="CO215" i="12"/>
  <c r="AH219" i="12"/>
  <c r="AI219" i="12" s="1"/>
  <c r="AJ219" i="12" s="1"/>
  <c r="AI218" i="12"/>
  <c r="AJ218" i="12" s="1"/>
  <c r="AO218" i="12"/>
  <c r="CP168" i="12"/>
  <c r="AO169" i="12"/>
  <c r="AO267" i="12"/>
  <c r="CO217" i="12"/>
  <c r="CN229" i="12"/>
  <c r="CN230" i="12"/>
  <c r="CN231" i="12"/>
  <c r="CN232" i="12"/>
  <c r="CN233" i="12"/>
  <c r="CN234" i="12"/>
  <c r="CN235" i="12"/>
  <c r="CN236" i="12"/>
  <c r="CN237" i="12"/>
  <c r="CN238" i="12"/>
  <c r="CN239" i="12"/>
  <c r="CN240" i="12"/>
  <c r="CN241" i="12"/>
  <c r="CN242" i="12"/>
  <c r="CN243" i="12"/>
  <c r="CN244" i="12"/>
  <c r="CN245" i="12"/>
  <c r="CN246" i="12"/>
  <c r="CN247" i="12"/>
  <c r="CN248" i="12"/>
  <c r="CN249" i="12"/>
  <c r="CN250" i="12"/>
  <c r="CN251" i="12"/>
  <c r="CN252" i="12"/>
  <c r="CN253" i="12"/>
  <c r="CN254" i="12"/>
  <c r="CN255" i="12"/>
  <c r="CN256" i="12"/>
  <c r="CN257" i="12"/>
  <c r="CN258" i="12"/>
  <c r="CN259" i="12"/>
  <c r="CN260" i="12"/>
  <c r="CN261" i="12"/>
  <c r="CN262" i="12"/>
  <c r="CN263" i="12"/>
  <c r="CN264" i="12"/>
  <c r="CN266" i="12"/>
  <c r="CO266" i="12"/>
  <c r="AI267" i="12"/>
  <c r="AJ267" i="12" s="1"/>
  <c r="AH268" i="12"/>
  <c r="CP178" i="12"/>
  <c r="CP217" i="12" s="1"/>
  <c r="CP129" i="12"/>
  <c r="CP130" i="12"/>
  <c r="CP131" i="12"/>
  <c r="CP132" i="12"/>
  <c r="CP133" i="12"/>
  <c r="CP134" i="12"/>
  <c r="CP135" i="12"/>
  <c r="CP136" i="12"/>
  <c r="CP137" i="12"/>
  <c r="CP138" i="12"/>
  <c r="CP139" i="12"/>
  <c r="CP140" i="12"/>
  <c r="CP141" i="12"/>
  <c r="CP142" i="12"/>
  <c r="CP143" i="12"/>
  <c r="CP144" i="12"/>
  <c r="CP145" i="12"/>
  <c r="CP146" i="12"/>
  <c r="CP147" i="12"/>
  <c r="CP148" i="12"/>
  <c r="CP149" i="12"/>
  <c r="CP150" i="12"/>
  <c r="CP151" i="12"/>
  <c r="CP152" i="12"/>
  <c r="CP153" i="12"/>
  <c r="CP154" i="12"/>
  <c r="CP155" i="12"/>
  <c r="CP156" i="12"/>
  <c r="CP157" i="12"/>
  <c r="CP158" i="12"/>
  <c r="CP159" i="12"/>
  <c r="CP160" i="12"/>
  <c r="CP161" i="12"/>
  <c r="CP162" i="12"/>
  <c r="CP163" i="12"/>
  <c r="CP164" i="12"/>
  <c r="CP165" i="12"/>
  <c r="CP166" i="12"/>
  <c r="C315" i="11"/>
  <c r="C66" i="11"/>
  <c r="CK178" i="10"/>
  <c r="CL128" i="10"/>
  <c r="CK129" i="10"/>
  <c r="CK130" i="10"/>
  <c r="CK131" i="10"/>
  <c r="CK132" i="10"/>
  <c r="CK133" i="10"/>
  <c r="CK134" i="10"/>
  <c r="CK135" i="10"/>
  <c r="CK136" i="10"/>
  <c r="CK137" i="10"/>
  <c r="CK138" i="10"/>
  <c r="CK139" i="10"/>
  <c r="CK140" i="10"/>
  <c r="CK141" i="10"/>
  <c r="CK142" i="10"/>
  <c r="CK143" i="10"/>
  <c r="CK144" i="10"/>
  <c r="CK145" i="10"/>
  <c r="CK146" i="10"/>
  <c r="CK147" i="10"/>
  <c r="CK148" i="10"/>
  <c r="CK149" i="10"/>
  <c r="CK150" i="10"/>
  <c r="CK151" i="10"/>
  <c r="CK152" i="10"/>
  <c r="CK153" i="10"/>
  <c r="CK154" i="10"/>
  <c r="CK155" i="10"/>
  <c r="CK156" i="10"/>
  <c r="CK157" i="10"/>
  <c r="CK158" i="10"/>
  <c r="CK159" i="10"/>
  <c r="CK160" i="10"/>
  <c r="CK161" i="10"/>
  <c r="CK162" i="10"/>
  <c r="CK163" i="10"/>
  <c r="CJ228" i="10"/>
  <c r="CJ179" i="10"/>
  <c r="CJ180" i="10"/>
  <c r="CJ181" i="10"/>
  <c r="CJ182" i="10"/>
  <c r="CJ183" i="10"/>
  <c r="CJ184" i="10"/>
  <c r="CJ185" i="10"/>
  <c r="CJ186" i="10"/>
  <c r="CJ187" i="10"/>
  <c r="CJ188" i="10"/>
  <c r="CJ189" i="10"/>
  <c r="CJ190" i="10"/>
  <c r="CJ191" i="10"/>
  <c r="CJ192" i="10"/>
  <c r="CJ193" i="10"/>
  <c r="CJ194" i="10"/>
  <c r="CJ195" i="10"/>
  <c r="CJ196" i="10"/>
  <c r="CJ197" i="10"/>
  <c r="CJ198" i="10"/>
  <c r="CJ199" i="10"/>
  <c r="CJ200" i="10"/>
  <c r="CJ201" i="10"/>
  <c r="CJ202" i="10"/>
  <c r="CJ203" i="10"/>
  <c r="CJ204" i="10"/>
  <c r="CJ205" i="10"/>
  <c r="CJ206" i="10"/>
  <c r="CJ207" i="10"/>
  <c r="CJ208" i="10"/>
  <c r="CJ209" i="10"/>
  <c r="CJ210" i="10"/>
  <c r="CJ211" i="10"/>
  <c r="CJ212" i="10"/>
  <c r="AO215" i="10"/>
  <c r="AO166" i="10"/>
  <c r="AO264" i="10"/>
  <c r="AH165" i="10"/>
  <c r="AI164" i="10"/>
  <c r="AJ164" i="10" s="1"/>
  <c r="CI229" i="10"/>
  <c r="CI230" i="10"/>
  <c r="CI231" i="10"/>
  <c r="CI232" i="10"/>
  <c r="CI233" i="10"/>
  <c r="CI234" i="10"/>
  <c r="CI235" i="10"/>
  <c r="CI236" i="10"/>
  <c r="CI237" i="10"/>
  <c r="CI238" i="10"/>
  <c r="CI239" i="10"/>
  <c r="CI240" i="10"/>
  <c r="CI241" i="10"/>
  <c r="CI242" i="10"/>
  <c r="CI243" i="10"/>
  <c r="CI244" i="10"/>
  <c r="CI245" i="10"/>
  <c r="CI246" i="10"/>
  <c r="CI247" i="10"/>
  <c r="CI248" i="10"/>
  <c r="CI249" i="10"/>
  <c r="CI250" i="10"/>
  <c r="CI251" i="10"/>
  <c r="CI252" i="10"/>
  <c r="CI253" i="10"/>
  <c r="CI254" i="10"/>
  <c r="CI255" i="10"/>
  <c r="CI256" i="10"/>
  <c r="CI257" i="10"/>
  <c r="CI258" i="10"/>
  <c r="CI259" i="10"/>
  <c r="CI260" i="10"/>
  <c r="CI261" i="10"/>
  <c r="AI264" i="10"/>
  <c r="AJ264" i="10" s="1"/>
  <c r="AH265" i="10"/>
  <c r="AI214" i="10"/>
  <c r="AJ214" i="10" s="1"/>
  <c r="AH215" i="10"/>
  <c r="AO66" i="10"/>
  <c r="AI268" i="12" l="1"/>
  <c r="AJ268" i="12" s="1"/>
  <c r="AH269" i="12"/>
  <c r="AI269" i="12" s="1"/>
  <c r="AJ269" i="12" s="1"/>
  <c r="CO267" i="12"/>
  <c r="AO69" i="12"/>
  <c r="AO268" i="12"/>
  <c r="CP218" i="12"/>
  <c r="AO219" i="12"/>
  <c r="CP228" i="12"/>
  <c r="CP267" i="12" s="1"/>
  <c r="CP179" i="12"/>
  <c r="CP180" i="12"/>
  <c r="CP181" i="12"/>
  <c r="CP182" i="12"/>
  <c r="CP183" i="12"/>
  <c r="CP184" i="12"/>
  <c r="CP185" i="12"/>
  <c r="CP186" i="12"/>
  <c r="CP187" i="12"/>
  <c r="CP188" i="12"/>
  <c r="CP189" i="12"/>
  <c r="CP190" i="12"/>
  <c r="CP191" i="12"/>
  <c r="CP192" i="12"/>
  <c r="CP193" i="12"/>
  <c r="CP194" i="12"/>
  <c r="CP195" i="12"/>
  <c r="CP196" i="12"/>
  <c r="CP197" i="12"/>
  <c r="CP198" i="12"/>
  <c r="CP199" i="12"/>
  <c r="CP200" i="12"/>
  <c r="CP201" i="12"/>
  <c r="CP202" i="12"/>
  <c r="CP203" i="12"/>
  <c r="CP204" i="12"/>
  <c r="CP205" i="12"/>
  <c r="CP206" i="12"/>
  <c r="CP207" i="12"/>
  <c r="CP208" i="12"/>
  <c r="CP209" i="12"/>
  <c r="CP210" i="12"/>
  <c r="CP211" i="12"/>
  <c r="CP212" i="12"/>
  <c r="CP213" i="12"/>
  <c r="CP214" i="12"/>
  <c r="CP215" i="12"/>
  <c r="CP216" i="12"/>
  <c r="CO229" i="12"/>
  <c r="CO230" i="12"/>
  <c r="CO231" i="12"/>
  <c r="CO232" i="12"/>
  <c r="CO233" i="12"/>
  <c r="CO234" i="12"/>
  <c r="CO235" i="12"/>
  <c r="CO236" i="12"/>
  <c r="CO237" i="12"/>
  <c r="CO238" i="12"/>
  <c r="CO239" i="12"/>
  <c r="CO240" i="12"/>
  <c r="CO241" i="12"/>
  <c r="CO242" i="12"/>
  <c r="CO243" i="12"/>
  <c r="CO244" i="12"/>
  <c r="CO245" i="12"/>
  <c r="CO246" i="12"/>
  <c r="CO247" i="12"/>
  <c r="CO248" i="12"/>
  <c r="CO249" i="12"/>
  <c r="CO250" i="12"/>
  <c r="CO251" i="12"/>
  <c r="CO252" i="12"/>
  <c r="CO253" i="12"/>
  <c r="CO254" i="12"/>
  <c r="CO255" i="12"/>
  <c r="CO256" i="12"/>
  <c r="CO257" i="12"/>
  <c r="CO258" i="12"/>
  <c r="CO259" i="12"/>
  <c r="CO260" i="12"/>
  <c r="CO261" i="12"/>
  <c r="CO262" i="12"/>
  <c r="CO263" i="12"/>
  <c r="CO264" i="12"/>
  <c r="CO265" i="12"/>
  <c r="C316" i="11"/>
  <c r="C67" i="11"/>
  <c r="AO265" i="10"/>
  <c r="AH166" i="10"/>
  <c r="AI165" i="10"/>
  <c r="AJ165" i="10" s="1"/>
  <c r="AO216" i="10"/>
  <c r="AO167" i="10"/>
  <c r="AI215" i="10"/>
  <c r="AJ215" i="10" s="1"/>
  <c r="AH216" i="10"/>
  <c r="CJ229" i="10"/>
  <c r="CJ231" i="10"/>
  <c r="CJ230" i="10"/>
  <c r="CJ232" i="10"/>
  <c r="CJ233" i="10"/>
  <c r="CJ234" i="10"/>
  <c r="CJ235" i="10"/>
  <c r="CJ236" i="10"/>
  <c r="CJ237" i="10"/>
  <c r="CJ238" i="10"/>
  <c r="CJ239" i="10"/>
  <c r="CJ240" i="10"/>
  <c r="CJ241" i="10"/>
  <c r="CJ242" i="10"/>
  <c r="CJ243" i="10"/>
  <c r="CJ244" i="10"/>
  <c r="CJ245" i="10"/>
  <c r="CJ246" i="10"/>
  <c r="CJ247" i="10"/>
  <c r="CJ248" i="10"/>
  <c r="CJ249" i="10"/>
  <c r="CJ250" i="10"/>
  <c r="CJ251" i="10"/>
  <c r="CJ252" i="10"/>
  <c r="CJ253" i="10"/>
  <c r="CJ254" i="10"/>
  <c r="CJ255" i="10"/>
  <c r="CJ256" i="10"/>
  <c r="CJ257" i="10"/>
  <c r="CJ258" i="10"/>
  <c r="CJ259" i="10"/>
  <c r="CJ260" i="10"/>
  <c r="CJ261" i="10"/>
  <c r="CJ262" i="10"/>
  <c r="CL178" i="10"/>
  <c r="CM128" i="10"/>
  <c r="CL129" i="10"/>
  <c r="CL131" i="10"/>
  <c r="CL130" i="10"/>
  <c r="CL132" i="10"/>
  <c r="CL133" i="10"/>
  <c r="CL134" i="10"/>
  <c r="CL135" i="10"/>
  <c r="CL136" i="10"/>
  <c r="CL137" i="10"/>
  <c r="CL138" i="10"/>
  <c r="CL139" i="10"/>
  <c r="CL140" i="10"/>
  <c r="CL141" i="10"/>
  <c r="CL142" i="10"/>
  <c r="CL143" i="10"/>
  <c r="CL144" i="10"/>
  <c r="CL145" i="10"/>
  <c r="CL146" i="10"/>
  <c r="CL147" i="10"/>
  <c r="CL148" i="10"/>
  <c r="CL149" i="10"/>
  <c r="CL150" i="10"/>
  <c r="CL151" i="10"/>
  <c r="CL152" i="10"/>
  <c r="CL153" i="10"/>
  <c r="CL154" i="10"/>
  <c r="CL155" i="10"/>
  <c r="CL156" i="10"/>
  <c r="CL157" i="10"/>
  <c r="CL158" i="10"/>
  <c r="CL159" i="10"/>
  <c r="CL160" i="10"/>
  <c r="CL161" i="10"/>
  <c r="CL162" i="10"/>
  <c r="CL163" i="10"/>
  <c r="CL164" i="10"/>
  <c r="CK228" i="10"/>
  <c r="CK179" i="10"/>
  <c r="CK180" i="10"/>
  <c r="CK181" i="10"/>
  <c r="CK182" i="10"/>
  <c r="CK183" i="10"/>
  <c r="CK184" i="10"/>
  <c r="CK185" i="10"/>
  <c r="CK186" i="10"/>
  <c r="CK187" i="10"/>
  <c r="CK188" i="10"/>
  <c r="CK189" i="10"/>
  <c r="CK190" i="10"/>
  <c r="CK191" i="10"/>
  <c r="CK192" i="10"/>
  <c r="CK193" i="10"/>
  <c r="CK194" i="10"/>
  <c r="CK195" i="10"/>
  <c r="CK196" i="10"/>
  <c r="CK197" i="10"/>
  <c r="CK198" i="10"/>
  <c r="CK199" i="10"/>
  <c r="CK200" i="10"/>
  <c r="CK201" i="10"/>
  <c r="CK202" i="10"/>
  <c r="CK203" i="10"/>
  <c r="CK204" i="10"/>
  <c r="CK205" i="10"/>
  <c r="CK206" i="10"/>
  <c r="CK207" i="10"/>
  <c r="CK208" i="10"/>
  <c r="CK209" i="10"/>
  <c r="CK210" i="10"/>
  <c r="CK211" i="10"/>
  <c r="CK212" i="10"/>
  <c r="CK213" i="10"/>
  <c r="AO67" i="10"/>
  <c r="AH266" i="10"/>
  <c r="AI265" i="10"/>
  <c r="AJ265" i="10" s="1"/>
  <c r="CP229" i="12" l="1"/>
  <c r="CP230" i="12"/>
  <c r="CP231" i="12"/>
  <c r="CP232" i="12"/>
  <c r="CP233" i="12"/>
  <c r="CP234" i="12"/>
  <c r="CP235" i="12"/>
  <c r="CP236" i="12"/>
  <c r="CP237" i="12"/>
  <c r="CP238" i="12"/>
  <c r="CP239" i="12"/>
  <c r="CP240" i="12"/>
  <c r="CP241" i="12"/>
  <c r="CP242" i="12"/>
  <c r="CP243" i="12"/>
  <c r="CP244" i="12"/>
  <c r="CP245" i="12"/>
  <c r="CP246" i="12"/>
  <c r="CP247" i="12"/>
  <c r="CP248" i="12"/>
  <c r="CP249" i="12"/>
  <c r="CP250" i="12"/>
  <c r="CP251" i="12"/>
  <c r="CP252" i="12"/>
  <c r="CP253" i="12"/>
  <c r="CP254" i="12"/>
  <c r="CP255" i="12"/>
  <c r="CP256" i="12"/>
  <c r="CP257" i="12"/>
  <c r="CP258" i="12"/>
  <c r="CP259" i="12"/>
  <c r="CP260" i="12"/>
  <c r="CP261" i="12"/>
  <c r="CP262" i="12"/>
  <c r="CP263" i="12"/>
  <c r="CP264" i="12"/>
  <c r="CP265" i="12"/>
  <c r="CP266" i="12"/>
  <c r="AO269" i="12"/>
  <c r="CP268" i="12"/>
  <c r="C317" i="11"/>
  <c r="C68" i="11"/>
  <c r="AO68" i="10"/>
  <c r="AI216" i="10"/>
  <c r="AJ216" i="10" s="1"/>
  <c r="AH217" i="10"/>
  <c r="AO217" i="10"/>
  <c r="AO168" i="10"/>
  <c r="AO266" i="10"/>
  <c r="AH167" i="10"/>
  <c r="AI166" i="10"/>
  <c r="AJ166" i="10" s="1"/>
  <c r="CK229" i="10"/>
  <c r="CK231" i="10"/>
  <c r="CK230" i="10"/>
  <c r="CK232" i="10"/>
  <c r="CK233" i="10"/>
  <c r="CK234" i="10"/>
  <c r="CK235" i="10"/>
  <c r="CK236" i="10"/>
  <c r="CK237" i="10"/>
  <c r="CK238" i="10"/>
  <c r="CK239" i="10"/>
  <c r="CK240" i="10"/>
  <c r="CK241" i="10"/>
  <c r="CK242" i="10"/>
  <c r="CK243" i="10"/>
  <c r="CK244" i="10"/>
  <c r="CK245" i="10"/>
  <c r="CK246" i="10"/>
  <c r="CK247" i="10"/>
  <c r="CK248" i="10"/>
  <c r="CK249" i="10"/>
  <c r="CK250" i="10"/>
  <c r="CK251" i="10"/>
  <c r="CK252" i="10"/>
  <c r="CK253" i="10"/>
  <c r="CK254" i="10"/>
  <c r="CK255" i="10"/>
  <c r="CK256" i="10"/>
  <c r="CK257" i="10"/>
  <c r="CK258" i="10"/>
  <c r="CK259" i="10"/>
  <c r="CK260" i="10"/>
  <c r="CK261" i="10"/>
  <c r="CK262" i="10"/>
  <c r="CK263" i="10"/>
  <c r="CM178" i="10"/>
  <c r="CM129" i="10"/>
  <c r="CN128" i="10"/>
  <c r="CM131" i="10"/>
  <c r="CM130" i="10"/>
  <c r="CM132" i="10"/>
  <c r="CM133" i="10"/>
  <c r="CM134" i="10"/>
  <c r="CM135" i="10"/>
  <c r="CM136" i="10"/>
  <c r="CM137" i="10"/>
  <c r="CM138" i="10"/>
  <c r="CM139" i="10"/>
  <c r="CM140" i="10"/>
  <c r="CM141" i="10"/>
  <c r="CM142" i="10"/>
  <c r="CM143" i="10"/>
  <c r="CM144" i="10"/>
  <c r="CM145" i="10"/>
  <c r="CM146" i="10"/>
  <c r="CM147" i="10"/>
  <c r="CM148" i="10"/>
  <c r="CM149" i="10"/>
  <c r="CM150" i="10"/>
  <c r="CM151" i="10"/>
  <c r="CM152" i="10"/>
  <c r="CM153" i="10"/>
  <c r="CM154" i="10"/>
  <c r="CM155" i="10"/>
  <c r="CM156" i="10"/>
  <c r="CM157" i="10"/>
  <c r="CM158" i="10"/>
  <c r="CM159" i="10"/>
  <c r="CM160" i="10"/>
  <c r="CM161" i="10"/>
  <c r="CM162" i="10"/>
  <c r="CM163" i="10"/>
  <c r="CM164" i="10"/>
  <c r="CM165" i="10"/>
  <c r="CL228" i="10"/>
  <c r="CL179" i="10"/>
  <c r="CL180" i="10"/>
  <c r="CL181" i="10"/>
  <c r="CL182" i="10"/>
  <c r="CL183" i="10"/>
  <c r="CL184" i="10"/>
  <c r="CL185" i="10"/>
  <c r="CL186" i="10"/>
  <c r="CL187" i="10"/>
  <c r="CL188" i="10"/>
  <c r="CL189" i="10"/>
  <c r="CL190" i="10"/>
  <c r="CL191" i="10"/>
  <c r="CL192" i="10"/>
  <c r="CL193" i="10"/>
  <c r="CL194" i="10"/>
  <c r="CL195" i="10"/>
  <c r="CL196" i="10"/>
  <c r="CL197" i="10"/>
  <c r="CL198" i="10"/>
  <c r="CL199" i="10"/>
  <c r="CL200" i="10"/>
  <c r="CL201" i="10"/>
  <c r="CL202" i="10"/>
  <c r="CL203" i="10"/>
  <c r="CL204" i="10"/>
  <c r="CL205" i="10"/>
  <c r="CL206" i="10"/>
  <c r="CL207" i="10"/>
  <c r="CL208" i="10"/>
  <c r="CL209" i="10"/>
  <c r="CL210" i="10"/>
  <c r="CL211" i="10"/>
  <c r="CL212" i="10"/>
  <c r="CL213" i="10"/>
  <c r="CL214" i="10"/>
  <c r="AI266" i="10"/>
  <c r="AJ266" i="10" s="1"/>
  <c r="AH267" i="10"/>
  <c r="C318" i="11" l="1"/>
  <c r="C69" i="11"/>
  <c r="C319" i="11" s="1"/>
  <c r="CL229" i="10"/>
  <c r="CL230" i="10"/>
  <c r="CL231" i="10"/>
  <c r="CL232" i="10"/>
  <c r="CL233" i="10"/>
  <c r="CL234" i="10"/>
  <c r="CL235" i="10"/>
  <c r="CL236" i="10"/>
  <c r="CL237" i="10"/>
  <c r="CL238" i="10"/>
  <c r="CL239" i="10"/>
  <c r="CL240" i="10"/>
  <c r="CL241" i="10"/>
  <c r="CL242" i="10"/>
  <c r="CL243" i="10"/>
  <c r="CL244" i="10"/>
  <c r="CL245" i="10"/>
  <c r="CL246" i="10"/>
  <c r="CL247" i="10"/>
  <c r="CL248" i="10"/>
  <c r="CL249" i="10"/>
  <c r="CL250" i="10"/>
  <c r="CL251" i="10"/>
  <c r="CL252" i="10"/>
  <c r="CL253" i="10"/>
  <c r="CL254" i="10"/>
  <c r="CL255" i="10"/>
  <c r="CL256" i="10"/>
  <c r="CL257" i="10"/>
  <c r="CL258" i="10"/>
  <c r="CL259" i="10"/>
  <c r="CL260" i="10"/>
  <c r="CL261" i="10"/>
  <c r="CL262" i="10"/>
  <c r="CL263" i="10"/>
  <c r="CL264" i="10"/>
  <c r="CM228" i="10"/>
  <c r="CM179" i="10"/>
  <c r="CM180" i="10"/>
  <c r="CM181" i="10"/>
  <c r="CM182" i="10"/>
  <c r="CM183" i="10"/>
  <c r="CM184" i="10"/>
  <c r="CM185" i="10"/>
  <c r="CM186" i="10"/>
  <c r="CM187" i="10"/>
  <c r="CM188" i="10"/>
  <c r="CM189" i="10"/>
  <c r="CM190" i="10"/>
  <c r="CM191" i="10"/>
  <c r="CM192" i="10"/>
  <c r="CM193" i="10"/>
  <c r="CM194" i="10"/>
  <c r="CM195" i="10"/>
  <c r="CM196" i="10"/>
  <c r="CM197" i="10"/>
  <c r="CM198" i="10"/>
  <c r="CM199" i="10"/>
  <c r="CM200" i="10"/>
  <c r="CM201" i="10"/>
  <c r="CM202" i="10"/>
  <c r="CM203" i="10"/>
  <c r="CM204" i="10"/>
  <c r="CM205" i="10"/>
  <c r="CM206" i="10"/>
  <c r="CM207" i="10"/>
  <c r="CM208" i="10"/>
  <c r="CM209" i="10"/>
  <c r="CM210" i="10"/>
  <c r="CM211" i="10"/>
  <c r="CM212" i="10"/>
  <c r="CM213" i="10"/>
  <c r="CM214" i="10"/>
  <c r="CM215" i="10"/>
  <c r="CN178" i="10"/>
  <c r="CN129" i="10"/>
  <c r="CO128" i="10"/>
  <c r="CN130" i="10"/>
  <c r="CN131" i="10"/>
  <c r="CN132" i="10"/>
  <c r="CN133" i="10"/>
  <c r="CN134" i="10"/>
  <c r="CN135" i="10"/>
  <c r="CN136" i="10"/>
  <c r="CN137" i="10"/>
  <c r="CN138" i="10"/>
  <c r="CN139" i="10"/>
  <c r="CN140" i="10"/>
  <c r="CN141" i="10"/>
  <c r="CN142" i="10"/>
  <c r="CN143" i="10"/>
  <c r="CN144" i="10"/>
  <c r="CN145" i="10"/>
  <c r="CN146" i="10"/>
  <c r="CN147" i="10"/>
  <c r="CN148" i="10"/>
  <c r="CN149" i="10"/>
  <c r="CN150" i="10"/>
  <c r="CN151" i="10"/>
  <c r="CN152" i="10"/>
  <c r="CN153" i="10"/>
  <c r="CN154" i="10"/>
  <c r="CN155" i="10"/>
  <c r="CN156" i="10"/>
  <c r="CN157" i="10"/>
  <c r="CN158" i="10"/>
  <c r="CN159" i="10"/>
  <c r="CN160" i="10"/>
  <c r="CN161" i="10"/>
  <c r="CN162" i="10"/>
  <c r="CN163" i="10"/>
  <c r="CN164" i="10"/>
  <c r="CN165" i="10"/>
  <c r="CN166" i="10"/>
  <c r="AI267" i="10"/>
  <c r="AJ267" i="10" s="1"/>
  <c r="AH268" i="10"/>
  <c r="AO218" i="10"/>
  <c r="AO169" i="10"/>
  <c r="AO267" i="10"/>
  <c r="AO69" i="10"/>
  <c r="AH218" i="10"/>
  <c r="AI217" i="10"/>
  <c r="AJ217" i="10" s="1"/>
  <c r="AI167" i="10"/>
  <c r="AJ167" i="10" s="1"/>
  <c r="AH168" i="10"/>
  <c r="CO178" i="10" l="1"/>
  <c r="CP128" i="10"/>
  <c r="CO129" i="10"/>
  <c r="CO130" i="10"/>
  <c r="CO131" i="10"/>
  <c r="CO132" i="10"/>
  <c r="CO133" i="10"/>
  <c r="CO134" i="10"/>
  <c r="CO135" i="10"/>
  <c r="CO136" i="10"/>
  <c r="CO137" i="10"/>
  <c r="CO138" i="10"/>
  <c r="CO139" i="10"/>
  <c r="CO140" i="10"/>
  <c r="CO141" i="10"/>
  <c r="CO142" i="10"/>
  <c r="CO143" i="10"/>
  <c r="CO144" i="10"/>
  <c r="CO145" i="10"/>
  <c r="CO146" i="10"/>
  <c r="CO147" i="10"/>
  <c r="CO148" i="10"/>
  <c r="CO149" i="10"/>
  <c r="CO150" i="10"/>
  <c r="CO151" i="10"/>
  <c r="CO152" i="10"/>
  <c r="CO153" i="10"/>
  <c r="CO154" i="10"/>
  <c r="CO155" i="10"/>
  <c r="CO156" i="10"/>
  <c r="CO157" i="10"/>
  <c r="CO158" i="10"/>
  <c r="CO159" i="10"/>
  <c r="CO160" i="10"/>
  <c r="CO161" i="10"/>
  <c r="CO162" i="10"/>
  <c r="CO163" i="10"/>
  <c r="CO164" i="10"/>
  <c r="CO165" i="10"/>
  <c r="CO166" i="10"/>
  <c r="CO167" i="10"/>
  <c r="CN228" i="10"/>
  <c r="CN179" i="10"/>
  <c r="CN180" i="10"/>
  <c r="CN181" i="10"/>
  <c r="CN182" i="10"/>
  <c r="CN183" i="10"/>
  <c r="CN184" i="10"/>
  <c r="CN185" i="10"/>
  <c r="CN186" i="10"/>
  <c r="CN187" i="10"/>
  <c r="CN188" i="10"/>
  <c r="CN189" i="10"/>
  <c r="CN190" i="10"/>
  <c r="CN191" i="10"/>
  <c r="CN192" i="10"/>
  <c r="CN193" i="10"/>
  <c r="CN194" i="10"/>
  <c r="CN195" i="10"/>
  <c r="CN196" i="10"/>
  <c r="CN197" i="10"/>
  <c r="CN198" i="10"/>
  <c r="CN199" i="10"/>
  <c r="CN200" i="10"/>
  <c r="CN201" i="10"/>
  <c r="CN202" i="10"/>
  <c r="CN203" i="10"/>
  <c r="CN204" i="10"/>
  <c r="CN205" i="10"/>
  <c r="CN206" i="10"/>
  <c r="CN207" i="10"/>
  <c r="CN208" i="10"/>
  <c r="CN209" i="10"/>
  <c r="CN210" i="10"/>
  <c r="CN211" i="10"/>
  <c r="CN212" i="10"/>
  <c r="CN213" i="10"/>
  <c r="CN214" i="10"/>
  <c r="CN215" i="10"/>
  <c r="CN216" i="10"/>
  <c r="AI218" i="10"/>
  <c r="AJ218" i="10" s="1"/>
  <c r="AH219" i="10"/>
  <c r="AI219" i="10" s="1"/>
  <c r="AJ219" i="10" s="1"/>
  <c r="CM229" i="10"/>
  <c r="CM231" i="10"/>
  <c r="CM230" i="10"/>
  <c r="CM232" i="10"/>
  <c r="CM233" i="10"/>
  <c r="CM234" i="10"/>
  <c r="CM235" i="10"/>
  <c r="CM236" i="10"/>
  <c r="CM237" i="10"/>
  <c r="CM238" i="10"/>
  <c r="CM239" i="10"/>
  <c r="CM240" i="10"/>
  <c r="CM241" i="10"/>
  <c r="CM242" i="10"/>
  <c r="CM243" i="10"/>
  <c r="CM244" i="10"/>
  <c r="CM245" i="10"/>
  <c r="CM246" i="10"/>
  <c r="CM247" i="10"/>
  <c r="CM248" i="10"/>
  <c r="CM249" i="10"/>
  <c r="CM250" i="10"/>
  <c r="CM251" i="10"/>
  <c r="CM252" i="10"/>
  <c r="CM253" i="10"/>
  <c r="CM254" i="10"/>
  <c r="CM255" i="10"/>
  <c r="CM256" i="10"/>
  <c r="CM257" i="10"/>
  <c r="CM258" i="10"/>
  <c r="CM259" i="10"/>
  <c r="CM260" i="10"/>
  <c r="CM261" i="10"/>
  <c r="CM262" i="10"/>
  <c r="CM263" i="10"/>
  <c r="CM264" i="10"/>
  <c r="CM265" i="10"/>
  <c r="AI168" i="10"/>
  <c r="AJ168" i="10" s="1"/>
  <c r="AH169" i="10"/>
  <c r="AI169" i="10" s="1"/>
  <c r="AJ169" i="10" s="1"/>
  <c r="AO268" i="10"/>
  <c r="AO219" i="10"/>
  <c r="AI268" i="10"/>
  <c r="AJ268" i="10" s="1"/>
  <c r="AH269" i="10"/>
  <c r="AI269" i="10" s="1"/>
  <c r="AJ269" i="10" s="1"/>
  <c r="CP178" i="10" l="1"/>
  <c r="CP129" i="10"/>
  <c r="CP130" i="10"/>
  <c r="CP131" i="10"/>
  <c r="CP132" i="10"/>
  <c r="CP133" i="10"/>
  <c r="CP134" i="10"/>
  <c r="CP135" i="10"/>
  <c r="CP136" i="10"/>
  <c r="CP137" i="10"/>
  <c r="CP138" i="10"/>
  <c r="CP139" i="10"/>
  <c r="CP140" i="10"/>
  <c r="CP141" i="10"/>
  <c r="CP142" i="10"/>
  <c r="CP143" i="10"/>
  <c r="CP144" i="10"/>
  <c r="CP145" i="10"/>
  <c r="CP146" i="10"/>
  <c r="CP147" i="10"/>
  <c r="CP148" i="10"/>
  <c r="CP149" i="10"/>
  <c r="CP150" i="10"/>
  <c r="CP151" i="10"/>
  <c r="CP152" i="10"/>
  <c r="CP153" i="10"/>
  <c r="CP154" i="10"/>
  <c r="CP155" i="10"/>
  <c r="CP156" i="10"/>
  <c r="CP157" i="10"/>
  <c r="CP158" i="10"/>
  <c r="CP159" i="10"/>
  <c r="CP160" i="10"/>
  <c r="CP161" i="10"/>
  <c r="CP162" i="10"/>
  <c r="CP163" i="10"/>
  <c r="CP164" i="10"/>
  <c r="CP165" i="10"/>
  <c r="CP166" i="10"/>
  <c r="CP167" i="10"/>
  <c r="CP168" i="10"/>
  <c r="CO228" i="10"/>
  <c r="CO179" i="10"/>
  <c r="CO181" i="10"/>
  <c r="CO180" i="10"/>
  <c r="CO182" i="10"/>
  <c r="CO183" i="10"/>
  <c r="CO184" i="10"/>
  <c r="CO185" i="10"/>
  <c r="CO186" i="10"/>
  <c r="CO187" i="10"/>
  <c r="CO188" i="10"/>
  <c r="CO189" i="10"/>
  <c r="CO190" i="10"/>
  <c r="CO191" i="10"/>
  <c r="CO192" i="10"/>
  <c r="CO193" i="10"/>
  <c r="CO194" i="10"/>
  <c r="CO195" i="10"/>
  <c r="CO196" i="10"/>
  <c r="CO197" i="10"/>
  <c r="CO198" i="10"/>
  <c r="CO199" i="10"/>
  <c r="CO200" i="10"/>
  <c r="CO201" i="10"/>
  <c r="CO202" i="10"/>
  <c r="CO203" i="10"/>
  <c r="CO204" i="10"/>
  <c r="CO205" i="10"/>
  <c r="CO206" i="10"/>
  <c r="CO207" i="10"/>
  <c r="CO208" i="10"/>
  <c r="CO209" i="10"/>
  <c r="CO210" i="10"/>
  <c r="CO211" i="10"/>
  <c r="CO212" i="10"/>
  <c r="CO213" i="10"/>
  <c r="CO214" i="10"/>
  <c r="CO215" i="10"/>
  <c r="CO216" i="10"/>
  <c r="CO217" i="10"/>
  <c r="AO269" i="10"/>
  <c r="CN229" i="10"/>
  <c r="CN230" i="10"/>
  <c r="CN231" i="10"/>
  <c r="CN232" i="10"/>
  <c r="CN233" i="10"/>
  <c r="CN234" i="10"/>
  <c r="CN235" i="10"/>
  <c r="CN236" i="10"/>
  <c r="CN237" i="10"/>
  <c r="CN238" i="10"/>
  <c r="CN239" i="10"/>
  <c r="CN240" i="10"/>
  <c r="CN241" i="10"/>
  <c r="CN242" i="10"/>
  <c r="CN243" i="10"/>
  <c r="CN244" i="10"/>
  <c r="CN245" i="10"/>
  <c r="CN246" i="10"/>
  <c r="CN247" i="10"/>
  <c r="CN248" i="10"/>
  <c r="CN249" i="10"/>
  <c r="CN250" i="10"/>
  <c r="CN251" i="10"/>
  <c r="CN252" i="10"/>
  <c r="CN253" i="10"/>
  <c r="CN254" i="10"/>
  <c r="CN255" i="10"/>
  <c r="CN256" i="10"/>
  <c r="CN257" i="10"/>
  <c r="CN258" i="10"/>
  <c r="CN259" i="10"/>
  <c r="CN260" i="10"/>
  <c r="CN261" i="10"/>
  <c r="CN262" i="10"/>
  <c r="CN263" i="10"/>
  <c r="CN264" i="10"/>
  <c r="CN265" i="10"/>
  <c r="CN266" i="10"/>
  <c r="CO229" i="10" l="1"/>
  <c r="CO230" i="10"/>
  <c r="CO231" i="10"/>
  <c r="CO232" i="10"/>
  <c r="CO233" i="10"/>
  <c r="CO234" i="10"/>
  <c r="CO235" i="10"/>
  <c r="CO236" i="10"/>
  <c r="CO237" i="10"/>
  <c r="CO238" i="10"/>
  <c r="CO239" i="10"/>
  <c r="CO240" i="10"/>
  <c r="CO241" i="10"/>
  <c r="CO242" i="10"/>
  <c r="CO243" i="10"/>
  <c r="CO244" i="10"/>
  <c r="CO245" i="10"/>
  <c r="CO246" i="10"/>
  <c r="CO247" i="10"/>
  <c r="CO248" i="10"/>
  <c r="CO249" i="10"/>
  <c r="CO250" i="10"/>
  <c r="CO251" i="10"/>
  <c r="CO252" i="10"/>
  <c r="CO253" i="10"/>
  <c r="CO254" i="10"/>
  <c r="CO255" i="10"/>
  <c r="CO256" i="10"/>
  <c r="CO257" i="10"/>
  <c r="CO258" i="10"/>
  <c r="CO259" i="10"/>
  <c r="CO260" i="10"/>
  <c r="CO261" i="10"/>
  <c r="CO262" i="10"/>
  <c r="CO263" i="10"/>
  <c r="CO264" i="10"/>
  <c r="CO265" i="10"/>
  <c r="CO266" i="10"/>
  <c r="CO267" i="10"/>
  <c r="CP228" i="10"/>
  <c r="CP179" i="10"/>
  <c r="CP180" i="10"/>
  <c r="CP181" i="10"/>
  <c r="CP182" i="10"/>
  <c r="CP183" i="10"/>
  <c r="CP184" i="10"/>
  <c r="CP185" i="10"/>
  <c r="CP186" i="10"/>
  <c r="CP187" i="10"/>
  <c r="CP188" i="10"/>
  <c r="CP189" i="10"/>
  <c r="CP190" i="10"/>
  <c r="CP191" i="10"/>
  <c r="CP192" i="10"/>
  <c r="CP193" i="10"/>
  <c r="CP194" i="10"/>
  <c r="CP195" i="10"/>
  <c r="CP196" i="10"/>
  <c r="CP197" i="10"/>
  <c r="CP198" i="10"/>
  <c r="CP199" i="10"/>
  <c r="CP200" i="10"/>
  <c r="CP201" i="10"/>
  <c r="CP202" i="10"/>
  <c r="CP203" i="10"/>
  <c r="CP204" i="10"/>
  <c r="CP205" i="10"/>
  <c r="CP206" i="10"/>
  <c r="CP207" i="10"/>
  <c r="CP208" i="10"/>
  <c r="CP209" i="10"/>
  <c r="CP210" i="10"/>
  <c r="CP211" i="10"/>
  <c r="CP212" i="10"/>
  <c r="CP213" i="10"/>
  <c r="CP214" i="10"/>
  <c r="CP215" i="10"/>
  <c r="CP216" i="10"/>
  <c r="CP217" i="10"/>
  <c r="CP218" i="10"/>
  <c r="CP229" i="10" l="1"/>
  <c r="CP231" i="10"/>
  <c r="CP230" i="10"/>
  <c r="CP232" i="10"/>
  <c r="CP233" i="10"/>
  <c r="CP234" i="10"/>
  <c r="CP235" i="10"/>
  <c r="CP236" i="10"/>
  <c r="CP237" i="10"/>
  <c r="CP238" i="10"/>
  <c r="CP239" i="10"/>
  <c r="CP240" i="10"/>
  <c r="CP241" i="10"/>
  <c r="CP242" i="10"/>
  <c r="CP243" i="10"/>
  <c r="CP244" i="10"/>
  <c r="CP245" i="10"/>
  <c r="CP246" i="10"/>
  <c r="CP247" i="10"/>
  <c r="CP248" i="10"/>
  <c r="CP249" i="10"/>
  <c r="CP250" i="10"/>
  <c r="CP251" i="10"/>
  <c r="CP252" i="10"/>
  <c r="CP253" i="10"/>
  <c r="CP254" i="10"/>
  <c r="CP255" i="10"/>
  <c r="CP256" i="10"/>
  <c r="CP257" i="10"/>
  <c r="CP258" i="10"/>
  <c r="CP259" i="10"/>
  <c r="CP260" i="10"/>
  <c r="CP261" i="10"/>
  <c r="CP262" i="10"/>
  <c r="CP263" i="10"/>
  <c r="CP264" i="10"/>
  <c r="CP265" i="10"/>
  <c r="CP266" i="10"/>
  <c r="CP267" i="10"/>
  <c r="CP268" i="10"/>
  <c r="CP268" i="9" l="1"/>
  <c r="CP267" i="9"/>
  <c r="CO267" i="9"/>
  <c r="CP266" i="9"/>
  <c r="CO266" i="9"/>
  <c r="CN266" i="9"/>
  <c r="CP265" i="9"/>
  <c r="CO265" i="9"/>
  <c r="CN265" i="9"/>
  <c r="CM265" i="9"/>
  <c r="CP264" i="9"/>
  <c r="CO264" i="9"/>
  <c r="CN264" i="9"/>
  <c r="CM264" i="9"/>
  <c r="CL264" i="9"/>
  <c r="CP263" i="9"/>
  <c r="CO263" i="9"/>
  <c r="CN263" i="9"/>
  <c r="CM263" i="9"/>
  <c r="CL263" i="9"/>
  <c r="CK263" i="9"/>
  <c r="CP262" i="9"/>
  <c r="CO262" i="9"/>
  <c r="CN262" i="9"/>
  <c r="CM262" i="9"/>
  <c r="CL262" i="9"/>
  <c r="CK262" i="9"/>
  <c r="CJ262" i="9"/>
  <c r="CP261" i="9"/>
  <c r="CO261" i="9"/>
  <c r="CN261" i="9"/>
  <c r="CM261" i="9"/>
  <c r="CL261" i="9"/>
  <c r="CK261" i="9"/>
  <c r="CJ261" i="9"/>
  <c r="CI261" i="9"/>
  <c r="CP260" i="9"/>
  <c r="CO260" i="9"/>
  <c r="CN260" i="9"/>
  <c r="CM260" i="9"/>
  <c r="CL260" i="9"/>
  <c r="CK260" i="9"/>
  <c r="CJ260" i="9"/>
  <c r="CI260" i="9"/>
  <c r="CH260" i="9"/>
  <c r="CP259" i="9"/>
  <c r="CO259" i="9"/>
  <c r="CN259" i="9"/>
  <c r="CM259" i="9"/>
  <c r="CL259" i="9"/>
  <c r="CK259" i="9"/>
  <c r="CJ259" i="9"/>
  <c r="CI259" i="9"/>
  <c r="CH259" i="9"/>
  <c r="CG259" i="9"/>
  <c r="CP258" i="9"/>
  <c r="CO258" i="9"/>
  <c r="CN258" i="9"/>
  <c r="CM258" i="9"/>
  <c r="CL258" i="9"/>
  <c r="CK258" i="9"/>
  <c r="CJ258" i="9"/>
  <c r="CI258" i="9"/>
  <c r="CH258" i="9"/>
  <c r="CG258" i="9"/>
  <c r="CF258" i="9"/>
  <c r="CP257" i="9"/>
  <c r="CO257" i="9"/>
  <c r="CN257" i="9"/>
  <c r="CM257" i="9"/>
  <c r="CL257" i="9"/>
  <c r="CK257" i="9"/>
  <c r="CJ257" i="9"/>
  <c r="CI257" i="9"/>
  <c r="CH257" i="9"/>
  <c r="CG257" i="9"/>
  <c r="CF257" i="9"/>
  <c r="CE257" i="9"/>
  <c r="CP256" i="9"/>
  <c r="CO256" i="9"/>
  <c r="CN256" i="9"/>
  <c r="CM256" i="9"/>
  <c r="CL256" i="9"/>
  <c r="CK256" i="9"/>
  <c r="CJ256" i="9"/>
  <c r="CI256" i="9"/>
  <c r="CH256" i="9"/>
  <c r="CG256" i="9"/>
  <c r="CF256" i="9"/>
  <c r="CE256" i="9"/>
  <c r="CD256" i="9"/>
  <c r="CP255" i="9"/>
  <c r="CO255" i="9"/>
  <c r="CN255" i="9"/>
  <c r="CM255" i="9"/>
  <c r="CL255" i="9"/>
  <c r="CK255" i="9"/>
  <c r="CJ255" i="9"/>
  <c r="CI255" i="9"/>
  <c r="CH255" i="9"/>
  <c r="CG255" i="9"/>
  <c r="CF255" i="9"/>
  <c r="CE255" i="9"/>
  <c r="CD255" i="9"/>
  <c r="CC255" i="9"/>
  <c r="CP254" i="9"/>
  <c r="CO254" i="9"/>
  <c r="CN254" i="9"/>
  <c r="CM254" i="9"/>
  <c r="CL254" i="9"/>
  <c r="CK254" i="9"/>
  <c r="CJ254" i="9"/>
  <c r="CI254" i="9"/>
  <c r="CH254" i="9"/>
  <c r="CG254" i="9"/>
  <c r="CF254" i="9"/>
  <c r="CE254" i="9"/>
  <c r="CD254" i="9"/>
  <c r="CC254" i="9"/>
  <c r="CB254" i="9"/>
  <c r="CP253" i="9"/>
  <c r="CO253" i="9"/>
  <c r="CN253" i="9"/>
  <c r="CM253" i="9"/>
  <c r="CL253" i="9"/>
  <c r="CK253" i="9"/>
  <c r="CJ253" i="9"/>
  <c r="CI253" i="9"/>
  <c r="CH253" i="9"/>
  <c r="CG253" i="9"/>
  <c r="CF253" i="9"/>
  <c r="CE253" i="9"/>
  <c r="CD253" i="9"/>
  <c r="CC253" i="9"/>
  <c r="CB253" i="9"/>
  <c r="CA253" i="9"/>
  <c r="CP252" i="9"/>
  <c r="CO252" i="9"/>
  <c r="CN252" i="9"/>
  <c r="CM252" i="9"/>
  <c r="CL252" i="9"/>
  <c r="CK252" i="9"/>
  <c r="CJ252" i="9"/>
  <c r="CI252" i="9"/>
  <c r="CH252" i="9"/>
  <c r="CG252" i="9"/>
  <c r="CF252" i="9"/>
  <c r="CE252" i="9"/>
  <c r="CD252" i="9"/>
  <c r="CC252" i="9"/>
  <c r="CB252" i="9"/>
  <c r="CA252" i="9"/>
  <c r="BZ252" i="9"/>
  <c r="CP251" i="9"/>
  <c r="CO251" i="9"/>
  <c r="CN251" i="9"/>
  <c r="CM251" i="9"/>
  <c r="CL251" i="9"/>
  <c r="CK251" i="9"/>
  <c r="CJ251" i="9"/>
  <c r="CI251" i="9"/>
  <c r="CH251" i="9"/>
  <c r="CG251" i="9"/>
  <c r="CF251" i="9"/>
  <c r="CE251" i="9"/>
  <c r="CD251" i="9"/>
  <c r="CC251" i="9"/>
  <c r="CB251" i="9"/>
  <c r="CA251" i="9"/>
  <c r="BZ251" i="9"/>
  <c r="BY251" i="9"/>
  <c r="CP250" i="9"/>
  <c r="CO250" i="9"/>
  <c r="CN250" i="9"/>
  <c r="CM250" i="9"/>
  <c r="CL250" i="9"/>
  <c r="CK250" i="9"/>
  <c r="CJ250" i="9"/>
  <c r="CI250" i="9"/>
  <c r="CH250" i="9"/>
  <c r="CG250" i="9"/>
  <c r="CF250" i="9"/>
  <c r="CE250" i="9"/>
  <c r="CD250" i="9"/>
  <c r="CC250" i="9"/>
  <c r="CB250" i="9"/>
  <c r="CA250" i="9"/>
  <c r="BZ250" i="9"/>
  <c r="BY250" i="9"/>
  <c r="BX250" i="9"/>
  <c r="CP249" i="9"/>
  <c r="CO249" i="9"/>
  <c r="CN249" i="9"/>
  <c r="CM249" i="9"/>
  <c r="CL249" i="9"/>
  <c r="CK249" i="9"/>
  <c r="CJ249" i="9"/>
  <c r="CI249" i="9"/>
  <c r="CH249" i="9"/>
  <c r="CG249" i="9"/>
  <c r="CF249" i="9"/>
  <c r="CE249" i="9"/>
  <c r="CD249" i="9"/>
  <c r="CC249" i="9"/>
  <c r="CB249" i="9"/>
  <c r="CA249" i="9"/>
  <c r="BZ249" i="9"/>
  <c r="BY249" i="9"/>
  <c r="BX249" i="9"/>
  <c r="BW249" i="9"/>
  <c r="CP248" i="9"/>
  <c r="CO248" i="9"/>
  <c r="CN248" i="9"/>
  <c r="CM248" i="9"/>
  <c r="CL248" i="9"/>
  <c r="CK248" i="9"/>
  <c r="CJ248" i="9"/>
  <c r="CI248" i="9"/>
  <c r="CH248" i="9"/>
  <c r="CG248" i="9"/>
  <c r="CF248" i="9"/>
  <c r="CE248" i="9"/>
  <c r="CD248" i="9"/>
  <c r="CC248" i="9"/>
  <c r="CB248" i="9"/>
  <c r="CA248" i="9"/>
  <c r="BZ248" i="9"/>
  <c r="BY248" i="9"/>
  <c r="BX248" i="9"/>
  <c r="BW248" i="9"/>
  <c r="BV248" i="9"/>
  <c r="CP247" i="9"/>
  <c r="CO247" i="9"/>
  <c r="CN247" i="9"/>
  <c r="CM247" i="9"/>
  <c r="CL247" i="9"/>
  <c r="CK247" i="9"/>
  <c r="CJ247" i="9"/>
  <c r="CI247" i="9"/>
  <c r="CH247" i="9"/>
  <c r="CG247" i="9"/>
  <c r="CF247" i="9"/>
  <c r="CE247" i="9"/>
  <c r="CD247" i="9"/>
  <c r="CC247" i="9"/>
  <c r="CB247" i="9"/>
  <c r="CA247" i="9"/>
  <c r="BZ247" i="9"/>
  <c r="BY247" i="9"/>
  <c r="BX247" i="9"/>
  <c r="BW247" i="9"/>
  <c r="BV247" i="9"/>
  <c r="BU247" i="9"/>
  <c r="CP246" i="9"/>
  <c r="CO246" i="9"/>
  <c r="CN246" i="9"/>
  <c r="CM246" i="9"/>
  <c r="CL246" i="9"/>
  <c r="CK246" i="9"/>
  <c r="CJ246" i="9"/>
  <c r="CI246" i="9"/>
  <c r="CH246" i="9"/>
  <c r="CG246" i="9"/>
  <c r="CF246" i="9"/>
  <c r="CE246" i="9"/>
  <c r="CD246" i="9"/>
  <c r="CC246" i="9"/>
  <c r="CB246" i="9"/>
  <c r="CA246" i="9"/>
  <c r="BZ246" i="9"/>
  <c r="BY246" i="9"/>
  <c r="BX246" i="9"/>
  <c r="BW246" i="9"/>
  <c r="BV246" i="9"/>
  <c r="BU246" i="9"/>
  <c r="BT246" i="9"/>
  <c r="CP245" i="9"/>
  <c r="CO245" i="9"/>
  <c r="CN245" i="9"/>
  <c r="CM245" i="9"/>
  <c r="CL245" i="9"/>
  <c r="CK245" i="9"/>
  <c r="CJ245" i="9"/>
  <c r="CI245" i="9"/>
  <c r="CH245" i="9"/>
  <c r="CG245" i="9"/>
  <c r="CF245" i="9"/>
  <c r="CE245" i="9"/>
  <c r="CD245" i="9"/>
  <c r="CC245" i="9"/>
  <c r="CB245" i="9"/>
  <c r="CA245" i="9"/>
  <c r="BZ245" i="9"/>
  <c r="BY245" i="9"/>
  <c r="BX245" i="9"/>
  <c r="BW245" i="9"/>
  <c r="BV245" i="9"/>
  <c r="BU245" i="9"/>
  <c r="BT245" i="9"/>
  <c r="BS245" i="9"/>
  <c r="CP244" i="9"/>
  <c r="CO244" i="9"/>
  <c r="CN244" i="9"/>
  <c r="CM244" i="9"/>
  <c r="CL244" i="9"/>
  <c r="CK244" i="9"/>
  <c r="CJ244" i="9"/>
  <c r="CI244" i="9"/>
  <c r="CH244" i="9"/>
  <c r="CG244" i="9"/>
  <c r="CF244" i="9"/>
  <c r="CE244" i="9"/>
  <c r="CD244" i="9"/>
  <c r="CC244" i="9"/>
  <c r="CB244" i="9"/>
  <c r="CA244" i="9"/>
  <c r="BZ244" i="9"/>
  <c r="BY244" i="9"/>
  <c r="BX244" i="9"/>
  <c r="BW244" i="9"/>
  <c r="BV244" i="9"/>
  <c r="BU244" i="9"/>
  <c r="BT244" i="9"/>
  <c r="BS244" i="9"/>
  <c r="BR244" i="9"/>
  <c r="CP243" i="9"/>
  <c r="CO243" i="9"/>
  <c r="CN243" i="9"/>
  <c r="CM243" i="9"/>
  <c r="CL243" i="9"/>
  <c r="CK243" i="9"/>
  <c r="CJ243" i="9"/>
  <c r="CI243" i="9"/>
  <c r="CH243" i="9"/>
  <c r="CG243" i="9"/>
  <c r="CF243" i="9"/>
  <c r="CE243" i="9"/>
  <c r="CD243" i="9"/>
  <c r="CC243" i="9"/>
  <c r="CB243" i="9"/>
  <c r="CA243" i="9"/>
  <c r="BZ243" i="9"/>
  <c r="BY243" i="9"/>
  <c r="BX243" i="9"/>
  <c r="BW243" i="9"/>
  <c r="BV243" i="9"/>
  <c r="BU243" i="9"/>
  <c r="BT243" i="9"/>
  <c r="BS243" i="9"/>
  <c r="BR243" i="9"/>
  <c r="BQ243" i="9"/>
  <c r="CP242" i="9"/>
  <c r="CO242" i="9"/>
  <c r="CN242" i="9"/>
  <c r="CM242" i="9"/>
  <c r="CL242" i="9"/>
  <c r="CK242" i="9"/>
  <c r="CJ242" i="9"/>
  <c r="CI242" i="9"/>
  <c r="CH242" i="9"/>
  <c r="CG242" i="9"/>
  <c r="CF242" i="9"/>
  <c r="CE242" i="9"/>
  <c r="CD242" i="9"/>
  <c r="CC242" i="9"/>
  <c r="CB242" i="9"/>
  <c r="CA242" i="9"/>
  <c r="BZ242" i="9"/>
  <c r="BY242" i="9"/>
  <c r="BX242" i="9"/>
  <c r="BW242" i="9"/>
  <c r="BV242" i="9"/>
  <c r="BU242" i="9"/>
  <c r="BT242" i="9"/>
  <c r="BS242" i="9"/>
  <c r="BR242" i="9"/>
  <c r="BQ242" i="9"/>
  <c r="BP242" i="9"/>
  <c r="CP241" i="9"/>
  <c r="CO241" i="9"/>
  <c r="CN241" i="9"/>
  <c r="CM241" i="9"/>
  <c r="CL241" i="9"/>
  <c r="CK241" i="9"/>
  <c r="CJ241" i="9"/>
  <c r="CI241" i="9"/>
  <c r="CH241" i="9"/>
  <c r="CG241" i="9"/>
  <c r="CF241" i="9"/>
  <c r="CE241" i="9"/>
  <c r="CD241" i="9"/>
  <c r="CC241" i="9"/>
  <c r="CB241" i="9"/>
  <c r="CA241" i="9"/>
  <c r="BZ241" i="9"/>
  <c r="BY241" i="9"/>
  <c r="BX241" i="9"/>
  <c r="BW241" i="9"/>
  <c r="BV241" i="9"/>
  <c r="BU241" i="9"/>
  <c r="BT241" i="9"/>
  <c r="BS241" i="9"/>
  <c r="BR241" i="9"/>
  <c r="BQ241" i="9"/>
  <c r="BP241" i="9"/>
  <c r="BO241" i="9"/>
  <c r="CP240" i="9"/>
  <c r="CO240" i="9"/>
  <c r="CN240" i="9"/>
  <c r="CM240" i="9"/>
  <c r="CL240" i="9"/>
  <c r="CK240" i="9"/>
  <c r="CJ240" i="9"/>
  <c r="CI240" i="9"/>
  <c r="CH240" i="9"/>
  <c r="CG240" i="9"/>
  <c r="CF240" i="9"/>
  <c r="CE240" i="9"/>
  <c r="CD240" i="9"/>
  <c r="CC240" i="9"/>
  <c r="CB240" i="9"/>
  <c r="CA240" i="9"/>
  <c r="BZ240" i="9"/>
  <c r="BY240" i="9"/>
  <c r="BX240" i="9"/>
  <c r="BW240" i="9"/>
  <c r="BV240" i="9"/>
  <c r="BU240" i="9"/>
  <c r="BT240" i="9"/>
  <c r="BS240" i="9"/>
  <c r="BR240" i="9"/>
  <c r="BQ240" i="9"/>
  <c r="BP240" i="9"/>
  <c r="BO240" i="9"/>
  <c r="BN240" i="9"/>
  <c r="CP239" i="9"/>
  <c r="CO239" i="9"/>
  <c r="CN239" i="9"/>
  <c r="CM239" i="9"/>
  <c r="CL239" i="9"/>
  <c r="CK239" i="9"/>
  <c r="CJ239" i="9"/>
  <c r="CI239" i="9"/>
  <c r="CH239" i="9"/>
  <c r="CG239" i="9"/>
  <c r="CF239" i="9"/>
  <c r="CE239" i="9"/>
  <c r="CD239" i="9"/>
  <c r="CC239" i="9"/>
  <c r="CB239" i="9"/>
  <c r="CA239" i="9"/>
  <c r="BZ239" i="9"/>
  <c r="BY239" i="9"/>
  <c r="BX239" i="9"/>
  <c r="BW239" i="9"/>
  <c r="BV239" i="9"/>
  <c r="BU239" i="9"/>
  <c r="BT239" i="9"/>
  <c r="BS239" i="9"/>
  <c r="BR239" i="9"/>
  <c r="BQ239" i="9"/>
  <c r="BP239" i="9"/>
  <c r="BO239" i="9"/>
  <c r="BN239" i="9"/>
  <c r="BM239" i="9"/>
  <c r="CP238" i="9"/>
  <c r="CO238" i="9"/>
  <c r="CN238" i="9"/>
  <c r="CM238" i="9"/>
  <c r="CL238" i="9"/>
  <c r="CK238" i="9"/>
  <c r="CJ238" i="9"/>
  <c r="CI238" i="9"/>
  <c r="CH238" i="9"/>
  <c r="CG238" i="9"/>
  <c r="CF238" i="9"/>
  <c r="CE238" i="9"/>
  <c r="CD238" i="9"/>
  <c r="CC238" i="9"/>
  <c r="CB238" i="9"/>
  <c r="CA238" i="9"/>
  <c r="BZ238" i="9"/>
  <c r="BY238" i="9"/>
  <c r="BX238" i="9"/>
  <c r="BW238" i="9"/>
  <c r="BV238" i="9"/>
  <c r="BU238" i="9"/>
  <c r="BT238" i="9"/>
  <c r="BS238" i="9"/>
  <c r="BR238" i="9"/>
  <c r="BQ238" i="9"/>
  <c r="BP238" i="9"/>
  <c r="BO238" i="9"/>
  <c r="BN238" i="9"/>
  <c r="BM238" i="9"/>
  <c r="BL238" i="9"/>
  <c r="CP237" i="9"/>
  <c r="CO237" i="9"/>
  <c r="CN237" i="9"/>
  <c r="CM237" i="9"/>
  <c r="CL237" i="9"/>
  <c r="CK237" i="9"/>
  <c r="CJ237" i="9"/>
  <c r="CI237" i="9"/>
  <c r="CH237" i="9"/>
  <c r="CG237" i="9"/>
  <c r="CF237" i="9"/>
  <c r="CE237" i="9"/>
  <c r="CD237" i="9"/>
  <c r="CC237" i="9"/>
  <c r="CB237" i="9"/>
  <c r="CA237" i="9"/>
  <c r="BZ237" i="9"/>
  <c r="BY237" i="9"/>
  <c r="BX237" i="9"/>
  <c r="BW237" i="9"/>
  <c r="BV237" i="9"/>
  <c r="BU237" i="9"/>
  <c r="BT237" i="9"/>
  <c r="BS237" i="9"/>
  <c r="BR237" i="9"/>
  <c r="BQ237" i="9"/>
  <c r="BP237" i="9"/>
  <c r="BO237" i="9"/>
  <c r="BN237" i="9"/>
  <c r="BM237" i="9"/>
  <c r="BL237" i="9"/>
  <c r="BK237" i="9"/>
  <c r="CP236" i="9"/>
  <c r="CO236" i="9"/>
  <c r="CN236" i="9"/>
  <c r="CM236" i="9"/>
  <c r="CL236" i="9"/>
  <c r="CK236" i="9"/>
  <c r="CJ236" i="9"/>
  <c r="CI236" i="9"/>
  <c r="CH236" i="9"/>
  <c r="CG236" i="9"/>
  <c r="CF236" i="9"/>
  <c r="CE236" i="9"/>
  <c r="CD236" i="9"/>
  <c r="CC236" i="9"/>
  <c r="CB236" i="9"/>
  <c r="CA236" i="9"/>
  <c r="BZ236" i="9"/>
  <c r="BY236" i="9"/>
  <c r="BX236" i="9"/>
  <c r="BW236" i="9"/>
  <c r="BV236" i="9"/>
  <c r="BU236" i="9"/>
  <c r="BT236" i="9"/>
  <c r="BS236" i="9"/>
  <c r="BR236" i="9"/>
  <c r="BQ236" i="9"/>
  <c r="BP236" i="9"/>
  <c r="BO236" i="9"/>
  <c r="BN236" i="9"/>
  <c r="BM236" i="9"/>
  <c r="BL236" i="9"/>
  <c r="BK236" i="9"/>
  <c r="BJ236" i="9"/>
  <c r="CP235" i="9"/>
  <c r="CO235" i="9"/>
  <c r="CN235" i="9"/>
  <c r="CM235" i="9"/>
  <c r="CL235" i="9"/>
  <c r="CK235" i="9"/>
  <c r="CJ235" i="9"/>
  <c r="CI235" i="9"/>
  <c r="CH235" i="9"/>
  <c r="CG235" i="9"/>
  <c r="CF235" i="9"/>
  <c r="CE235" i="9"/>
  <c r="CD235" i="9"/>
  <c r="CC235" i="9"/>
  <c r="CB235" i="9"/>
  <c r="CA235" i="9"/>
  <c r="BZ235" i="9"/>
  <c r="BY235" i="9"/>
  <c r="BX235" i="9"/>
  <c r="BW235" i="9"/>
  <c r="BV235" i="9"/>
  <c r="BU235" i="9"/>
  <c r="BT235" i="9"/>
  <c r="BS235" i="9"/>
  <c r="BR235" i="9"/>
  <c r="BQ235" i="9"/>
  <c r="BP235" i="9"/>
  <c r="BO235" i="9"/>
  <c r="BN235" i="9"/>
  <c r="BM235" i="9"/>
  <c r="BL235" i="9"/>
  <c r="BK235" i="9"/>
  <c r="BJ235" i="9"/>
  <c r="BI235" i="9"/>
  <c r="CP234" i="9"/>
  <c r="CO234" i="9"/>
  <c r="CN234" i="9"/>
  <c r="CM234" i="9"/>
  <c r="CL234" i="9"/>
  <c r="CK234" i="9"/>
  <c r="CJ234" i="9"/>
  <c r="CI234" i="9"/>
  <c r="CH234" i="9"/>
  <c r="CG234" i="9"/>
  <c r="CF234" i="9"/>
  <c r="CE234" i="9"/>
  <c r="CD234" i="9"/>
  <c r="CC234" i="9"/>
  <c r="CB234" i="9"/>
  <c r="CA234" i="9"/>
  <c r="BZ234" i="9"/>
  <c r="BY234" i="9"/>
  <c r="BX234" i="9"/>
  <c r="BW234" i="9"/>
  <c r="BV234" i="9"/>
  <c r="BU234" i="9"/>
  <c r="BT234" i="9"/>
  <c r="BS234" i="9"/>
  <c r="BR234" i="9"/>
  <c r="BQ234" i="9"/>
  <c r="BP234" i="9"/>
  <c r="BO234" i="9"/>
  <c r="BN234" i="9"/>
  <c r="BM234" i="9"/>
  <c r="BL234" i="9"/>
  <c r="BK234" i="9"/>
  <c r="BJ234" i="9"/>
  <c r="BI234" i="9"/>
  <c r="BH234" i="9"/>
  <c r="CP233" i="9"/>
  <c r="CO233" i="9"/>
  <c r="CN233" i="9"/>
  <c r="CM233" i="9"/>
  <c r="CL233" i="9"/>
  <c r="CK233" i="9"/>
  <c r="CJ233" i="9"/>
  <c r="CI233" i="9"/>
  <c r="CH233" i="9"/>
  <c r="CG233" i="9"/>
  <c r="CF233" i="9"/>
  <c r="CE233" i="9"/>
  <c r="CD233" i="9"/>
  <c r="CC233" i="9"/>
  <c r="CB233" i="9"/>
  <c r="CA233" i="9"/>
  <c r="BZ233" i="9"/>
  <c r="BY233" i="9"/>
  <c r="BX233" i="9"/>
  <c r="BW233" i="9"/>
  <c r="BV233" i="9"/>
  <c r="BU233" i="9"/>
  <c r="BT233" i="9"/>
  <c r="BS233" i="9"/>
  <c r="BR233" i="9"/>
  <c r="BQ233" i="9"/>
  <c r="BP233" i="9"/>
  <c r="BO233" i="9"/>
  <c r="BN233" i="9"/>
  <c r="BM233" i="9"/>
  <c r="BL233" i="9"/>
  <c r="BK233" i="9"/>
  <c r="BJ233" i="9"/>
  <c r="BI233" i="9"/>
  <c r="BH233" i="9"/>
  <c r="BG233" i="9"/>
  <c r="CP232" i="9"/>
  <c r="CO232" i="9"/>
  <c r="CN232" i="9"/>
  <c r="CM232" i="9"/>
  <c r="CL232" i="9"/>
  <c r="CK232" i="9"/>
  <c r="CJ232" i="9"/>
  <c r="CI232" i="9"/>
  <c r="CH232" i="9"/>
  <c r="CG232" i="9"/>
  <c r="CF232" i="9"/>
  <c r="CE232" i="9"/>
  <c r="CD232" i="9"/>
  <c r="CC232" i="9"/>
  <c r="CB232" i="9"/>
  <c r="CA232" i="9"/>
  <c r="BZ232" i="9"/>
  <c r="BY232" i="9"/>
  <c r="BX232" i="9"/>
  <c r="BW232" i="9"/>
  <c r="BV232" i="9"/>
  <c r="BU232" i="9"/>
  <c r="BT232" i="9"/>
  <c r="BS232" i="9"/>
  <c r="BR232" i="9"/>
  <c r="BQ232" i="9"/>
  <c r="BP232" i="9"/>
  <c r="BO232" i="9"/>
  <c r="BN232" i="9"/>
  <c r="BM232" i="9"/>
  <c r="BL232" i="9"/>
  <c r="BK232" i="9"/>
  <c r="BJ232" i="9"/>
  <c r="BI232" i="9"/>
  <c r="BH232" i="9"/>
  <c r="BG232" i="9"/>
  <c r="BF232" i="9"/>
  <c r="CP231" i="9"/>
  <c r="CO231" i="9"/>
  <c r="CN231" i="9"/>
  <c r="CM231" i="9"/>
  <c r="CL231" i="9"/>
  <c r="CK231" i="9"/>
  <c r="CJ231" i="9"/>
  <c r="CI231" i="9"/>
  <c r="CH231" i="9"/>
  <c r="CG231" i="9"/>
  <c r="CF231" i="9"/>
  <c r="CE231" i="9"/>
  <c r="CD231" i="9"/>
  <c r="CC231" i="9"/>
  <c r="CB231" i="9"/>
  <c r="CA231" i="9"/>
  <c r="BZ231" i="9"/>
  <c r="BY231" i="9"/>
  <c r="BX231" i="9"/>
  <c r="BW231" i="9"/>
  <c r="BV231" i="9"/>
  <c r="BU231" i="9"/>
  <c r="BT231" i="9"/>
  <c r="BS231" i="9"/>
  <c r="BR231" i="9"/>
  <c r="BQ231" i="9"/>
  <c r="BP231" i="9"/>
  <c r="BO231" i="9"/>
  <c r="BN231" i="9"/>
  <c r="BM231" i="9"/>
  <c r="BL231" i="9"/>
  <c r="BK231" i="9"/>
  <c r="BJ231" i="9"/>
  <c r="BI231" i="9"/>
  <c r="BH231" i="9"/>
  <c r="BG231" i="9"/>
  <c r="BF231" i="9"/>
  <c r="BE231" i="9"/>
  <c r="CP230" i="9"/>
  <c r="CO230" i="9"/>
  <c r="CN230" i="9"/>
  <c r="CM230" i="9"/>
  <c r="CL230" i="9"/>
  <c r="CK230" i="9"/>
  <c r="CJ230" i="9"/>
  <c r="CI230" i="9"/>
  <c r="CH230" i="9"/>
  <c r="CG230" i="9"/>
  <c r="CF230" i="9"/>
  <c r="CE230" i="9"/>
  <c r="CD230" i="9"/>
  <c r="CC230" i="9"/>
  <c r="CB230" i="9"/>
  <c r="CA230" i="9"/>
  <c r="BZ230" i="9"/>
  <c r="BY230" i="9"/>
  <c r="BX230" i="9"/>
  <c r="BW230" i="9"/>
  <c r="BV230" i="9"/>
  <c r="BU230" i="9"/>
  <c r="BT230" i="9"/>
  <c r="BS230" i="9"/>
  <c r="BR230" i="9"/>
  <c r="BQ230" i="9"/>
  <c r="BP230" i="9"/>
  <c r="BO230" i="9"/>
  <c r="BN230" i="9"/>
  <c r="BM230" i="9"/>
  <c r="BL230" i="9"/>
  <c r="BK230" i="9"/>
  <c r="BJ230" i="9"/>
  <c r="BI230" i="9"/>
  <c r="BH230" i="9"/>
  <c r="BG230" i="9"/>
  <c r="BF230" i="9"/>
  <c r="BE230" i="9"/>
  <c r="BD230" i="9"/>
  <c r="CP229" i="9"/>
  <c r="CO229" i="9"/>
  <c r="CN229" i="9"/>
  <c r="CM229" i="9"/>
  <c r="CL229" i="9"/>
  <c r="CK229" i="9"/>
  <c r="CJ229" i="9"/>
  <c r="CI229" i="9"/>
  <c r="CH229" i="9"/>
  <c r="CG229" i="9"/>
  <c r="CF229" i="9"/>
  <c r="CE229" i="9"/>
  <c r="CD229" i="9"/>
  <c r="CC229" i="9"/>
  <c r="CB229" i="9"/>
  <c r="CA229" i="9"/>
  <c r="BZ229" i="9"/>
  <c r="BY229" i="9"/>
  <c r="BX229" i="9"/>
  <c r="BW229" i="9"/>
  <c r="BV229" i="9"/>
  <c r="BU229" i="9"/>
  <c r="BT229" i="9"/>
  <c r="BS229" i="9"/>
  <c r="BR229" i="9"/>
  <c r="BQ229" i="9"/>
  <c r="BP229" i="9"/>
  <c r="BO229" i="9"/>
  <c r="BN229" i="9"/>
  <c r="BM229" i="9"/>
  <c r="BL229" i="9"/>
  <c r="BK229" i="9"/>
  <c r="BJ229" i="9"/>
  <c r="BI229" i="9"/>
  <c r="BH229" i="9"/>
  <c r="BG229" i="9"/>
  <c r="BF229" i="9"/>
  <c r="BE229" i="9"/>
  <c r="BD229" i="9"/>
  <c r="BC229" i="9"/>
  <c r="CP218" i="9"/>
  <c r="CP217" i="9"/>
  <c r="CO217" i="9"/>
  <c r="CP216" i="9"/>
  <c r="CO216" i="9"/>
  <c r="CN216" i="9"/>
  <c r="CP215" i="9"/>
  <c r="CO215" i="9"/>
  <c r="CN215" i="9"/>
  <c r="CM215" i="9"/>
  <c r="CP214" i="9"/>
  <c r="CO214" i="9"/>
  <c r="CN214" i="9"/>
  <c r="CM214" i="9"/>
  <c r="CL214" i="9"/>
  <c r="CP213" i="9"/>
  <c r="CO213" i="9"/>
  <c r="CN213" i="9"/>
  <c r="CM213" i="9"/>
  <c r="CL213" i="9"/>
  <c r="CK213" i="9"/>
  <c r="CP212" i="9"/>
  <c r="CO212" i="9"/>
  <c r="CN212" i="9"/>
  <c r="CM212" i="9"/>
  <c r="CL212" i="9"/>
  <c r="CK212" i="9"/>
  <c r="CJ212" i="9"/>
  <c r="CP211" i="9"/>
  <c r="CO211" i="9"/>
  <c r="CN211" i="9"/>
  <c r="CM211" i="9"/>
  <c r="CL211" i="9"/>
  <c r="CK211" i="9"/>
  <c r="CJ211" i="9"/>
  <c r="CI211" i="9"/>
  <c r="CP210" i="9"/>
  <c r="CO210" i="9"/>
  <c r="CN210" i="9"/>
  <c r="CM210" i="9"/>
  <c r="CL210" i="9"/>
  <c r="CK210" i="9"/>
  <c r="CJ210" i="9"/>
  <c r="CI210" i="9"/>
  <c r="CH210" i="9"/>
  <c r="CP209" i="9"/>
  <c r="CO209" i="9"/>
  <c r="CN209" i="9"/>
  <c r="CM209" i="9"/>
  <c r="CL209" i="9"/>
  <c r="CK209" i="9"/>
  <c r="CJ209" i="9"/>
  <c r="CI209" i="9"/>
  <c r="CH209" i="9"/>
  <c r="CG209" i="9"/>
  <c r="CP208" i="9"/>
  <c r="CO208" i="9"/>
  <c r="CN208" i="9"/>
  <c r="CM208" i="9"/>
  <c r="CL208" i="9"/>
  <c r="CK208" i="9"/>
  <c r="CJ208" i="9"/>
  <c r="CI208" i="9"/>
  <c r="CH208" i="9"/>
  <c r="CG208" i="9"/>
  <c r="CF208" i="9"/>
  <c r="CP207" i="9"/>
  <c r="CO207" i="9"/>
  <c r="CN207" i="9"/>
  <c r="CM207" i="9"/>
  <c r="CL207" i="9"/>
  <c r="CK207" i="9"/>
  <c r="CJ207" i="9"/>
  <c r="CI207" i="9"/>
  <c r="CH207" i="9"/>
  <c r="CG207" i="9"/>
  <c r="CF207" i="9"/>
  <c r="CE207" i="9"/>
  <c r="CP206" i="9"/>
  <c r="CO206" i="9"/>
  <c r="CN206" i="9"/>
  <c r="CM206" i="9"/>
  <c r="CL206" i="9"/>
  <c r="CK206" i="9"/>
  <c r="CJ206" i="9"/>
  <c r="CI206" i="9"/>
  <c r="CH206" i="9"/>
  <c r="CG206" i="9"/>
  <c r="CF206" i="9"/>
  <c r="CE206" i="9"/>
  <c r="CD206" i="9"/>
  <c r="CP205" i="9"/>
  <c r="CO205" i="9"/>
  <c r="CN205" i="9"/>
  <c r="CM205" i="9"/>
  <c r="CL205" i="9"/>
  <c r="CK205" i="9"/>
  <c r="CJ205" i="9"/>
  <c r="CI205" i="9"/>
  <c r="CH205" i="9"/>
  <c r="CG205" i="9"/>
  <c r="CF205" i="9"/>
  <c r="CE205" i="9"/>
  <c r="CD205" i="9"/>
  <c r="CC205" i="9"/>
  <c r="CP204" i="9"/>
  <c r="CO204" i="9"/>
  <c r="CN204" i="9"/>
  <c r="CM204" i="9"/>
  <c r="CL204" i="9"/>
  <c r="CK204" i="9"/>
  <c r="CJ204" i="9"/>
  <c r="CI204" i="9"/>
  <c r="CH204" i="9"/>
  <c r="CG204" i="9"/>
  <c r="CF204" i="9"/>
  <c r="CE204" i="9"/>
  <c r="CD204" i="9"/>
  <c r="CC204" i="9"/>
  <c r="CB204" i="9"/>
  <c r="CP203" i="9"/>
  <c r="CO203" i="9"/>
  <c r="CN203" i="9"/>
  <c r="CM203" i="9"/>
  <c r="CL203" i="9"/>
  <c r="CK203" i="9"/>
  <c r="CJ203" i="9"/>
  <c r="CI203" i="9"/>
  <c r="CH203" i="9"/>
  <c r="CG203" i="9"/>
  <c r="CF203" i="9"/>
  <c r="CE203" i="9"/>
  <c r="CD203" i="9"/>
  <c r="CC203" i="9"/>
  <c r="CB203" i="9"/>
  <c r="CA203" i="9"/>
  <c r="CP202" i="9"/>
  <c r="CO202" i="9"/>
  <c r="CN202" i="9"/>
  <c r="CM202" i="9"/>
  <c r="CL202" i="9"/>
  <c r="CK202" i="9"/>
  <c r="CJ202" i="9"/>
  <c r="CI202" i="9"/>
  <c r="CH202" i="9"/>
  <c r="CG202" i="9"/>
  <c r="CF202" i="9"/>
  <c r="CE202" i="9"/>
  <c r="CD202" i="9"/>
  <c r="CC202" i="9"/>
  <c r="CB202" i="9"/>
  <c r="CA202" i="9"/>
  <c r="BZ202" i="9"/>
  <c r="CP201" i="9"/>
  <c r="CO201" i="9"/>
  <c r="CN201" i="9"/>
  <c r="CM201" i="9"/>
  <c r="CL201" i="9"/>
  <c r="CK201" i="9"/>
  <c r="CJ201" i="9"/>
  <c r="CI201" i="9"/>
  <c r="CH201" i="9"/>
  <c r="CG201" i="9"/>
  <c r="CF201" i="9"/>
  <c r="CE201" i="9"/>
  <c r="CD201" i="9"/>
  <c r="CC201" i="9"/>
  <c r="CB201" i="9"/>
  <c r="CA201" i="9"/>
  <c r="BZ201" i="9"/>
  <c r="BY201" i="9"/>
  <c r="CP200" i="9"/>
  <c r="CO200" i="9"/>
  <c r="CN200" i="9"/>
  <c r="CM200" i="9"/>
  <c r="CL200" i="9"/>
  <c r="CK200" i="9"/>
  <c r="CJ200" i="9"/>
  <c r="CI200" i="9"/>
  <c r="CH200" i="9"/>
  <c r="CG200" i="9"/>
  <c r="CF200" i="9"/>
  <c r="CE200" i="9"/>
  <c r="CD200" i="9"/>
  <c r="CC200" i="9"/>
  <c r="CB200" i="9"/>
  <c r="CA200" i="9"/>
  <c r="BZ200" i="9"/>
  <c r="BY200" i="9"/>
  <c r="BX200" i="9"/>
  <c r="CP199" i="9"/>
  <c r="CO199" i="9"/>
  <c r="CN199" i="9"/>
  <c r="CM199" i="9"/>
  <c r="CL199" i="9"/>
  <c r="CK199" i="9"/>
  <c r="CJ199" i="9"/>
  <c r="CI199" i="9"/>
  <c r="CH199" i="9"/>
  <c r="CG199" i="9"/>
  <c r="CF199" i="9"/>
  <c r="CE199" i="9"/>
  <c r="CD199" i="9"/>
  <c r="CC199" i="9"/>
  <c r="CB199" i="9"/>
  <c r="CA199" i="9"/>
  <c r="BZ199" i="9"/>
  <c r="BY199" i="9"/>
  <c r="BX199" i="9"/>
  <c r="BW199" i="9"/>
  <c r="CP198" i="9"/>
  <c r="CO198" i="9"/>
  <c r="CN198" i="9"/>
  <c r="CM198" i="9"/>
  <c r="CL198" i="9"/>
  <c r="CK198" i="9"/>
  <c r="CJ198" i="9"/>
  <c r="CI198" i="9"/>
  <c r="CH198" i="9"/>
  <c r="CG198" i="9"/>
  <c r="CF198" i="9"/>
  <c r="CE198" i="9"/>
  <c r="CD198" i="9"/>
  <c r="CC198" i="9"/>
  <c r="CB198" i="9"/>
  <c r="CA198" i="9"/>
  <c r="BZ198" i="9"/>
  <c r="BY198" i="9"/>
  <c r="BX198" i="9"/>
  <c r="BW198" i="9"/>
  <c r="BV198" i="9"/>
  <c r="CP197" i="9"/>
  <c r="CO197" i="9"/>
  <c r="CN197" i="9"/>
  <c r="CM197" i="9"/>
  <c r="CL197" i="9"/>
  <c r="CK197" i="9"/>
  <c r="CJ197" i="9"/>
  <c r="CI197" i="9"/>
  <c r="CH197" i="9"/>
  <c r="CG197" i="9"/>
  <c r="CF197" i="9"/>
  <c r="CE197" i="9"/>
  <c r="CD197" i="9"/>
  <c r="CC197" i="9"/>
  <c r="CB197" i="9"/>
  <c r="CA197" i="9"/>
  <c r="BZ197" i="9"/>
  <c r="BY197" i="9"/>
  <c r="BX197" i="9"/>
  <c r="BW197" i="9"/>
  <c r="BV197" i="9"/>
  <c r="BU197" i="9"/>
  <c r="CP196" i="9"/>
  <c r="CO196" i="9"/>
  <c r="CN196" i="9"/>
  <c r="CM196" i="9"/>
  <c r="CL196" i="9"/>
  <c r="CK196" i="9"/>
  <c r="CJ196" i="9"/>
  <c r="CI196" i="9"/>
  <c r="CH196" i="9"/>
  <c r="CG196" i="9"/>
  <c r="CF196" i="9"/>
  <c r="CE196" i="9"/>
  <c r="CD196" i="9"/>
  <c r="CC196" i="9"/>
  <c r="CB196" i="9"/>
  <c r="CA196" i="9"/>
  <c r="BZ196" i="9"/>
  <c r="BY196" i="9"/>
  <c r="BX196" i="9"/>
  <c r="BW196" i="9"/>
  <c r="BV196" i="9"/>
  <c r="BU196" i="9"/>
  <c r="BT196" i="9"/>
  <c r="CP195" i="9"/>
  <c r="CO195" i="9"/>
  <c r="CN195" i="9"/>
  <c r="CM195" i="9"/>
  <c r="CL195" i="9"/>
  <c r="CK195" i="9"/>
  <c r="CJ195" i="9"/>
  <c r="CI195" i="9"/>
  <c r="CH195" i="9"/>
  <c r="CG195" i="9"/>
  <c r="CF195" i="9"/>
  <c r="CE195" i="9"/>
  <c r="CD195" i="9"/>
  <c r="CC195" i="9"/>
  <c r="CB195" i="9"/>
  <c r="CA195" i="9"/>
  <c r="BZ195" i="9"/>
  <c r="BY195" i="9"/>
  <c r="BX195" i="9"/>
  <c r="BW195" i="9"/>
  <c r="BV195" i="9"/>
  <c r="BU195" i="9"/>
  <c r="BT195" i="9"/>
  <c r="BS195" i="9"/>
  <c r="CP194" i="9"/>
  <c r="CO194" i="9"/>
  <c r="CN194" i="9"/>
  <c r="CM194" i="9"/>
  <c r="CL194" i="9"/>
  <c r="CK194" i="9"/>
  <c r="CJ194" i="9"/>
  <c r="CI194" i="9"/>
  <c r="CH194" i="9"/>
  <c r="CG194" i="9"/>
  <c r="CF194" i="9"/>
  <c r="CE194" i="9"/>
  <c r="CD194" i="9"/>
  <c r="CC194" i="9"/>
  <c r="CB194" i="9"/>
  <c r="CA194" i="9"/>
  <c r="BZ194" i="9"/>
  <c r="BY194" i="9"/>
  <c r="BX194" i="9"/>
  <c r="BW194" i="9"/>
  <c r="BV194" i="9"/>
  <c r="BU194" i="9"/>
  <c r="BT194" i="9"/>
  <c r="BS194" i="9"/>
  <c r="BR194" i="9"/>
  <c r="CP193" i="9"/>
  <c r="CO193" i="9"/>
  <c r="CN193" i="9"/>
  <c r="CM193" i="9"/>
  <c r="CL193" i="9"/>
  <c r="CK193" i="9"/>
  <c r="CJ193" i="9"/>
  <c r="CI193" i="9"/>
  <c r="CH193" i="9"/>
  <c r="CG193" i="9"/>
  <c r="CF193" i="9"/>
  <c r="CE193" i="9"/>
  <c r="CD193" i="9"/>
  <c r="CC193" i="9"/>
  <c r="CB193" i="9"/>
  <c r="CA193" i="9"/>
  <c r="BZ193" i="9"/>
  <c r="BY193" i="9"/>
  <c r="BX193" i="9"/>
  <c r="BW193" i="9"/>
  <c r="BV193" i="9"/>
  <c r="BU193" i="9"/>
  <c r="BT193" i="9"/>
  <c r="BS193" i="9"/>
  <c r="BR193" i="9"/>
  <c r="BQ193" i="9"/>
  <c r="CP192" i="9"/>
  <c r="CO192" i="9"/>
  <c r="CN192" i="9"/>
  <c r="CM192" i="9"/>
  <c r="CL192" i="9"/>
  <c r="CK192" i="9"/>
  <c r="CJ192" i="9"/>
  <c r="CI192" i="9"/>
  <c r="CH192" i="9"/>
  <c r="CG192" i="9"/>
  <c r="CF192" i="9"/>
  <c r="CE192" i="9"/>
  <c r="CD192" i="9"/>
  <c r="CC192" i="9"/>
  <c r="CB192" i="9"/>
  <c r="CA192" i="9"/>
  <c r="BZ192" i="9"/>
  <c r="BY192" i="9"/>
  <c r="BX192" i="9"/>
  <c r="BW192" i="9"/>
  <c r="BV192" i="9"/>
  <c r="BU192" i="9"/>
  <c r="BT192" i="9"/>
  <c r="BS192" i="9"/>
  <c r="BR192" i="9"/>
  <c r="BQ192" i="9"/>
  <c r="BP192" i="9"/>
  <c r="CP191" i="9"/>
  <c r="CO191" i="9"/>
  <c r="CN191" i="9"/>
  <c r="CM191" i="9"/>
  <c r="CL191" i="9"/>
  <c r="CK191" i="9"/>
  <c r="CJ191" i="9"/>
  <c r="CI191" i="9"/>
  <c r="CH191" i="9"/>
  <c r="CG191" i="9"/>
  <c r="CF191" i="9"/>
  <c r="CE191" i="9"/>
  <c r="CD191" i="9"/>
  <c r="CC191" i="9"/>
  <c r="CB191" i="9"/>
  <c r="CA191" i="9"/>
  <c r="BZ191" i="9"/>
  <c r="BY191" i="9"/>
  <c r="BX191" i="9"/>
  <c r="BW191" i="9"/>
  <c r="BV191" i="9"/>
  <c r="BU191" i="9"/>
  <c r="BT191" i="9"/>
  <c r="BS191" i="9"/>
  <c r="BR191" i="9"/>
  <c r="BQ191" i="9"/>
  <c r="BP191" i="9"/>
  <c r="BO191" i="9"/>
  <c r="CP190" i="9"/>
  <c r="CO190" i="9"/>
  <c r="CN190" i="9"/>
  <c r="CM190" i="9"/>
  <c r="CL190" i="9"/>
  <c r="CK190" i="9"/>
  <c r="CJ190" i="9"/>
  <c r="CI190" i="9"/>
  <c r="CH190" i="9"/>
  <c r="CG190" i="9"/>
  <c r="CF190" i="9"/>
  <c r="CE190" i="9"/>
  <c r="CD190" i="9"/>
  <c r="CC190" i="9"/>
  <c r="CB190" i="9"/>
  <c r="CA190" i="9"/>
  <c r="BZ190" i="9"/>
  <c r="BY190" i="9"/>
  <c r="BX190" i="9"/>
  <c r="BW190" i="9"/>
  <c r="BV190" i="9"/>
  <c r="BU190" i="9"/>
  <c r="BT190" i="9"/>
  <c r="BS190" i="9"/>
  <c r="BR190" i="9"/>
  <c r="BQ190" i="9"/>
  <c r="BP190" i="9"/>
  <c r="BO190" i="9"/>
  <c r="BN190" i="9"/>
  <c r="CP189" i="9"/>
  <c r="CO189" i="9"/>
  <c r="CN189" i="9"/>
  <c r="CM189" i="9"/>
  <c r="CL189" i="9"/>
  <c r="CK189" i="9"/>
  <c r="CJ189" i="9"/>
  <c r="CI189" i="9"/>
  <c r="CH189" i="9"/>
  <c r="CG189" i="9"/>
  <c r="CF189" i="9"/>
  <c r="CE189" i="9"/>
  <c r="CD189" i="9"/>
  <c r="CC189" i="9"/>
  <c r="CB189" i="9"/>
  <c r="CA189" i="9"/>
  <c r="BZ189" i="9"/>
  <c r="BY189" i="9"/>
  <c r="BX189" i="9"/>
  <c r="BW189" i="9"/>
  <c r="BV189" i="9"/>
  <c r="BU189" i="9"/>
  <c r="BT189" i="9"/>
  <c r="BS189" i="9"/>
  <c r="BR189" i="9"/>
  <c r="BQ189" i="9"/>
  <c r="BP189" i="9"/>
  <c r="BO189" i="9"/>
  <c r="BN189" i="9"/>
  <c r="BM189" i="9"/>
  <c r="CP188" i="9"/>
  <c r="CO188" i="9"/>
  <c r="CN188" i="9"/>
  <c r="CM188" i="9"/>
  <c r="CL188" i="9"/>
  <c r="CK188" i="9"/>
  <c r="CJ188" i="9"/>
  <c r="CI188" i="9"/>
  <c r="CH188" i="9"/>
  <c r="CG188" i="9"/>
  <c r="CF188" i="9"/>
  <c r="CE188" i="9"/>
  <c r="CD188" i="9"/>
  <c r="CC188" i="9"/>
  <c r="CB188" i="9"/>
  <c r="CA188" i="9"/>
  <c r="BZ188" i="9"/>
  <c r="BY188" i="9"/>
  <c r="BX188" i="9"/>
  <c r="BW188" i="9"/>
  <c r="BV188" i="9"/>
  <c r="BU188" i="9"/>
  <c r="BT188" i="9"/>
  <c r="BS188" i="9"/>
  <c r="BR188" i="9"/>
  <c r="BQ188" i="9"/>
  <c r="BP188" i="9"/>
  <c r="BO188" i="9"/>
  <c r="BN188" i="9"/>
  <c r="BM188" i="9"/>
  <c r="BL188" i="9"/>
  <c r="CP187" i="9"/>
  <c r="CO187" i="9"/>
  <c r="CN187" i="9"/>
  <c r="CM187" i="9"/>
  <c r="CL187" i="9"/>
  <c r="CK187" i="9"/>
  <c r="CJ187" i="9"/>
  <c r="CI187" i="9"/>
  <c r="CH187" i="9"/>
  <c r="CG187" i="9"/>
  <c r="CF187" i="9"/>
  <c r="CE187" i="9"/>
  <c r="CD187" i="9"/>
  <c r="CC187" i="9"/>
  <c r="CB187" i="9"/>
  <c r="CA187" i="9"/>
  <c r="BZ187" i="9"/>
  <c r="BY187" i="9"/>
  <c r="BX187" i="9"/>
  <c r="BW187" i="9"/>
  <c r="BV187" i="9"/>
  <c r="BU187" i="9"/>
  <c r="BT187" i="9"/>
  <c r="BS187" i="9"/>
  <c r="BR187" i="9"/>
  <c r="BQ187" i="9"/>
  <c r="BP187" i="9"/>
  <c r="BO187" i="9"/>
  <c r="BN187" i="9"/>
  <c r="BM187" i="9"/>
  <c r="BL187" i="9"/>
  <c r="BK187" i="9"/>
  <c r="CP186" i="9"/>
  <c r="CO186" i="9"/>
  <c r="CN186" i="9"/>
  <c r="CM186" i="9"/>
  <c r="CL186" i="9"/>
  <c r="CK186" i="9"/>
  <c r="CJ186" i="9"/>
  <c r="CI186" i="9"/>
  <c r="CH186" i="9"/>
  <c r="CG186" i="9"/>
  <c r="CF186" i="9"/>
  <c r="CE186" i="9"/>
  <c r="CD186" i="9"/>
  <c r="CC186" i="9"/>
  <c r="CB186" i="9"/>
  <c r="CA186" i="9"/>
  <c r="BZ186" i="9"/>
  <c r="BY186" i="9"/>
  <c r="BX186" i="9"/>
  <c r="BW186" i="9"/>
  <c r="BV186" i="9"/>
  <c r="BU186" i="9"/>
  <c r="BT186" i="9"/>
  <c r="BS186" i="9"/>
  <c r="BR186" i="9"/>
  <c r="BQ186" i="9"/>
  <c r="BP186" i="9"/>
  <c r="BO186" i="9"/>
  <c r="BN186" i="9"/>
  <c r="BM186" i="9"/>
  <c r="BL186" i="9"/>
  <c r="BK186" i="9"/>
  <c r="BJ186" i="9"/>
  <c r="CP185" i="9"/>
  <c r="CO185" i="9"/>
  <c r="CN185" i="9"/>
  <c r="CM185" i="9"/>
  <c r="CL185" i="9"/>
  <c r="CK185" i="9"/>
  <c r="CJ185" i="9"/>
  <c r="CI185" i="9"/>
  <c r="CH185" i="9"/>
  <c r="CG185" i="9"/>
  <c r="CF185" i="9"/>
  <c r="CE185" i="9"/>
  <c r="CD185" i="9"/>
  <c r="CC185" i="9"/>
  <c r="CB185" i="9"/>
  <c r="CA185" i="9"/>
  <c r="BZ185" i="9"/>
  <c r="BY185" i="9"/>
  <c r="BX185" i="9"/>
  <c r="BW185" i="9"/>
  <c r="BV185" i="9"/>
  <c r="BU185" i="9"/>
  <c r="BT185" i="9"/>
  <c r="BS185" i="9"/>
  <c r="BR185" i="9"/>
  <c r="BQ185" i="9"/>
  <c r="BP185" i="9"/>
  <c r="BO185" i="9"/>
  <c r="BN185" i="9"/>
  <c r="BM185" i="9"/>
  <c r="BL185" i="9"/>
  <c r="BK185" i="9"/>
  <c r="BJ185" i="9"/>
  <c r="BI185" i="9"/>
  <c r="CP184" i="9"/>
  <c r="CO184" i="9"/>
  <c r="CN184" i="9"/>
  <c r="CM184" i="9"/>
  <c r="CL184" i="9"/>
  <c r="CK184" i="9"/>
  <c r="CJ184" i="9"/>
  <c r="CI184" i="9"/>
  <c r="CH184" i="9"/>
  <c r="CG184" i="9"/>
  <c r="CF184" i="9"/>
  <c r="CE184" i="9"/>
  <c r="CD184" i="9"/>
  <c r="CC184" i="9"/>
  <c r="CB184" i="9"/>
  <c r="CA184" i="9"/>
  <c r="BZ184" i="9"/>
  <c r="BY184" i="9"/>
  <c r="BX184" i="9"/>
  <c r="BW184" i="9"/>
  <c r="BV184" i="9"/>
  <c r="BU184" i="9"/>
  <c r="BT184" i="9"/>
  <c r="BS184" i="9"/>
  <c r="BR184" i="9"/>
  <c r="BQ184" i="9"/>
  <c r="BP184" i="9"/>
  <c r="BO184" i="9"/>
  <c r="BN184" i="9"/>
  <c r="BM184" i="9"/>
  <c r="BL184" i="9"/>
  <c r="BK184" i="9"/>
  <c r="BJ184" i="9"/>
  <c r="BI184" i="9"/>
  <c r="BH184" i="9"/>
  <c r="CP183" i="9"/>
  <c r="CO183" i="9"/>
  <c r="CN183" i="9"/>
  <c r="CM183" i="9"/>
  <c r="CL183" i="9"/>
  <c r="CK183" i="9"/>
  <c r="CJ183" i="9"/>
  <c r="CI183" i="9"/>
  <c r="CH183" i="9"/>
  <c r="CG183" i="9"/>
  <c r="CF183" i="9"/>
  <c r="CE183" i="9"/>
  <c r="CD183" i="9"/>
  <c r="CC183" i="9"/>
  <c r="CB183" i="9"/>
  <c r="CA183" i="9"/>
  <c r="BZ183" i="9"/>
  <c r="BY183" i="9"/>
  <c r="BX183" i="9"/>
  <c r="BW183" i="9"/>
  <c r="BV183" i="9"/>
  <c r="BU183" i="9"/>
  <c r="BT183" i="9"/>
  <c r="BS183" i="9"/>
  <c r="BR183" i="9"/>
  <c r="BQ183" i="9"/>
  <c r="BP183" i="9"/>
  <c r="BO183" i="9"/>
  <c r="BN183" i="9"/>
  <c r="BM183" i="9"/>
  <c r="BL183" i="9"/>
  <c r="BK183" i="9"/>
  <c r="BJ183" i="9"/>
  <c r="BI183" i="9"/>
  <c r="BH183" i="9"/>
  <c r="BG183" i="9"/>
  <c r="CP182" i="9"/>
  <c r="CO182" i="9"/>
  <c r="CN182" i="9"/>
  <c r="CM182" i="9"/>
  <c r="CL182" i="9"/>
  <c r="CK182" i="9"/>
  <c r="CJ182" i="9"/>
  <c r="CI182" i="9"/>
  <c r="CH182" i="9"/>
  <c r="CG182" i="9"/>
  <c r="CF182" i="9"/>
  <c r="CE182" i="9"/>
  <c r="CD182" i="9"/>
  <c r="CC182" i="9"/>
  <c r="CB182" i="9"/>
  <c r="CA182" i="9"/>
  <c r="BZ182" i="9"/>
  <c r="BY182" i="9"/>
  <c r="BX182" i="9"/>
  <c r="BW182" i="9"/>
  <c r="BV182" i="9"/>
  <c r="BU182" i="9"/>
  <c r="BT182" i="9"/>
  <c r="BS182" i="9"/>
  <c r="BR182" i="9"/>
  <c r="BQ182" i="9"/>
  <c r="BP182" i="9"/>
  <c r="BO182" i="9"/>
  <c r="BN182" i="9"/>
  <c r="BM182" i="9"/>
  <c r="BL182" i="9"/>
  <c r="BK182" i="9"/>
  <c r="BJ182" i="9"/>
  <c r="BI182" i="9"/>
  <c r="BH182" i="9"/>
  <c r="BG182" i="9"/>
  <c r="BF182" i="9"/>
  <c r="CP181" i="9"/>
  <c r="CO181" i="9"/>
  <c r="CN181" i="9"/>
  <c r="CM181" i="9"/>
  <c r="CL181" i="9"/>
  <c r="CK181" i="9"/>
  <c r="CJ181" i="9"/>
  <c r="CI181" i="9"/>
  <c r="CH181" i="9"/>
  <c r="CG181" i="9"/>
  <c r="CF181" i="9"/>
  <c r="CE181" i="9"/>
  <c r="CD181" i="9"/>
  <c r="CC181" i="9"/>
  <c r="CB181" i="9"/>
  <c r="CA181" i="9"/>
  <c r="BZ181" i="9"/>
  <c r="BY181" i="9"/>
  <c r="BX181" i="9"/>
  <c r="BW181" i="9"/>
  <c r="BV181" i="9"/>
  <c r="BU181" i="9"/>
  <c r="BT181" i="9"/>
  <c r="BS181" i="9"/>
  <c r="BR181" i="9"/>
  <c r="BQ181" i="9"/>
  <c r="BP181" i="9"/>
  <c r="BO181" i="9"/>
  <c r="BN181" i="9"/>
  <c r="BM181" i="9"/>
  <c r="BL181" i="9"/>
  <c r="BK181" i="9"/>
  <c r="BJ181" i="9"/>
  <c r="BI181" i="9"/>
  <c r="BH181" i="9"/>
  <c r="BG181" i="9"/>
  <c r="BF181" i="9"/>
  <c r="BE181" i="9"/>
  <c r="CP180" i="9"/>
  <c r="CO180" i="9"/>
  <c r="CN180" i="9"/>
  <c r="CM180" i="9"/>
  <c r="CL180" i="9"/>
  <c r="CK180" i="9"/>
  <c r="CJ180" i="9"/>
  <c r="CI180" i="9"/>
  <c r="CH180" i="9"/>
  <c r="CG180" i="9"/>
  <c r="CF180" i="9"/>
  <c r="CE180" i="9"/>
  <c r="CD180" i="9"/>
  <c r="CC180" i="9"/>
  <c r="CB180" i="9"/>
  <c r="CA180" i="9"/>
  <c r="BZ180" i="9"/>
  <c r="BY180" i="9"/>
  <c r="BX180" i="9"/>
  <c r="BW180" i="9"/>
  <c r="BV180" i="9"/>
  <c r="BU180" i="9"/>
  <c r="BT180" i="9"/>
  <c r="BS180" i="9"/>
  <c r="BR180" i="9"/>
  <c r="BQ180" i="9"/>
  <c r="BP180" i="9"/>
  <c r="BO180" i="9"/>
  <c r="BN180" i="9"/>
  <c r="BM180" i="9"/>
  <c r="BL180" i="9"/>
  <c r="BK180" i="9"/>
  <c r="BJ180" i="9"/>
  <c r="BI180" i="9"/>
  <c r="BH180" i="9"/>
  <c r="BG180" i="9"/>
  <c r="BF180" i="9"/>
  <c r="BE180" i="9"/>
  <c r="BD180" i="9"/>
  <c r="CP179" i="9"/>
  <c r="CO179" i="9"/>
  <c r="CN179" i="9"/>
  <c r="CM179" i="9"/>
  <c r="CL179" i="9"/>
  <c r="CK179" i="9"/>
  <c r="CJ179" i="9"/>
  <c r="CI179" i="9"/>
  <c r="CH179" i="9"/>
  <c r="CG179" i="9"/>
  <c r="CF179" i="9"/>
  <c r="CE179" i="9"/>
  <c r="CD179" i="9"/>
  <c r="CC179" i="9"/>
  <c r="CB179" i="9"/>
  <c r="CA179" i="9"/>
  <c r="BZ179" i="9"/>
  <c r="BY179" i="9"/>
  <c r="BX179" i="9"/>
  <c r="BW179" i="9"/>
  <c r="BV179" i="9"/>
  <c r="BU179" i="9"/>
  <c r="BT179" i="9"/>
  <c r="BS179" i="9"/>
  <c r="BR179" i="9"/>
  <c r="BQ179" i="9"/>
  <c r="BP179" i="9"/>
  <c r="BO179" i="9"/>
  <c r="BN179" i="9"/>
  <c r="BM179" i="9"/>
  <c r="BL179" i="9"/>
  <c r="BK179" i="9"/>
  <c r="BJ179" i="9"/>
  <c r="BI179" i="9"/>
  <c r="BH179" i="9"/>
  <c r="BG179" i="9"/>
  <c r="BF179" i="9"/>
  <c r="BE179" i="9"/>
  <c r="BD179" i="9"/>
  <c r="BC179" i="9"/>
  <c r="CR270" i="9"/>
  <c r="CR220" i="9"/>
  <c r="CR170" i="9" l="1"/>
  <c r="CP168" i="9"/>
  <c r="CP167" i="9"/>
  <c r="CO167" i="9"/>
  <c r="CP166" i="9"/>
  <c r="CO166" i="9"/>
  <c r="CN166" i="9"/>
  <c r="CP165" i="9"/>
  <c r="CO165" i="9"/>
  <c r="CN165" i="9"/>
  <c r="CM165" i="9"/>
  <c r="CP164" i="9"/>
  <c r="CO164" i="9"/>
  <c r="CN164" i="9"/>
  <c r="CM164" i="9"/>
  <c r="CL164" i="9"/>
  <c r="CP163" i="9"/>
  <c r="CO163" i="9"/>
  <c r="CN163" i="9"/>
  <c r="CM163" i="9"/>
  <c r="CL163" i="9"/>
  <c r="CK163" i="9"/>
  <c r="CP162" i="9"/>
  <c r="CO162" i="9"/>
  <c r="CN162" i="9"/>
  <c r="CM162" i="9"/>
  <c r="CL162" i="9"/>
  <c r="CK162" i="9"/>
  <c r="CJ162" i="9"/>
  <c r="CP161" i="9"/>
  <c r="CO161" i="9"/>
  <c r="CN161" i="9"/>
  <c r="CM161" i="9"/>
  <c r="CL161" i="9"/>
  <c r="CK161" i="9"/>
  <c r="CJ161" i="9"/>
  <c r="CI161" i="9"/>
  <c r="CP160" i="9"/>
  <c r="CO160" i="9"/>
  <c r="CN160" i="9"/>
  <c r="CM160" i="9"/>
  <c r="CL160" i="9"/>
  <c r="CK160" i="9"/>
  <c r="CJ160" i="9"/>
  <c r="CI160" i="9"/>
  <c r="CH160" i="9"/>
  <c r="CP159" i="9"/>
  <c r="CO159" i="9"/>
  <c r="CN159" i="9"/>
  <c r="CM159" i="9"/>
  <c r="CL159" i="9"/>
  <c r="CK159" i="9"/>
  <c r="CJ159" i="9"/>
  <c r="CI159" i="9"/>
  <c r="CH159" i="9"/>
  <c r="CG159" i="9"/>
  <c r="CP158" i="9"/>
  <c r="CO158" i="9"/>
  <c r="CN158" i="9"/>
  <c r="CM158" i="9"/>
  <c r="CL158" i="9"/>
  <c r="CK158" i="9"/>
  <c r="CJ158" i="9"/>
  <c r="CI158" i="9"/>
  <c r="CH158" i="9"/>
  <c r="CG158" i="9"/>
  <c r="CF158" i="9"/>
  <c r="CP157" i="9"/>
  <c r="CO157" i="9"/>
  <c r="CN157" i="9"/>
  <c r="CM157" i="9"/>
  <c r="CL157" i="9"/>
  <c r="CK157" i="9"/>
  <c r="CJ157" i="9"/>
  <c r="CI157" i="9"/>
  <c r="CH157" i="9"/>
  <c r="CG157" i="9"/>
  <c r="CF157" i="9"/>
  <c r="CE157" i="9"/>
  <c r="CP156" i="9"/>
  <c r="CO156" i="9"/>
  <c r="CN156" i="9"/>
  <c r="CM156" i="9"/>
  <c r="CL156" i="9"/>
  <c r="CK156" i="9"/>
  <c r="CJ156" i="9"/>
  <c r="CI156" i="9"/>
  <c r="CH156" i="9"/>
  <c r="CG156" i="9"/>
  <c r="CF156" i="9"/>
  <c r="CE156" i="9"/>
  <c r="CD156" i="9"/>
  <c r="CP155" i="9"/>
  <c r="CO155" i="9"/>
  <c r="CN155" i="9"/>
  <c r="CM155" i="9"/>
  <c r="CL155" i="9"/>
  <c r="CK155" i="9"/>
  <c r="CJ155" i="9"/>
  <c r="CI155" i="9"/>
  <c r="CH155" i="9"/>
  <c r="CG155" i="9"/>
  <c r="CF155" i="9"/>
  <c r="CE155" i="9"/>
  <c r="CD155" i="9"/>
  <c r="CC155" i="9"/>
  <c r="CP154" i="9"/>
  <c r="CO154" i="9"/>
  <c r="CN154" i="9"/>
  <c r="CM154" i="9"/>
  <c r="CL154" i="9"/>
  <c r="CK154" i="9"/>
  <c r="CJ154" i="9"/>
  <c r="CI154" i="9"/>
  <c r="CH154" i="9"/>
  <c r="CG154" i="9"/>
  <c r="CF154" i="9"/>
  <c r="CE154" i="9"/>
  <c r="CD154" i="9"/>
  <c r="CC154" i="9"/>
  <c r="CB154" i="9"/>
  <c r="CP153" i="9"/>
  <c r="CO153" i="9"/>
  <c r="CN153" i="9"/>
  <c r="CM153" i="9"/>
  <c r="CL153" i="9"/>
  <c r="CK153" i="9"/>
  <c r="CJ153" i="9"/>
  <c r="CI153" i="9"/>
  <c r="CH153" i="9"/>
  <c r="CG153" i="9"/>
  <c r="CF153" i="9"/>
  <c r="CE153" i="9"/>
  <c r="CD153" i="9"/>
  <c r="CC153" i="9"/>
  <c r="CB153" i="9"/>
  <c r="CA153" i="9"/>
  <c r="CP152" i="9"/>
  <c r="CO152" i="9"/>
  <c r="CN152" i="9"/>
  <c r="CM152" i="9"/>
  <c r="CL152" i="9"/>
  <c r="CK152" i="9"/>
  <c r="CJ152" i="9"/>
  <c r="CI152" i="9"/>
  <c r="CH152" i="9"/>
  <c r="CG152" i="9"/>
  <c r="CF152" i="9"/>
  <c r="CE152" i="9"/>
  <c r="CD152" i="9"/>
  <c r="CC152" i="9"/>
  <c r="CB152" i="9"/>
  <c r="CA152" i="9"/>
  <c r="BZ152" i="9"/>
  <c r="CP151" i="9"/>
  <c r="CO151" i="9"/>
  <c r="CN151" i="9"/>
  <c r="CM151" i="9"/>
  <c r="CL151" i="9"/>
  <c r="CK151" i="9"/>
  <c r="CJ151" i="9"/>
  <c r="CI151" i="9"/>
  <c r="CH151" i="9"/>
  <c r="CG151" i="9"/>
  <c r="CF151" i="9"/>
  <c r="CE151" i="9"/>
  <c r="CD151" i="9"/>
  <c r="CC151" i="9"/>
  <c r="CB151" i="9"/>
  <c r="CA151" i="9"/>
  <c r="BZ151" i="9"/>
  <c r="BY151" i="9"/>
  <c r="CP150" i="9"/>
  <c r="CO150" i="9"/>
  <c r="CN150" i="9"/>
  <c r="CM150" i="9"/>
  <c r="CL150" i="9"/>
  <c r="CK150" i="9"/>
  <c r="CJ150" i="9"/>
  <c r="CI150" i="9"/>
  <c r="CH150" i="9"/>
  <c r="CG150" i="9"/>
  <c r="CF150" i="9"/>
  <c r="CE150" i="9"/>
  <c r="CD150" i="9"/>
  <c r="CC150" i="9"/>
  <c r="CB150" i="9"/>
  <c r="CA150" i="9"/>
  <c r="BZ150" i="9"/>
  <c r="BY150" i="9"/>
  <c r="BX150" i="9"/>
  <c r="CP149" i="9"/>
  <c r="CO149" i="9"/>
  <c r="CN149" i="9"/>
  <c r="CM149" i="9"/>
  <c r="CL149" i="9"/>
  <c r="CK149" i="9"/>
  <c r="CJ149" i="9"/>
  <c r="CI149" i="9"/>
  <c r="CH149" i="9"/>
  <c r="CG149" i="9"/>
  <c r="CF149" i="9"/>
  <c r="CE149" i="9"/>
  <c r="CD149" i="9"/>
  <c r="CC149" i="9"/>
  <c r="CB149" i="9"/>
  <c r="CA149" i="9"/>
  <c r="BZ149" i="9"/>
  <c r="BY149" i="9"/>
  <c r="BX149" i="9"/>
  <c r="BW149" i="9"/>
  <c r="CP148" i="9"/>
  <c r="CO148" i="9"/>
  <c r="CN148" i="9"/>
  <c r="CM148" i="9"/>
  <c r="CL148" i="9"/>
  <c r="CK148" i="9"/>
  <c r="CJ148" i="9"/>
  <c r="CI148" i="9"/>
  <c r="CH148" i="9"/>
  <c r="CG148" i="9"/>
  <c r="CF148" i="9"/>
  <c r="CE148" i="9"/>
  <c r="CD148" i="9"/>
  <c r="CC148" i="9"/>
  <c r="CB148" i="9"/>
  <c r="CA148" i="9"/>
  <c r="BZ148" i="9"/>
  <c r="BY148" i="9"/>
  <c r="BX148" i="9"/>
  <c r="BW148" i="9"/>
  <c r="BV148" i="9"/>
  <c r="CP147" i="9"/>
  <c r="CO147" i="9"/>
  <c r="CN147" i="9"/>
  <c r="CM147" i="9"/>
  <c r="CL147" i="9"/>
  <c r="CK147" i="9"/>
  <c r="CJ147" i="9"/>
  <c r="CI147" i="9"/>
  <c r="CH147" i="9"/>
  <c r="CG147" i="9"/>
  <c r="CF147" i="9"/>
  <c r="CE147" i="9"/>
  <c r="CD147" i="9"/>
  <c r="CC147" i="9"/>
  <c r="CB147" i="9"/>
  <c r="CA147" i="9"/>
  <c r="BZ147" i="9"/>
  <c r="BY147" i="9"/>
  <c r="BX147" i="9"/>
  <c r="BW147" i="9"/>
  <c r="BV147" i="9"/>
  <c r="BU147" i="9"/>
  <c r="CP146" i="9"/>
  <c r="CO146" i="9"/>
  <c r="CN146" i="9"/>
  <c r="CM146" i="9"/>
  <c r="CL146" i="9"/>
  <c r="CK146" i="9"/>
  <c r="CJ146" i="9"/>
  <c r="CI146" i="9"/>
  <c r="CH146" i="9"/>
  <c r="CG146" i="9"/>
  <c r="CF146" i="9"/>
  <c r="CE146" i="9"/>
  <c r="CD146" i="9"/>
  <c r="CC146" i="9"/>
  <c r="CB146" i="9"/>
  <c r="CA146" i="9"/>
  <c r="BZ146" i="9"/>
  <c r="BY146" i="9"/>
  <c r="BX146" i="9"/>
  <c r="BW146" i="9"/>
  <c r="BV146" i="9"/>
  <c r="BU146" i="9"/>
  <c r="BT146" i="9"/>
  <c r="CP145" i="9"/>
  <c r="CO145" i="9"/>
  <c r="CN145" i="9"/>
  <c r="CM145" i="9"/>
  <c r="CL145" i="9"/>
  <c r="CK145" i="9"/>
  <c r="CJ145" i="9"/>
  <c r="CI145" i="9"/>
  <c r="CH145" i="9"/>
  <c r="CG145" i="9"/>
  <c r="CF145" i="9"/>
  <c r="CE145" i="9"/>
  <c r="CD145" i="9"/>
  <c r="CC145" i="9"/>
  <c r="CB145" i="9"/>
  <c r="CA145" i="9"/>
  <c r="BZ145" i="9"/>
  <c r="BY145" i="9"/>
  <c r="BX145" i="9"/>
  <c r="BW145" i="9"/>
  <c r="BV145" i="9"/>
  <c r="BU145" i="9"/>
  <c r="BT145" i="9"/>
  <c r="BS145" i="9"/>
  <c r="CP144" i="9"/>
  <c r="CO144" i="9"/>
  <c r="CN144" i="9"/>
  <c r="CM144" i="9"/>
  <c r="CL144" i="9"/>
  <c r="CK144" i="9"/>
  <c r="CJ144" i="9"/>
  <c r="CI144" i="9"/>
  <c r="CH144" i="9"/>
  <c r="CG144" i="9"/>
  <c r="CF144" i="9"/>
  <c r="CE144" i="9"/>
  <c r="CD144" i="9"/>
  <c r="CC144" i="9"/>
  <c r="CB144" i="9"/>
  <c r="CA144" i="9"/>
  <c r="BZ144" i="9"/>
  <c r="BY144" i="9"/>
  <c r="BX144" i="9"/>
  <c r="BW144" i="9"/>
  <c r="BV144" i="9"/>
  <c r="BU144" i="9"/>
  <c r="BT144" i="9"/>
  <c r="BS144" i="9"/>
  <c r="BR144" i="9"/>
  <c r="CP143" i="9"/>
  <c r="CO143" i="9"/>
  <c r="CN143" i="9"/>
  <c r="CM143" i="9"/>
  <c r="CL143" i="9"/>
  <c r="CK143" i="9"/>
  <c r="CJ143" i="9"/>
  <c r="CI143" i="9"/>
  <c r="CH143" i="9"/>
  <c r="CG143" i="9"/>
  <c r="CF143" i="9"/>
  <c r="CE143" i="9"/>
  <c r="CD143" i="9"/>
  <c r="CC143" i="9"/>
  <c r="CB143" i="9"/>
  <c r="CA143" i="9"/>
  <c r="BZ143" i="9"/>
  <c r="BY143" i="9"/>
  <c r="BX143" i="9"/>
  <c r="BW143" i="9"/>
  <c r="BV143" i="9"/>
  <c r="BU143" i="9"/>
  <c r="BT143" i="9"/>
  <c r="BS143" i="9"/>
  <c r="BR143" i="9"/>
  <c r="BQ143" i="9"/>
  <c r="CP142" i="9"/>
  <c r="CO142" i="9"/>
  <c r="CN142" i="9"/>
  <c r="CM142" i="9"/>
  <c r="CL142" i="9"/>
  <c r="CK142" i="9"/>
  <c r="CJ142" i="9"/>
  <c r="CI142" i="9"/>
  <c r="CH142" i="9"/>
  <c r="CG142" i="9"/>
  <c r="CF142" i="9"/>
  <c r="CE142" i="9"/>
  <c r="CD142" i="9"/>
  <c r="CC142" i="9"/>
  <c r="CB142" i="9"/>
  <c r="CA142" i="9"/>
  <c r="BZ142" i="9"/>
  <c r="BY142" i="9"/>
  <c r="BX142" i="9"/>
  <c r="BW142" i="9"/>
  <c r="BV142" i="9"/>
  <c r="BU142" i="9"/>
  <c r="BT142" i="9"/>
  <c r="BS142" i="9"/>
  <c r="BR142" i="9"/>
  <c r="BQ142" i="9"/>
  <c r="BP142" i="9"/>
  <c r="CP141" i="9"/>
  <c r="CO141" i="9"/>
  <c r="CN141" i="9"/>
  <c r="CM141" i="9"/>
  <c r="CL141" i="9"/>
  <c r="CK141" i="9"/>
  <c r="CJ141" i="9"/>
  <c r="CI141" i="9"/>
  <c r="CH141" i="9"/>
  <c r="CG141" i="9"/>
  <c r="CF141" i="9"/>
  <c r="CE141" i="9"/>
  <c r="CD141" i="9"/>
  <c r="CC141" i="9"/>
  <c r="CB141" i="9"/>
  <c r="CA141" i="9"/>
  <c r="BZ141" i="9"/>
  <c r="BY141" i="9"/>
  <c r="BX141" i="9"/>
  <c r="BW141" i="9"/>
  <c r="BV141" i="9"/>
  <c r="BU141" i="9"/>
  <c r="BT141" i="9"/>
  <c r="BS141" i="9"/>
  <c r="BR141" i="9"/>
  <c r="BQ141" i="9"/>
  <c r="BP141" i="9"/>
  <c r="BO141" i="9"/>
  <c r="CP140" i="9"/>
  <c r="CO140" i="9"/>
  <c r="CN140" i="9"/>
  <c r="CM140" i="9"/>
  <c r="CL140" i="9"/>
  <c r="CK140" i="9"/>
  <c r="CJ140" i="9"/>
  <c r="CI140" i="9"/>
  <c r="CH140" i="9"/>
  <c r="CG140" i="9"/>
  <c r="CF140" i="9"/>
  <c r="CE140" i="9"/>
  <c r="CD140" i="9"/>
  <c r="CC140" i="9"/>
  <c r="CB140" i="9"/>
  <c r="CA140" i="9"/>
  <c r="BZ140" i="9"/>
  <c r="BY140" i="9"/>
  <c r="BX140" i="9"/>
  <c r="BW140" i="9"/>
  <c r="BV140" i="9"/>
  <c r="BU140" i="9"/>
  <c r="BT140" i="9"/>
  <c r="BS140" i="9"/>
  <c r="BR140" i="9"/>
  <c r="BQ140" i="9"/>
  <c r="BP140" i="9"/>
  <c r="BO140" i="9"/>
  <c r="BN140" i="9"/>
  <c r="CP139" i="9"/>
  <c r="CO139" i="9"/>
  <c r="CN139" i="9"/>
  <c r="CM139" i="9"/>
  <c r="CL139" i="9"/>
  <c r="CK139" i="9"/>
  <c r="CJ139" i="9"/>
  <c r="CI139" i="9"/>
  <c r="CH139" i="9"/>
  <c r="CG139" i="9"/>
  <c r="CF139" i="9"/>
  <c r="CE139" i="9"/>
  <c r="CD139" i="9"/>
  <c r="CC139" i="9"/>
  <c r="CB139" i="9"/>
  <c r="CA139" i="9"/>
  <c r="BZ139" i="9"/>
  <c r="BY139" i="9"/>
  <c r="BX139" i="9"/>
  <c r="BW139" i="9"/>
  <c r="BV139" i="9"/>
  <c r="BU139" i="9"/>
  <c r="BT139" i="9"/>
  <c r="BS139" i="9"/>
  <c r="BR139" i="9"/>
  <c r="BQ139" i="9"/>
  <c r="BP139" i="9"/>
  <c r="BO139" i="9"/>
  <c r="BN139" i="9"/>
  <c r="BM139" i="9"/>
  <c r="CP138" i="9"/>
  <c r="CO138" i="9"/>
  <c r="CN138" i="9"/>
  <c r="CM138" i="9"/>
  <c r="CL138" i="9"/>
  <c r="CK138" i="9"/>
  <c r="CJ138" i="9"/>
  <c r="CI138" i="9"/>
  <c r="CH138" i="9"/>
  <c r="CG138" i="9"/>
  <c r="CF138" i="9"/>
  <c r="CE138" i="9"/>
  <c r="CD138" i="9"/>
  <c r="CC138" i="9"/>
  <c r="CB138" i="9"/>
  <c r="CA138" i="9"/>
  <c r="BZ138" i="9"/>
  <c r="BY138" i="9"/>
  <c r="BX138" i="9"/>
  <c r="BW138" i="9"/>
  <c r="BV138" i="9"/>
  <c r="BU138" i="9"/>
  <c r="BT138" i="9"/>
  <c r="BS138" i="9"/>
  <c r="BR138" i="9"/>
  <c r="BQ138" i="9"/>
  <c r="BP138" i="9"/>
  <c r="BO138" i="9"/>
  <c r="BN138" i="9"/>
  <c r="BM138" i="9"/>
  <c r="BL138" i="9"/>
  <c r="CP137" i="9"/>
  <c r="CO137" i="9"/>
  <c r="CN137" i="9"/>
  <c r="CM137" i="9"/>
  <c r="CL137" i="9"/>
  <c r="CK137" i="9"/>
  <c r="CJ137" i="9"/>
  <c r="CI137" i="9"/>
  <c r="CH137" i="9"/>
  <c r="CG137" i="9"/>
  <c r="CF137" i="9"/>
  <c r="CE137" i="9"/>
  <c r="CD137" i="9"/>
  <c r="CC137" i="9"/>
  <c r="CB137" i="9"/>
  <c r="CA137" i="9"/>
  <c r="BZ137" i="9"/>
  <c r="BY137" i="9"/>
  <c r="BX137" i="9"/>
  <c r="BW137" i="9"/>
  <c r="BV137" i="9"/>
  <c r="BU137" i="9"/>
  <c r="BT137" i="9"/>
  <c r="BS137" i="9"/>
  <c r="BR137" i="9"/>
  <c r="BQ137" i="9"/>
  <c r="BP137" i="9"/>
  <c r="BO137" i="9"/>
  <c r="BN137" i="9"/>
  <c r="BM137" i="9"/>
  <c r="BL137" i="9"/>
  <c r="BK137" i="9"/>
  <c r="CP136" i="9"/>
  <c r="CO136" i="9"/>
  <c r="CN136" i="9"/>
  <c r="CM136" i="9"/>
  <c r="CL136" i="9"/>
  <c r="CK136" i="9"/>
  <c r="CJ136" i="9"/>
  <c r="CI136" i="9"/>
  <c r="CH136" i="9"/>
  <c r="CG136" i="9"/>
  <c r="CF136" i="9"/>
  <c r="CE136" i="9"/>
  <c r="CD136" i="9"/>
  <c r="CC136" i="9"/>
  <c r="CB136" i="9"/>
  <c r="CA136" i="9"/>
  <c r="BZ136" i="9"/>
  <c r="BY136" i="9"/>
  <c r="BX136" i="9"/>
  <c r="BW136" i="9"/>
  <c r="BV136" i="9"/>
  <c r="BU136" i="9"/>
  <c r="BT136" i="9"/>
  <c r="BS136" i="9"/>
  <c r="BR136" i="9"/>
  <c r="BQ136" i="9"/>
  <c r="BP136" i="9"/>
  <c r="BO136" i="9"/>
  <c r="BN136" i="9"/>
  <c r="BM136" i="9"/>
  <c r="BL136" i="9"/>
  <c r="BK136" i="9"/>
  <c r="BJ136" i="9"/>
  <c r="CP135" i="9"/>
  <c r="CO135" i="9"/>
  <c r="CN135" i="9"/>
  <c r="CM135" i="9"/>
  <c r="CL135" i="9"/>
  <c r="CK135" i="9"/>
  <c r="CJ135" i="9"/>
  <c r="CI135" i="9"/>
  <c r="CH135" i="9"/>
  <c r="CG135" i="9"/>
  <c r="CF135" i="9"/>
  <c r="CE135" i="9"/>
  <c r="CD135" i="9"/>
  <c r="CC135" i="9"/>
  <c r="CB135" i="9"/>
  <c r="CA135" i="9"/>
  <c r="BZ135" i="9"/>
  <c r="BY135" i="9"/>
  <c r="BX135" i="9"/>
  <c r="BW135" i="9"/>
  <c r="BV135" i="9"/>
  <c r="BU135" i="9"/>
  <c r="BT135" i="9"/>
  <c r="BS135" i="9"/>
  <c r="BR135" i="9"/>
  <c r="BQ135" i="9"/>
  <c r="BP135" i="9"/>
  <c r="BO135" i="9"/>
  <c r="BN135" i="9"/>
  <c r="BM135" i="9"/>
  <c r="BL135" i="9"/>
  <c r="BK135" i="9"/>
  <c r="BJ135" i="9"/>
  <c r="BI135" i="9"/>
  <c r="CP134" i="9"/>
  <c r="CO134" i="9"/>
  <c r="CN134" i="9"/>
  <c r="CM134" i="9"/>
  <c r="CL134" i="9"/>
  <c r="CK134" i="9"/>
  <c r="CJ134" i="9"/>
  <c r="CI134" i="9"/>
  <c r="CH134" i="9"/>
  <c r="CG134" i="9"/>
  <c r="CF134" i="9"/>
  <c r="CE134" i="9"/>
  <c r="CD134" i="9"/>
  <c r="CC134" i="9"/>
  <c r="CB134" i="9"/>
  <c r="CA134" i="9"/>
  <c r="BZ134" i="9"/>
  <c r="BY134" i="9"/>
  <c r="BX134" i="9"/>
  <c r="BW134" i="9"/>
  <c r="BV134" i="9"/>
  <c r="BU134" i="9"/>
  <c r="BT134" i="9"/>
  <c r="BS134" i="9"/>
  <c r="BR134" i="9"/>
  <c r="BQ134" i="9"/>
  <c r="BP134" i="9"/>
  <c r="BO134" i="9"/>
  <c r="BN134" i="9"/>
  <c r="BM134" i="9"/>
  <c r="BL134" i="9"/>
  <c r="BK134" i="9"/>
  <c r="BJ134" i="9"/>
  <c r="BI134" i="9"/>
  <c r="BH134" i="9"/>
  <c r="CP133" i="9"/>
  <c r="CO133" i="9"/>
  <c r="CN133" i="9"/>
  <c r="CM133" i="9"/>
  <c r="CL133" i="9"/>
  <c r="CK133" i="9"/>
  <c r="CJ133" i="9"/>
  <c r="CI133" i="9"/>
  <c r="CH133" i="9"/>
  <c r="CG133" i="9"/>
  <c r="CF133" i="9"/>
  <c r="CE133" i="9"/>
  <c r="CD133" i="9"/>
  <c r="CC133" i="9"/>
  <c r="CB133" i="9"/>
  <c r="CA133" i="9"/>
  <c r="BZ133" i="9"/>
  <c r="BY133" i="9"/>
  <c r="BX133" i="9"/>
  <c r="BW133" i="9"/>
  <c r="BV133" i="9"/>
  <c r="BU133" i="9"/>
  <c r="BT133" i="9"/>
  <c r="BS133" i="9"/>
  <c r="BR133" i="9"/>
  <c r="BQ133" i="9"/>
  <c r="BP133" i="9"/>
  <c r="BO133" i="9"/>
  <c r="BN133" i="9"/>
  <c r="BM133" i="9"/>
  <c r="BL133" i="9"/>
  <c r="BK133" i="9"/>
  <c r="BJ133" i="9"/>
  <c r="BI133" i="9"/>
  <c r="BH133" i="9"/>
  <c r="BG133" i="9"/>
  <c r="CP132" i="9"/>
  <c r="CO132" i="9"/>
  <c r="CN132" i="9"/>
  <c r="CM132" i="9"/>
  <c r="CL132" i="9"/>
  <c r="CK132" i="9"/>
  <c r="CJ132" i="9"/>
  <c r="CI132" i="9"/>
  <c r="CH132" i="9"/>
  <c r="CG132" i="9"/>
  <c r="CF132" i="9"/>
  <c r="CE132" i="9"/>
  <c r="CD132" i="9"/>
  <c r="CC132" i="9"/>
  <c r="CB132" i="9"/>
  <c r="CA132" i="9"/>
  <c r="BZ132" i="9"/>
  <c r="BY132" i="9"/>
  <c r="BX132" i="9"/>
  <c r="BW132" i="9"/>
  <c r="BV132" i="9"/>
  <c r="BU132" i="9"/>
  <c r="BT132" i="9"/>
  <c r="BS132" i="9"/>
  <c r="BR132" i="9"/>
  <c r="BQ132" i="9"/>
  <c r="BP132" i="9"/>
  <c r="BO132" i="9"/>
  <c r="BN132" i="9"/>
  <c r="BM132" i="9"/>
  <c r="BL132" i="9"/>
  <c r="BK132" i="9"/>
  <c r="BJ132" i="9"/>
  <c r="BI132" i="9"/>
  <c r="BH132" i="9"/>
  <c r="BG132" i="9"/>
  <c r="BF132" i="9"/>
  <c r="CP131" i="9"/>
  <c r="CO131" i="9"/>
  <c r="CN131" i="9"/>
  <c r="CM131" i="9"/>
  <c r="CL131" i="9"/>
  <c r="CK131" i="9"/>
  <c r="CJ131" i="9"/>
  <c r="CI131" i="9"/>
  <c r="CH131" i="9"/>
  <c r="CG131" i="9"/>
  <c r="CF131" i="9"/>
  <c r="CE131" i="9"/>
  <c r="CD131" i="9"/>
  <c r="CC131" i="9"/>
  <c r="CB131" i="9"/>
  <c r="CA131" i="9"/>
  <c r="BZ131" i="9"/>
  <c r="BY131" i="9"/>
  <c r="BX131" i="9"/>
  <c r="BW131" i="9"/>
  <c r="BV131" i="9"/>
  <c r="BU131" i="9"/>
  <c r="BT131" i="9"/>
  <c r="BS131" i="9"/>
  <c r="BR131" i="9"/>
  <c r="BQ131" i="9"/>
  <c r="BP131" i="9"/>
  <c r="BO131" i="9"/>
  <c r="BN131" i="9"/>
  <c r="BM131" i="9"/>
  <c r="BL131" i="9"/>
  <c r="BK131" i="9"/>
  <c r="BJ131" i="9"/>
  <c r="BI131" i="9"/>
  <c r="BH131" i="9"/>
  <c r="BG131" i="9"/>
  <c r="BF131" i="9"/>
  <c r="BE131" i="9"/>
  <c r="CP130" i="9"/>
  <c r="CO130" i="9"/>
  <c r="CN130" i="9"/>
  <c r="CM130" i="9"/>
  <c r="CL130" i="9"/>
  <c r="CK130" i="9"/>
  <c r="CJ130" i="9"/>
  <c r="CI130" i="9"/>
  <c r="CH130" i="9"/>
  <c r="CG130" i="9"/>
  <c r="CF130" i="9"/>
  <c r="CE130" i="9"/>
  <c r="CD130" i="9"/>
  <c r="CC130" i="9"/>
  <c r="CB130" i="9"/>
  <c r="CA130" i="9"/>
  <c r="BZ130" i="9"/>
  <c r="BY130" i="9"/>
  <c r="BX130" i="9"/>
  <c r="BW130" i="9"/>
  <c r="BV130" i="9"/>
  <c r="BU130" i="9"/>
  <c r="BT130" i="9"/>
  <c r="BS130" i="9"/>
  <c r="BR130" i="9"/>
  <c r="BQ130" i="9"/>
  <c r="BP130" i="9"/>
  <c r="BO130" i="9"/>
  <c r="BN130" i="9"/>
  <c r="BM130" i="9"/>
  <c r="BL130" i="9"/>
  <c r="BK130" i="9"/>
  <c r="BJ130" i="9"/>
  <c r="BI130" i="9"/>
  <c r="BH130" i="9"/>
  <c r="BG130" i="9"/>
  <c r="BF130" i="9"/>
  <c r="BE130" i="9"/>
  <c r="BD130" i="9"/>
  <c r="CP129" i="9"/>
  <c r="CO129" i="9"/>
  <c r="CN129" i="9"/>
  <c r="CM129" i="9"/>
  <c r="CL129" i="9"/>
  <c r="CK129" i="9"/>
  <c r="CJ129" i="9"/>
  <c r="CI129" i="9"/>
  <c r="CH129" i="9"/>
  <c r="CG129" i="9"/>
  <c r="CF129" i="9"/>
  <c r="CE129" i="9"/>
  <c r="CD129" i="9"/>
  <c r="CC129" i="9"/>
  <c r="CB129" i="9"/>
  <c r="CA129" i="9"/>
  <c r="BZ129" i="9"/>
  <c r="BY129" i="9"/>
  <c r="BX129" i="9"/>
  <c r="BW129" i="9"/>
  <c r="BV129" i="9"/>
  <c r="BU129" i="9"/>
  <c r="BT129" i="9"/>
  <c r="BS129" i="9"/>
  <c r="BR129" i="9"/>
  <c r="BQ129" i="9"/>
  <c r="BP129" i="9"/>
  <c r="BO129" i="9"/>
  <c r="BN129" i="9"/>
  <c r="BM129" i="9"/>
  <c r="BL129" i="9"/>
  <c r="BK129" i="9"/>
  <c r="BJ129" i="9"/>
  <c r="BI129" i="9"/>
  <c r="BH129" i="9"/>
  <c r="BG129" i="9"/>
  <c r="BF129" i="9"/>
  <c r="BE129" i="9"/>
  <c r="BD129" i="9"/>
  <c r="BC129" i="9"/>
  <c r="AT126" i="9" l="1"/>
  <c r="AU172" i="9" s="1"/>
  <c r="AT125" i="9"/>
  <c r="C48" i="4" l="1"/>
  <c r="D58" i="4" l="1"/>
  <c r="D57" i="4"/>
  <c r="D56" i="4"/>
  <c r="D55" i="4"/>
  <c r="D62" i="4"/>
  <c r="D61" i="4"/>
  <c r="D53" i="4"/>
  <c r="D60" i="4"/>
  <c r="D52" i="4"/>
  <c r="D59" i="4"/>
  <c r="D54" i="4"/>
  <c r="AH271" i="9"/>
  <c r="AI271" i="9" s="1"/>
  <c r="AJ271" i="9" s="1"/>
  <c r="AH229" i="9"/>
  <c r="AH230" i="9" s="1"/>
  <c r="AH231" i="9" s="1"/>
  <c r="G123" i="14" l="1" a="1"/>
  <c r="D63" i="4"/>
  <c r="AI229" i="9"/>
  <c r="AJ229" i="9" s="1"/>
  <c r="AI231" i="9"/>
  <c r="AJ231" i="9" s="1"/>
  <c r="AH232" i="9"/>
  <c r="AI230" i="9"/>
  <c r="AJ230" i="9" s="1"/>
  <c r="I19" i="9"/>
  <c r="I18" i="9"/>
  <c r="I17" i="9"/>
  <c r="N123" i="14" l="1"/>
  <c r="G123" i="14"/>
  <c r="H123" i="14"/>
  <c r="P123" i="14"/>
  <c r="I123" i="14"/>
  <c r="Q123" i="14"/>
  <c r="J123" i="14"/>
  <c r="K123" i="14"/>
  <c r="L123" i="14"/>
  <c r="M123" i="14"/>
  <c r="O123" i="14"/>
  <c r="AH233" i="9"/>
  <c r="AI232" i="9"/>
  <c r="AJ232" i="9" s="1"/>
  <c r="C279" i="9"/>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AD274" i="9"/>
  <c r="Q274" i="9"/>
  <c r="C229" i="9"/>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AN224" i="9"/>
  <c r="AD224" i="9"/>
  <c r="Q224" i="9"/>
  <c r="AH221" i="9"/>
  <c r="AI221" i="9" s="1"/>
  <c r="AJ221" i="9" s="1"/>
  <c r="AO179" i="9"/>
  <c r="AO229" i="9" s="1"/>
  <c r="AH179" i="9"/>
  <c r="AH180" i="9" s="1"/>
  <c r="AI180" i="9" s="1"/>
  <c r="AJ180" i="9" s="1"/>
  <c r="C179" i="9"/>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S178" i="9"/>
  <c r="CS228" i="9" s="1"/>
  <c r="CR178" i="9"/>
  <c r="CR228" i="9" s="1"/>
  <c r="CQ178" i="9"/>
  <c r="CQ228" i="9" s="1"/>
  <c r="BB178" i="9"/>
  <c r="BB228" i="9" s="1"/>
  <c r="AN174" i="9"/>
  <c r="AD174" i="9"/>
  <c r="Q174" i="9"/>
  <c r="AH171" i="9"/>
  <c r="AI171" i="9" s="1"/>
  <c r="AJ171" i="9" s="1"/>
  <c r="AO130" i="9"/>
  <c r="AO180" i="9" s="1"/>
  <c r="AH129" i="9"/>
  <c r="AH130" i="9" s="1"/>
  <c r="AH131" i="9" s="1"/>
  <c r="C129" i="9"/>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BC128" i="9"/>
  <c r="BC178" i="9" s="1"/>
  <c r="AN124" i="9"/>
  <c r="Q124" i="9"/>
  <c r="AD124" i="9" s="1"/>
  <c r="AD74" i="9"/>
  <c r="Q74" i="9"/>
  <c r="AO29" i="9"/>
  <c r="AO30" i="9" s="1"/>
  <c r="Q24" i="9"/>
  <c r="AD24" i="9" s="1"/>
  <c r="M18" i="9"/>
  <c r="R7" i="9"/>
  <c r="R6" i="9"/>
  <c r="R5" i="9"/>
  <c r="V267" i="9" l="1"/>
  <c r="V259" i="9"/>
  <c r="V251" i="9"/>
  <c r="V243" i="9"/>
  <c r="V235" i="9"/>
  <c r="V218" i="9"/>
  <c r="V210" i="9"/>
  <c r="V202" i="9"/>
  <c r="V194" i="9"/>
  <c r="V186" i="9"/>
  <c r="V188" i="9"/>
  <c r="V264" i="9"/>
  <c r="V256" i="9"/>
  <c r="V248" i="9"/>
  <c r="V240" i="9"/>
  <c r="V232" i="9"/>
  <c r="V215" i="9"/>
  <c r="V207" i="9"/>
  <c r="V199" i="9"/>
  <c r="V191" i="9"/>
  <c r="V183" i="9"/>
  <c r="V180" i="9"/>
  <c r="V269" i="9"/>
  <c r="V271" i="9" s="1"/>
  <c r="V261" i="9"/>
  <c r="V253" i="9"/>
  <c r="V245" i="9"/>
  <c r="V237" i="9"/>
  <c r="V229" i="9"/>
  <c r="V212" i="9"/>
  <c r="V204" i="9"/>
  <c r="V196" i="9"/>
  <c r="V266" i="9"/>
  <c r="V258" i="9"/>
  <c r="V250" i="9"/>
  <c r="V242" i="9"/>
  <c r="V234" i="9"/>
  <c r="V217" i="9"/>
  <c r="V209" i="9"/>
  <c r="V201" i="9"/>
  <c r="V193" i="9"/>
  <c r="V185" i="9"/>
  <c r="V263" i="9"/>
  <c r="V255" i="9"/>
  <c r="V247" i="9"/>
  <c r="V239" i="9"/>
  <c r="V231" i="9"/>
  <c r="V214" i="9"/>
  <c r="V206" i="9"/>
  <c r="V198" i="9"/>
  <c r="V190" i="9"/>
  <c r="V182" i="9"/>
  <c r="V184" i="9"/>
  <c r="V268" i="9"/>
  <c r="V260" i="9"/>
  <c r="V252" i="9"/>
  <c r="V244" i="9"/>
  <c r="V236" i="9"/>
  <c r="V219" i="9"/>
  <c r="V221" i="9" s="1"/>
  <c r="V211" i="9"/>
  <c r="V203" i="9"/>
  <c r="V195" i="9"/>
  <c r="V187" i="9"/>
  <c r="V179" i="9"/>
  <c r="V192" i="9"/>
  <c r="V265" i="9"/>
  <c r="V257" i="9"/>
  <c r="V249" i="9"/>
  <c r="V241" i="9"/>
  <c r="V233" i="9"/>
  <c r="V216" i="9"/>
  <c r="V208" i="9"/>
  <c r="V200" i="9"/>
  <c r="V262" i="9"/>
  <c r="V254" i="9"/>
  <c r="V246" i="9"/>
  <c r="V238" i="9"/>
  <c r="V230" i="9"/>
  <c r="V213" i="9"/>
  <c r="V205" i="9"/>
  <c r="V197" i="9"/>
  <c r="V189" i="9"/>
  <c r="V181" i="9"/>
  <c r="V169" i="9"/>
  <c r="V171" i="9" s="1"/>
  <c r="V161" i="9"/>
  <c r="V153" i="9"/>
  <c r="V145" i="9"/>
  <c r="V137" i="9"/>
  <c r="V129" i="9"/>
  <c r="V163" i="9"/>
  <c r="V147" i="9"/>
  <c r="V139" i="9"/>
  <c r="V166" i="9"/>
  <c r="V158" i="9"/>
  <c r="V150" i="9"/>
  <c r="V142" i="9"/>
  <c r="V134" i="9"/>
  <c r="V131" i="9"/>
  <c r="V168" i="9"/>
  <c r="V160" i="9"/>
  <c r="V152" i="9"/>
  <c r="V144" i="9"/>
  <c r="V136" i="9"/>
  <c r="V159" i="9"/>
  <c r="V151" i="9"/>
  <c r="V143" i="9"/>
  <c r="V135" i="9"/>
  <c r="V165" i="9"/>
  <c r="V157" i="9"/>
  <c r="V149" i="9"/>
  <c r="V141" i="9"/>
  <c r="V133" i="9"/>
  <c r="V167" i="9"/>
  <c r="V162" i="9"/>
  <c r="V154" i="9"/>
  <c r="V146" i="9"/>
  <c r="V138" i="9"/>
  <c r="V130" i="9"/>
  <c r="V164" i="9"/>
  <c r="V156" i="9"/>
  <c r="V148" i="9"/>
  <c r="V140" i="9"/>
  <c r="V132" i="9"/>
  <c r="V155" i="9"/>
  <c r="BD128" i="9"/>
  <c r="BE128" i="9" s="1"/>
  <c r="BE178" i="9" s="1"/>
  <c r="AI233" i="9"/>
  <c r="AJ233" i="9" s="1"/>
  <c r="AH234" i="9"/>
  <c r="AI129" i="9"/>
  <c r="AJ129" i="9" s="1"/>
  <c r="AO31" i="9"/>
  <c r="AI130" i="9"/>
  <c r="AJ130" i="9" s="1"/>
  <c r="AH132" i="9"/>
  <c r="AI131" i="9"/>
  <c r="AJ131" i="9" s="1"/>
  <c r="BD178" i="9"/>
  <c r="BE228" i="9"/>
  <c r="BF128" i="9"/>
  <c r="AH181" i="9"/>
  <c r="BC228" i="9"/>
  <c r="AO230" i="9"/>
  <c r="AO131" i="9"/>
  <c r="AI179" i="9"/>
  <c r="AJ179" i="9" s="1"/>
  <c r="AH235" i="9" l="1"/>
  <c r="AI234" i="9"/>
  <c r="AJ234" i="9" s="1"/>
  <c r="V303" i="9"/>
  <c r="V290" i="9"/>
  <c r="V306" i="9"/>
  <c r="V307" i="9"/>
  <c r="AO32" i="9"/>
  <c r="V288" i="9"/>
  <c r="V308" i="9"/>
  <c r="V280" i="9"/>
  <c r="V291" i="9"/>
  <c r="V296" i="9"/>
  <c r="V309" i="9"/>
  <c r="BF178" i="9"/>
  <c r="BG128" i="9"/>
  <c r="AH133" i="9"/>
  <c r="AI132" i="9"/>
  <c r="AJ132" i="9" s="1"/>
  <c r="V310" i="9"/>
  <c r="V289" i="9"/>
  <c r="V297" i="9"/>
  <c r="V298" i="9"/>
  <c r="V314" i="9"/>
  <c r="V312" i="9"/>
  <c r="V318" i="9"/>
  <c r="V317" i="9"/>
  <c r="V319" i="9"/>
  <c r="V281" i="9"/>
  <c r="V285" i="9"/>
  <c r="V294" i="9"/>
  <c r="V315" i="9"/>
  <c r="V295" i="9"/>
  <c r="V279" i="9"/>
  <c r="V300" i="9"/>
  <c r="V316" i="9"/>
  <c r="V282" i="9"/>
  <c r="V287" i="9"/>
  <c r="BD228" i="9"/>
  <c r="AI181" i="9"/>
  <c r="AJ181" i="9" s="1"/>
  <c r="AH182" i="9"/>
  <c r="V301" i="9"/>
  <c r="V293" i="9"/>
  <c r="V302" i="9"/>
  <c r="V311" i="9"/>
  <c r="V283" i="9"/>
  <c r="V286" i="9"/>
  <c r="V292" i="9"/>
  <c r="AO181" i="9"/>
  <c r="AO132" i="9"/>
  <c r="V284" i="9"/>
  <c r="V305" i="9"/>
  <c r="V299" i="9"/>
  <c r="V304" i="9"/>
  <c r="V313" i="9"/>
  <c r="AI235" i="9" l="1"/>
  <c r="AJ235" i="9" s="1"/>
  <c r="AH236" i="9"/>
  <c r="AO182" i="9"/>
  <c r="AO133" i="9"/>
  <c r="AO231" i="9"/>
  <c r="AH183" i="9"/>
  <c r="AI182" i="9"/>
  <c r="AJ182" i="9" s="1"/>
  <c r="AO33" i="9"/>
  <c r="AI133" i="9"/>
  <c r="AJ133" i="9" s="1"/>
  <c r="AH134" i="9"/>
  <c r="BG178" i="9"/>
  <c r="BH128" i="9"/>
  <c r="BF228" i="9"/>
  <c r="AH237" i="9" l="1"/>
  <c r="AI236" i="9"/>
  <c r="AJ236" i="9" s="1"/>
  <c r="BG228" i="9"/>
  <c r="AH135" i="9"/>
  <c r="AI134" i="9"/>
  <c r="AJ134" i="9" s="1"/>
  <c r="AO232" i="9"/>
  <c r="AH184" i="9"/>
  <c r="AI183" i="9"/>
  <c r="AJ183" i="9" s="1"/>
  <c r="AO34" i="9"/>
  <c r="AO183" i="9"/>
  <c r="AO134" i="9"/>
  <c r="BH178" i="9"/>
  <c r="BI128" i="9"/>
  <c r="AI237" i="9" l="1"/>
  <c r="AJ237" i="9" s="1"/>
  <c r="AH238" i="9"/>
  <c r="AO184" i="9"/>
  <c r="AO135" i="9"/>
  <c r="AH136" i="9"/>
  <c r="AI135" i="9"/>
  <c r="AJ135" i="9" s="1"/>
  <c r="AO35" i="9"/>
  <c r="BJ128" i="9"/>
  <c r="BI178" i="9"/>
  <c r="AO233" i="9"/>
  <c r="BH228" i="9"/>
  <c r="AI184" i="9"/>
  <c r="AJ184" i="9" s="1"/>
  <c r="AH185" i="9"/>
  <c r="AH239" i="9" l="1"/>
  <c r="AI238" i="9"/>
  <c r="AJ238" i="9" s="1"/>
  <c r="BI228" i="9"/>
  <c r="AH137" i="9"/>
  <c r="AI136" i="9"/>
  <c r="AJ136" i="9" s="1"/>
  <c r="AO185" i="9"/>
  <c r="AO136" i="9"/>
  <c r="AO234" i="9"/>
  <c r="AO36" i="9"/>
  <c r="BJ178" i="9"/>
  <c r="BK128" i="9"/>
  <c r="AH186" i="9"/>
  <c r="AI185" i="9"/>
  <c r="AJ185" i="9" s="1"/>
  <c r="AI239" i="9" l="1"/>
  <c r="AJ239" i="9" s="1"/>
  <c r="AH240" i="9"/>
  <c r="AO186" i="9"/>
  <c r="AO137" i="9"/>
  <c r="AO37" i="9"/>
  <c r="AI137" i="9"/>
  <c r="AJ137" i="9" s="1"/>
  <c r="AH138" i="9"/>
  <c r="AH187" i="9"/>
  <c r="AI186" i="9"/>
  <c r="AJ186" i="9" s="1"/>
  <c r="BK178" i="9"/>
  <c r="BL128" i="9"/>
  <c r="AO235" i="9"/>
  <c r="BJ228" i="9"/>
  <c r="AH241" i="9" l="1"/>
  <c r="AI240" i="9"/>
  <c r="AJ240" i="9" s="1"/>
  <c r="BK228" i="9"/>
  <c r="AO38" i="9"/>
  <c r="AO187" i="9"/>
  <c r="AO138" i="9"/>
  <c r="AH139" i="9"/>
  <c r="AI138" i="9"/>
  <c r="AJ138" i="9" s="1"/>
  <c r="BL178" i="9"/>
  <c r="BM128" i="9"/>
  <c r="AH188" i="9"/>
  <c r="AI187" i="9"/>
  <c r="AJ187" i="9" s="1"/>
  <c r="AO236" i="9"/>
  <c r="AI241" i="9" l="1"/>
  <c r="AJ241" i="9" s="1"/>
  <c r="AH242" i="9"/>
  <c r="AO237" i="9"/>
  <c r="AI188" i="9"/>
  <c r="AJ188" i="9" s="1"/>
  <c r="AH189" i="9"/>
  <c r="BL228" i="9"/>
  <c r="BM178" i="9"/>
  <c r="BN128" i="9"/>
  <c r="AO188" i="9"/>
  <c r="AO139" i="9"/>
  <c r="AO39" i="9"/>
  <c r="AI139" i="9"/>
  <c r="AJ139" i="9" s="1"/>
  <c r="AH140" i="9"/>
  <c r="AH243" i="9" l="1"/>
  <c r="AI242" i="9"/>
  <c r="AJ242" i="9" s="1"/>
  <c r="AO238" i="9"/>
  <c r="AO189" i="9"/>
  <c r="AO140" i="9"/>
  <c r="AO40" i="9"/>
  <c r="BM228" i="9"/>
  <c r="AI189" i="9"/>
  <c r="AJ189" i="9" s="1"/>
  <c r="AH190" i="9"/>
  <c r="AH141" i="9"/>
  <c r="AI140" i="9"/>
  <c r="AJ140" i="9" s="1"/>
  <c r="BO128" i="9"/>
  <c r="BN178" i="9"/>
  <c r="AI243" i="9" l="1"/>
  <c r="AJ243" i="9" s="1"/>
  <c r="AH244" i="9"/>
  <c r="AO190" i="9"/>
  <c r="AO141" i="9"/>
  <c r="BN228" i="9"/>
  <c r="BO178" i="9"/>
  <c r="BP128" i="9"/>
  <c r="AI141" i="9"/>
  <c r="AJ141" i="9" s="1"/>
  <c r="AH142" i="9"/>
  <c r="AI190" i="9"/>
  <c r="AJ190" i="9" s="1"/>
  <c r="AH191" i="9"/>
  <c r="AO41" i="9"/>
  <c r="AO239" i="9"/>
  <c r="AH245" i="9" l="1"/>
  <c r="AI244" i="9"/>
  <c r="AJ244" i="9" s="1"/>
  <c r="BO228" i="9"/>
  <c r="AI191" i="9"/>
  <c r="AJ191" i="9" s="1"/>
  <c r="AH192" i="9"/>
  <c r="AO191" i="9"/>
  <c r="AO142" i="9"/>
  <c r="AO240" i="9"/>
  <c r="AO42" i="9"/>
  <c r="AI142" i="9"/>
  <c r="AJ142" i="9" s="1"/>
  <c r="AH143" i="9"/>
  <c r="BQ128" i="9"/>
  <c r="BP178" i="9"/>
  <c r="AI245" i="9" l="1"/>
  <c r="AJ245" i="9" s="1"/>
  <c r="AH246" i="9"/>
  <c r="AI192" i="9"/>
  <c r="AJ192" i="9" s="1"/>
  <c r="AH193" i="9"/>
  <c r="AO241" i="9"/>
  <c r="BQ178" i="9"/>
  <c r="BR128" i="9"/>
  <c r="AO43" i="9"/>
  <c r="AO143" i="9"/>
  <c r="AO192" i="9"/>
  <c r="AI143" i="9"/>
  <c r="AJ143" i="9" s="1"/>
  <c r="AH144" i="9"/>
  <c r="BP228" i="9"/>
  <c r="AH247" i="9" l="1"/>
  <c r="AI246" i="9"/>
  <c r="AJ246" i="9" s="1"/>
  <c r="BQ228" i="9"/>
  <c r="AI193" i="9"/>
  <c r="AJ193" i="9" s="1"/>
  <c r="AH194" i="9"/>
  <c r="AH145" i="9"/>
  <c r="AI144" i="9"/>
  <c r="AJ144" i="9" s="1"/>
  <c r="AO44" i="9"/>
  <c r="AO242" i="9"/>
  <c r="AO193" i="9"/>
  <c r="AO144" i="9"/>
  <c r="BR178" i="9"/>
  <c r="BS128" i="9"/>
  <c r="AI247" i="9" l="1"/>
  <c r="AJ247" i="9" s="1"/>
  <c r="AH248" i="9"/>
  <c r="BS178" i="9"/>
  <c r="BT128" i="9"/>
  <c r="AI145" i="9"/>
  <c r="AJ145" i="9" s="1"/>
  <c r="AH146" i="9"/>
  <c r="BR228" i="9"/>
  <c r="AO145" i="9"/>
  <c r="AO194" i="9"/>
  <c r="AO45" i="9"/>
  <c r="AO243" i="9"/>
  <c r="AI194" i="9"/>
  <c r="AJ194" i="9" s="1"/>
  <c r="AH195" i="9"/>
  <c r="AH249" i="9" l="1"/>
  <c r="AI248" i="9"/>
  <c r="AJ248" i="9" s="1"/>
  <c r="BS228" i="9"/>
  <c r="AI195" i="9"/>
  <c r="AJ195" i="9" s="1"/>
  <c r="AH196" i="9"/>
  <c r="BT178" i="9"/>
  <c r="BU128" i="9"/>
  <c r="AO244" i="9"/>
  <c r="AI146" i="9"/>
  <c r="AJ146" i="9" s="1"/>
  <c r="AH147" i="9"/>
  <c r="AO46" i="9"/>
  <c r="AO195" i="9"/>
  <c r="AO146" i="9"/>
  <c r="AI249" i="9" l="1"/>
  <c r="AJ249" i="9" s="1"/>
  <c r="AH250" i="9"/>
  <c r="AO196" i="9"/>
  <c r="AO147" i="9"/>
  <c r="AI196" i="9"/>
  <c r="AJ196" i="9" s="1"/>
  <c r="AH197" i="9"/>
  <c r="AO47" i="9"/>
  <c r="BT228" i="9"/>
  <c r="AO245" i="9"/>
  <c r="BU178" i="9"/>
  <c r="BV128" i="9"/>
  <c r="AH148" i="9"/>
  <c r="AI147" i="9"/>
  <c r="AJ147" i="9" s="1"/>
  <c r="AH251" i="9" l="1"/>
  <c r="AI250" i="9"/>
  <c r="AJ250" i="9" s="1"/>
  <c r="AO246" i="9"/>
  <c r="BV178" i="9"/>
  <c r="BW128" i="9"/>
  <c r="AO197" i="9"/>
  <c r="AO148" i="9"/>
  <c r="AI197" i="9"/>
  <c r="AJ197" i="9" s="1"/>
  <c r="AH198" i="9"/>
  <c r="BU228" i="9"/>
  <c r="AI148" i="9"/>
  <c r="AJ148" i="9" s="1"/>
  <c r="AH149" i="9"/>
  <c r="AO48" i="9"/>
  <c r="AI251" i="9" l="1"/>
  <c r="AJ251" i="9" s="1"/>
  <c r="AH252" i="9"/>
  <c r="BV228" i="9"/>
  <c r="AO247" i="9"/>
  <c r="AO149" i="9"/>
  <c r="AO198" i="9"/>
  <c r="AI198" i="9"/>
  <c r="AJ198" i="9" s="1"/>
  <c r="AH199" i="9"/>
  <c r="AO49" i="9"/>
  <c r="AH150" i="9"/>
  <c r="AI149" i="9"/>
  <c r="AJ149" i="9" s="1"/>
  <c r="BX128" i="9"/>
  <c r="BW178" i="9"/>
  <c r="AH253" i="9" l="1"/>
  <c r="AI252" i="9"/>
  <c r="AJ252" i="9" s="1"/>
  <c r="BX178" i="9"/>
  <c r="BY128" i="9"/>
  <c r="AO199" i="9"/>
  <c r="AO150" i="9"/>
  <c r="AI150" i="9"/>
  <c r="AJ150" i="9" s="1"/>
  <c r="AH151" i="9"/>
  <c r="AO248" i="9"/>
  <c r="AO50" i="9"/>
  <c r="AI199" i="9"/>
  <c r="AJ199" i="9" s="1"/>
  <c r="AH200" i="9"/>
  <c r="BW228" i="9"/>
  <c r="AI253" i="9" l="1"/>
  <c r="AJ253" i="9" s="1"/>
  <c r="AH254" i="9"/>
  <c r="AO249" i="9"/>
  <c r="BZ128" i="9"/>
  <c r="BY178" i="9"/>
  <c r="AI200" i="9"/>
  <c r="AJ200" i="9" s="1"/>
  <c r="AH201" i="9"/>
  <c r="BX228" i="9"/>
  <c r="AO51" i="9"/>
  <c r="AH152" i="9"/>
  <c r="AI151" i="9"/>
  <c r="AJ151" i="9" s="1"/>
  <c r="AO200" i="9"/>
  <c r="AO151" i="9"/>
  <c r="AH255" i="9" l="1"/>
  <c r="AI254" i="9"/>
  <c r="AJ254" i="9" s="1"/>
  <c r="AH153" i="9"/>
  <c r="AI152" i="9"/>
  <c r="AJ152" i="9" s="1"/>
  <c r="AO52" i="9"/>
  <c r="BZ178" i="9"/>
  <c r="CA128" i="9"/>
  <c r="AO201" i="9"/>
  <c r="AO152" i="9"/>
  <c r="AI201" i="9"/>
  <c r="AJ201" i="9" s="1"/>
  <c r="AH202" i="9"/>
  <c r="AO250" i="9"/>
  <c r="BY228" i="9"/>
  <c r="AI255" i="9" l="1"/>
  <c r="AJ255" i="9" s="1"/>
  <c r="AH256" i="9"/>
  <c r="AO53" i="9"/>
  <c r="BZ228" i="9"/>
  <c r="AO153" i="9"/>
  <c r="AO202" i="9"/>
  <c r="AI202" i="9"/>
  <c r="AJ202" i="9" s="1"/>
  <c r="AH203" i="9"/>
  <c r="AO251" i="9"/>
  <c r="CA178" i="9"/>
  <c r="CB128" i="9"/>
  <c r="AH154" i="9"/>
  <c r="AI153" i="9"/>
  <c r="AJ153" i="9" s="1"/>
  <c r="AH257" i="9" l="1"/>
  <c r="AI256" i="9"/>
  <c r="AJ256" i="9" s="1"/>
  <c r="AO252" i="9"/>
  <c r="CA228" i="9"/>
  <c r="CB178" i="9"/>
  <c r="CC128" i="9"/>
  <c r="AO54" i="9"/>
  <c r="AI203" i="9"/>
  <c r="AJ203" i="9" s="1"/>
  <c r="AH204" i="9"/>
  <c r="AO203" i="9"/>
  <c r="AO154" i="9"/>
  <c r="AI154" i="9"/>
  <c r="AJ154" i="9" s="1"/>
  <c r="AH155" i="9"/>
  <c r="AI257" i="9" l="1"/>
  <c r="AJ257" i="9" s="1"/>
  <c r="AH258" i="9"/>
  <c r="AO55" i="9"/>
  <c r="AO253" i="9"/>
  <c r="AI204" i="9"/>
  <c r="AJ204" i="9" s="1"/>
  <c r="AH205" i="9"/>
  <c r="CB228" i="9"/>
  <c r="AH156" i="9"/>
  <c r="AI155" i="9"/>
  <c r="AJ155" i="9" s="1"/>
  <c r="AO204" i="9"/>
  <c r="AO155" i="9"/>
  <c r="CC178" i="9"/>
  <c r="CD128" i="9"/>
  <c r="AH259" i="9" l="1"/>
  <c r="AI258" i="9"/>
  <c r="AJ258" i="9" s="1"/>
  <c r="AI205" i="9"/>
  <c r="AJ205" i="9" s="1"/>
  <c r="AH206" i="9"/>
  <c r="CD178" i="9"/>
  <c r="CE128" i="9"/>
  <c r="AO254" i="9"/>
  <c r="AO205" i="9"/>
  <c r="AO156" i="9"/>
  <c r="CC228" i="9"/>
  <c r="AO56" i="9"/>
  <c r="AH157" i="9"/>
  <c r="AI156" i="9"/>
  <c r="AJ156" i="9" s="1"/>
  <c r="AI259" i="9" l="1"/>
  <c r="AJ259" i="9" s="1"/>
  <c r="AH260" i="9"/>
  <c r="CD228" i="9"/>
  <c r="AH158" i="9"/>
  <c r="AI157" i="9"/>
  <c r="AJ157" i="9" s="1"/>
  <c r="AI206" i="9"/>
  <c r="AJ206" i="9" s="1"/>
  <c r="AH207" i="9"/>
  <c r="AO206" i="9"/>
  <c r="AO157" i="9"/>
  <c r="AO57" i="9"/>
  <c r="AO255" i="9"/>
  <c r="CE178" i="9"/>
  <c r="CF128" i="9"/>
  <c r="AH261" i="9" l="1"/>
  <c r="AI260" i="9"/>
  <c r="AJ260" i="9" s="1"/>
  <c r="AI207" i="9"/>
  <c r="AJ207" i="9" s="1"/>
  <c r="AH208" i="9"/>
  <c r="CE228" i="9"/>
  <c r="AO58" i="9"/>
  <c r="AO207" i="9"/>
  <c r="AO158" i="9"/>
  <c r="AH159" i="9"/>
  <c r="AI158" i="9"/>
  <c r="AJ158" i="9" s="1"/>
  <c r="CF178" i="9"/>
  <c r="CG128" i="9"/>
  <c r="AO256" i="9"/>
  <c r="AI261" i="9" l="1"/>
  <c r="AJ261" i="9" s="1"/>
  <c r="AH262" i="9"/>
  <c r="AO257" i="9"/>
  <c r="AO59" i="9"/>
  <c r="AI208" i="9"/>
  <c r="AJ208" i="9" s="1"/>
  <c r="AH209" i="9"/>
  <c r="AH160" i="9"/>
  <c r="AI159" i="9"/>
  <c r="AJ159" i="9" s="1"/>
  <c r="AO208" i="9"/>
  <c r="AO159" i="9"/>
  <c r="CF228" i="9"/>
  <c r="CH128" i="9"/>
  <c r="CG178" i="9"/>
  <c r="AH263" i="9" l="1"/>
  <c r="AI262" i="9"/>
  <c r="AJ262" i="9" s="1"/>
  <c r="AO209" i="9"/>
  <c r="AO160" i="9"/>
  <c r="AO258" i="9"/>
  <c r="AI209" i="9"/>
  <c r="AJ209" i="9" s="1"/>
  <c r="AH210" i="9"/>
  <c r="AH161" i="9"/>
  <c r="AI160" i="9"/>
  <c r="AJ160" i="9" s="1"/>
  <c r="AO60" i="9"/>
  <c r="CG228" i="9"/>
  <c r="CH178" i="9"/>
  <c r="CI128" i="9"/>
  <c r="AI263" i="9" l="1"/>
  <c r="AJ263" i="9" s="1"/>
  <c r="AH264" i="9"/>
  <c r="AO61" i="9"/>
  <c r="AH162" i="9"/>
  <c r="AI161" i="9"/>
  <c r="AJ161" i="9" s="1"/>
  <c r="CJ128" i="9"/>
  <c r="CI178" i="9"/>
  <c r="AO161" i="9"/>
  <c r="AO210" i="9"/>
  <c r="CH228" i="9"/>
  <c r="AI210" i="9"/>
  <c r="AJ210" i="9" s="1"/>
  <c r="AH211" i="9"/>
  <c r="AO259" i="9"/>
  <c r="AH265" i="9" l="1"/>
  <c r="AI264" i="9"/>
  <c r="AJ264" i="9" s="1"/>
  <c r="CJ178" i="9"/>
  <c r="CK128" i="9"/>
  <c r="AO211" i="9"/>
  <c r="AO162" i="9"/>
  <c r="CI228" i="9"/>
  <c r="AH212" i="9"/>
  <c r="AI211" i="9"/>
  <c r="AJ211" i="9" s="1"/>
  <c r="AH163" i="9"/>
  <c r="AI162" i="9"/>
  <c r="AJ162" i="9" s="1"/>
  <c r="AO62" i="9"/>
  <c r="AO260" i="9"/>
  <c r="AI265" i="9" l="1"/>
  <c r="AJ265" i="9" s="1"/>
  <c r="AH266" i="9"/>
  <c r="AO63" i="9"/>
  <c r="AH213" i="9"/>
  <c r="AI212" i="9"/>
  <c r="AJ212" i="9" s="1"/>
  <c r="AH164" i="9"/>
  <c r="AI163" i="9"/>
  <c r="AJ163" i="9" s="1"/>
  <c r="AO212" i="9"/>
  <c r="AO163" i="9"/>
  <c r="CJ228" i="9"/>
  <c r="CK178" i="9"/>
  <c r="CL128" i="9"/>
  <c r="AO261" i="9"/>
  <c r="AH267" i="9" l="1"/>
  <c r="AI266" i="9"/>
  <c r="AJ266" i="9" s="1"/>
  <c r="CK228" i="9"/>
  <c r="AO262" i="9"/>
  <c r="CM128" i="9"/>
  <c r="CL178" i="9"/>
  <c r="AO64" i="9"/>
  <c r="AH214" i="9"/>
  <c r="AI213" i="9"/>
  <c r="AJ213" i="9" s="1"/>
  <c r="AO164" i="9"/>
  <c r="AO213" i="9"/>
  <c r="AH165" i="9"/>
  <c r="AI164" i="9"/>
  <c r="AJ164" i="9" s="1"/>
  <c r="AI267" i="9" l="1"/>
  <c r="AJ267" i="9" s="1"/>
  <c r="AH268" i="9"/>
  <c r="AO65" i="9"/>
  <c r="AO263" i="9"/>
  <c r="AH215" i="9"/>
  <c r="AI214" i="9"/>
  <c r="AJ214" i="9" s="1"/>
  <c r="AO214" i="9"/>
  <c r="AO165" i="9"/>
  <c r="CL228" i="9"/>
  <c r="AH166" i="9"/>
  <c r="AI165" i="9"/>
  <c r="AJ165" i="9" s="1"/>
  <c r="CN128" i="9"/>
  <c r="CM178" i="9"/>
  <c r="AH269" i="9" l="1"/>
  <c r="AI269" i="9" s="1"/>
  <c r="AJ269" i="9" s="1"/>
  <c r="AI268" i="9"/>
  <c r="AJ268" i="9" s="1"/>
  <c r="AH216" i="9"/>
  <c r="AI215" i="9"/>
  <c r="AJ215" i="9" s="1"/>
  <c r="AO66" i="9"/>
  <c r="CN178" i="9"/>
  <c r="CO128" i="9"/>
  <c r="AO215" i="9"/>
  <c r="AO166" i="9"/>
  <c r="AO264" i="9"/>
  <c r="CM228" i="9"/>
  <c r="AH167" i="9"/>
  <c r="AI166" i="9"/>
  <c r="AJ166" i="9" s="1"/>
  <c r="AO265" i="9" l="1"/>
  <c r="AH217" i="9"/>
  <c r="AI216" i="9"/>
  <c r="AJ216" i="9" s="1"/>
  <c r="AO216" i="9"/>
  <c r="AO167" i="9"/>
  <c r="AH168" i="9"/>
  <c r="AI167" i="9"/>
  <c r="AJ167" i="9" s="1"/>
  <c r="CP128" i="9"/>
  <c r="CO178" i="9"/>
  <c r="CN228" i="9"/>
  <c r="AO67" i="9"/>
  <c r="AO217" i="9" l="1"/>
  <c r="AO168" i="9"/>
  <c r="AH169" i="9"/>
  <c r="AI169" i="9" s="1"/>
  <c r="AJ169" i="9" s="1"/>
  <c r="AI168" i="9"/>
  <c r="AJ168" i="9" s="1"/>
  <c r="CP178" i="9"/>
  <c r="AO68" i="9"/>
  <c r="CO228" i="9"/>
  <c r="AO266" i="9"/>
  <c r="AH218" i="9"/>
  <c r="AI217" i="9"/>
  <c r="AJ217" i="9" s="1"/>
  <c r="AO69" i="9" l="1"/>
  <c r="AO267" i="9"/>
  <c r="AH219" i="9"/>
  <c r="AI219" i="9" s="1"/>
  <c r="AJ219" i="9" s="1"/>
  <c r="AI218" i="9"/>
  <c r="AJ218" i="9" s="1"/>
  <c r="CP228" i="9"/>
  <c r="AO218" i="9"/>
  <c r="AO169" i="9"/>
  <c r="AO219" i="9" l="1"/>
  <c r="AO268" i="9"/>
  <c r="AO269" i="9" l="1"/>
  <c r="N71" i="4" l="1"/>
  <c r="P101" i="4" s="1"/>
  <c r="N58" i="4"/>
  <c r="AC75" i="4"/>
  <c r="AC116" i="4" s="1"/>
  <c r="AB75" i="4"/>
  <c r="AB116" i="4" s="1"/>
  <c r="U75" i="4"/>
  <c r="U116" i="4" s="1"/>
  <c r="T75" i="4"/>
  <c r="T116" i="4" s="1"/>
  <c r="Y75" i="4"/>
  <c r="X75" i="4"/>
  <c r="P83" i="4" l="1"/>
  <c r="P94" i="4"/>
  <c r="Q104" i="4"/>
  <c r="P115" i="4"/>
  <c r="P87" i="4"/>
  <c r="P105" i="4"/>
  <c r="P77" i="4"/>
  <c r="Q78" i="4"/>
  <c r="Q83" i="4"/>
  <c r="Q89" i="4"/>
  <c r="Q94" i="4"/>
  <c r="Q99" i="4"/>
  <c r="Q105" i="4"/>
  <c r="Q110" i="4"/>
  <c r="Q115" i="4"/>
  <c r="P92" i="4"/>
  <c r="P108" i="4"/>
  <c r="O77" i="4"/>
  <c r="O73" i="4"/>
  <c r="P79" i="4"/>
  <c r="Q84" i="4"/>
  <c r="P90" i="4"/>
  <c r="Q95" i="4"/>
  <c r="Q100" i="4"/>
  <c r="P106" i="4"/>
  <c r="Q111" i="4"/>
  <c r="O80" i="4"/>
  <c r="P93" i="4"/>
  <c r="P110" i="4"/>
  <c r="O76" i="4"/>
  <c r="Q75" i="4"/>
  <c r="Q79" i="4"/>
  <c r="Q85" i="4"/>
  <c r="Q90" i="4"/>
  <c r="Q96" i="4"/>
  <c r="Q101" i="4"/>
  <c r="Q106" i="4"/>
  <c r="P112" i="4"/>
  <c r="P78" i="4"/>
  <c r="P95" i="4"/>
  <c r="P111" i="4"/>
  <c r="O81" i="4"/>
  <c r="Q77" i="4"/>
  <c r="Q82" i="4"/>
  <c r="Q88" i="4"/>
  <c r="Q93" i="4"/>
  <c r="Q98" i="4"/>
  <c r="Q103" i="4"/>
  <c r="P109" i="4"/>
  <c r="Q114" i="4"/>
  <c r="P86" i="4"/>
  <c r="P104" i="4"/>
  <c r="O79" i="4"/>
  <c r="O78" i="4"/>
  <c r="P89" i="4"/>
  <c r="P99" i="4"/>
  <c r="Q109" i="4"/>
  <c r="P75" i="4"/>
  <c r="Q80" i="4"/>
  <c r="Q86" i="4"/>
  <c r="P91" i="4"/>
  <c r="P97" i="4"/>
  <c r="P102" i="4"/>
  <c r="P107" i="4"/>
  <c r="Q112" i="4"/>
  <c r="P81" i="4"/>
  <c r="P96" i="4"/>
  <c r="P114" i="4"/>
  <c r="O82" i="4"/>
  <c r="P76" i="4"/>
  <c r="Q81" i="4"/>
  <c r="Q87" i="4"/>
  <c r="Q91" i="4"/>
  <c r="Q97" i="4"/>
  <c r="Q102" i="4"/>
  <c r="Q107" i="4"/>
  <c r="P113" i="4"/>
  <c r="P84" i="4"/>
  <c r="P100" i="4"/>
  <c r="O83" i="4"/>
  <c r="Q76" i="4"/>
  <c r="P82" i="4"/>
  <c r="P88" i="4"/>
  <c r="Q92" i="4"/>
  <c r="P98" i="4"/>
  <c r="P103" i="4"/>
  <c r="Q108" i="4"/>
  <c r="Q113" i="4"/>
  <c r="P85" i="4"/>
  <c r="Y116" i="4"/>
  <c r="P80" i="4"/>
  <c r="O84" i="4"/>
  <c r="O75" i="4"/>
  <c r="R78" i="4" l="1"/>
  <c r="R82" i="4"/>
  <c r="R84" i="4"/>
  <c r="R81" i="4"/>
  <c r="R83" i="4"/>
  <c r="Q116" i="4"/>
  <c r="R79" i="4"/>
  <c r="R77" i="4"/>
  <c r="R76" i="4"/>
  <c r="P116" i="4"/>
  <c r="R80" i="4"/>
  <c r="O85" i="4"/>
  <c r="R75" i="4"/>
  <c r="O86" i="4" l="1"/>
  <c r="R85" i="4"/>
  <c r="R86" i="4" l="1"/>
  <c r="O87" i="4"/>
  <c r="O88" i="4" l="1"/>
  <c r="R87" i="4"/>
  <c r="R88" i="4" l="1"/>
  <c r="O89" i="4"/>
  <c r="R89" i="4" l="1"/>
  <c r="O90" i="4"/>
  <c r="R90" i="4" l="1"/>
  <c r="O91" i="4"/>
  <c r="O92" i="4" l="1"/>
  <c r="R91" i="4"/>
  <c r="O93" i="4" l="1"/>
  <c r="R92" i="4"/>
  <c r="O94" i="4" l="1"/>
  <c r="R93" i="4"/>
  <c r="R94" i="4" l="1"/>
  <c r="O95" i="4"/>
  <c r="O96" i="4" l="1"/>
  <c r="R95" i="4"/>
  <c r="R96" i="4" l="1"/>
  <c r="O97" i="4"/>
  <c r="R97" i="4" l="1"/>
  <c r="O98" i="4"/>
  <c r="R98" i="4" l="1"/>
  <c r="O99" i="4"/>
  <c r="O100" i="4" l="1"/>
  <c r="R99" i="4"/>
  <c r="O101" i="4" l="1"/>
  <c r="R100" i="4"/>
  <c r="R101" i="4" l="1"/>
  <c r="O102" i="4"/>
  <c r="R102" i="4" l="1"/>
  <c r="O103" i="4"/>
  <c r="O104" i="4" l="1"/>
  <c r="R103" i="4"/>
  <c r="R104" i="4" l="1"/>
  <c r="O105" i="4"/>
  <c r="O106" i="4" l="1"/>
  <c r="R105" i="4"/>
  <c r="R106" i="4" l="1"/>
  <c r="O107" i="4"/>
  <c r="O108" i="4" l="1"/>
  <c r="R107" i="4"/>
  <c r="O109" i="4" l="1"/>
  <c r="R108" i="4"/>
  <c r="R109" i="4" l="1"/>
  <c r="O110" i="4"/>
  <c r="R110" i="4" l="1"/>
  <c r="O111" i="4"/>
  <c r="O112" i="4" l="1"/>
  <c r="R111" i="4"/>
  <c r="O113" i="4" l="1"/>
  <c r="R112" i="4"/>
  <c r="R113" i="4" l="1"/>
  <c r="O114" i="4"/>
  <c r="R114" i="4" l="1"/>
  <c r="O115" i="4"/>
  <c r="X116" i="4"/>
  <c r="R115" i="4" l="1"/>
  <c r="R116" i="4" s="1"/>
  <c r="O116" i="4"/>
  <c r="AU93" i="4" l="1"/>
  <c r="AT93" i="4"/>
  <c r="AS93" i="4"/>
  <c r="AU92" i="4"/>
  <c r="AT92" i="4"/>
  <c r="AS92" i="4"/>
  <c r="AS94" i="4" s="1"/>
  <c r="AS96" i="4" s="1"/>
  <c r="AU89" i="4"/>
  <c r="AT89" i="4"/>
  <c r="AS89" i="4"/>
  <c r="AU88" i="4"/>
  <c r="AT88" i="4"/>
  <c r="AS88" i="4"/>
  <c r="AU86" i="4"/>
  <c r="AT86" i="4"/>
  <c r="AS86" i="4"/>
  <c r="AP81" i="4"/>
  <c r="AO81" i="4"/>
  <c r="AN81" i="4"/>
  <c r="AP80" i="4"/>
  <c r="AO80" i="4"/>
  <c r="AN80" i="4"/>
  <c r="AR92" i="4"/>
  <c r="AR94" i="4" s="1"/>
  <c r="AR96" i="4" s="1"/>
  <c r="AQ92" i="4"/>
  <c r="AQ94" i="4" s="1"/>
  <c r="AQ96" i="4" s="1"/>
  <c r="AP92" i="4"/>
  <c r="AP94" i="4" s="1"/>
  <c r="AP96" i="4" s="1"/>
  <c r="AR88" i="4"/>
  <c r="AR90" i="4" s="1"/>
  <c r="AQ88" i="4"/>
  <c r="AQ90" i="4" s="1"/>
  <c r="AP88" i="4"/>
  <c r="AP90" i="4" s="1"/>
  <c r="AN82" i="4" l="1"/>
  <c r="AT90" i="4"/>
  <c r="AS90" i="4"/>
  <c r="AU90" i="4"/>
  <c r="AT94" i="4"/>
  <c r="AT96" i="4" s="1"/>
  <c r="AF82" i="4"/>
  <c r="AF75" i="4"/>
  <c r="AF79" i="4"/>
  <c r="AF84" i="4"/>
  <c r="AF83" i="4"/>
  <c r="AF77" i="4"/>
  <c r="AF80" i="4"/>
  <c r="AF78" i="4"/>
  <c r="AF81" i="4"/>
  <c r="AF76"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G101" i="4"/>
  <c r="AG79" i="4"/>
  <c r="AG78" i="4"/>
  <c r="AG91" i="4"/>
  <c r="AG85" i="4"/>
  <c r="AG107" i="4"/>
  <c r="AG109" i="4"/>
  <c r="AG103" i="4"/>
  <c r="AG95" i="4"/>
  <c r="AG84" i="4"/>
  <c r="AG88" i="4"/>
  <c r="AG76" i="4"/>
  <c r="AG75" i="4"/>
  <c r="AG106" i="4"/>
  <c r="AG92" i="4"/>
  <c r="AG104" i="4"/>
  <c r="AG86" i="4"/>
  <c r="AG112" i="4"/>
  <c r="AG105" i="4"/>
  <c r="AG90" i="4"/>
  <c r="AG89" i="4"/>
  <c r="AG100" i="4"/>
  <c r="AG110" i="4"/>
  <c r="AG115" i="4"/>
  <c r="AG77" i="4"/>
  <c r="AG82" i="4"/>
  <c r="AG99" i="4"/>
  <c r="AG102" i="4"/>
  <c r="AG87" i="4"/>
  <c r="AG80" i="4"/>
  <c r="AG81" i="4"/>
  <c r="AG111" i="4"/>
  <c r="AG94" i="4"/>
  <c r="AG98" i="4"/>
  <c r="AG97" i="4"/>
  <c r="AG114" i="4"/>
  <c r="AG96" i="4"/>
  <c r="AG108" i="4"/>
  <c r="AG83" i="4"/>
  <c r="AG93" i="4"/>
  <c r="AG113" i="4"/>
  <c r="AU94" i="4"/>
  <c r="AU96" i="4" s="1"/>
  <c r="AH121" i="6"/>
  <c r="AI121" i="6" s="1"/>
  <c r="AJ121" i="6" s="1"/>
  <c r="AH79" i="6"/>
  <c r="AH80" i="6" s="1"/>
  <c r="AH81" i="6" s="1"/>
  <c r="C79" i="6"/>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AI80" i="6" l="1"/>
  <c r="AJ80" i="6" s="1"/>
  <c r="AI79" i="6"/>
  <c r="AJ79" i="6" s="1"/>
  <c r="AI81" i="6"/>
  <c r="AJ81" i="6" s="1"/>
  <c r="AH82" i="6"/>
  <c r="AH83" i="6" l="1"/>
  <c r="AI82" i="6"/>
  <c r="AJ82" i="6" s="1"/>
  <c r="AI83" i="6" l="1"/>
  <c r="AJ83" i="6" s="1"/>
  <c r="AH84" i="6"/>
  <c r="AH85" i="6" l="1"/>
  <c r="AI84" i="6"/>
  <c r="AJ84" i="6" s="1"/>
  <c r="AH86" i="6" l="1"/>
  <c r="AI85" i="6"/>
  <c r="AJ85" i="6" s="1"/>
  <c r="AH87" i="6" l="1"/>
  <c r="AI86" i="6"/>
  <c r="AJ86" i="6" s="1"/>
  <c r="AI87" i="6" l="1"/>
  <c r="AJ87" i="6" s="1"/>
  <c r="AH88" i="6"/>
  <c r="AH89" i="6" l="1"/>
  <c r="AI88" i="6"/>
  <c r="AJ88" i="6" s="1"/>
  <c r="AI89" i="6" l="1"/>
  <c r="AJ89" i="6" s="1"/>
  <c r="AH90" i="6"/>
  <c r="AI90" i="6" l="1"/>
  <c r="AJ90" i="6" s="1"/>
  <c r="AH91" i="6"/>
  <c r="AH92" i="6" l="1"/>
  <c r="AI91" i="6"/>
  <c r="AJ91" i="6" s="1"/>
  <c r="AH93" i="6" l="1"/>
  <c r="AI92" i="6"/>
  <c r="AJ92" i="6" s="1"/>
  <c r="AH94" i="6" l="1"/>
  <c r="AI93" i="6"/>
  <c r="AJ93" i="6" s="1"/>
  <c r="AI94" i="6" l="1"/>
  <c r="AJ94" i="6" s="1"/>
  <c r="AH95" i="6"/>
  <c r="AH96" i="6" l="1"/>
  <c r="AI95" i="6"/>
  <c r="AJ95" i="6" s="1"/>
  <c r="AI96" i="6" l="1"/>
  <c r="AJ96" i="6" s="1"/>
  <c r="AH97" i="6"/>
  <c r="AI97" i="6" l="1"/>
  <c r="AJ97" i="6" s="1"/>
  <c r="AH98" i="6"/>
  <c r="AH99" i="6" l="1"/>
  <c r="AI98" i="6"/>
  <c r="AJ98" i="6" s="1"/>
  <c r="AI99" i="6" l="1"/>
  <c r="AJ99" i="6" s="1"/>
  <c r="AH100" i="6"/>
  <c r="AI100" i="6" l="1"/>
  <c r="AJ100" i="6" s="1"/>
  <c r="AH101" i="6"/>
  <c r="AH102" i="6" l="1"/>
  <c r="AI101" i="6"/>
  <c r="AJ101" i="6" s="1"/>
  <c r="AI102" i="6" l="1"/>
  <c r="AJ102" i="6" s="1"/>
  <c r="AH103" i="6"/>
  <c r="AH104" i="6" l="1"/>
  <c r="AI103" i="6"/>
  <c r="AJ103" i="6" s="1"/>
  <c r="AI104" i="6" l="1"/>
  <c r="AJ104" i="6" s="1"/>
  <c r="AH105" i="6"/>
  <c r="AI105" i="6" l="1"/>
  <c r="AJ105" i="6" s="1"/>
  <c r="AH106" i="6"/>
  <c r="AH107" i="6" l="1"/>
  <c r="AI106" i="6"/>
  <c r="AJ106" i="6" s="1"/>
  <c r="AI107" i="6" l="1"/>
  <c r="AJ107" i="6" s="1"/>
  <c r="AH108" i="6"/>
  <c r="AH109" i="6" l="1"/>
  <c r="AI108" i="6"/>
  <c r="AJ108" i="6" s="1"/>
  <c r="AH110" i="6" l="1"/>
  <c r="AI109" i="6"/>
  <c r="AJ109" i="6" s="1"/>
  <c r="AI110" i="6" l="1"/>
  <c r="AJ110" i="6" s="1"/>
  <c r="AH111" i="6"/>
  <c r="AH112" i="6" l="1"/>
  <c r="AI111" i="6"/>
  <c r="AJ111" i="6" s="1"/>
  <c r="AI112" i="6" l="1"/>
  <c r="AJ112" i="6" s="1"/>
  <c r="AH113" i="6"/>
  <c r="AI113" i="6" l="1"/>
  <c r="AJ113" i="6" s="1"/>
  <c r="AH114" i="6"/>
  <c r="AH115" i="6" l="1"/>
  <c r="AI114" i="6"/>
  <c r="AJ114" i="6" s="1"/>
  <c r="AI115" i="6" l="1"/>
  <c r="AJ115" i="6" s="1"/>
  <c r="AH116" i="6"/>
  <c r="AH117" i="6" l="1"/>
  <c r="AI116" i="6"/>
  <c r="AJ116" i="6" s="1"/>
  <c r="AH118" i="6" l="1"/>
  <c r="AI117" i="6"/>
  <c r="AJ117" i="6" s="1"/>
  <c r="AI118" i="6" l="1"/>
  <c r="AJ118" i="6" s="1"/>
  <c r="AH119" i="6"/>
  <c r="AI119" i="6" s="1"/>
  <c r="AJ119" i="6" s="1"/>
  <c r="AQ25" i="6" l="1"/>
  <c r="Y12" i="6" l="1"/>
  <c r="Y16" i="6" s="1"/>
  <c r="W7" i="6"/>
  <c r="V7" i="6"/>
  <c r="W6" i="6"/>
  <c r="V6" i="6"/>
  <c r="AS79" i="6" l="1"/>
  <c r="AS29" i="6"/>
  <c r="Y6" i="6"/>
  <c r="Y7" i="6"/>
  <c r="AR11" i="6"/>
  <c r="AR10" i="6"/>
  <c r="AR9" i="6"/>
  <c r="AR8" i="6"/>
  <c r="AR7" i="6"/>
  <c r="I19" i="6"/>
  <c r="I18" i="6"/>
  <c r="I17" i="6"/>
  <c r="AT72" i="6" l="1"/>
  <c r="AR29" i="6"/>
  <c r="AS30" i="6"/>
  <c r="AS80" i="6"/>
  <c r="AT122" i="6"/>
  <c r="AR79" i="6"/>
  <c r="Y8" i="6"/>
  <c r="W8" i="6"/>
  <c r="Q274" i="6"/>
  <c r="AD274" i="6" s="1"/>
  <c r="Q224" i="6"/>
  <c r="AD224" i="6" s="1"/>
  <c r="Q174" i="6"/>
  <c r="AD174" i="6" s="1"/>
  <c r="Q124" i="6"/>
  <c r="AD124" i="6" s="1"/>
  <c r="AO79" i="6"/>
  <c r="Q74" i="6"/>
  <c r="AD74" i="6" s="1"/>
  <c r="AH71" i="6"/>
  <c r="AI71" i="6" s="1"/>
  <c r="AW61" i="14" s="1"/>
  <c r="AO30" i="6"/>
  <c r="AO80" i="6" s="1"/>
  <c r="AH29" i="6"/>
  <c r="AI29" i="6" s="1"/>
  <c r="AJ29" i="6" s="1"/>
  <c r="C29" i="6"/>
  <c r="C30" i="6" s="1"/>
  <c r="Q24" i="6"/>
  <c r="AD24" i="6" s="1"/>
  <c r="M18" i="6"/>
  <c r="X8" i="6"/>
  <c r="R7" i="6"/>
  <c r="AW7" i="6"/>
  <c r="R6" i="6"/>
  <c r="G6" i="6"/>
  <c r="R5" i="6"/>
  <c r="AW62" i="14" l="1"/>
  <c r="AW63" i="14" s="1"/>
  <c r="AW65" i="14" s="1"/>
  <c r="AW69" i="14" s="1"/>
  <c r="AW60" i="14"/>
  <c r="AJ71" i="6"/>
  <c r="V304" i="12"/>
  <c r="V301" i="12"/>
  <c r="V310" i="12"/>
  <c r="V284" i="12"/>
  <c r="V279" i="12"/>
  <c r="V303" i="12"/>
  <c r="V300" i="12"/>
  <c r="V295" i="12"/>
  <c r="V283" i="12"/>
  <c r="V306" i="12"/>
  <c r="V305" i="12"/>
  <c r="V297" i="12"/>
  <c r="V317" i="12"/>
  <c r="V302" i="12"/>
  <c r="V299" i="12"/>
  <c r="V293" i="12"/>
  <c r="V282" i="12"/>
  <c r="V315" i="12"/>
  <c r="V316" i="12"/>
  <c r="V298" i="12"/>
  <c r="V291" i="12"/>
  <c r="V281" i="12"/>
  <c r="V296" i="12"/>
  <c r="V313" i="12"/>
  <c r="V285" i="12"/>
  <c r="V311" i="12"/>
  <c r="V308" i="12"/>
  <c r="V312" i="12"/>
  <c r="V288" i="12"/>
  <c r="V280" i="12"/>
  <c r="V307" i="12"/>
  <c r="V314" i="12"/>
  <c r="V290" i="12"/>
  <c r="V287" i="12"/>
  <c r="V294" i="12"/>
  <c r="V309" i="12"/>
  <c r="V318" i="12"/>
  <c r="V289" i="12"/>
  <c r="V286" i="12"/>
  <c r="V292" i="12"/>
  <c r="Y18" i="6"/>
  <c r="G5" i="6"/>
  <c r="V119" i="6"/>
  <c r="V121" i="6" s="1"/>
  <c r="V111" i="6"/>
  <c r="V103" i="6"/>
  <c r="V95" i="6"/>
  <c r="V87" i="6"/>
  <c r="V113" i="6"/>
  <c r="V105" i="6"/>
  <c r="V89" i="6"/>
  <c r="V118" i="6"/>
  <c r="V110" i="6"/>
  <c r="V94" i="6"/>
  <c r="V115" i="6"/>
  <c r="V107" i="6"/>
  <c r="V99" i="6"/>
  <c r="V116" i="6"/>
  <c r="V108" i="6"/>
  <c r="V100" i="6"/>
  <c r="V92" i="6"/>
  <c r="V84" i="6"/>
  <c r="V97" i="6"/>
  <c r="V81" i="6"/>
  <c r="V102" i="6"/>
  <c r="V86" i="6"/>
  <c r="V104" i="6"/>
  <c r="V98" i="6"/>
  <c r="V96" i="6"/>
  <c r="V85" i="6"/>
  <c r="V101" i="6"/>
  <c r="V93" i="6"/>
  <c r="V79" i="6"/>
  <c r="V82" i="6"/>
  <c r="V114" i="6"/>
  <c r="V112" i="6"/>
  <c r="V106" i="6"/>
  <c r="V91" i="6"/>
  <c r="V117" i="6"/>
  <c r="V90" i="6"/>
  <c r="V80" i="6"/>
  <c r="V109" i="6"/>
  <c r="V83" i="6"/>
  <c r="V88" i="6"/>
  <c r="V68" i="6"/>
  <c r="V318" i="6" s="1"/>
  <c r="V60" i="6"/>
  <c r="V310" i="6" s="1"/>
  <c r="V52" i="6"/>
  <c r="V302" i="6" s="1"/>
  <c r="V44" i="6"/>
  <c r="V294" i="6" s="1"/>
  <c r="V36" i="6"/>
  <c r="V286" i="6" s="1"/>
  <c r="V33" i="6"/>
  <c r="V283" i="6" s="1"/>
  <c r="V54" i="6"/>
  <c r="V304" i="6" s="1"/>
  <c r="V30" i="6"/>
  <c r="V280" i="6" s="1"/>
  <c r="V67" i="6"/>
  <c r="V317" i="6" s="1"/>
  <c r="V59" i="6"/>
  <c r="V309" i="6" s="1"/>
  <c r="V43" i="6"/>
  <c r="V293" i="6" s="1"/>
  <c r="V66" i="6"/>
  <c r="V316" i="6" s="1"/>
  <c r="V65" i="6"/>
  <c r="V315" i="6" s="1"/>
  <c r="V57" i="6"/>
  <c r="V307" i="6" s="1"/>
  <c r="V49" i="6"/>
  <c r="V299" i="6" s="1"/>
  <c r="V41" i="6"/>
  <c r="V291" i="6" s="1"/>
  <c r="V62" i="6"/>
  <c r="V312" i="6" s="1"/>
  <c r="V46" i="6"/>
  <c r="V296" i="6" s="1"/>
  <c r="V38" i="6"/>
  <c r="V288" i="6" s="1"/>
  <c r="V51" i="6"/>
  <c r="V301" i="6" s="1"/>
  <c r="V35" i="6"/>
  <c r="V285" i="6" s="1"/>
  <c r="V64" i="6"/>
  <c r="V314" i="6" s="1"/>
  <c r="V56" i="6"/>
  <c r="V306" i="6" s="1"/>
  <c r="V48" i="6"/>
  <c r="V298" i="6" s="1"/>
  <c r="V40" i="6"/>
  <c r="V290" i="6" s="1"/>
  <c r="V32" i="6"/>
  <c r="V282" i="6" s="1"/>
  <c r="V69" i="6"/>
  <c r="V61" i="6"/>
  <c r="V311" i="6" s="1"/>
  <c r="V53" i="6"/>
  <c r="V303" i="6" s="1"/>
  <c r="V45" i="6"/>
  <c r="V295" i="6" s="1"/>
  <c r="V37" i="6"/>
  <c r="V287" i="6" s="1"/>
  <c r="V29" i="6"/>
  <c r="V279" i="6" s="1"/>
  <c r="V58" i="6"/>
  <c r="V308" i="6" s="1"/>
  <c r="V50" i="6"/>
  <c r="V300" i="6" s="1"/>
  <c r="V42" i="6"/>
  <c r="V292" i="6" s="1"/>
  <c r="V34" i="6"/>
  <c r="V284" i="6" s="1"/>
  <c r="V63" i="6"/>
  <c r="V313" i="6" s="1"/>
  <c r="V55" i="6"/>
  <c r="V305" i="6" s="1"/>
  <c r="V47" i="6"/>
  <c r="V297" i="6" s="1"/>
  <c r="V39" i="6"/>
  <c r="V289" i="6" s="1"/>
  <c r="V31" i="6"/>
  <c r="V281" i="6" s="1"/>
  <c r="AS81" i="6"/>
  <c r="AS31" i="6"/>
  <c r="AS32" i="6" s="1"/>
  <c r="C280" i="6"/>
  <c r="AP30" i="6"/>
  <c r="AP80" i="6" s="1"/>
  <c r="C31" i="6"/>
  <c r="AO31" i="6"/>
  <c r="AQ29" i="6"/>
  <c r="AW8" i="6"/>
  <c r="C279" i="6"/>
  <c r="AP29" i="6"/>
  <c r="AP79" i="6" s="1"/>
  <c r="AH30" i="6"/>
  <c r="AI30" i="6" s="1"/>
  <c r="AJ30" i="6" s="1"/>
  <c r="V8" i="6"/>
  <c r="V319" i="12" l="1"/>
  <c r="V319" i="6"/>
  <c r="V321" i="6" s="1"/>
  <c r="V71" i="6"/>
  <c r="AQ79" i="6"/>
  <c r="AT29" i="6"/>
  <c r="AS33" i="6"/>
  <c r="AS82" i="6"/>
  <c r="C281" i="6"/>
  <c r="AP31" i="6"/>
  <c r="AP81" i="6" s="1"/>
  <c r="C32" i="6"/>
  <c r="AW12" i="6"/>
  <c r="AH31" i="6"/>
  <c r="AI31" i="6" s="1"/>
  <c r="AJ31" i="6" s="1"/>
  <c r="AQ30" i="6"/>
  <c r="AO81" i="6"/>
  <c r="AO32" i="6"/>
  <c r="AQ80" i="6" l="1"/>
  <c r="AS83" i="6"/>
  <c r="AS34" i="6"/>
  <c r="AU29" i="6"/>
  <c r="AR30" i="6" s="1"/>
  <c r="AU79" i="6"/>
  <c r="AR80" i="6" s="1"/>
  <c r="AH32" i="6"/>
  <c r="AI32" i="6" s="1"/>
  <c r="AJ32" i="6" s="1"/>
  <c r="AQ31" i="6"/>
  <c r="AQ81" i="6" s="1"/>
  <c r="AO82" i="6"/>
  <c r="AO33" i="6"/>
  <c r="C282" i="6"/>
  <c r="AP32" i="6"/>
  <c r="AP82" i="6" s="1"/>
  <c r="C33" i="6"/>
  <c r="AS35" i="6" l="1"/>
  <c r="AS84" i="6"/>
  <c r="AT30" i="6"/>
  <c r="AT80" i="6"/>
  <c r="C283" i="6"/>
  <c r="AP33" i="6"/>
  <c r="AP83" i="6" s="1"/>
  <c r="C34" i="6"/>
  <c r="AH33" i="6"/>
  <c r="AI33" i="6" s="1"/>
  <c r="AJ33" i="6" s="1"/>
  <c r="AQ32" i="6"/>
  <c r="AO83" i="6"/>
  <c r="AO34" i="6"/>
  <c r="AQ82" i="6" l="1"/>
  <c r="AS36" i="6"/>
  <c r="AU80" i="6"/>
  <c r="AR81" i="6" s="1"/>
  <c r="AT81" i="6" s="1"/>
  <c r="AU81" i="6" s="1"/>
  <c r="AR82" i="6" s="1"/>
  <c r="AS85" i="6"/>
  <c r="AU30" i="6"/>
  <c r="AR31" i="6" s="1"/>
  <c r="AO84" i="6"/>
  <c r="AO35" i="6"/>
  <c r="C284" i="6"/>
  <c r="C35" i="6"/>
  <c r="AP34" i="6"/>
  <c r="AP84" i="6" s="1"/>
  <c r="AH34" i="6"/>
  <c r="AI34" i="6" s="1"/>
  <c r="AJ34" i="6" s="1"/>
  <c r="AQ33" i="6"/>
  <c r="AS86" i="6" l="1"/>
  <c r="AQ83" i="6"/>
  <c r="AS37" i="6"/>
  <c r="AT31" i="6"/>
  <c r="AT82" i="6"/>
  <c r="AU82" i="6" s="1"/>
  <c r="AR83" i="6" s="1"/>
  <c r="AO85" i="6"/>
  <c r="AO36" i="6"/>
  <c r="C285" i="6"/>
  <c r="AP35" i="6"/>
  <c r="AP85" i="6" s="1"/>
  <c r="C36" i="6"/>
  <c r="AH35" i="6"/>
  <c r="AI35" i="6" s="1"/>
  <c r="AJ35" i="6" s="1"/>
  <c r="AQ34" i="6"/>
  <c r="AQ84" i="6" l="1"/>
  <c r="AT83" i="6"/>
  <c r="AU83" i="6" s="1"/>
  <c r="AR84" i="6" s="1"/>
  <c r="AS38" i="6"/>
  <c r="AU31" i="6"/>
  <c r="AR32" i="6" s="1"/>
  <c r="AT32" i="6" s="1"/>
  <c r="AU32" i="6" s="1"/>
  <c r="AR33" i="6" s="1"/>
  <c r="AT33" i="6" s="1"/>
  <c r="AU33" i="6" s="1"/>
  <c r="AR34" i="6" s="1"/>
  <c r="AT34" i="6" s="1"/>
  <c r="AU34" i="6" s="1"/>
  <c r="AR35" i="6" s="1"/>
  <c r="AS87" i="6"/>
  <c r="C286" i="6"/>
  <c r="C37" i="6"/>
  <c r="AP36" i="6"/>
  <c r="AP86" i="6" s="1"/>
  <c r="AH36" i="6"/>
  <c r="AI36" i="6" s="1"/>
  <c r="AJ36" i="6" s="1"/>
  <c r="AQ35" i="6"/>
  <c r="AO37" i="6"/>
  <c r="AO86" i="6"/>
  <c r="AQ85" i="6" l="1"/>
  <c r="AT35" i="6"/>
  <c r="AU35" i="6" s="1"/>
  <c r="AR36" i="6" s="1"/>
  <c r="AS88" i="6"/>
  <c r="AS39" i="6"/>
  <c r="AT84" i="6"/>
  <c r="AU84" i="6" s="1"/>
  <c r="AR85" i="6" s="1"/>
  <c r="C287" i="6"/>
  <c r="AP37" i="6"/>
  <c r="AP87" i="6" s="1"/>
  <c r="C38" i="6"/>
  <c r="AQ36" i="6"/>
  <c r="AH37" i="6"/>
  <c r="AI37" i="6" s="1"/>
  <c r="AJ37" i="6" s="1"/>
  <c r="AO87" i="6"/>
  <c r="AO38" i="6"/>
  <c r="AQ86" i="6" l="1"/>
  <c r="AT36" i="6"/>
  <c r="AU36" i="6" s="1"/>
  <c r="AR37" i="6" s="1"/>
  <c r="AS89" i="6"/>
  <c r="AS40" i="6"/>
  <c r="AT85" i="6"/>
  <c r="AU85" i="6" s="1"/>
  <c r="AR86" i="6" s="1"/>
  <c r="C288" i="6"/>
  <c r="C39" i="6"/>
  <c r="AP38" i="6"/>
  <c r="AP88" i="6" s="1"/>
  <c r="AH38" i="6"/>
  <c r="AI38" i="6" s="1"/>
  <c r="AJ38" i="6" s="1"/>
  <c r="AQ37" i="6"/>
  <c r="AO39" i="6"/>
  <c r="AO88" i="6"/>
  <c r="AS90" i="6" l="1"/>
  <c r="AQ87" i="6"/>
  <c r="AT37" i="6"/>
  <c r="AU37" i="6" s="1"/>
  <c r="AR38" i="6" s="1"/>
  <c r="AS41" i="6"/>
  <c r="AT86" i="6"/>
  <c r="AU86" i="6" s="1"/>
  <c r="AR87" i="6" s="1"/>
  <c r="AH39" i="6"/>
  <c r="AI39" i="6" s="1"/>
  <c r="AJ39" i="6" s="1"/>
  <c r="AQ38" i="6"/>
  <c r="C289" i="6"/>
  <c r="AP39" i="6"/>
  <c r="AP89" i="6" s="1"/>
  <c r="C40" i="6"/>
  <c r="AO89" i="6"/>
  <c r="AO40" i="6"/>
  <c r="AT87" i="6" l="1"/>
  <c r="AU87" i="6" s="1"/>
  <c r="AR88" i="6" s="1"/>
  <c r="AS42" i="6"/>
  <c r="AQ88" i="6"/>
  <c r="AT38" i="6"/>
  <c r="AU38" i="6" s="1"/>
  <c r="AR39" i="6" s="1"/>
  <c r="AS91" i="6"/>
  <c r="C290" i="6"/>
  <c r="AP40" i="6"/>
  <c r="AP90" i="6" s="1"/>
  <c r="C41" i="6"/>
  <c r="AH40" i="6"/>
  <c r="AI40" i="6" s="1"/>
  <c r="AJ40" i="6" s="1"/>
  <c r="AQ39" i="6"/>
  <c r="AO90" i="6"/>
  <c r="AO41" i="6"/>
  <c r="AT88" i="6" l="1"/>
  <c r="AU88" i="6" s="1"/>
  <c r="AR89" i="6" s="1"/>
  <c r="AS92" i="6"/>
  <c r="AS43" i="6"/>
  <c r="AQ89" i="6"/>
  <c r="AT39" i="6"/>
  <c r="AU39" i="6" s="1"/>
  <c r="AR40" i="6" s="1"/>
  <c r="AH41" i="6"/>
  <c r="AI41" i="6" s="1"/>
  <c r="AJ41" i="6" s="1"/>
  <c r="AQ40" i="6"/>
  <c r="C291" i="6"/>
  <c r="AP41" i="6"/>
  <c r="AP91" i="6" s="1"/>
  <c r="C42" i="6"/>
  <c r="AO91" i="6"/>
  <c r="AO42" i="6"/>
  <c r="AS44" i="6" l="1"/>
  <c r="AQ90" i="6"/>
  <c r="AT40" i="6"/>
  <c r="AU40" i="6" s="1"/>
  <c r="AR41" i="6" s="1"/>
  <c r="AT89" i="6"/>
  <c r="AU89" i="6" s="1"/>
  <c r="AR90" i="6" s="1"/>
  <c r="AS93" i="6"/>
  <c r="C292" i="6"/>
  <c r="C43" i="6"/>
  <c r="AP42" i="6"/>
  <c r="AP92" i="6" s="1"/>
  <c r="AQ41" i="6"/>
  <c r="AH42" i="6"/>
  <c r="AI42" i="6" s="1"/>
  <c r="AJ42" i="6" s="1"/>
  <c r="AO43" i="6"/>
  <c r="AO92" i="6"/>
  <c r="AS94" i="6" l="1"/>
  <c r="AT90" i="6"/>
  <c r="AU90" i="6" s="1"/>
  <c r="AR91" i="6" s="1"/>
  <c r="AQ91" i="6"/>
  <c r="AT41" i="6"/>
  <c r="AU41" i="6" s="1"/>
  <c r="AR42" i="6" s="1"/>
  <c r="AS45" i="6"/>
  <c r="AP43" i="6"/>
  <c r="AP93" i="6" s="1"/>
  <c r="C293" i="6"/>
  <c r="C44" i="6"/>
  <c r="AO93" i="6"/>
  <c r="AO44" i="6"/>
  <c r="AQ42" i="6"/>
  <c r="AH43" i="6"/>
  <c r="AI43" i="6" s="1"/>
  <c r="AJ43" i="6" s="1"/>
  <c r="AT91" i="6" l="1"/>
  <c r="AU91" i="6" s="1"/>
  <c r="AR92" i="6" s="1"/>
  <c r="AS46" i="6"/>
  <c r="AQ92" i="6"/>
  <c r="AT42" i="6"/>
  <c r="AU42" i="6" s="1"/>
  <c r="AR43" i="6" s="1"/>
  <c r="AS95" i="6"/>
  <c r="AO94" i="6"/>
  <c r="AO45" i="6"/>
  <c r="AQ43" i="6"/>
  <c r="AH44" i="6"/>
  <c r="AI44" i="6" s="1"/>
  <c r="AJ44" i="6" s="1"/>
  <c r="C294" i="6"/>
  <c r="AP44" i="6"/>
  <c r="AP94" i="6" s="1"/>
  <c r="C45" i="6"/>
  <c r="AT92" i="6" l="1"/>
  <c r="AU92" i="6" s="1"/>
  <c r="AR93" i="6" s="1"/>
  <c r="AS96" i="6"/>
  <c r="AQ93" i="6"/>
  <c r="AT43" i="6"/>
  <c r="AU43" i="6" s="1"/>
  <c r="AR44" i="6" s="1"/>
  <c r="AS47" i="6"/>
  <c r="C295" i="6"/>
  <c r="AP45" i="6"/>
  <c r="AP95" i="6" s="1"/>
  <c r="C46" i="6"/>
  <c r="AH45" i="6"/>
  <c r="AI45" i="6" s="1"/>
  <c r="AJ45" i="6" s="1"/>
  <c r="AQ44" i="6"/>
  <c r="AO95" i="6"/>
  <c r="AO46" i="6"/>
  <c r="AT93" i="6" l="1"/>
  <c r="AU93" i="6" s="1"/>
  <c r="AR94" i="6" s="1"/>
  <c r="AQ94" i="6"/>
  <c r="AT44" i="6"/>
  <c r="AU44" i="6" s="1"/>
  <c r="AR45" i="6" s="1"/>
  <c r="AS48" i="6"/>
  <c r="AS97" i="6"/>
  <c r="AQ45" i="6"/>
  <c r="AH46" i="6"/>
  <c r="AI46" i="6" s="1"/>
  <c r="AJ46" i="6" s="1"/>
  <c r="AO96" i="6"/>
  <c r="AO47" i="6"/>
  <c r="C296" i="6"/>
  <c r="AP46" i="6"/>
  <c r="AP96" i="6" s="1"/>
  <c r="C47" i="6"/>
  <c r="AT94" i="6" l="1"/>
  <c r="AU94" i="6" s="1"/>
  <c r="AR95" i="6" s="1"/>
  <c r="AS98" i="6"/>
  <c r="AS49" i="6"/>
  <c r="AQ95" i="6"/>
  <c r="AT45" i="6"/>
  <c r="AU45" i="6" s="1"/>
  <c r="AR46" i="6" s="1"/>
  <c r="AH47" i="6"/>
  <c r="AI47" i="6" s="1"/>
  <c r="AJ47" i="6" s="1"/>
  <c r="AQ46" i="6"/>
  <c r="AO97" i="6"/>
  <c r="AO48" i="6"/>
  <c r="C297" i="6"/>
  <c r="AP47" i="6"/>
  <c r="AP97" i="6" s="1"/>
  <c r="C48" i="6"/>
  <c r="AT95" i="6" l="1"/>
  <c r="AU95" i="6" s="1"/>
  <c r="AR96" i="6" s="1"/>
  <c r="AS50" i="6"/>
  <c r="AQ96" i="6"/>
  <c r="AT46" i="6"/>
  <c r="AU46" i="6" s="1"/>
  <c r="AR47" i="6" s="1"/>
  <c r="AS99" i="6"/>
  <c r="AO98" i="6"/>
  <c r="AO49" i="6"/>
  <c r="C298" i="6"/>
  <c r="AP48" i="6"/>
  <c r="AP98" i="6" s="1"/>
  <c r="C49" i="6"/>
  <c r="AH48" i="6"/>
  <c r="AI48" i="6" s="1"/>
  <c r="AJ48" i="6" s="1"/>
  <c r="AQ47" i="6"/>
  <c r="AT96" i="6" l="1"/>
  <c r="AU96" i="6" s="1"/>
  <c r="AR97" i="6" s="1"/>
  <c r="AQ97" i="6"/>
  <c r="AT47" i="6"/>
  <c r="AU47" i="6" s="1"/>
  <c r="AR48" i="6" s="1"/>
  <c r="AS100" i="6"/>
  <c r="AS51" i="6"/>
  <c r="AQ48" i="6"/>
  <c r="AH49" i="6"/>
  <c r="AI49" i="6" s="1"/>
  <c r="AJ49" i="6" s="1"/>
  <c r="AO99" i="6"/>
  <c r="AO50" i="6"/>
  <c r="AP49" i="6"/>
  <c r="AP99" i="6" s="1"/>
  <c r="C299" i="6"/>
  <c r="C50" i="6"/>
  <c r="AT97" i="6" l="1"/>
  <c r="AU97" i="6" s="1"/>
  <c r="AR98" i="6" s="1"/>
  <c r="AS52" i="6"/>
  <c r="AS101" i="6"/>
  <c r="AQ98" i="6"/>
  <c r="AT48" i="6"/>
  <c r="AU48" i="6" s="1"/>
  <c r="AR49" i="6" s="1"/>
  <c r="C300" i="6"/>
  <c r="C51" i="6"/>
  <c r="AP50" i="6"/>
  <c r="AP100" i="6" s="1"/>
  <c r="AO100" i="6"/>
  <c r="AO51" i="6"/>
  <c r="AQ49" i="6"/>
  <c r="AH50" i="6"/>
  <c r="AI50" i="6" s="1"/>
  <c r="AJ50" i="6" s="1"/>
  <c r="AT98" i="6" l="1"/>
  <c r="AU98" i="6" s="1"/>
  <c r="AR99" i="6" s="1"/>
  <c r="AQ99" i="6"/>
  <c r="AT49" i="6"/>
  <c r="AU49" i="6" s="1"/>
  <c r="AR50" i="6" s="1"/>
  <c r="AS102" i="6"/>
  <c r="AS53" i="6"/>
  <c r="AQ50" i="6"/>
  <c r="AH51" i="6"/>
  <c r="AI51" i="6" s="1"/>
  <c r="AJ51" i="6" s="1"/>
  <c r="AO101" i="6"/>
  <c r="AO52" i="6"/>
  <c r="C301" i="6"/>
  <c r="AP51" i="6"/>
  <c r="AP101" i="6" s="1"/>
  <c r="C52" i="6"/>
  <c r="AT99" i="6" l="1"/>
  <c r="AU99" i="6" s="1"/>
  <c r="AR100" i="6" s="1"/>
  <c r="AS54" i="6"/>
  <c r="AS103" i="6"/>
  <c r="AQ100" i="6"/>
  <c r="AT50" i="6"/>
  <c r="AU50" i="6" s="1"/>
  <c r="AR51" i="6" s="1"/>
  <c r="C302" i="6"/>
  <c r="C53" i="6"/>
  <c r="AP52" i="6"/>
  <c r="AP102" i="6" s="1"/>
  <c r="AO102" i="6"/>
  <c r="AO53" i="6"/>
  <c r="AH52" i="6"/>
  <c r="AI52" i="6" s="1"/>
  <c r="AJ52" i="6" s="1"/>
  <c r="AQ51" i="6"/>
  <c r="AT100" i="6" l="1"/>
  <c r="AU100" i="6" s="1"/>
  <c r="AR101" i="6" s="1"/>
  <c r="AS104" i="6"/>
  <c r="AS55" i="6"/>
  <c r="AQ101" i="6"/>
  <c r="AT51" i="6"/>
  <c r="AU51" i="6" s="1"/>
  <c r="AR52" i="6" s="1"/>
  <c r="C303" i="6"/>
  <c r="AP53" i="6"/>
  <c r="AP103" i="6" s="1"/>
  <c r="C54" i="6"/>
  <c r="AO103" i="6"/>
  <c r="AO54" i="6"/>
  <c r="AQ52" i="6"/>
  <c r="AH53" i="6"/>
  <c r="AI53" i="6" s="1"/>
  <c r="AJ53" i="6" s="1"/>
  <c r="AT101" i="6" l="1"/>
  <c r="AU101" i="6" s="1"/>
  <c r="AR102" i="6" s="1"/>
  <c r="AS105" i="6"/>
  <c r="AS56" i="6"/>
  <c r="AQ102" i="6"/>
  <c r="AT52" i="6"/>
  <c r="AU52" i="6" s="1"/>
  <c r="AR53" i="6" s="1"/>
  <c r="AH54" i="6"/>
  <c r="AI54" i="6" s="1"/>
  <c r="AJ54" i="6" s="1"/>
  <c r="AQ53" i="6"/>
  <c r="C304" i="6"/>
  <c r="C55" i="6"/>
  <c r="AP54" i="6"/>
  <c r="AP104" i="6" s="1"/>
  <c r="AO104" i="6"/>
  <c r="AO55" i="6"/>
  <c r="AT102" i="6" l="1"/>
  <c r="AU102" i="6" s="1"/>
  <c r="AR103" i="6" s="1"/>
  <c r="AS57" i="6"/>
  <c r="AQ103" i="6"/>
  <c r="AT53" i="6"/>
  <c r="AU53" i="6" s="1"/>
  <c r="AR54" i="6" s="1"/>
  <c r="AS106" i="6"/>
  <c r="AO105" i="6"/>
  <c r="AO56" i="6"/>
  <c r="C305" i="6"/>
  <c r="AP55" i="6"/>
  <c r="AP105" i="6" s="1"/>
  <c r="C56" i="6"/>
  <c r="AQ54" i="6"/>
  <c r="AH55" i="6"/>
  <c r="AI55" i="6" s="1"/>
  <c r="AJ55" i="6" s="1"/>
  <c r="AT103" i="6" l="1"/>
  <c r="AU103" i="6" s="1"/>
  <c r="AR104" i="6" s="1"/>
  <c r="AS107" i="6"/>
  <c r="AS58" i="6"/>
  <c r="AQ104" i="6"/>
  <c r="AT54" i="6"/>
  <c r="AU54" i="6" s="1"/>
  <c r="AR55" i="6" s="1"/>
  <c r="C306" i="6"/>
  <c r="AP56" i="6"/>
  <c r="AP106" i="6" s="1"/>
  <c r="C57" i="6"/>
  <c r="AO106" i="6"/>
  <c r="AO57" i="6"/>
  <c r="AH56" i="6"/>
  <c r="AI56" i="6" s="1"/>
  <c r="AJ56" i="6" s="1"/>
  <c r="AQ55" i="6"/>
  <c r="AT104" i="6" l="1"/>
  <c r="AU104" i="6" s="1"/>
  <c r="AR105" i="6" s="1"/>
  <c r="AQ105" i="6"/>
  <c r="AT55" i="6"/>
  <c r="AU55" i="6" s="1"/>
  <c r="AR56" i="6" s="1"/>
  <c r="AS108" i="6"/>
  <c r="AS59" i="6"/>
  <c r="C307" i="6"/>
  <c r="AP57" i="6"/>
  <c r="AP107" i="6" s="1"/>
  <c r="C58" i="6"/>
  <c r="AQ56" i="6"/>
  <c r="AH57" i="6"/>
  <c r="AI57" i="6" s="1"/>
  <c r="AJ57" i="6" s="1"/>
  <c r="AO107" i="6"/>
  <c r="AO58" i="6"/>
  <c r="AT105" i="6" l="1"/>
  <c r="AU105" i="6" s="1"/>
  <c r="AR106" i="6" s="1"/>
  <c r="AQ106" i="6"/>
  <c r="AT56" i="6"/>
  <c r="AU56" i="6" s="1"/>
  <c r="AR57" i="6" s="1"/>
  <c r="AS109" i="6"/>
  <c r="AS60" i="6"/>
  <c r="AO108" i="6"/>
  <c r="AO59" i="6"/>
  <c r="AQ57" i="6"/>
  <c r="AH58" i="6"/>
  <c r="AI58" i="6" s="1"/>
  <c r="AJ58" i="6" s="1"/>
  <c r="C308" i="6"/>
  <c r="C59" i="6"/>
  <c r="AP58" i="6"/>
  <c r="AP108" i="6" s="1"/>
  <c r="AT106" i="6" l="1"/>
  <c r="AU106" i="6" s="1"/>
  <c r="AR107" i="6" s="1"/>
  <c r="AS61" i="6"/>
  <c r="AS110" i="6"/>
  <c r="AQ107" i="6"/>
  <c r="AT57" i="6"/>
  <c r="AU57" i="6" s="1"/>
  <c r="AR58" i="6" s="1"/>
  <c r="C309" i="6"/>
  <c r="AP59" i="6"/>
  <c r="AP109" i="6" s="1"/>
  <c r="C60" i="6"/>
  <c r="AQ58" i="6"/>
  <c r="AH59" i="6"/>
  <c r="AI59" i="6" s="1"/>
  <c r="AJ59" i="6" s="1"/>
  <c r="AO109" i="6"/>
  <c r="AO60" i="6"/>
  <c r="AT107" i="6" l="1"/>
  <c r="AU107" i="6" s="1"/>
  <c r="AR108" i="6" s="1"/>
  <c r="AQ108" i="6"/>
  <c r="AT58" i="6"/>
  <c r="AU58" i="6" s="1"/>
  <c r="AR59" i="6" s="1"/>
  <c r="AS62" i="6"/>
  <c r="AS111" i="6"/>
  <c r="AH60" i="6"/>
  <c r="AI60" i="6" s="1"/>
  <c r="AJ60" i="6" s="1"/>
  <c r="AQ59" i="6"/>
  <c r="AO110" i="6"/>
  <c r="AO61" i="6"/>
  <c r="C310" i="6"/>
  <c r="C61" i="6"/>
  <c r="AP60" i="6"/>
  <c r="AP110" i="6" s="1"/>
  <c r="AT108" i="6" l="1"/>
  <c r="AU108" i="6" s="1"/>
  <c r="AR109" i="6" s="1"/>
  <c r="AS63" i="6"/>
  <c r="AQ109" i="6"/>
  <c r="AT59" i="6"/>
  <c r="AU59" i="6" s="1"/>
  <c r="AR60" i="6" s="1"/>
  <c r="AS112" i="6"/>
  <c r="AO111" i="6"/>
  <c r="AO62" i="6"/>
  <c r="AH61" i="6"/>
  <c r="AI61" i="6" s="1"/>
  <c r="AJ61" i="6" s="1"/>
  <c r="AQ60" i="6"/>
  <c r="C311" i="6"/>
  <c r="AP61" i="6"/>
  <c r="AP111" i="6" s="1"/>
  <c r="C62" i="6"/>
  <c r="AT109" i="6" l="1"/>
  <c r="AU109" i="6" s="1"/>
  <c r="AR110" i="6" s="1"/>
  <c r="AS113" i="6"/>
  <c r="AQ110" i="6"/>
  <c r="AT60" i="6"/>
  <c r="AU60" i="6" s="1"/>
  <c r="AR61" i="6" s="1"/>
  <c r="AS64" i="6"/>
  <c r="AO112" i="6"/>
  <c r="AO63" i="6"/>
  <c r="AH62" i="6"/>
  <c r="AI62" i="6" s="1"/>
  <c r="AJ62" i="6" s="1"/>
  <c r="AQ61" i="6"/>
  <c r="C312" i="6"/>
  <c r="C63" i="6"/>
  <c r="AP62" i="6"/>
  <c r="AP112" i="6" s="1"/>
  <c r="AT110" i="6" l="1"/>
  <c r="AU110" i="6" s="1"/>
  <c r="AR111" i="6" s="1"/>
  <c r="AQ111" i="6"/>
  <c r="AT61" i="6"/>
  <c r="AU61" i="6" s="1"/>
  <c r="AR62" i="6" s="1"/>
  <c r="AS114" i="6"/>
  <c r="AS65" i="6"/>
  <c r="C313" i="6"/>
  <c r="AP63" i="6"/>
  <c r="AP113" i="6" s="1"/>
  <c r="C64" i="6"/>
  <c r="AO64" i="6"/>
  <c r="AO113" i="6"/>
  <c r="AH63" i="6"/>
  <c r="AI63" i="6" s="1"/>
  <c r="AJ63" i="6" s="1"/>
  <c r="AQ62" i="6"/>
  <c r="AT111" i="6" l="1"/>
  <c r="AU111" i="6" s="1"/>
  <c r="AR112" i="6" s="1"/>
  <c r="AQ112" i="6"/>
  <c r="AT62" i="6"/>
  <c r="AU62" i="6" s="1"/>
  <c r="AR63" i="6" s="1"/>
  <c r="AS66" i="6"/>
  <c r="AS115" i="6"/>
  <c r="AO114" i="6"/>
  <c r="AO65" i="6"/>
  <c r="C314" i="6"/>
  <c r="AP64" i="6"/>
  <c r="AP114" i="6" s="1"/>
  <c r="C65" i="6"/>
  <c r="AH64" i="6"/>
  <c r="AI64" i="6" s="1"/>
  <c r="AJ64" i="6" s="1"/>
  <c r="AQ63" i="6"/>
  <c r="AT112" i="6" l="1"/>
  <c r="AU112" i="6" s="1"/>
  <c r="AR113" i="6" s="1"/>
  <c r="AS67" i="6"/>
  <c r="AQ113" i="6"/>
  <c r="AT63" i="6"/>
  <c r="AU63" i="6" s="1"/>
  <c r="AR64" i="6" s="1"/>
  <c r="AS116" i="6"/>
  <c r="AH65" i="6"/>
  <c r="AI65" i="6" s="1"/>
  <c r="AJ65" i="6" s="1"/>
  <c r="AQ64" i="6"/>
  <c r="AP65" i="6"/>
  <c r="AP115" i="6" s="1"/>
  <c r="C66" i="6"/>
  <c r="C315" i="6"/>
  <c r="AO115" i="6"/>
  <c r="AO66" i="6"/>
  <c r="AT113" i="6" l="1"/>
  <c r="AU113" i="6" s="1"/>
  <c r="AR114" i="6" s="1"/>
  <c r="AS117" i="6"/>
  <c r="AQ114" i="6"/>
  <c r="AT64" i="6"/>
  <c r="AU64" i="6" s="1"/>
  <c r="AR65" i="6" s="1"/>
  <c r="AS68" i="6"/>
  <c r="C316" i="6"/>
  <c r="C67" i="6"/>
  <c r="AP66" i="6"/>
  <c r="AP116" i="6" s="1"/>
  <c r="AO116" i="6"/>
  <c r="AO67" i="6"/>
  <c r="AH66" i="6"/>
  <c r="AI66" i="6" s="1"/>
  <c r="AJ66" i="6" s="1"/>
  <c r="AQ65" i="6"/>
  <c r="AT114" i="6" l="1"/>
  <c r="AU114" i="6" s="1"/>
  <c r="AR115" i="6" s="1"/>
  <c r="AQ115" i="6"/>
  <c r="AT65" i="6"/>
  <c r="AU65" i="6" s="1"/>
  <c r="AR66" i="6" s="1"/>
  <c r="AS69" i="6"/>
  <c r="AS118" i="6"/>
  <c r="C317" i="6"/>
  <c r="AP67" i="6"/>
  <c r="AP117" i="6" s="1"/>
  <c r="C68" i="6"/>
  <c r="AH67" i="6"/>
  <c r="AI67" i="6" s="1"/>
  <c r="AJ67" i="6" s="1"/>
  <c r="AQ66" i="6"/>
  <c r="AO117" i="6"/>
  <c r="AO68" i="6"/>
  <c r="AT115" i="6" l="1"/>
  <c r="AU115" i="6" s="1"/>
  <c r="AR116" i="6" s="1"/>
  <c r="AQ116" i="6"/>
  <c r="AT66" i="6"/>
  <c r="AU66" i="6" s="1"/>
  <c r="AR67" i="6" s="1"/>
  <c r="AS119" i="6"/>
  <c r="AO118" i="6"/>
  <c r="AO69" i="6"/>
  <c r="AO119" i="6" s="1"/>
  <c r="C69" i="6"/>
  <c r="C318" i="6"/>
  <c r="AP68" i="6"/>
  <c r="AP118" i="6" s="1"/>
  <c r="AQ67" i="6"/>
  <c r="AH68" i="6"/>
  <c r="AI68" i="6" s="1"/>
  <c r="AJ68" i="6" s="1"/>
  <c r="AT116" i="6" l="1"/>
  <c r="AU116" i="6" s="1"/>
  <c r="AR117" i="6" s="1"/>
  <c r="AQ117" i="6"/>
  <c r="AT67" i="6"/>
  <c r="AU67" i="6" s="1"/>
  <c r="AR68" i="6" s="1"/>
  <c r="AH69" i="6"/>
  <c r="AI69" i="6" s="1"/>
  <c r="AJ69" i="6" s="1"/>
  <c r="AQ68" i="6"/>
  <c r="C319" i="6"/>
  <c r="AP69" i="6"/>
  <c r="AP119" i="6" s="1"/>
  <c r="AT117" i="6" l="1"/>
  <c r="AU117" i="6" s="1"/>
  <c r="AR118" i="6" s="1"/>
  <c r="AQ118" i="6"/>
  <c r="AT68" i="6"/>
  <c r="AU68" i="6" s="1"/>
  <c r="AR69" i="6" s="1"/>
  <c r="AQ69" i="6"/>
  <c r="G8" i="14" s="1" a="1"/>
  <c r="G8" i="14" l="1"/>
  <c r="AD8" i="14"/>
  <c r="AR8" i="14"/>
  <c r="S8" i="14"/>
  <c r="AG8" i="14"/>
  <c r="H8" i="14"/>
  <c r="V8" i="14"/>
  <c r="AJ8" i="14"/>
  <c r="K8" i="14"/>
  <c r="Y8" i="14"/>
  <c r="AU8" i="14"/>
  <c r="AV8" i="14" s="1"/>
  <c r="AW8" i="14" s="1"/>
  <c r="AX8" i="14" s="1"/>
  <c r="N8" i="14"/>
  <c r="AB8" i="14"/>
  <c r="AP8" i="14"/>
  <c r="Q8" i="14"/>
  <c r="AM8" i="14"/>
  <c r="AS8" i="14"/>
  <c r="T8" i="14"/>
  <c r="AH8" i="14"/>
  <c r="I8" i="14"/>
  <c r="AE8" i="14"/>
  <c r="AK8" i="14"/>
  <c r="L8" i="14"/>
  <c r="Z8" i="14"/>
  <c r="AN8" i="14"/>
  <c r="W8" i="14"/>
  <c r="AC8" i="14"/>
  <c r="AQ8" i="14"/>
  <c r="R8" i="14"/>
  <c r="AF8" i="14"/>
  <c r="O8" i="14"/>
  <c r="AT8" i="14"/>
  <c r="U8" i="14"/>
  <c r="AI8" i="14"/>
  <c r="J8" i="14"/>
  <c r="X8" i="14"/>
  <c r="AL8" i="14"/>
  <c r="M8" i="14"/>
  <c r="AA8" i="14"/>
  <c r="AO8" i="14"/>
  <c r="P8" i="14"/>
  <c r="AT118" i="6"/>
  <c r="AU118" i="6" s="1"/>
  <c r="AR119" i="6" s="1"/>
  <c r="AQ119" i="6"/>
  <c r="AT69" i="6"/>
  <c r="M60" i="5"/>
  <c r="M59" i="5"/>
  <c r="Q72" i="5"/>
  <c r="Q71" i="5"/>
  <c r="O72" i="5"/>
  <c r="O71" i="5"/>
  <c r="O64" i="5"/>
  <c r="O65" i="5"/>
  <c r="L53" i="5"/>
  <c r="L52" i="5"/>
  <c r="L8" i="5"/>
  <c r="L7" i="5"/>
  <c r="K8" i="5"/>
  <c r="K7" i="5"/>
  <c r="AT119" i="6" l="1"/>
  <c r="AU119" i="6" s="1"/>
  <c r="AQ26" i="6"/>
  <c r="G8" i="6" s="1"/>
  <c r="AT70" i="6"/>
  <c r="AT71" i="6" s="1"/>
  <c r="AU69" i="6"/>
  <c r="AB64" i="4"/>
  <c r="AB65" i="4" s="1"/>
  <c r="AB66" i="4" s="1"/>
  <c r="AB67" i="4" s="1"/>
  <c r="AB68" i="4" s="1"/>
  <c r="AA64" i="4"/>
  <c r="AA65" i="4" s="1"/>
  <c r="AA66" i="4" s="1"/>
  <c r="AA67" i="4" s="1"/>
  <c r="AA68" i="4" s="1"/>
  <c r="Z68" i="4"/>
  <c r="Y68" i="4"/>
  <c r="Z67" i="4"/>
  <c r="Y67" i="4"/>
  <c r="Z66" i="4"/>
  <c r="Y66" i="4"/>
  <c r="Z65" i="4"/>
  <c r="Y65" i="4"/>
  <c r="Z64" i="4"/>
  <c r="Y64" i="4"/>
  <c r="Z63" i="4"/>
  <c r="Y63" i="4"/>
  <c r="W68" i="4"/>
  <c r="U68" i="4"/>
  <c r="X67" i="4"/>
  <c r="X66" i="4"/>
  <c r="X65" i="4"/>
  <c r="X64" i="4"/>
  <c r="X63" i="4"/>
  <c r="V67" i="4"/>
  <c r="V66" i="4"/>
  <c r="V65" i="4"/>
  <c r="V64" i="4"/>
  <c r="V63" i="4"/>
  <c r="T67" i="4"/>
  <c r="T66" i="4"/>
  <c r="T65" i="4"/>
  <c r="T64" i="4"/>
  <c r="T63" i="4"/>
  <c r="S68" i="4"/>
  <c r="R68" i="4"/>
  <c r="V68" i="4" s="1"/>
  <c r="Q68" i="4"/>
  <c r="S48" i="4"/>
  <c r="R48" i="4"/>
  <c r="Q48" i="4"/>
  <c r="P48" i="4"/>
  <c r="S47" i="4"/>
  <c r="R47" i="4"/>
  <c r="Q47" i="4"/>
  <c r="P47" i="4"/>
  <c r="S46" i="4"/>
  <c r="R46" i="4"/>
  <c r="Q46" i="4"/>
  <c r="P46" i="4"/>
  <c r="S45" i="4"/>
  <c r="R45" i="4"/>
  <c r="Q45" i="4"/>
  <c r="P45" i="4"/>
  <c r="S44" i="4"/>
  <c r="R44" i="4"/>
  <c r="Q44" i="4"/>
  <c r="P44" i="4"/>
  <c r="AT120" i="6" l="1"/>
  <c r="AT121" i="6" s="1"/>
  <c r="T68" i="4"/>
  <c r="X68" i="4"/>
  <c r="P68" i="4"/>
  <c r="O65" i="4"/>
  <c r="P65" i="4"/>
  <c r="O66" i="4"/>
  <c r="O60" i="4"/>
  <c r="P66" i="4"/>
  <c r="O63" i="4"/>
  <c r="O67" i="4"/>
  <c r="P63" i="4"/>
  <c r="P67" i="4"/>
  <c r="O64" i="4"/>
  <c r="O68" i="4"/>
  <c r="P64" i="4"/>
  <c r="G13" i="14" l="1" a="1"/>
  <c r="I13" i="14" s="1"/>
  <c r="G12" i="14" a="1"/>
  <c r="G11" i="14" a="1"/>
  <c r="G11" i="14" s="1"/>
  <c r="G8" i="13" a="1"/>
  <c r="G8" i="13" s="1"/>
  <c r="G69" i="13" s="1"/>
  <c r="G7" i="13" a="1"/>
  <c r="G7" i="13" s="1"/>
  <c r="G23" i="13" s="1"/>
  <c r="I180" i="12"/>
  <c r="M180" i="12" s="1"/>
  <c r="I230" i="12"/>
  <c r="M230" i="12" s="1"/>
  <c r="J180" i="12"/>
  <c r="N180" i="12" s="1"/>
  <c r="O180" i="12" s="1"/>
  <c r="J230" i="12"/>
  <c r="J183" i="12"/>
  <c r="N183" i="12" s="1"/>
  <c r="O183" i="12" s="1"/>
  <c r="J233" i="12"/>
  <c r="I182" i="12"/>
  <c r="M182" i="12" s="1"/>
  <c r="I232" i="12"/>
  <c r="M232" i="12" s="1"/>
  <c r="J265" i="12"/>
  <c r="J257" i="12"/>
  <c r="J249" i="12"/>
  <c r="J241" i="12"/>
  <c r="J266" i="12"/>
  <c r="J258" i="12"/>
  <c r="J250" i="12"/>
  <c r="J242" i="12"/>
  <c r="J267" i="12"/>
  <c r="J259" i="12"/>
  <c r="J251" i="12"/>
  <c r="J243" i="12"/>
  <c r="J268" i="12"/>
  <c r="J260" i="12"/>
  <c r="J252" i="12"/>
  <c r="J244" i="12"/>
  <c r="J269" i="12"/>
  <c r="J261" i="12"/>
  <c r="J253" i="12"/>
  <c r="J245" i="12"/>
  <c r="J263" i="12"/>
  <c r="J255" i="12"/>
  <c r="J247" i="12"/>
  <c r="J239" i="12"/>
  <c r="J234" i="12"/>
  <c r="J264" i="12"/>
  <c r="J262" i="12"/>
  <c r="J256" i="12"/>
  <c r="J254" i="12"/>
  <c r="J248" i="12"/>
  <c r="J246" i="12"/>
  <c r="J240" i="12"/>
  <c r="J235" i="12"/>
  <c r="J236" i="12"/>
  <c r="J237" i="12"/>
  <c r="J238" i="12"/>
  <c r="I264" i="12"/>
  <c r="M264" i="12" s="1"/>
  <c r="I256" i="12"/>
  <c r="M256" i="12" s="1"/>
  <c r="I248" i="12"/>
  <c r="M248" i="12" s="1"/>
  <c r="I240" i="12"/>
  <c r="M240" i="12" s="1"/>
  <c r="I265" i="12"/>
  <c r="M265" i="12" s="1"/>
  <c r="I257" i="12"/>
  <c r="M257" i="12" s="1"/>
  <c r="I249" i="12"/>
  <c r="M249" i="12" s="1"/>
  <c r="I241" i="12"/>
  <c r="M241" i="12" s="1"/>
  <c r="I266" i="12"/>
  <c r="M266" i="12" s="1"/>
  <c r="I258" i="12"/>
  <c r="M258" i="12" s="1"/>
  <c r="I250" i="12"/>
  <c r="M250" i="12" s="1"/>
  <c r="I242" i="12"/>
  <c r="M242" i="12" s="1"/>
  <c r="I267" i="12"/>
  <c r="M267" i="12" s="1"/>
  <c r="I259" i="12"/>
  <c r="M259" i="12" s="1"/>
  <c r="I251" i="12"/>
  <c r="M251" i="12" s="1"/>
  <c r="I243" i="12"/>
  <c r="M243" i="12" s="1"/>
  <c r="I268" i="12"/>
  <c r="M268" i="12" s="1"/>
  <c r="I260" i="12"/>
  <c r="M260" i="12" s="1"/>
  <c r="I252" i="12"/>
  <c r="M252" i="12" s="1"/>
  <c r="I244" i="12"/>
  <c r="M244" i="12" s="1"/>
  <c r="I262" i="12"/>
  <c r="M262" i="12" s="1"/>
  <c r="I254" i="12"/>
  <c r="M254" i="12" s="1"/>
  <c r="I246" i="12"/>
  <c r="M246" i="12" s="1"/>
  <c r="I269" i="12"/>
  <c r="M269" i="12" s="1"/>
  <c r="M271" i="12" s="1"/>
  <c r="I263" i="12"/>
  <c r="M263" i="12" s="1"/>
  <c r="I261" i="12"/>
  <c r="M261" i="12" s="1"/>
  <c r="I255" i="12"/>
  <c r="M255" i="12" s="1"/>
  <c r="I253" i="12"/>
  <c r="M253" i="12" s="1"/>
  <c r="I247" i="12"/>
  <c r="M247" i="12" s="1"/>
  <c r="I245" i="12"/>
  <c r="M245" i="12" s="1"/>
  <c r="I239" i="12"/>
  <c r="M239" i="12" s="1"/>
  <c r="I234" i="12"/>
  <c r="M234" i="12" s="1"/>
  <c r="I235" i="12"/>
  <c r="M235" i="12" s="1"/>
  <c r="I236" i="12"/>
  <c r="M236" i="12" s="1"/>
  <c r="I238" i="12"/>
  <c r="M238" i="12" s="1"/>
  <c r="I237" i="12"/>
  <c r="M237" i="12" s="1"/>
  <c r="I181" i="12"/>
  <c r="M181" i="12" s="1"/>
  <c r="I231" i="12"/>
  <c r="M231" i="12" s="1"/>
  <c r="I179" i="12"/>
  <c r="M179" i="12" s="1"/>
  <c r="I229" i="12"/>
  <c r="M229" i="12" s="1"/>
  <c r="J181" i="12"/>
  <c r="N181" i="12" s="1"/>
  <c r="O181" i="12" s="1"/>
  <c r="J231" i="12"/>
  <c r="J179" i="12"/>
  <c r="K179" i="12" s="1"/>
  <c r="J229" i="12"/>
  <c r="I183" i="12"/>
  <c r="M183" i="12" s="1"/>
  <c r="I233" i="12"/>
  <c r="M233" i="12" s="1"/>
  <c r="J182" i="12"/>
  <c r="N182" i="12" s="1"/>
  <c r="O182" i="12" s="1"/>
  <c r="J232" i="12"/>
  <c r="I214" i="12"/>
  <c r="M214" i="12" s="1"/>
  <c r="I206" i="12"/>
  <c r="M206" i="12" s="1"/>
  <c r="I198" i="12"/>
  <c r="M198" i="12" s="1"/>
  <c r="I190" i="12"/>
  <c r="M190" i="12" s="1"/>
  <c r="I215" i="12"/>
  <c r="M215" i="12" s="1"/>
  <c r="I207" i="12"/>
  <c r="M207" i="12" s="1"/>
  <c r="I199" i="12"/>
  <c r="M199" i="12" s="1"/>
  <c r="I216" i="12"/>
  <c r="M216" i="12" s="1"/>
  <c r="I208" i="12"/>
  <c r="M208" i="12" s="1"/>
  <c r="I200" i="12"/>
  <c r="M200" i="12" s="1"/>
  <c r="I192" i="12"/>
  <c r="M192" i="12" s="1"/>
  <c r="I217" i="12"/>
  <c r="M217" i="12" s="1"/>
  <c r="I209" i="12"/>
  <c r="M209" i="12" s="1"/>
  <c r="I201" i="12"/>
  <c r="M201" i="12" s="1"/>
  <c r="I193" i="12"/>
  <c r="M193" i="12" s="1"/>
  <c r="I218" i="12"/>
  <c r="M218" i="12" s="1"/>
  <c r="I210" i="12"/>
  <c r="M210" i="12" s="1"/>
  <c r="I202" i="12"/>
  <c r="M202" i="12" s="1"/>
  <c r="I194" i="12"/>
  <c r="M194" i="12" s="1"/>
  <c r="I219" i="12"/>
  <c r="M219" i="12" s="1"/>
  <c r="M221" i="12" s="1"/>
  <c r="I211" i="12"/>
  <c r="M211" i="12" s="1"/>
  <c r="I203" i="12"/>
  <c r="M203" i="12" s="1"/>
  <c r="I212" i="12"/>
  <c r="M212" i="12" s="1"/>
  <c r="I204" i="12"/>
  <c r="M204" i="12" s="1"/>
  <c r="I196" i="12"/>
  <c r="M196" i="12" s="1"/>
  <c r="I213" i="12"/>
  <c r="M213" i="12" s="1"/>
  <c r="I205" i="12"/>
  <c r="M205" i="12" s="1"/>
  <c r="I197" i="12"/>
  <c r="M197" i="12" s="1"/>
  <c r="I189" i="12"/>
  <c r="M189" i="12" s="1"/>
  <c r="I187" i="12"/>
  <c r="M187" i="12" s="1"/>
  <c r="I188" i="12"/>
  <c r="M188" i="12" s="1"/>
  <c r="I195" i="12"/>
  <c r="M195" i="12" s="1"/>
  <c r="I191" i="12"/>
  <c r="M191" i="12" s="1"/>
  <c r="I185" i="12"/>
  <c r="M185" i="12" s="1"/>
  <c r="I184" i="12"/>
  <c r="M184" i="12" s="1"/>
  <c r="I186" i="12"/>
  <c r="M186" i="12" s="1"/>
  <c r="J215" i="12"/>
  <c r="J207" i="12"/>
  <c r="J199" i="12"/>
  <c r="J191" i="12"/>
  <c r="J216" i="12"/>
  <c r="J208" i="12"/>
  <c r="J200" i="12"/>
  <c r="J217" i="12"/>
  <c r="J209" i="12"/>
  <c r="J201" i="12"/>
  <c r="J193" i="12"/>
  <c r="J218" i="12"/>
  <c r="J210" i="12"/>
  <c r="J202" i="12"/>
  <c r="J194" i="12"/>
  <c r="J219" i="12"/>
  <c r="J211" i="12"/>
  <c r="J203" i="12"/>
  <c r="J195" i="12"/>
  <c r="J212" i="12"/>
  <c r="J204" i="12"/>
  <c r="J213" i="12"/>
  <c r="J205" i="12"/>
  <c r="J197" i="12"/>
  <c r="J214" i="12"/>
  <c r="J206" i="12"/>
  <c r="J198" i="12"/>
  <c r="J190" i="12"/>
  <c r="J188" i="12"/>
  <c r="J196" i="12"/>
  <c r="J192" i="12"/>
  <c r="J186" i="12"/>
  <c r="J184" i="12"/>
  <c r="J185" i="12"/>
  <c r="J189" i="12"/>
  <c r="J187" i="12"/>
  <c r="I164" i="12"/>
  <c r="M164" i="12" s="1"/>
  <c r="I156" i="12"/>
  <c r="M156" i="12" s="1"/>
  <c r="I148" i="12"/>
  <c r="M148" i="12" s="1"/>
  <c r="I165" i="12"/>
  <c r="M165" i="12" s="1"/>
  <c r="I157" i="12"/>
  <c r="M157" i="12" s="1"/>
  <c r="I149" i="12"/>
  <c r="M149" i="12" s="1"/>
  <c r="I141" i="12"/>
  <c r="M141" i="12" s="1"/>
  <c r="I166" i="12"/>
  <c r="M166" i="12" s="1"/>
  <c r="I158" i="12"/>
  <c r="M158" i="12" s="1"/>
  <c r="I150" i="12"/>
  <c r="M150" i="12" s="1"/>
  <c r="I142" i="12"/>
  <c r="M142" i="12" s="1"/>
  <c r="I167" i="12"/>
  <c r="M167" i="12" s="1"/>
  <c r="I159" i="12"/>
  <c r="M159" i="12" s="1"/>
  <c r="I151" i="12"/>
  <c r="M151" i="12" s="1"/>
  <c r="I143" i="12"/>
  <c r="M143" i="12" s="1"/>
  <c r="I169" i="12"/>
  <c r="I161" i="12"/>
  <c r="M161" i="12" s="1"/>
  <c r="I153" i="12"/>
  <c r="M153" i="12" s="1"/>
  <c r="I162" i="12"/>
  <c r="M162" i="12" s="1"/>
  <c r="I154" i="12"/>
  <c r="M154" i="12" s="1"/>
  <c r="I146" i="12"/>
  <c r="M146" i="12" s="1"/>
  <c r="I145" i="12"/>
  <c r="M145" i="12" s="1"/>
  <c r="I140" i="12"/>
  <c r="M140" i="12" s="1"/>
  <c r="I139" i="12"/>
  <c r="M139" i="12" s="1"/>
  <c r="I134" i="12"/>
  <c r="M134" i="12" s="1"/>
  <c r="I135" i="12"/>
  <c r="M135" i="12" s="1"/>
  <c r="I147" i="12"/>
  <c r="M147" i="12" s="1"/>
  <c r="I144" i="12"/>
  <c r="M144" i="12" s="1"/>
  <c r="I136" i="12"/>
  <c r="M136" i="12" s="1"/>
  <c r="I137" i="12"/>
  <c r="M137" i="12" s="1"/>
  <c r="I168" i="12"/>
  <c r="M168" i="12" s="1"/>
  <c r="I163" i="12"/>
  <c r="M163" i="12" s="1"/>
  <c r="I160" i="12"/>
  <c r="M160" i="12" s="1"/>
  <c r="I155" i="12"/>
  <c r="M155" i="12" s="1"/>
  <c r="I152" i="12"/>
  <c r="M152" i="12" s="1"/>
  <c r="I138" i="12"/>
  <c r="M138" i="12" s="1"/>
  <c r="J165" i="12"/>
  <c r="J157" i="12"/>
  <c r="J149" i="12"/>
  <c r="J166" i="12"/>
  <c r="J158" i="12"/>
  <c r="J150" i="12"/>
  <c r="J142" i="12"/>
  <c r="J167" i="12"/>
  <c r="J159" i="12"/>
  <c r="J151" i="12"/>
  <c r="J143" i="12"/>
  <c r="J168" i="12"/>
  <c r="J160" i="12"/>
  <c r="J152" i="12"/>
  <c r="J144" i="12"/>
  <c r="J162" i="12"/>
  <c r="J154" i="12"/>
  <c r="J163" i="12"/>
  <c r="J155" i="12"/>
  <c r="J147" i="12"/>
  <c r="J148" i="12"/>
  <c r="J140" i="12"/>
  <c r="J139" i="12"/>
  <c r="J134" i="12"/>
  <c r="J141" i="12"/>
  <c r="J135" i="12"/>
  <c r="J136" i="12"/>
  <c r="J137" i="12"/>
  <c r="J169" i="12"/>
  <c r="J171" i="12" s="1"/>
  <c r="J164" i="12"/>
  <c r="J161" i="12"/>
  <c r="J156" i="12"/>
  <c r="J153" i="12"/>
  <c r="J138" i="12"/>
  <c r="J146" i="12"/>
  <c r="J145" i="12"/>
  <c r="J30" i="12"/>
  <c r="N30" i="12" s="1"/>
  <c r="O30" i="12" s="1"/>
  <c r="J130" i="12"/>
  <c r="J31" i="12"/>
  <c r="K31" i="12" s="1"/>
  <c r="J131" i="12"/>
  <c r="J33" i="12"/>
  <c r="N33" i="12" s="1"/>
  <c r="O33" i="12" s="1"/>
  <c r="J133" i="12"/>
  <c r="I33" i="12"/>
  <c r="M33" i="12" s="1"/>
  <c r="I133" i="12"/>
  <c r="M133" i="12" s="1"/>
  <c r="I32" i="12"/>
  <c r="M32" i="12" s="1"/>
  <c r="I132" i="12"/>
  <c r="M132" i="12" s="1"/>
  <c r="I31" i="12"/>
  <c r="M31" i="12" s="1"/>
  <c r="I131" i="12"/>
  <c r="M131" i="12" s="1"/>
  <c r="I29" i="12"/>
  <c r="M29" i="12" s="1"/>
  <c r="I129" i="12"/>
  <c r="M129" i="12" s="1"/>
  <c r="I30" i="12"/>
  <c r="M30" i="12" s="1"/>
  <c r="I130" i="12"/>
  <c r="M130" i="12" s="1"/>
  <c r="J29" i="12"/>
  <c r="K29" i="12" s="1"/>
  <c r="J129" i="12"/>
  <c r="J32" i="12"/>
  <c r="N32" i="12" s="1"/>
  <c r="O32" i="12" s="1"/>
  <c r="J132" i="12"/>
  <c r="I68" i="12"/>
  <c r="M68" i="12" s="1"/>
  <c r="I66" i="12"/>
  <c r="M66" i="12" s="1"/>
  <c r="I64" i="12"/>
  <c r="M64" i="12" s="1"/>
  <c r="I62" i="12"/>
  <c r="M62" i="12" s="1"/>
  <c r="I60" i="12"/>
  <c r="M60" i="12" s="1"/>
  <c r="I58" i="12"/>
  <c r="M58" i="12" s="1"/>
  <c r="I56" i="12"/>
  <c r="M56" i="12" s="1"/>
  <c r="I54" i="12"/>
  <c r="M54" i="12" s="1"/>
  <c r="I52" i="12"/>
  <c r="M52" i="12" s="1"/>
  <c r="I50" i="12"/>
  <c r="M50" i="12" s="1"/>
  <c r="I48" i="12"/>
  <c r="M48" i="12" s="1"/>
  <c r="I46" i="12"/>
  <c r="M46" i="12" s="1"/>
  <c r="I44" i="12"/>
  <c r="M44" i="12" s="1"/>
  <c r="I69" i="12"/>
  <c r="I53" i="12"/>
  <c r="M53" i="12" s="1"/>
  <c r="I43" i="12"/>
  <c r="M43" i="12" s="1"/>
  <c r="I41" i="12"/>
  <c r="M41" i="12" s="1"/>
  <c r="I37" i="12"/>
  <c r="M37" i="12" s="1"/>
  <c r="I35" i="12"/>
  <c r="M35" i="12" s="1"/>
  <c r="I59" i="12"/>
  <c r="M59" i="12" s="1"/>
  <c r="I40" i="12"/>
  <c r="M40" i="12" s="1"/>
  <c r="I65" i="12"/>
  <c r="M65" i="12" s="1"/>
  <c r="I49" i="12"/>
  <c r="M49" i="12" s="1"/>
  <c r="I67" i="12"/>
  <c r="M67" i="12" s="1"/>
  <c r="I55" i="12"/>
  <c r="M55" i="12" s="1"/>
  <c r="I39" i="12"/>
  <c r="M39" i="12" s="1"/>
  <c r="I61" i="12"/>
  <c r="M61" i="12" s="1"/>
  <c r="I38" i="12"/>
  <c r="M38" i="12" s="1"/>
  <c r="I36" i="12"/>
  <c r="M36" i="12" s="1"/>
  <c r="I34" i="12"/>
  <c r="M34" i="12" s="1"/>
  <c r="I51" i="12"/>
  <c r="M51" i="12" s="1"/>
  <c r="I57" i="12"/>
  <c r="M57" i="12" s="1"/>
  <c r="I45" i="12"/>
  <c r="M45" i="12" s="1"/>
  <c r="I42" i="12"/>
  <c r="M42" i="12" s="1"/>
  <c r="I63" i="12"/>
  <c r="M63" i="12" s="1"/>
  <c r="I47" i="12"/>
  <c r="M47" i="12" s="1"/>
  <c r="J68" i="12"/>
  <c r="J66" i="12"/>
  <c r="J64" i="12"/>
  <c r="J62" i="12"/>
  <c r="J60" i="12"/>
  <c r="J58" i="12"/>
  <c r="J56" i="12"/>
  <c r="J54" i="12"/>
  <c r="J52" i="12"/>
  <c r="J50" i="12"/>
  <c r="J48" i="12"/>
  <c r="J46" i="12"/>
  <c r="J44" i="12"/>
  <c r="J69" i="12"/>
  <c r="J67" i="12"/>
  <c r="J65" i="12"/>
  <c r="J63" i="12"/>
  <c r="J61" i="12"/>
  <c r="J59" i="12"/>
  <c r="J57" i="12"/>
  <c r="J55" i="12"/>
  <c r="J53" i="12"/>
  <c r="J51" i="12"/>
  <c r="J49" i="12"/>
  <c r="J47" i="12"/>
  <c r="J45" i="12"/>
  <c r="J43" i="12"/>
  <c r="J40" i="12"/>
  <c r="J41" i="12"/>
  <c r="J37" i="12"/>
  <c r="J39" i="12"/>
  <c r="J38" i="12"/>
  <c r="J36" i="12"/>
  <c r="J34" i="12"/>
  <c r="J42" i="12"/>
  <c r="J35" i="12"/>
  <c r="I182" i="11"/>
  <c r="I232" i="11"/>
  <c r="I180" i="11"/>
  <c r="I230" i="11"/>
  <c r="I181" i="11"/>
  <c r="I231" i="11"/>
  <c r="J268" i="11"/>
  <c r="K268" i="11" s="1"/>
  <c r="J264" i="11"/>
  <c r="K264" i="11" s="1"/>
  <c r="J260" i="11"/>
  <c r="K260" i="11" s="1"/>
  <c r="J256" i="11"/>
  <c r="K256" i="11" s="1"/>
  <c r="J252" i="11"/>
  <c r="K252" i="11" s="1"/>
  <c r="J248" i="11"/>
  <c r="K248" i="11" s="1"/>
  <c r="J267" i="11"/>
  <c r="K267" i="11" s="1"/>
  <c r="J263" i="11"/>
  <c r="K263" i="11" s="1"/>
  <c r="J259" i="11"/>
  <c r="K259" i="11" s="1"/>
  <c r="J255" i="11"/>
  <c r="K255" i="11" s="1"/>
  <c r="J251" i="11"/>
  <c r="K251" i="11" s="1"/>
  <c r="J247" i="11"/>
  <c r="K247" i="11" s="1"/>
  <c r="J271" i="11"/>
  <c r="K271" i="11" s="1"/>
  <c r="J266" i="11"/>
  <c r="K266" i="11" s="1"/>
  <c r="J262" i="11"/>
  <c r="K262" i="11" s="1"/>
  <c r="J258" i="11"/>
  <c r="K258" i="11" s="1"/>
  <c r="J254" i="11"/>
  <c r="K254" i="11" s="1"/>
  <c r="J250" i="11"/>
  <c r="K250" i="11" s="1"/>
  <c r="J246" i="11"/>
  <c r="K246" i="11" s="1"/>
  <c r="J269" i="11"/>
  <c r="K269" i="11" s="1"/>
  <c r="J265" i="11"/>
  <c r="K265" i="11" s="1"/>
  <c r="J261" i="11"/>
  <c r="K261" i="11" s="1"/>
  <c r="J257" i="11"/>
  <c r="K257" i="11" s="1"/>
  <c r="J253" i="11"/>
  <c r="K253" i="11" s="1"/>
  <c r="J249" i="11"/>
  <c r="K249" i="11" s="1"/>
  <c r="J245" i="11"/>
  <c r="K245" i="11" s="1"/>
  <c r="J244" i="11"/>
  <c r="K244" i="11" s="1"/>
  <c r="J240" i="11"/>
  <c r="K240" i="11" s="1"/>
  <c r="J236" i="11"/>
  <c r="K236" i="11" s="1"/>
  <c r="J243" i="11"/>
  <c r="K243" i="11" s="1"/>
  <c r="J239" i="11"/>
  <c r="K239" i="11" s="1"/>
  <c r="J235" i="11"/>
  <c r="K235" i="11" s="1"/>
  <c r="J237" i="11"/>
  <c r="K237" i="11" s="1"/>
  <c r="J242" i="11"/>
  <c r="K242" i="11" s="1"/>
  <c r="J238" i="11"/>
  <c r="K238" i="11" s="1"/>
  <c r="J234" i="11"/>
  <c r="K234" i="11" s="1"/>
  <c r="J241" i="11"/>
  <c r="K241" i="11" s="1"/>
  <c r="J180" i="11"/>
  <c r="K180" i="11" s="1"/>
  <c r="J230" i="11"/>
  <c r="K230" i="11" s="1"/>
  <c r="J181" i="11"/>
  <c r="K181" i="11" s="1"/>
  <c r="J231" i="11"/>
  <c r="K231" i="11" s="1"/>
  <c r="I183" i="11"/>
  <c r="I233" i="11"/>
  <c r="I268" i="11"/>
  <c r="I264" i="11"/>
  <c r="I260" i="11"/>
  <c r="I256" i="11"/>
  <c r="I252" i="11"/>
  <c r="I248" i="11"/>
  <c r="I267" i="11"/>
  <c r="I263" i="11"/>
  <c r="I259" i="11"/>
  <c r="I255" i="11"/>
  <c r="I251" i="11"/>
  <c r="I247" i="11"/>
  <c r="I271" i="11"/>
  <c r="I266" i="11"/>
  <c r="I262" i="11"/>
  <c r="I258" i="11"/>
  <c r="I254" i="11"/>
  <c r="I250" i="11"/>
  <c r="I245" i="11"/>
  <c r="I241" i="11"/>
  <c r="I237" i="11"/>
  <c r="I257" i="11"/>
  <c r="I269" i="11"/>
  <c r="I244" i="11"/>
  <c r="I240" i="11"/>
  <c r="I236" i="11"/>
  <c r="I249" i="11"/>
  <c r="I261" i="11"/>
  <c r="I243" i="11"/>
  <c r="I239" i="11"/>
  <c r="I235" i="11"/>
  <c r="I265" i="11"/>
  <c r="I253" i="11"/>
  <c r="I242" i="11"/>
  <c r="I238" i="11"/>
  <c r="I234" i="11"/>
  <c r="I246" i="11"/>
  <c r="J179" i="11"/>
  <c r="K179" i="11" s="1"/>
  <c r="J229" i="11"/>
  <c r="K229" i="11" s="1"/>
  <c r="I179" i="11"/>
  <c r="I229" i="11"/>
  <c r="J183" i="11"/>
  <c r="K183" i="11" s="1"/>
  <c r="J233" i="11"/>
  <c r="K233" i="11" s="1"/>
  <c r="J182" i="11"/>
  <c r="K182" i="11" s="1"/>
  <c r="J232" i="11"/>
  <c r="K232" i="11" s="1"/>
  <c r="I218" i="11"/>
  <c r="I214" i="11"/>
  <c r="I210" i="11"/>
  <c r="I206" i="11"/>
  <c r="I202" i="11"/>
  <c r="I198" i="11"/>
  <c r="I217" i="11"/>
  <c r="I213" i="11"/>
  <c r="I209" i="11"/>
  <c r="I205" i="11"/>
  <c r="I201" i="11"/>
  <c r="I197" i="11"/>
  <c r="I221" i="11"/>
  <c r="I216" i="11"/>
  <c r="I212" i="11"/>
  <c r="I208" i="11"/>
  <c r="I204" i="11"/>
  <c r="I200" i="11"/>
  <c r="I195" i="11"/>
  <c r="I191" i="11"/>
  <c r="I187" i="11"/>
  <c r="I207" i="11"/>
  <c r="I219" i="11"/>
  <c r="I194" i="11"/>
  <c r="I190" i="11"/>
  <c r="I186" i="11"/>
  <c r="I199" i="11"/>
  <c r="I211" i="11"/>
  <c r="I193" i="11"/>
  <c r="I189" i="11"/>
  <c r="I185" i="11"/>
  <c r="I203" i="11"/>
  <c r="I192" i="11"/>
  <c r="I188" i="11"/>
  <c r="I184" i="11"/>
  <c r="I215" i="11"/>
  <c r="I196" i="11"/>
  <c r="J218" i="11"/>
  <c r="K218" i="11" s="1"/>
  <c r="J214" i="11"/>
  <c r="K214" i="11" s="1"/>
  <c r="J210" i="11"/>
  <c r="K210" i="11" s="1"/>
  <c r="J206" i="11"/>
  <c r="K206" i="11" s="1"/>
  <c r="J202" i="11"/>
  <c r="K202" i="11" s="1"/>
  <c r="J198" i="11"/>
  <c r="K198" i="11" s="1"/>
  <c r="J217" i="11"/>
  <c r="K217" i="11" s="1"/>
  <c r="J213" i="11"/>
  <c r="K213" i="11" s="1"/>
  <c r="J209" i="11"/>
  <c r="K209" i="11" s="1"/>
  <c r="J205" i="11"/>
  <c r="K205" i="11" s="1"/>
  <c r="J201" i="11"/>
  <c r="K201" i="11" s="1"/>
  <c r="J197" i="11"/>
  <c r="K197" i="11" s="1"/>
  <c r="J221" i="11"/>
  <c r="K221" i="11" s="1"/>
  <c r="J216" i="11"/>
  <c r="K216" i="11" s="1"/>
  <c r="J212" i="11"/>
  <c r="K212" i="11" s="1"/>
  <c r="J208" i="11"/>
  <c r="K208" i="11" s="1"/>
  <c r="J204" i="11"/>
  <c r="K204" i="11" s="1"/>
  <c r="J200" i="11"/>
  <c r="K200" i="11" s="1"/>
  <c r="J219" i="11"/>
  <c r="K219" i="11" s="1"/>
  <c r="J215" i="11"/>
  <c r="K215" i="11" s="1"/>
  <c r="J211" i="11"/>
  <c r="K211" i="11" s="1"/>
  <c r="J207" i="11"/>
  <c r="K207" i="11" s="1"/>
  <c r="J203" i="11"/>
  <c r="K203" i="11" s="1"/>
  <c r="J199" i="11"/>
  <c r="K199" i="11" s="1"/>
  <c r="J194" i="11"/>
  <c r="K194" i="11" s="1"/>
  <c r="J190" i="11"/>
  <c r="K190" i="11" s="1"/>
  <c r="J186" i="11"/>
  <c r="K186" i="11" s="1"/>
  <c r="J193" i="11"/>
  <c r="K193" i="11" s="1"/>
  <c r="J189" i="11"/>
  <c r="K189" i="11" s="1"/>
  <c r="J185" i="11"/>
  <c r="K185" i="11" s="1"/>
  <c r="J192" i="11"/>
  <c r="K192" i="11" s="1"/>
  <c r="J188" i="11"/>
  <c r="K188" i="11" s="1"/>
  <c r="J184" i="11"/>
  <c r="K184" i="11" s="1"/>
  <c r="J196" i="11"/>
  <c r="K196" i="11" s="1"/>
  <c r="J195" i="11"/>
  <c r="K195" i="11" s="1"/>
  <c r="J191" i="11"/>
  <c r="K191" i="11" s="1"/>
  <c r="J187" i="11"/>
  <c r="K187" i="11" s="1"/>
  <c r="J82" i="11"/>
  <c r="K82" i="11" s="1"/>
  <c r="J132" i="11"/>
  <c r="K132" i="11" s="1"/>
  <c r="I82" i="11"/>
  <c r="I132" i="11"/>
  <c r="J80" i="11"/>
  <c r="K80" i="11" s="1"/>
  <c r="J130" i="11"/>
  <c r="K130" i="11" s="1"/>
  <c r="J81" i="11"/>
  <c r="K81" i="11" s="1"/>
  <c r="J131" i="11"/>
  <c r="K131" i="11" s="1"/>
  <c r="J168" i="11"/>
  <c r="K168" i="11" s="1"/>
  <c r="J164" i="11"/>
  <c r="K164" i="11" s="1"/>
  <c r="J160" i="11"/>
  <c r="K160" i="11" s="1"/>
  <c r="J156" i="11"/>
  <c r="K156" i="11" s="1"/>
  <c r="J152" i="11"/>
  <c r="K152" i="11" s="1"/>
  <c r="J148" i="11"/>
  <c r="K148" i="11" s="1"/>
  <c r="J167" i="11"/>
  <c r="K167" i="11" s="1"/>
  <c r="J163" i="11"/>
  <c r="K163" i="11" s="1"/>
  <c r="J159" i="11"/>
  <c r="K159" i="11" s="1"/>
  <c r="J155" i="11"/>
  <c r="K155" i="11" s="1"/>
  <c r="J151" i="11"/>
  <c r="K151" i="11" s="1"/>
  <c r="J147" i="11"/>
  <c r="K147" i="11" s="1"/>
  <c r="J171" i="11"/>
  <c r="K171" i="11" s="1"/>
  <c r="J166" i="11"/>
  <c r="K166" i="11" s="1"/>
  <c r="J162" i="11"/>
  <c r="K162" i="11" s="1"/>
  <c r="J158" i="11"/>
  <c r="K158" i="11" s="1"/>
  <c r="J154" i="11"/>
  <c r="K154" i="11" s="1"/>
  <c r="J150" i="11"/>
  <c r="K150" i="11" s="1"/>
  <c r="J169" i="11"/>
  <c r="K169" i="11" s="1"/>
  <c r="J165" i="11"/>
  <c r="K165" i="11" s="1"/>
  <c r="J161" i="11"/>
  <c r="K161" i="11" s="1"/>
  <c r="J157" i="11"/>
  <c r="K157" i="11" s="1"/>
  <c r="J153" i="11"/>
  <c r="K153" i="11" s="1"/>
  <c r="J149" i="11"/>
  <c r="K149" i="11" s="1"/>
  <c r="J146" i="11"/>
  <c r="K146" i="11" s="1"/>
  <c r="J145" i="11"/>
  <c r="K145" i="11" s="1"/>
  <c r="J141" i="11"/>
  <c r="K141" i="11" s="1"/>
  <c r="J137" i="11"/>
  <c r="K137" i="11" s="1"/>
  <c r="J144" i="11"/>
  <c r="K144" i="11" s="1"/>
  <c r="J140" i="11"/>
  <c r="K140" i="11" s="1"/>
  <c r="J136" i="11"/>
  <c r="K136" i="11" s="1"/>
  <c r="J138" i="11"/>
  <c r="K138" i="11" s="1"/>
  <c r="J143" i="11"/>
  <c r="K143" i="11" s="1"/>
  <c r="J139" i="11"/>
  <c r="K139" i="11" s="1"/>
  <c r="J135" i="11"/>
  <c r="K135" i="11" s="1"/>
  <c r="J142" i="11"/>
  <c r="K142" i="11" s="1"/>
  <c r="J134" i="11"/>
  <c r="K134" i="11" s="1"/>
  <c r="I80" i="11"/>
  <c r="I130" i="11"/>
  <c r="I81" i="11"/>
  <c r="I131" i="11"/>
  <c r="I83" i="11"/>
  <c r="I133" i="11"/>
  <c r="I168" i="11"/>
  <c r="I164" i="11"/>
  <c r="I160" i="11"/>
  <c r="I156" i="11"/>
  <c r="I152" i="11"/>
  <c r="I148" i="11"/>
  <c r="I167" i="11"/>
  <c r="I163" i="11"/>
  <c r="I159" i="11"/>
  <c r="I155" i="11"/>
  <c r="I151" i="11"/>
  <c r="I147" i="11"/>
  <c r="I171" i="11"/>
  <c r="I166" i="11"/>
  <c r="I162" i="11"/>
  <c r="I158" i="11"/>
  <c r="I154" i="11"/>
  <c r="I150" i="11"/>
  <c r="I142" i="11"/>
  <c r="I138" i="11"/>
  <c r="I134" i="11"/>
  <c r="I157" i="11"/>
  <c r="I169" i="11"/>
  <c r="I146" i="11"/>
  <c r="I145" i="11"/>
  <c r="I141" i="11"/>
  <c r="I137" i="11"/>
  <c r="I149" i="11"/>
  <c r="I161" i="11"/>
  <c r="I144" i="11"/>
  <c r="I140" i="11"/>
  <c r="I136" i="11"/>
  <c r="I165" i="11"/>
  <c r="I153" i="11"/>
  <c r="I143" i="11"/>
  <c r="I139" i="11"/>
  <c r="I135" i="11"/>
  <c r="J83" i="11"/>
  <c r="K83" i="11" s="1"/>
  <c r="J133" i="11"/>
  <c r="K133" i="11" s="1"/>
  <c r="J79" i="11"/>
  <c r="K79" i="11" s="1"/>
  <c r="J129" i="11"/>
  <c r="K129" i="11" s="1"/>
  <c r="I79" i="11"/>
  <c r="I129" i="11"/>
  <c r="I71" i="11"/>
  <c r="I118" i="11"/>
  <c r="I114" i="11"/>
  <c r="I110" i="11"/>
  <c r="I106" i="11"/>
  <c r="I102" i="11"/>
  <c r="I98" i="11"/>
  <c r="I117" i="11"/>
  <c r="I113" i="11"/>
  <c r="I109" i="11"/>
  <c r="I105" i="11"/>
  <c r="I101" i="11"/>
  <c r="I97" i="11"/>
  <c r="I121" i="11"/>
  <c r="I116" i="11"/>
  <c r="I112" i="11"/>
  <c r="I108" i="11"/>
  <c r="I104" i="11"/>
  <c r="I100" i="11"/>
  <c r="I92" i="11"/>
  <c r="I88" i="11"/>
  <c r="I84" i="11"/>
  <c r="I107" i="11"/>
  <c r="I96" i="11"/>
  <c r="I119" i="11"/>
  <c r="I95" i="11"/>
  <c r="I91" i="11"/>
  <c r="I87" i="11"/>
  <c r="I99" i="11"/>
  <c r="I111" i="11"/>
  <c r="I94" i="11"/>
  <c r="I90" i="11"/>
  <c r="I86" i="11"/>
  <c r="I115" i="11"/>
  <c r="I103" i="11"/>
  <c r="I93" i="11"/>
  <c r="I89" i="11"/>
  <c r="I85" i="11"/>
  <c r="J71" i="11"/>
  <c r="K71" i="11" s="1"/>
  <c r="J118" i="11"/>
  <c r="K118" i="11" s="1"/>
  <c r="J114" i="11"/>
  <c r="K114" i="11" s="1"/>
  <c r="J110" i="11"/>
  <c r="K110" i="11" s="1"/>
  <c r="J106" i="11"/>
  <c r="K106" i="11" s="1"/>
  <c r="J102" i="11"/>
  <c r="K102" i="11" s="1"/>
  <c r="J98" i="11"/>
  <c r="K98" i="11" s="1"/>
  <c r="J117" i="11"/>
  <c r="K117" i="11" s="1"/>
  <c r="J113" i="11"/>
  <c r="K113" i="11" s="1"/>
  <c r="J109" i="11"/>
  <c r="K109" i="11" s="1"/>
  <c r="J105" i="11"/>
  <c r="K105" i="11" s="1"/>
  <c r="J101" i="11"/>
  <c r="K101" i="11" s="1"/>
  <c r="J97" i="11"/>
  <c r="K97" i="11" s="1"/>
  <c r="J121" i="11"/>
  <c r="K121" i="11" s="1"/>
  <c r="J116" i="11"/>
  <c r="K116" i="11" s="1"/>
  <c r="J112" i="11"/>
  <c r="K112" i="11" s="1"/>
  <c r="J108" i="11"/>
  <c r="K108" i="11" s="1"/>
  <c r="J104" i="11"/>
  <c r="K104" i="11" s="1"/>
  <c r="J100" i="11"/>
  <c r="K100" i="11" s="1"/>
  <c r="J119" i="11"/>
  <c r="K119" i="11" s="1"/>
  <c r="J115" i="11"/>
  <c r="K115" i="11" s="1"/>
  <c r="J111" i="11"/>
  <c r="K111" i="11" s="1"/>
  <c r="J107" i="11"/>
  <c r="K107" i="11" s="1"/>
  <c r="J103" i="11"/>
  <c r="K103" i="11" s="1"/>
  <c r="J99" i="11"/>
  <c r="K99" i="11" s="1"/>
  <c r="J96" i="11"/>
  <c r="K96" i="11" s="1"/>
  <c r="J95" i="11"/>
  <c r="K95" i="11" s="1"/>
  <c r="J91" i="11"/>
  <c r="K91" i="11" s="1"/>
  <c r="J87" i="11"/>
  <c r="K87" i="11" s="1"/>
  <c r="J88" i="11"/>
  <c r="K88" i="11" s="1"/>
  <c r="J94" i="11"/>
  <c r="K94" i="11" s="1"/>
  <c r="J90" i="11"/>
  <c r="K90" i="11" s="1"/>
  <c r="J86" i="11"/>
  <c r="K86" i="11" s="1"/>
  <c r="J92" i="11"/>
  <c r="K92" i="11" s="1"/>
  <c r="J93" i="11"/>
  <c r="K93" i="11" s="1"/>
  <c r="J89" i="11"/>
  <c r="K89" i="11" s="1"/>
  <c r="J85" i="11"/>
  <c r="K85" i="11" s="1"/>
  <c r="J84" i="11"/>
  <c r="K84" i="11" s="1"/>
  <c r="J33" i="11"/>
  <c r="J32" i="11"/>
  <c r="I67" i="11"/>
  <c r="I317" i="11" s="1"/>
  <c r="I63" i="11"/>
  <c r="I313" i="11" s="1"/>
  <c r="I59" i="11"/>
  <c r="I309" i="11" s="1"/>
  <c r="I55" i="11"/>
  <c r="I305" i="11" s="1"/>
  <c r="I51" i="11"/>
  <c r="I301" i="11" s="1"/>
  <c r="I47" i="11"/>
  <c r="I297" i="11" s="1"/>
  <c r="I66" i="11"/>
  <c r="I316" i="11" s="1"/>
  <c r="I62" i="11"/>
  <c r="I312" i="11" s="1"/>
  <c r="I58" i="11"/>
  <c r="I308" i="11" s="1"/>
  <c r="I54" i="11"/>
  <c r="I304" i="11" s="1"/>
  <c r="I50" i="11"/>
  <c r="I300" i="11" s="1"/>
  <c r="I69" i="11"/>
  <c r="I319" i="11" s="1"/>
  <c r="I321" i="11" s="1"/>
  <c r="I65" i="11"/>
  <c r="I315" i="11" s="1"/>
  <c r="I61" i="11"/>
  <c r="I311" i="11" s="1"/>
  <c r="I57" i="11"/>
  <c r="I307" i="11" s="1"/>
  <c r="I53" i="11"/>
  <c r="I303" i="11" s="1"/>
  <c r="I49" i="11"/>
  <c r="I299" i="11" s="1"/>
  <c r="I45" i="11"/>
  <c r="I295" i="11" s="1"/>
  <c r="I60" i="11"/>
  <c r="I310" i="11" s="1"/>
  <c r="I44" i="11"/>
  <c r="I294" i="11" s="1"/>
  <c r="I43" i="11"/>
  <c r="I293" i="11" s="1"/>
  <c r="I39" i="11"/>
  <c r="I289" i="11" s="1"/>
  <c r="I35" i="11"/>
  <c r="I285" i="11" s="1"/>
  <c r="I56" i="11"/>
  <c r="I306" i="11" s="1"/>
  <c r="I46" i="11"/>
  <c r="I296" i="11" s="1"/>
  <c r="I42" i="11"/>
  <c r="I292" i="11" s="1"/>
  <c r="I38" i="11"/>
  <c r="I288" i="11" s="1"/>
  <c r="I34" i="11"/>
  <c r="I284" i="11" s="1"/>
  <c r="I48" i="11"/>
  <c r="I298" i="11" s="1"/>
  <c r="I41" i="11"/>
  <c r="I291" i="11" s="1"/>
  <c r="I37" i="11"/>
  <c r="I287" i="11" s="1"/>
  <c r="I68" i="11"/>
  <c r="I318" i="11" s="1"/>
  <c r="I52" i="11"/>
  <c r="I302" i="11" s="1"/>
  <c r="I40" i="11"/>
  <c r="I290" i="11" s="1"/>
  <c r="I36" i="11"/>
  <c r="I286" i="11" s="1"/>
  <c r="I64" i="11"/>
  <c r="I314" i="11" s="1"/>
  <c r="J31" i="11"/>
  <c r="J67" i="11"/>
  <c r="J63" i="11"/>
  <c r="J59" i="11"/>
  <c r="J55" i="11"/>
  <c r="J66" i="11"/>
  <c r="J62" i="11"/>
  <c r="J58" i="11"/>
  <c r="J54" i="11"/>
  <c r="J50" i="11"/>
  <c r="J46" i="11"/>
  <c r="J69" i="11"/>
  <c r="J65" i="11"/>
  <c r="J61" i="11"/>
  <c r="J57" i="11"/>
  <c r="J53" i="11"/>
  <c r="J49" i="11"/>
  <c r="J45" i="11"/>
  <c r="J68" i="11"/>
  <c r="J64" i="11"/>
  <c r="J60" i="11"/>
  <c r="J56" i="11"/>
  <c r="J52" i="11"/>
  <c r="J48" i="11"/>
  <c r="J44" i="11"/>
  <c r="J34" i="11"/>
  <c r="J42" i="11"/>
  <c r="J38" i="11"/>
  <c r="J51" i="11"/>
  <c r="J47" i="11"/>
  <c r="J41" i="11"/>
  <c r="J37" i="11"/>
  <c r="J40" i="11"/>
  <c r="J36" i="11"/>
  <c r="J43" i="11"/>
  <c r="J39" i="11"/>
  <c r="J35" i="11"/>
  <c r="I32" i="11"/>
  <c r="I282" i="11" s="1"/>
  <c r="I31" i="11"/>
  <c r="I281" i="11" s="1"/>
  <c r="I33" i="11"/>
  <c r="I283" i="11" s="1"/>
  <c r="J30" i="11"/>
  <c r="I30" i="11"/>
  <c r="I280" i="11" s="1"/>
  <c r="J29" i="11"/>
  <c r="I29" i="11"/>
  <c r="I279" i="11" s="1"/>
  <c r="I233" i="10"/>
  <c r="I183" i="10"/>
  <c r="M183" i="10" s="1"/>
  <c r="I133" i="10"/>
  <c r="M133" i="10" s="1"/>
  <c r="I229" i="10"/>
  <c r="I179" i="10"/>
  <c r="M179" i="10" s="1"/>
  <c r="I129" i="10"/>
  <c r="M129" i="10" s="1"/>
  <c r="J232" i="10"/>
  <c r="J182" i="10"/>
  <c r="J132" i="10"/>
  <c r="I230" i="10"/>
  <c r="I180" i="10"/>
  <c r="M180" i="10" s="1"/>
  <c r="I130" i="10"/>
  <c r="M130" i="10" s="1"/>
  <c r="J230" i="10"/>
  <c r="J180" i="10"/>
  <c r="J130" i="10"/>
  <c r="I232" i="10"/>
  <c r="I182" i="10"/>
  <c r="M182" i="10" s="1"/>
  <c r="I132" i="10"/>
  <c r="M132" i="10" s="1"/>
  <c r="J233" i="10"/>
  <c r="J183" i="10"/>
  <c r="J133" i="10"/>
  <c r="I231" i="10"/>
  <c r="I181" i="10"/>
  <c r="M181" i="10" s="1"/>
  <c r="I131" i="10"/>
  <c r="M131" i="10" s="1"/>
  <c r="I269" i="10"/>
  <c r="I267" i="10"/>
  <c r="I268" i="10"/>
  <c r="I266" i="10"/>
  <c r="I265" i="10"/>
  <c r="I262" i="10"/>
  <c r="I264" i="10"/>
  <c r="I263" i="10"/>
  <c r="I260" i="10"/>
  <c r="I259" i="10"/>
  <c r="I258" i="10"/>
  <c r="I257" i="10"/>
  <c r="I255" i="10"/>
  <c r="I252" i="10"/>
  <c r="I247" i="10"/>
  <c r="I245" i="10"/>
  <c r="I254" i="10"/>
  <c r="I250" i="10"/>
  <c r="I243" i="10"/>
  <c r="I242" i="10"/>
  <c r="I241" i="10"/>
  <c r="I240" i="10"/>
  <c r="I239" i="10"/>
  <c r="I238" i="10"/>
  <c r="I237" i="10"/>
  <c r="I236" i="10"/>
  <c r="I235" i="10"/>
  <c r="I234" i="10"/>
  <c r="I249" i="10"/>
  <c r="I256" i="10"/>
  <c r="I261" i="10"/>
  <c r="I253" i="10"/>
  <c r="I251" i="10"/>
  <c r="I248" i="10"/>
  <c r="I246" i="10"/>
  <c r="I244" i="10"/>
  <c r="I218" i="10"/>
  <c r="M218" i="10" s="1"/>
  <c r="I217" i="10"/>
  <c r="M217" i="10" s="1"/>
  <c r="I216" i="10"/>
  <c r="M216" i="10" s="1"/>
  <c r="I215" i="10"/>
  <c r="M215" i="10" s="1"/>
  <c r="I214" i="10"/>
  <c r="M214" i="10" s="1"/>
  <c r="I219" i="10"/>
  <c r="M219" i="10" s="1"/>
  <c r="M221" i="10" s="1"/>
  <c r="I213" i="10"/>
  <c r="M213" i="10" s="1"/>
  <c r="I212" i="10"/>
  <c r="M212" i="10" s="1"/>
  <c r="I211" i="10"/>
  <c r="M211" i="10" s="1"/>
  <c r="I210" i="10"/>
  <c r="M210" i="10" s="1"/>
  <c r="I209" i="10"/>
  <c r="M209" i="10" s="1"/>
  <c r="I199" i="10"/>
  <c r="M199" i="10" s="1"/>
  <c r="I207" i="10"/>
  <c r="M207" i="10" s="1"/>
  <c r="I203" i="10"/>
  <c r="M203" i="10" s="1"/>
  <c r="I197" i="10"/>
  <c r="M197" i="10" s="1"/>
  <c r="I198" i="10"/>
  <c r="M198" i="10" s="1"/>
  <c r="I208" i="10"/>
  <c r="M208" i="10" s="1"/>
  <c r="I204" i="10"/>
  <c r="M204" i="10" s="1"/>
  <c r="I205" i="10"/>
  <c r="M205" i="10" s="1"/>
  <c r="I196" i="10"/>
  <c r="M196" i="10" s="1"/>
  <c r="I192" i="10"/>
  <c r="M192" i="10" s="1"/>
  <c r="I189" i="10"/>
  <c r="M189" i="10" s="1"/>
  <c r="I188" i="10"/>
  <c r="M188" i="10" s="1"/>
  <c r="I187" i="10"/>
  <c r="M187" i="10" s="1"/>
  <c r="I193" i="10"/>
  <c r="M193" i="10" s="1"/>
  <c r="I202" i="10"/>
  <c r="M202" i="10" s="1"/>
  <c r="I194" i="10"/>
  <c r="M194" i="10" s="1"/>
  <c r="I190" i="10"/>
  <c r="M190" i="10" s="1"/>
  <c r="I169" i="10"/>
  <c r="M169" i="10" s="1"/>
  <c r="M171" i="10" s="1"/>
  <c r="I161" i="10"/>
  <c r="M161" i="10" s="1"/>
  <c r="I153" i="10"/>
  <c r="M153" i="10" s="1"/>
  <c r="I201" i="10"/>
  <c r="M201" i="10" s="1"/>
  <c r="I168" i="10"/>
  <c r="M168" i="10" s="1"/>
  <c r="I191" i="10"/>
  <c r="M191" i="10" s="1"/>
  <c r="I184" i="10"/>
  <c r="M184" i="10" s="1"/>
  <c r="I167" i="10"/>
  <c r="M167" i="10" s="1"/>
  <c r="I159" i="10"/>
  <c r="M159" i="10" s="1"/>
  <c r="I166" i="10"/>
  <c r="M166" i="10" s="1"/>
  <c r="I158" i="10"/>
  <c r="M158" i="10" s="1"/>
  <c r="I185" i="10"/>
  <c r="M185" i="10" s="1"/>
  <c r="I165" i="10"/>
  <c r="M165" i="10" s="1"/>
  <c r="I200" i="10"/>
  <c r="M200" i="10" s="1"/>
  <c r="I162" i="10"/>
  <c r="M162" i="10" s="1"/>
  <c r="I154" i="10"/>
  <c r="M154" i="10" s="1"/>
  <c r="I156" i="10"/>
  <c r="M156" i="10" s="1"/>
  <c r="I164" i="10"/>
  <c r="M164" i="10" s="1"/>
  <c r="I155" i="10"/>
  <c r="M155" i="10" s="1"/>
  <c r="I186" i="10"/>
  <c r="M186" i="10" s="1"/>
  <c r="I206" i="10"/>
  <c r="M206" i="10" s="1"/>
  <c r="I163" i="10"/>
  <c r="M163" i="10" s="1"/>
  <c r="I160" i="10"/>
  <c r="M160" i="10" s="1"/>
  <c r="I143" i="10"/>
  <c r="M143" i="10" s="1"/>
  <c r="I135" i="10"/>
  <c r="M135" i="10" s="1"/>
  <c r="I157" i="10"/>
  <c r="M157" i="10" s="1"/>
  <c r="I142" i="10"/>
  <c r="M142" i="10" s="1"/>
  <c r="I134" i="10"/>
  <c r="M134" i="10" s="1"/>
  <c r="I195" i="10"/>
  <c r="M195" i="10" s="1"/>
  <c r="I151" i="10"/>
  <c r="M151" i="10" s="1"/>
  <c r="I148" i="10"/>
  <c r="M148" i="10" s="1"/>
  <c r="I141" i="10"/>
  <c r="M141" i="10" s="1"/>
  <c r="I152" i="10"/>
  <c r="M152" i="10" s="1"/>
  <c r="I140" i="10"/>
  <c r="M140" i="10" s="1"/>
  <c r="I149" i="10"/>
  <c r="M149" i="10" s="1"/>
  <c r="I147" i="10"/>
  <c r="M147" i="10" s="1"/>
  <c r="I139" i="10"/>
  <c r="M139" i="10" s="1"/>
  <c r="I150" i="10"/>
  <c r="M150" i="10" s="1"/>
  <c r="I144" i="10"/>
  <c r="M144" i="10" s="1"/>
  <c r="I136" i="10"/>
  <c r="M136" i="10" s="1"/>
  <c r="I146" i="10"/>
  <c r="M146" i="10" s="1"/>
  <c r="I138" i="10"/>
  <c r="M138" i="10" s="1"/>
  <c r="I137" i="10"/>
  <c r="M137" i="10" s="1"/>
  <c r="I145" i="10"/>
  <c r="M145" i="10" s="1"/>
  <c r="J231" i="10"/>
  <c r="J181" i="10"/>
  <c r="J131" i="10"/>
  <c r="J229" i="10"/>
  <c r="J179" i="10"/>
  <c r="J129" i="10"/>
  <c r="J266" i="10"/>
  <c r="J265" i="10"/>
  <c r="J264" i="10"/>
  <c r="J263" i="10"/>
  <c r="J262" i="10"/>
  <c r="J267" i="10"/>
  <c r="J268" i="10"/>
  <c r="J261" i="10"/>
  <c r="J260" i="10"/>
  <c r="J259" i="10"/>
  <c r="J258" i="10"/>
  <c r="J257" i="10"/>
  <c r="J256" i="10"/>
  <c r="J255" i="10"/>
  <c r="J254" i="10"/>
  <c r="J250" i="10"/>
  <c r="J243" i="10"/>
  <c r="J242" i="10"/>
  <c r="J241" i="10"/>
  <c r="J240" i="10"/>
  <c r="J249" i="10"/>
  <c r="J253" i="10"/>
  <c r="J251" i="10"/>
  <c r="J248" i="10"/>
  <c r="J246" i="10"/>
  <c r="J244" i="10"/>
  <c r="J252" i="10"/>
  <c r="J247" i="10"/>
  <c r="J245" i="10"/>
  <c r="J236" i="10"/>
  <c r="J234" i="10"/>
  <c r="J239" i="10"/>
  <c r="J269" i="10"/>
  <c r="J235" i="10"/>
  <c r="J238" i="10"/>
  <c r="J237" i="10"/>
  <c r="J219" i="10"/>
  <c r="J218" i="10"/>
  <c r="J217" i="10"/>
  <c r="J216" i="10"/>
  <c r="J215" i="10"/>
  <c r="J214" i="10"/>
  <c r="J213" i="10"/>
  <c r="J212" i="10"/>
  <c r="J211" i="10"/>
  <c r="J210" i="10"/>
  <c r="J209" i="10"/>
  <c r="J208" i="10"/>
  <c r="J207" i="10"/>
  <c r="J203" i="10"/>
  <c r="J197" i="10"/>
  <c r="J198" i="10"/>
  <c r="J204" i="10"/>
  <c r="J205" i="10"/>
  <c r="J201" i="10"/>
  <c r="J199" i="10"/>
  <c r="J189" i="10"/>
  <c r="J188" i="10"/>
  <c r="J187" i="10"/>
  <c r="J193" i="10"/>
  <c r="J202" i="10"/>
  <c r="J194" i="10"/>
  <c r="J190" i="10"/>
  <c r="J200" i="10"/>
  <c r="J168" i="10"/>
  <c r="J160" i="10"/>
  <c r="J152" i="10"/>
  <c r="J191" i="10"/>
  <c r="J184" i="10"/>
  <c r="J167" i="10"/>
  <c r="J196" i="10"/>
  <c r="J166" i="10"/>
  <c r="J158" i="10"/>
  <c r="J185" i="10"/>
  <c r="J165" i="10"/>
  <c r="J157" i="10"/>
  <c r="J206" i="10"/>
  <c r="J195" i="10"/>
  <c r="J164" i="10"/>
  <c r="J192" i="10"/>
  <c r="J169" i="10"/>
  <c r="J161" i="10"/>
  <c r="J153" i="10"/>
  <c r="J155" i="10"/>
  <c r="J154" i="10"/>
  <c r="J186" i="10"/>
  <c r="J163" i="10"/>
  <c r="J159" i="10"/>
  <c r="J142" i="10"/>
  <c r="J134" i="10"/>
  <c r="J151" i="10"/>
  <c r="J148" i="10"/>
  <c r="J141" i="10"/>
  <c r="J140" i="10"/>
  <c r="J149" i="10"/>
  <c r="J147" i="10"/>
  <c r="J139" i="10"/>
  <c r="J138" i="10"/>
  <c r="J146" i="10"/>
  <c r="J143" i="10"/>
  <c r="J135" i="10"/>
  <c r="J144" i="10"/>
  <c r="J136" i="10"/>
  <c r="J156" i="10"/>
  <c r="J137" i="10"/>
  <c r="J150" i="10"/>
  <c r="J162" i="10"/>
  <c r="J145" i="10"/>
  <c r="J180" i="9"/>
  <c r="J130" i="9"/>
  <c r="J230" i="9"/>
  <c r="AK78" i="4"/>
  <c r="I182" i="9"/>
  <c r="M182" i="9" s="1"/>
  <c r="I232" i="9"/>
  <c r="I132" i="9"/>
  <c r="M132" i="9" s="1"/>
  <c r="AK77" i="4"/>
  <c r="I131" i="9"/>
  <c r="M131" i="9" s="1"/>
  <c r="I231" i="9"/>
  <c r="I181" i="9"/>
  <c r="M181" i="9" s="1"/>
  <c r="J269" i="9"/>
  <c r="J265" i="9"/>
  <c r="J261" i="9"/>
  <c r="J257" i="9"/>
  <c r="J253" i="9"/>
  <c r="J249" i="9"/>
  <c r="J245" i="9"/>
  <c r="J241" i="9"/>
  <c r="J237" i="9"/>
  <c r="J216" i="9"/>
  <c r="J212" i="9"/>
  <c r="J208" i="9"/>
  <c r="J204" i="9"/>
  <c r="J200" i="9"/>
  <c r="J196" i="9"/>
  <c r="J192" i="9"/>
  <c r="J188" i="9"/>
  <c r="J184" i="9"/>
  <c r="J167" i="9"/>
  <c r="J163" i="9"/>
  <c r="J159" i="9"/>
  <c r="J155" i="9"/>
  <c r="J151" i="9"/>
  <c r="J147" i="9"/>
  <c r="J143" i="9"/>
  <c r="J139" i="9"/>
  <c r="J135" i="9"/>
  <c r="J268" i="9"/>
  <c r="J264" i="9"/>
  <c r="J260" i="9"/>
  <c r="J256" i="9"/>
  <c r="J252" i="9"/>
  <c r="J248" i="9"/>
  <c r="J244" i="9"/>
  <c r="J240" i="9"/>
  <c r="J236" i="9"/>
  <c r="J219" i="9"/>
  <c r="J215" i="9"/>
  <c r="J211" i="9"/>
  <c r="J207" i="9"/>
  <c r="J203" i="9"/>
  <c r="J199" i="9"/>
  <c r="J195" i="9"/>
  <c r="J191" i="9"/>
  <c r="J187" i="9"/>
  <c r="J166" i="9"/>
  <c r="J162" i="9"/>
  <c r="J158" i="9"/>
  <c r="J154" i="9"/>
  <c r="J150" i="9"/>
  <c r="J146" i="9"/>
  <c r="J142" i="9"/>
  <c r="J138" i="9"/>
  <c r="J134" i="9"/>
  <c r="J267" i="9"/>
  <c r="J263" i="9"/>
  <c r="J259" i="9"/>
  <c r="J255" i="9"/>
  <c r="J251" i="9"/>
  <c r="J247" i="9"/>
  <c r="J243" i="9"/>
  <c r="J239" i="9"/>
  <c r="J235" i="9"/>
  <c r="J218" i="9"/>
  <c r="J214" i="9"/>
  <c r="J210" i="9"/>
  <c r="J206" i="9"/>
  <c r="J202" i="9"/>
  <c r="J198" i="9"/>
  <c r="J194" i="9"/>
  <c r="J190" i="9"/>
  <c r="J186" i="9"/>
  <c r="J169" i="9"/>
  <c r="J165" i="9"/>
  <c r="J161" i="9"/>
  <c r="J157" i="9"/>
  <c r="J153" i="9"/>
  <c r="J149" i="9"/>
  <c r="J145" i="9"/>
  <c r="J141" i="9"/>
  <c r="J137" i="9"/>
  <c r="J262" i="9"/>
  <c r="J246" i="9"/>
  <c r="J205" i="9"/>
  <c r="J189" i="9"/>
  <c r="J164" i="9"/>
  <c r="J148" i="9"/>
  <c r="J160" i="9"/>
  <c r="J144" i="9"/>
  <c r="J254" i="9"/>
  <c r="J238" i="9"/>
  <c r="J213" i="9"/>
  <c r="J197" i="9"/>
  <c r="J156" i="9"/>
  <c r="J266" i="9"/>
  <c r="J250" i="9"/>
  <c r="J234" i="9"/>
  <c r="J209" i="9"/>
  <c r="J193" i="9"/>
  <c r="J168" i="9"/>
  <c r="J152" i="9"/>
  <c r="J140" i="9"/>
  <c r="J136" i="9"/>
  <c r="J258" i="9"/>
  <c r="J242" i="9"/>
  <c r="J217" i="9"/>
  <c r="J201" i="9"/>
  <c r="J185" i="9"/>
  <c r="J131" i="9"/>
  <c r="J231" i="9"/>
  <c r="J181" i="9"/>
  <c r="AK79" i="4"/>
  <c r="I233" i="9"/>
  <c r="I183" i="9"/>
  <c r="M183" i="9" s="1"/>
  <c r="I133" i="9"/>
  <c r="M133" i="9" s="1"/>
  <c r="J232" i="9"/>
  <c r="J182" i="9"/>
  <c r="J132" i="9"/>
  <c r="AK80" i="4"/>
  <c r="AK81" i="4" s="1"/>
  <c r="AK82" i="4" s="1"/>
  <c r="AK83" i="4" s="1"/>
  <c r="AK84" i="4" s="1"/>
  <c r="AK85" i="4" s="1"/>
  <c r="AK86" i="4" s="1"/>
  <c r="AK87" i="4" s="1"/>
  <c r="AK88" i="4" s="1"/>
  <c r="AK89" i="4" s="1"/>
  <c r="AK90" i="4" s="1"/>
  <c r="AK91" i="4" s="1"/>
  <c r="AK92" i="4" s="1"/>
  <c r="AK93" i="4" s="1"/>
  <c r="AK94" i="4" s="1"/>
  <c r="AK95" i="4" s="1"/>
  <c r="AK96" i="4" s="1"/>
  <c r="AK97" i="4" s="1"/>
  <c r="AK98" i="4" s="1"/>
  <c r="AK99" i="4" s="1"/>
  <c r="AK100" i="4" s="1"/>
  <c r="AK101" i="4" s="1"/>
  <c r="AK102" i="4" s="1"/>
  <c r="AK103" i="4" s="1"/>
  <c r="AK104" i="4" s="1"/>
  <c r="AK105" i="4" s="1"/>
  <c r="AK106" i="4" s="1"/>
  <c r="AK107" i="4" s="1"/>
  <c r="AK108" i="4" s="1"/>
  <c r="AK109" i="4" s="1"/>
  <c r="AK110" i="4" s="1"/>
  <c r="AK111" i="4" s="1"/>
  <c r="AK112" i="4" s="1"/>
  <c r="AK113" i="4" s="1"/>
  <c r="AK114" i="4" s="1"/>
  <c r="AK115" i="4" s="1"/>
  <c r="I269" i="9"/>
  <c r="I265" i="9"/>
  <c r="I261" i="9"/>
  <c r="I257" i="9"/>
  <c r="I253" i="9"/>
  <c r="I249" i="9"/>
  <c r="I245" i="9"/>
  <c r="I241" i="9"/>
  <c r="I237" i="9"/>
  <c r="I216" i="9"/>
  <c r="M216" i="9" s="1"/>
  <c r="I212" i="9"/>
  <c r="M212" i="9" s="1"/>
  <c r="I208" i="9"/>
  <c r="M208" i="9" s="1"/>
  <c r="I204" i="9"/>
  <c r="M204" i="9" s="1"/>
  <c r="I200" i="9"/>
  <c r="M200" i="9" s="1"/>
  <c r="I196" i="9"/>
  <c r="M196" i="9" s="1"/>
  <c r="I192" i="9"/>
  <c r="M192" i="9" s="1"/>
  <c r="I188" i="9"/>
  <c r="M188" i="9" s="1"/>
  <c r="I184" i="9"/>
  <c r="M184" i="9" s="1"/>
  <c r="I167" i="9"/>
  <c r="M167" i="9" s="1"/>
  <c r="I163" i="9"/>
  <c r="M163" i="9" s="1"/>
  <c r="I159" i="9"/>
  <c r="M159" i="9" s="1"/>
  <c r="I155" i="9"/>
  <c r="M155" i="9" s="1"/>
  <c r="I151" i="9"/>
  <c r="M151" i="9" s="1"/>
  <c r="I147" i="9"/>
  <c r="M147" i="9" s="1"/>
  <c r="I143" i="9"/>
  <c r="M143" i="9" s="1"/>
  <c r="I139" i="9"/>
  <c r="M139" i="9" s="1"/>
  <c r="I135" i="9"/>
  <c r="M135" i="9" s="1"/>
  <c r="I161" i="9"/>
  <c r="M161" i="9" s="1"/>
  <c r="I149" i="9"/>
  <c r="M149" i="9" s="1"/>
  <c r="I268" i="9"/>
  <c r="I264" i="9"/>
  <c r="I260" i="9"/>
  <c r="I256" i="9"/>
  <c r="I252" i="9"/>
  <c r="I248" i="9"/>
  <c r="I244" i="9"/>
  <c r="I240" i="9"/>
  <c r="I236" i="9"/>
  <c r="I219" i="9"/>
  <c r="M219" i="9" s="1"/>
  <c r="M221" i="9" s="1"/>
  <c r="I215" i="9"/>
  <c r="M215" i="9" s="1"/>
  <c r="I211" i="9"/>
  <c r="M211" i="9" s="1"/>
  <c r="I207" i="9"/>
  <c r="M207" i="9" s="1"/>
  <c r="I203" i="9"/>
  <c r="M203" i="9" s="1"/>
  <c r="I199" i="9"/>
  <c r="M199" i="9" s="1"/>
  <c r="I195" i="9"/>
  <c r="M195" i="9" s="1"/>
  <c r="I191" i="9"/>
  <c r="M191" i="9" s="1"/>
  <c r="I187" i="9"/>
  <c r="M187" i="9" s="1"/>
  <c r="I166" i="9"/>
  <c r="M166" i="9" s="1"/>
  <c r="I162" i="9"/>
  <c r="M162" i="9" s="1"/>
  <c r="I158" i="9"/>
  <c r="M158" i="9" s="1"/>
  <c r="I154" i="9"/>
  <c r="M154" i="9" s="1"/>
  <c r="I150" i="9"/>
  <c r="M150" i="9" s="1"/>
  <c r="I146" i="9"/>
  <c r="M146" i="9" s="1"/>
  <c r="I142" i="9"/>
  <c r="M142" i="9" s="1"/>
  <c r="I138" i="9"/>
  <c r="M138" i="9" s="1"/>
  <c r="I134" i="9"/>
  <c r="M134" i="9" s="1"/>
  <c r="I267" i="9"/>
  <c r="I263" i="9"/>
  <c r="I259" i="9"/>
  <c r="I255" i="9"/>
  <c r="I251" i="9"/>
  <c r="I247" i="9"/>
  <c r="I243" i="9"/>
  <c r="I239" i="9"/>
  <c r="I235" i="9"/>
  <c r="I218" i="9"/>
  <c r="M218" i="9" s="1"/>
  <c r="I214" i="9"/>
  <c r="M214" i="9" s="1"/>
  <c r="I210" i="9"/>
  <c r="M210" i="9" s="1"/>
  <c r="I206" i="9"/>
  <c r="M206" i="9" s="1"/>
  <c r="I202" i="9"/>
  <c r="M202" i="9" s="1"/>
  <c r="I198" i="9"/>
  <c r="M198" i="9" s="1"/>
  <c r="I194" i="9"/>
  <c r="M194" i="9" s="1"/>
  <c r="I190" i="9"/>
  <c r="M190" i="9" s="1"/>
  <c r="I186" i="9"/>
  <c r="M186" i="9" s="1"/>
  <c r="I169" i="9"/>
  <c r="M169" i="9" s="1"/>
  <c r="M171" i="9" s="1"/>
  <c r="I165" i="9"/>
  <c r="M165" i="9" s="1"/>
  <c r="I157" i="9"/>
  <c r="M157" i="9" s="1"/>
  <c r="I153" i="9"/>
  <c r="M153" i="9" s="1"/>
  <c r="I266" i="9"/>
  <c r="I250" i="9"/>
  <c r="I234" i="9"/>
  <c r="I209" i="9"/>
  <c r="M209" i="9" s="1"/>
  <c r="I193" i="9"/>
  <c r="M193" i="9" s="1"/>
  <c r="I168" i="9"/>
  <c r="M168" i="9" s="1"/>
  <c r="I152" i="9"/>
  <c r="M152" i="9" s="1"/>
  <c r="I140" i="9"/>
  <c r="M140" i="9" s="1"/>
  <c r="I137" i="9"/>
  <c r="M137" i="9" s="1"/>
  <c r="I262" i="9"/>
  <c r="I189" i="9"/>
  <c r="M189" i="9" s="1"/>
  <c r="I148" i="9"/>
  <c r="M148" i="9" s="1"/>
  <c r="I136" i="9"/>
  <c r="M136" i="9" s="1"/>
  <c r="I258" i="9"/>
  <c r="I242" i="9"/>
  <c r="I217" i="9"/>
  <c r="M217" i="9" s="1"/>
  <c r="I201" i="9"/>
  <c r="M201" i="9" s="1"/>
  <c r="I185" i="9"/>
  <c r="M185" i="9" s="1"/>
  <c r="I160" i="9"/>
  <c r="M160" i="9" s="1"/>
  <c r="I144" i="9"/>
  <c r="M144" i="9" s="1"/>
  <c r="I254" i="9"/>
  <c r="I238" i="9"/>
  <c r="I213" i="9"/>
  <c r="M213" i="9" s="1"/>
  <c r="I197" i="9"/>
  <c r="M197" i="9" s="1"/>
  <c r="I156" i="9"/>
  <c r="M156" i="9" s="1"/>
  <c r="I141" i="9"/>
  <c r="M141" i="9" s="1"/>
  <c r="I246" i="9"/>
  <c r="I205" i="9"/>
  <c r="M205" i="9" s="1"/>
  <c r="I164" i="9"/>
  <c r="M164" i="9" s="1"/>
  <c r="I145" i="9"/>
  <c r="M145" i="9" s="1"/>
  <c r="AK76" i="4"/>
  <c r="I180" i="9"/>
  <c r="M180" i="9" s="1"/>
  <c r="I130" i="9"/>
  <c r="M130" i="9" s="1"/>
  <c r="I230" i="9"/>
  <c r="J233" i="9"/>
  <c r="J183" i="9"/>
  <c r="J133" i="9"/>
  <c r="J229" i="9"/>
  <c r="J179" i="9"/>
  <c r="J129" i="9"/>
  <c r="AK75" i="4"/>
  <c r="I229" i="9"/>
  <c r="I179" i="9"/>
  <c r="M179" i="9" s="1"/>
  <c r="I129" i="9"/>
  <c r="M129" i="9" s="1"/>
  <c r="I33" i="6"/>
  <c r="I83" i="6"/>
  <c r="M83" i="6" s="1"/>
  <c r="I29" i="6"/>
  <c r="I79" i="6"/>
  <c r="M79" i="6" s="1"/>
  <c r="J30" i="6"/>
  <c r="J80" i="6"/>
  <c r="J32" i="6"/>
  <c r="J82" i="6"/>
  <c r="I32" i="6"/>
  <c r="I82" i="6"/>
  <c r="M82" i="6" s="1"/>
  <c r="I30" i="6"/>
  <c r="I80" i="6"/>
  <c r="M80" i="6" s="1"/>
  <c r="J31" i="6"/>
  <c r="J81" i="6"/>
  <c r="I116" i="6"/>
  <c r="M116" i="6" s="1"/>
  <c r="I108" i="6"/>
  <c r="M108" i="6" s="1"/>
  <c r="I100" i="6"/>
  <c r="M100" i="6" s="1"/>
  <c r="I114" i="6"/>
  <c r="M114" i="6" s="1"/>
  <c r="I106" i="6"/>
  <c r="M106" i="6" s="1"/>
  <c r="I98" i="6"/>
  <c r="M98" i="6" s="1"/>
  <c r="I115" i="6"/>
  <c r="M115" i="6" s="1"/>
  <c r="I104" i="6"/>
  <c r="M104" i="6" s="1"/>
  <c r="I99" i="6"/>
  <c r="M99" i="6" s="1"/>
  <c r="I112" i="6"/>
  <c r="M112" i="6" s="1"/>
  <c r="I107" i="6"/>
  <c r="M107" i="6" s="1"/>
  <c r="I93" i="6"/>
  <c r="M93" i="6" s="1"/>
  <c r="I94" i="6"/>
  <c r="M94" i="6" s="1"/>
  <c r="I90" i="6"/>
  <c r="M90" i="6" s="1"/>
  <c r="I118" i="6"/>
  <c r="M118" i="6" s="1"/>
  <c r="I102" i="6"/>
  <c r="M102" i="6" s="1"/>
  <c r="I92" i="6"/>
  <c r="M92" i="6" s="1"/>
  <c r="I91" i="6"/>
  <c r="M91" i="6" s="1"/>
  <c r="I86" i="6"/>
  <c r="M86" i="6" s="1"/>
  <c r="I110" i="6"/>
  <c r="M110" i="6" s="1"/>
  <c r="I96" i="6"/>
  <c r="M96" i="6" s="1"/>
  <c r="I85" i="6"/>
  <c r="M85" i="6" s="1"/>
  <c r="I88" i="6"/>
  <c r="M88" i="6" s="1"/>
  <c r="I117" i="6"/>
  <c r="M117" i="6" s="1"/>
  <c r="I95" i="6"/>
  <c r="M95" i="6" s="1"/>
  <c r="I113" i="6"/>
  <c r="M113" i="6" s="1"/>
  <c r="I111" i="6"/>
  <c r="M111" i="6" s="1"/>
  <c r="I119" i="6"/>
  <c r="I103" i="6"/>
  <c r="M103" i="6" s="1"/>
  <c r="I97" i="6"/>
  <c r="M97" i="6" s="1"/>
  <c r="I84" i="6"/>
  <c r="M84" i="6" s="1"/>
  <c r="I105" i="6"/>
  <c r="M105" i="6" s="1"/>
  <c r="I101" i="6"/>
  <c r="M101" i="6" s="1"/>
  <c r="I89" i="6"/>
  <c r="M89" i="6" s="1"/>
  <c r="I87" i="6"/>
  <c r="M87" i="6" s="1"/>
  <c r="I109" i="6"/>
  <c r="M109" i="6" s="1"/>
  <c r="J33" i="6"/>
  <c r="J83" i="6"/>
  <c r="I31" i="6"/>
  <c r="I81" i="6"/>
  <c r="M81" i="6" s="1"/>
  <c r="J29" i="6"/>
  <c r="J79" i="6"/>
  <c r="J119" i="6"/>
  <c r="J111" i="6"/>
  <c r="J103" i="6"/>
  <c r="J117" i="6"/>
  <c r="J109" i="6"/>
  <c r="J101" i="6"/>
  <c r="J105" i="6"/>
  <c r="J92" i="6"/>
  <c r="J113" i="6"/>
  <c r="J97" i="6"/>
  <c r="J96" i="6"/>
  <c r="J118" i="6"/>
  <c r="J107" i="6"/>
  <c r="J102" i="6"/>
  <c r="J85" i="6"/>
  <c r="J112" i="6"/>
  <c r="J106" i="6"/>
  <c r="J95" i="6"/>
  <c r="J115" i="6"/>
  <c r="J110" i="6"/>
  <c r="J99" i="6"/>
  <c r="J89" i="6"/>
  <c r="J108" i="6"/>
  <c r="J104" i="6"/>
  <c r="J98" i="6"/>
  <c r="J94" i="6"/>
  <c r="J116" i="6"/>
  <c r="J100" i="6"/>
  <c r="J86" i="6"/>
  <c r="J114" i="6"/>
  <c r="J88" i="6"/>
  <c r="J90" i="6"/>
  <c r="J84" i="6"/>
  <c r="J93" i="6"/>
  <c r="J91" i="6"/>
  <c r="J87" i="6"/>
  <c r="J34" i="6"/>
  <c r="J284" i="6" s="1"/>
  <c r="J64" i="6"/>
  <c r="J314" i="6" s="1"/>
  <c r="J56" i="6"/>
  <c r="J306" i="6" s="1"/>
  <c r="J48" i="6"/>
  <c r="J298" i="6" s="1"/>
  <c r="J40" i="6"/>
  <c r="J290" i="6" s="1"/>
  <c r="J69" i="6"/>
  <c r="J61" i="6"/>
  <c r="J311" i="6" s="1"/>
  <c r="J53" i="6"/>
  <c r="J303" i="6" s="1"/>
  <c r="J58" i="6"/>
  <c r="J308" i="6" s="1"/>
  <c r="J63" i="6"/>
  <c r="J313" i="6" s="1"/>
  <c r="J55" i="6"/>
  <c r="J305" i="6" s="1"/>
  <c r="J47" i="6"/>
  <c r="J297" i="6" s="1"/>
  <c r="J39" i="6"/>
  <c r="J289" i="6" s="1"/>
  <c r="J68" i="6"/>
  <c r="J318" i="6" s="1"/>
  <c r="J60" i="6"/>
  <c r="J310" i="6" s="1"/>
  <c r="J52" i="6"/>
  <c r="J302" i="6" s="1"/>
  <c r="J44" i="6"/>
  <c r="J294" i="6" s="1"/>
  <c r="J36" i="6"/>
  <c r="J286" i="6" s="1"/>
  <c r="J65" i="6"/>
  <c r="J315" i="6" s="1"/>
  <c r="J57" i="6"/>
  <c r="J307" i="6" s="1"/>
  <c r="J49" i="6"/>
  <c r="J299" i="6" s="1"/>
  <c r="J41" i="6"/>
  <c r="J291" i="6" s="1"/>
  <c r="J62" i="6"/>
  <c r="J312" i="6" s="1"/>
  <c r="J54" i="6"/>
  <c r="J304" i="6" s="1"/>
  <c r="J46" i="6"/>
  <c r="J296" i="6" s="1"/>
  <c r="J38" i="6"/>
  <c r="J288" i="6" s="1"/>
  <c r="J67" i="6"/>
  <c r="J317" i="6" s="1"/>
  <c r="J59" i="6"/>
  <c r="J309" i="6" s="1"/>
  <c r="J51" i="6"/>
  <c r="J301" i="6" s="1"/>
  <c r="J43" i="6"/>
  <c r="J293" i="6" s="1"/>
  <c r="J35" i="6"/>
  <c r="J285" i="6" s="1"/>
  <c r="J45" i="6"/>
  <c r="J295" i="6" s="1"/>
  <c r="J37" i="6"/>
  <c r="J287" i="6" s="1"/>
  <c r="J66" i="6"/>
  <c r="J316" i="6" s="1"/>
  <c r="J50" i="6"/>
  <c r="J300" i="6" s="1"/>
  <c r="J42" i="6"/>
  <c r="J292" i="6" s="1"/>
  <c r="I34" i="6"/>
  <c r="I67" i="6"/>
  <c r="I59" i="6"/>
  <c r="I51" i="6"/>
  <c r="I43" i="6"/>
  <c r="I35" i="6"/>
  <c r="I64" i="6"/>
  <c r="I56" i="6"/>
  <c r="I48" i="6"/>
  <c r="I69" i="6"/>
  <c r="I319" i="6" s="1"/>
  <c r="I321" i="6" s="1"/>
  <c r="I53" i="6"/>
  <c r="I45" i="6"/>
  <c r="I37" i="6"/>
  <c r="I40" i="6"/>
  <c r="I66" i="6"/>
  <c r="I58" i="6"/>
  <c r="I50" i="6"/>
  <c r="I42" i="6"/>
  <c r="I63" i="6"/>
  <c r="I55" i="6"/>
  <c r="I47" i="6"/>
  <c r="I39" i="6"/>
  <c r="I68" i="6"/>
  <c r="I60" i="6"/>
  <c r="I52" i="6"/>
  <c r="I44" i="6"/>
  <c r="I36" i="6"/>
  <c r="I65" i="6"/>
  <c r="I57" i="6"/>
  <c r="I49" i="6"/>
  <c r="I41" i="6"/>
  <c r="I62" i="6"/>
  <c r="I54" i="6"/>
  <c r="I46" i="6"/>
  <c r="I38" i="6"/>
  <c r="I61" i="6"/>
  <c r="K41" i="5"/>
  <c r="L41" i="5"/>
  <c r="S18" i="4" a="1"/>
  <c r="S18" i="4" s="1"/>
  <c r="S17" i="4" a="1"/>
  <c r="T17" i="4" s="1"/>
  <c r="R10" i="4"/>
  <c r="M19" i="10" s="1"/>
  <c r="M17" i="10"/>
  <c r="X142" i="10" l="1"/>
  <c r="X265" i="10"/>
  <c r="X315" i="10" s="1"/>
  <c r="X260" i="10"/>
  <c r="X310" i="10" s="1"/>
  <c r="X248" i="10"/>
  <c r="X298" i="10" s="1"/>
  <c r="X242" i="10"/>
  <c r="X292" i="10" s="1"/>
  <c r="X229" i="10"/>
  <c r="X279" i="10" s="1"/>
  <c r="X215" i="10"/>
  <c r="X207" i="10"/>
  <c r="X199" i="10"/>
  <c r="X193" i="10"/>
  <c r="X184" i="10"/>
  <c r="X163" i="10"/>
  <c r="X166" i="10"/>
  <c r="X147" i="10"/>
  <c r="X145" i="10"/>
  <c r="X140" i="10"/>
  <c r="X134" i="10"/>
  <c r="X254" i="10"/>
  <c r="X304" i="10" s="1"/>
  <c r="X213" i="10"/>
  <c r="X238" i="10"/>
  <c r="X288" i="10" s="1"/>
  <c r="X182" i="10"/>
  <c r="X160" i="10"/>
  <c r="X167" i="10"/>
  <c r="X263" i="10"/>
  <c r="X313" i="10" s="1"/>
  <c r="X253" i="10"/>
  <c r="X303" i="10" s="1"/>
  <c r="X246" i="10"/>
  <c r="X296" i="10" s="1"/>
  <c r="X234" i="10"/>
  <c r="X284" i="10" s="1"/>
  <c r="X235" i="10"/>
  <c r="X285" i="10" s="1"/>
  <c r="X212" i="10"/>
  <c r="X190" i="10"/>
  <c r="X181" i="10"/>
  <c r="X197" i="10"/>
  <c r="X152" i="10"/>
  <c r="X252" i="10"/>
  <c r="X302" i="10" s="1"/>
  <c r="X233" i="10"/>
  <c r="X283" i="10" s="1"/>
  <c r="X211" i="10"/>
  <c r="X189" i="10"/>
  <c r="X154" i="10"/>
  <c r="X138" i="10"/>
  <c r="X264" i="10"/>
  <c r="X314" i="10" s="1"/>
  <c r="X259" i="10"/>
  <c r="X309" i="10" s="1"/>
  <c r="X256" i="10"/>
  <c r="X306" i="10" s="1"/>
  <c r="X240" i="10"/>
  <c r="X290" i="10" s="1"/>
  <c r="X243" i="10"/>
  <c r="X293" i="10" s="1"/>
  <c r="X214" i="10"/>
  <c r="X206" i="10"/>
  <c r="X198" i="10"/>
  <c r="X192" i="10"/>
  <c r="X183" i="10"/>
  <c r="X155" i="10"/>
  <c r="X158" i="10"/>
  <c r="X139" i="10"/>
  <c r="X137" i="10"/>
  <c r="X132" i="10"/>
  <c r="X133" i="10"/>
  <c r="X266" i="10"/>
  <c r="X316" i="10" s="1"/>
  <c r="X258" i="10"/>
  <c r="X308" i="10" s="1"/>
  <c r="X236" i="10"/>
  <c r="X286" i="10" s="1"/>
  <c r="X241" i="10"/>
  <c r="X291" i="10" s="1"/>
  <c r="X205" i="10"/>
  <c r="X191" i="10"/>
  <c r="X179" i="10"/>
  <c r="X131" i="10"/>
  <c r="X150" i="10"/>
  <c r="X204" i="10"/>
  <c r="X144" i="10"/>
  <c r="X268" i="10"/>
  <c r="X318" i="10" s="1"/>
  <c r="X244" i="10"/>
  <c r="X294" i="10" s="1"/>
  <c r="X239" i="10"/>
  <c r="X289" i="10" s="1"/>
  <c r="X203" i="10"/>
  <c r="X180" i="10"/>
  <c r="X159" i="10"/>
  <c r="X136" i="10"/>
  <c r="X257" i="10"/>
  <c r="X307" i="10" s="1"/>
  <c r="X247" i="10"/>
  <c r="X297" i="10" s="1"/>
  <c r="X237" i="10"/>
  <c r="X287" i="10" s="1"/>
  <c r="X196" i="10"/>
  <c r="X165" i="10"/>
  <c r="X151" i="10"/>
  <c r="X129" i="10"/>
  <c r="X269" i="10"/>
  <c r="X255" i="10"/>
  <c r="X305" i="10" s="1"/>
  <c r="X250" i="10"/>
  <c r="X300" i="10" s="1"/>
  <c r="X245" i="10"/>
  <c r="X295" i="10" s="1"/>
  <c r="X231" i="10"/>
  <c r="X281" i="10" s="1"/>
  <c r="X217" i="10"/>
  <c r="X218" i="10"/>
  <c r="X201" i="10"/>
  <c r="X195" i="10"/>
  <c r="X186" i="10"/>
  <c r="X157" i="10"/>
  <c r="X169" i="10"/>
  <c r="X171" i="10" s="1"/>
  <c r="X153" i="10"/>
  <c r="X156" i="10"/>
  <c r="X143" i="10"/>
  <c r="X141" i="10"/>
  <c r="X267" i="10"/>
  <c r="X317" i="10" s="1"/>
  <c r="X261" i="10"/>
  <c r="X311" i="10" s="1"/>
  <c r="X249" i="10"/>
  <c r="X299" i="10" s="1"/>
  <c r="X262" i="10"/>
  <c r="X312" i="10" s="1"/>
  <c r="X230" i="10"/>
  <c r="X280" i="10" s="1"/>
  <c r="X216" i="10"/>
  <c r="X210" i="10"/>
  <c r="X200" i="10"/>
  <c r="X194" i="10"/>
  <c r="X185" i="10"/>
  <c r="X164" i="10"/>
  <c r="X161" i="10"/>
  <c r="X168" i="10"/>
  <c r="X149" i="10"/>
  <c r="X148" i="10"/>
  <c r="X135" i="10"/>
  <c r="X209" i="10"/>
  <c r="X162" i="10"/>
  <c r="X146" i="10"/>
  <c r="X208" i="10"/>
  <c r="X251" i="10"/>
  <c r="X301" i="10" s="1"/>
  <c r="X232" i="10"/>
  <c r="X282" i="10" s="1"/>
  <c r="X219" i="10"/>
  <c r="X221" i="10" s="1"/>
  <c r="X202" i="10"/>
  <c r="X188" i="10"/>
  <c r="X187" i="10"/>
  <c r="X130" i="10"/>
  <c r="Z147" i="10"/>
  <c r="Z261" i="10"/>
  <c r="Z311" i="10" s="1"/>
  <c r="Z251" i="10"/>
  <c r="Z301" i="10" s="1"/>
  <c r="Z256" i="10"/>
  <c r="Z306" i="10" s="1"/>
  <c r="Z238" i="10"/>
  <c r="Z288" i="10" s="1"/>
  <c r="Z231" i="10"/>
  <c r="Z281" i="10" s="1"/>
  <c r="Z212" i="10"/>
  <c r="Z202" i="10"/>
  <c r="Z192" i="10"/>
  <c r="Z186" i="10"/>
  <c r="Z163" i="10"/>
  <c r="Z188" i="10"/>
  <c r="Z199" i="10"/>
  <c r="Z154" i="10"/>
  <c r="Z146" i="10"/>
  <c r="Z148" i="10"/>
  <c r="Z268" i="10"/>
  <c r="Z318" i="10" s="1"/>
  <c r="Z249" i="10"/>
  <c r="Z299" i="10" s="1"/>
  <c r="Z262" i="10"/>
  <c r="Z312" i="10" s="1"/>
  <c r="Z217" i="10"/>
  <c r="Z210" i="10"/>
  <c r="Z209" i="10"/>
  <c r="Z184" i="10"/>
  <c r="Z162" i="10"/>
  <c r="Z151" i="10"/>
  <c r="Z130" i="10"/>
  <c r="Z258" i="10"/>
  <c r="Z308" i="10" s="1"/>
  <c r="Z243" i="10"/>
  <c r="Z293" i="10" s="1"/>
  <c r="Z207" i="10"/>
  <c r="Z179" i="10"/>
  <c r="Z159" i="10"/>
  <c r="Z247" i="10"/>
  <c r="Z297" i="10" s="1"/>
  <c r="Z218" i="10"/>
  <c r="Z206" i="10"/>
  <c r="Z182" i="10"/>
  <c r="Z158" i="10"/>
  <c r="Z133" i="10"/>
  <c r="Z269" i="10"/>
  <c r="Z260" i="10"/>
  <c r="Z310" i="10" s="1"/>
  <c r="Z250" i="10"/>
  <c r="Z300" i="10" s="1"/>
  <c r="Z254" i="10"/>
  <c r="Z304" i="10" s="1"/>
  <c r="Z237" i="10"/>
  <c r="Z287" i="10" s="1"/>
  <c r="Z236" i="10"/>
  <c r="Z286" i="10" s="1"/>
  <c r="Z211" i="10"/>
  <c r="Z201" i="10"/>
  <c r="Z191" i="10"/>
  <c r="Z185" i="10"/>
  <c r="Z155" i="10"/>
  <c r="Z167" i="10"/>
  <c r="Z166" i="10"/>
  <c r="Z153" i="10"/>
  <c r="Z138" i="10"/>
  <c r="Z131" i="10"/>
  <c r="Z259" i="10"/>
  <c r="Z309" i="10" s="1"/>
  <c r="Z229" i="10"/>
  <c r="Z279" i="10" s="1"/>
  <c r="Z190" i="10"/>
  <c r="Z164" i="10"/>
  <c r="Z143" i="10"/>
  <c r="Z219" i="10"/>
  <c r="Z221" i="10" s="1"/>
  <c r="Z189" i="10"/>
  <c r="Z145" i="10"/>
  <c r="Z257" i="10"/>
  <c r="Z307" i="10" s="1"/>
  <c r="Z242" i="10"/>
  <c r="Z292" i="10" s="1"/>
  <c r="Z215" i="10"/>
  <c r="Z214" i="10"/>
  <c r="Z169" i="10"/>
  <c r="Z171" i="10" s="1"/>
  <c r="Z152" i="10"/>
  <c r="Z264" i="10"/>
  <c r="Z314" i="10" s="1"/>
  <c r="Z140" i="10"/>
  <c r="Z263" i="10"/>
  <c r="Z313" i="10" s="1"/>
  <c r="Z253" i="10"/>
  <c r="Z303" i="10" s="1"/>
  <c r="Z245" i="10"/>
  <c r="Z295" i="10" s="1"/>
  <c r="Z240" i="10"/>
  <c r="Z290" i="10" s="1"/>
  <c r="Z234" i="10"/>
  <c r="Z284" i="10" s="1"/>
  <c r="Z230" i="10"/>
  <c r="Z280" i="10" s="1"/>
  <c r="Z204" i="10"/>
  <c r="Z194" i="10"/>
  <c r="Z208" i="10"/>
  <c r="Z180" i="10"/>
  <c r="Z168" i="10"/>
  <c r="Z157" i="10"/>
  <c r="Z136" i="10"/>
  <c r="Z134" i="10"/>
  <c r="Z132" i="10"/>
  <c r="Z266" i="10"/>
  <c r="Z316" i="10" s="1"/>
  <c r="Z252" i="10"/>
  <c r="Z302" i="10" s="1"/>
  <c r="Z244" i="10"/>
  <c r="Z294" i="10" s="1"/>
  <c r="Z239" i="10"/>
  <c r="Z289" i="10" s="1"/>
  <c r="Z233" i="10"/>
  <c r="Z283" i="10" s="1"/>
  <c r="Z213" i="10"/>
  <c r="Z203" i="10"/>
  <c r="Z193" i="10"/>
  <c r="Z200" i="10"/>
  <c r="Z187" i="10"/>
  <c r="Z160" i="10"/>
  <c r="Z149" i="10"/>
  <c r="Z129" i="10"/>
  <c r="Z141" i="10"/>
  <c r="Z267" i="10"/>
  <c r="Z317" i="10" s="1"/>
  <c r="Z248" i="10"/>
  <c r="Z298" i="10" s="1"/>
  <c r="Z216" i="10"/>
  <c r="Z198" i="10"/>
  <c r="Z183" i="10"/>
  <c r="Z156" i="10"/>
  <c r="Z135" i="10"/>
  <c r="Z165" i="10"/>
  <c r="Z265" i="10"/>
  <c r="Z315" i="10" s="1"/>
  <c r="Z196" i="10"/>
  <c r="Z137" i="10"/>
  <c r="Z139" i="10"/>
  <c r="Z195" i="10"/>
  <c r="Z255" i="10"/>
  <c r="Z305" i="10" s="1"/>
  <c r="Z181" i="10"/>
  <c r="Z161" i="10"/>
  <c r="Z241" i="10"/>
  <c r="Z291" i="10" s="1"/>
  <c r="Z235" i="10"/>
  <c r="Z285" i="10" s="1"/>
  <c r="Z197" i="10"/>
  <c r="Z246" i="10"/>
  <c r="Z296" i="10" s="1"/>
  <c r="Z144" i="10"/>
  <c r="Z232" i="10"/>
  <c r="Z282" i="10" s="1"/>
  <c r="Z142" i="10"/>
  <c r="Z205" i="10"/>
  <c r="Z150" i="10"/>
  <c r="H13" i="14"/>
  <c r="G13" i="14"/>
  <c r="L13" i="14"/>
  <c r="M13" i="14" s="1"/>
  <c r="N13" i="14" s="1"/>
  <c r="O13" i="14" s="1"/>
  <c r="P13" i="14" s="1"/>
  <c r="Q13" i="14" s="1"/>
  <c r="R13" i="14" s="1"/>
  <c r="S13" i="14" s="1"/>
  <c r="T13" i="14" s="1"/>
  <c r="U13" i="14" s="1"/>
  <c r="V13" i="14" s="1"/>
  <c r="W13" i="14" s="1"/>
  <c r="X13" i="14" s="1"/>
  <c r="Y13" i="14" s="1"/>
  <c r="Z13" i="14" s="1"/>
  <c r="AA13" i="14" s="1"/>
  <c r="AB13" i="14" s="1"/>
  <c r="AC13" i="14" s="1"/>
  <c r="AD13" i="14" s="1"/>
  <c r="AE13" i="14" s="1"/>
  <c r="AF13" i="14" s="1"/>
  <c r="AG13" i="14" s="1"/>
  <c r="AH13" i="14" s="1"/>
  <c r="AI13" i="14" s="1"/>
  <c r="AJ13" i="14" s="1"/>
  <c r="AK13" i="14" s="1"/>
  <c r="AL13" i="14" s="1"/>
  <c r="AM13" i="14" s="1"/>
  <c r="AN13" i="14" s="1"/>
  <c r="AO13" i="14" s="1"/>
  <c r="AP13" i="14" s="1"/>
  <c r="AQ13" i="14" s="1"/>
  <c r="AR13" i="14" s="1"/>
  <c r="AS13" i="14" s="1"/>
  <c r="AT13" i="14" s="1"/>
  <c r="AU13" i="14" s="1"/>
  <c r="AV13" i="14" s="1"/>
  <c r="AW13" i="14" s="1"/>
  <c r="AX13" i="14" s="1"/>
  <c r="K13" i="14"/>
  <c r="J13" i="14"/>
  <c r="L11" i="14"/>
  <c r="M11" i="14" s="1"/>
  <c r="N11" i="14" s="1"/>
  <c r="O11" i="14" s="1"/>
  <c r="P11" i="14" s="1"/>
  <c r="Q11" i="14" s="1"/>
  <c r="R11" i="14" s="1"/>
  <c r="S11" i="14" s="1"/>
  <c r="T11" i="14" s="1"/>
  <c r="U11" i="14" s="1"/>
  <c r="V11" i="14" s="1"/>
  <c r="W11" i="14" s="1"/>
  <c r="X11" i="14" s="1"/>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K11" i="14"/>
  <c r="J11" i="14"/>
  <c r="I11" i="14"/>
  <c r="H11" i="14"/>
  <c r="H12" i="14"/>
  <c r="I12" i="14"/>
  <c r="G12" i="14"/>
  <c r="J12" i="14"/>
  <c r="K12" i="14"/>
  <c r="L12" i="14"/>
  <c r="M12" i="14" s="1"/>
  <c r="N12" i="14" s="1"/>
  <c r="O12" i="14" s="1"/>
  <c r="P12" i="14" s="1"/>
  <c r="Q12" i="14" s="1"/>
  <c r="R12" i="14" s="1"/>
  <c r="S12" i="14" s="1"/>
  <c r="T12" i="14" s="1"/>
  <c r="U12" i="14" s="1"/>
  <c r="V12" i="14" s="1"/>
  <c r="W12" i="14" s="1"/>
  <c r="X12" i="14" s="1"/>
  <c r="Y12" i="14" s="1"/>
  <c r="Z12" i="14" s="1"/>
  <c r="AA12" i="14" s="1"/>
  <c r="AB12" i="14" s="1"/>
  <c r="AC12" i="14" s="1"/>
  <c r="AD12" i="14" s="1"/>
  <c r="AE12" i="14" s="1"/>
  <c r="AF12" i="14" s="1"/>
  <c r="AG12" i="14" s="1"/>
  <c r="AH12" i="14" s="1"/>
  <c r="AI12" i="14" s="1"/>
  <c r="AJ12" i="14" s="1"/>
  <c r="AK12" i="14" s="1"/>
  <c r="AL12" i="14" s="1"/>
  <c r="AM12" i="14" s="1"/>
  <c r="AN12" i="14" s="1"/>
  <c r="AO12" i="14" s="1"/>
  <c r="AP12" i="14" s="1"/>
  <c r="AQ12" i="14" s="1"/>
  <c r="AR12" i="14" s="1"/>
  <c r="AS12" i="14" s="1"/>
  <c r="AT12" i="14" s="1"/>
  <c r="AU12" i="14" s="1"/>
  <c r="AV12" i="14" s="1"/>
  <c r="AW12" i="14" s="1"/>
  <c r="AX12" i="14" s="1"/>
  <c r="G40" i="13"/>
  <c r="G39" i="13" s="1"/>
  <c r="G41" i="13" s="1"/>
  <c r="G42" i="13" s="1"/>
  <c r="G59" i="13"/>
  <c r="G58" i="13" s="1"/>
  <c r="G60" i="13" s="1"/>
  <c r="G61" i="13" s="1"/>
  <c r="G31" i="13"/>
  <c r="G32" i="13" s="1"/>
  <c r="G33" i="13" s="1"/>
  <c r="G49" i="13"/>
  <c r="G48" i="13" s="1"/>
  <c r="G50" i="13" s="1"/>
  <c r="G51" i="13" s="1"/>
  <c r="G68" i="13"/>
  <c r="G70" i="13" s="1"/>
  <c r="G71" i="13" s="1"/>
  <c r="G9" i="13"/>
  <c r="H8" i="13"/>
  <c r="H69" i="13" s="1"/>
  <c r="I8" i="13"/>
  <c r="I69" i="13" s="1"/>
  <c r="I7" i="13"/>
  <c r="H7" i="13"/>
  <c r="K181" i="12"/>
  <c r="K180" i="12"/>
  <c r="K182" i="12"/>
  <c r="K183" i="12"/>
  <c r="N179" i="12"/>
  <c r="O179" i="12" s="1"/>
  <c r="N229" i="12"/>
  <c r="O229" i="12" s="1"/>
  <c r="K229" i="12"/>
  <c r="N240" i="12"/>
  <c r="O240" i="12" s="1"/>
  <c r="K240" i="12"/>
  <c r="N239" i="12"/>
  <c r="O239" i="12" s="1"/>
  <c r="K239" i="12"/>
  <c r="N244" i="12"/>
  <c r="O244" i="12" s="1"/>
  <c r="K244" i="12"/>
  <c r="K242" i="12"/>
  <c r="N242" i="12"/>
  <c r="O242" i="12" s="1"/>
  <c r="N246" i="12"/>
  <c r="O246" i="12" s="1"/>
  <c r="K246" i="12"/>
  <c r="N247" i="12"/>
  <c r="O247" i="12" s="1"/>
  <c r="K247" i="12"/>
  <c r="N252" i="12"/>
  <c r="O252" i="12" s="1"/>
  <c r="K252" i="12"/>
  <c r="K250" i="12"/>
  <c r="N250" i="12"/>
  <c r="O250" i="12" s="1"/>
  <c r="N231" i="12"/>
  <c r="O231" i="12" s="1"/>
  <c r="K231" i="12"/>
  <c r="N248" i="12"/>
  <c r="O248" i="12" s="1"/>
  <c r="K248" i="12"/>
  <c r="N255" i="12"/>
  <c r="O255" i="12" s="1"/>
  <c r="K255" i="12"/>
  <c r="N260" i="12"/>
  <c r="O260" i="12" s="1"/>
  <c r="K260" i="12"/>
  <c r="K258" i="12"/>
  <c r="N258" i="12"/>
  <c r="O258" i="12" s="1"/>
  <c r="K233" i="12"/>
  <c r="N233" i="12"/>
  <c r="O233" i="12" s="1"/>
  <c r="N254" i="12"/>
  <c r="O254" i="12" s="1"/>
  <c r="K254" i="12"/>
  <c r="N263" i="12"/>
  <c r="O263" i="12" s="1"/>
  <c r="K263" i="12"/>
  <c r="N268" i="12"/>
  <c r="O268" i="12" s="1"/>
  <c r="K268" i="12"/>
  <c r="K266" i="12"/>
  <c r="N266" i="12"/>
  <c r="O266" i="12" s="1"/>
  <c r="K232" i="12"/>
  <c r="N232" i="12"/>
  <c r="O232" i="12" s="1"/>
  <c r="N238" i="12"/>
  <c r="O238" i="12" s="1"/>
  <c r="K238" i="12"/>
  <c r="N256" i="12"/>
  <c r="O256" i="12" s="1"/>
  <c r="K256" i="12"/>
  <c r="N245" i="12"/>
  <c r="O245" i="12" s="1"/>
  <c r="K245" i="12"/>
  <c r="K243" i="12"/>
  <c r="N243" i="12"/>
  <c r="O243" i="12" s="1"/>
  <c r="N241" i="12"/>
  <c r="O241" i="12" s="1"/>
  <c r="K241" i="12"/>
  <c r="N230" i="12"/>
  <c r="O230" i="12" s="1"/>
  <c r="K230" i="12"/>
  <c r="N237" i="12"/>
  <c r="O237" i="12" s="1"/>
  <c r="K237" i="12"/>
  <c r="N262" i="12"/>
  <c r="O262" i="12" s="1"/>
  <c r="K262" i="12"/>
  <c r="N253" i="12"/>
  <c r="O253" i="12" s="1"/>
  <c r="K253" i="12"/>
  <c r="K251" i="12"/>
  <c r="N251" i="12"/>
  <c r="O251" i="12" s="1"/>
  <c r="N249" i="12"/>
  <c r="O249" i="12" s="1"/>
  <c r="K249" i="12"/>
  <c r="N236" i="12"/>
  <c r="O236" i="12" s="1"/>
  <c r="K236" i="12"/>
  <c r="N264" i="12"/>
  <c r="O264" i="12" s="1"/>
  <c r="K264" i="12"/>
  <c r="N261" i="12"/>
  <c r="O261" i="12" s="1"/>
  <c r="K261" i="12"/>
  <c r="K259" i="12"/>
  <c r="N259" i="12"/>
  <c r="O259" i="12" s="1"/>
  <c r="N257" i="12"/>
  <c r="O257" i="12" s="1"/>
  <c r="K257" i="12"/>
  <c r="N235" i="12"/>
  <c r="O235" i="12" s="1"/>
  <c r="K235" i="12"/>
  <c r="K234" i="12"/>
  <c r="N234" i="12"/>
  <c r="O234" i="12" s="1"/>
  <c r="N269" i="12"/>
  <c r="K269" i="12"/>
  <c r="K267" i="12"/>
  <c r="N267" i="12"/>
  <c r="O267" i="12" s="1"/>
  <c r="N265" i="12"/>
  <c r="O265" i="12" s="1"/>
  <c r="K265" i="12"/>
  <c r="K33" i="12"/>
  <c r="N187" i="12"/>
  <c r="O187" i="12" s="1"/>
  <c r="K187" i="12"/>
  <c r="N190" i="12"/>
  <c r="O190" i="12" s="1"/>
  <c r="K190" i="12"/>
  <c r="N212" i="12"/>
  <c r="O212" i="12" s="1"/>
  <c r="K212" i="12"/>
  <c r="N218" i="12"/>
  <c r="O218" i="12" s="1"/>
  <c r="K218" i="12"/>
  <c r="K191" i="12"/>
  <c r="N191" i="12"/>
  <c r="O191" i="12" s="1"/>
  <c r="N213" i="12"/>
  <c r="O213" i="12" s="1"/>
  <c r="K213" i="12"/>
  <c r="N188" i="12"/>
  <c r="O188" i="12" s="1"/>
  <c r="K188" i="12"/>
  <c r="N204" i="12"/>
  <c r="O204" i="12" s="1"/>
  <c r="K204" i="12"/>
  <c r="N210" i="12"/>
  <c r="O210" i="12" s="1"/>
  <c r="K210" i="12"/>
  <c r="K216" i="12"/>
  <c r="N216" i="12"/>
  <c r="O216" i="12" s="1"/>
  <c r="N189" i="12"/>
  <c r="O189" i="12" s="1"/>
  <c r="K189" i="12"/>
  <c r="N198" i="12"/>
  <c r="O198" i="12" s="1"/>
  <c r="K198" i="12"/>
  <c r="K195" i="12"/>
  <c r="N195" i="12"/>
  <c r="O195" i="12" s="1"/>
  <c r="N193" i="12"/>
  <c r="O193" i="12" s="1"/>
  <c r="K193" i="12"/>
  <c r="K199" i="12"/>
  <c r="N199" i="12"/>
  <c r="O199" i="12" s="1"/>
  <c r="N185" i="12"/>
  <c r="O185" i="12" s="1"/>
  <c r="K185" i="12"/>
  <c r="N206" i="12"/>
  <c r="O206" i="12" s="1"/>
  <c r="K206" i="12"/>
  <c r="N203" i="12"/>
  <c r="O203" i="12" s="1"/>
  <c r="K203" i="12"/>
  <c r="K201" i="12"/>
  <c r="N201" i="12"/>
  <c r="O201" i="12" s="1"/>
  <c r="N207" i="12"/>
  <c r="O207" i="12" s="1"/>
  <c r="K207" i="12"/>
  <c r="K208" i="12"/>
  <c r="N208" i="12"/>
  <c r="O208" i="12" s="1"/>
  <c r="N184" i="12"/>
  <c r="O184" i="12" s="1"/>
  <c r="K184" i="12"/>
  <c r="N214" i="12"/>
  <c r="O214" i="12" s="1"/>
  <c r="K214" i="12"/>
  <c r="N211" i="12"/>
  <c r="O211" i="12" s="1"/>
  <c r="K211" i="12"/>
  <c r="K209" i="12"/>
  <c r="N209" i="12"/>
  <c r="O209" i="12" s="1"/>
  <c r="N215" i="12"/>
  <c r="O215" i="12" s="1"/>
  <c r="K215" i="12"/>
  <c r="N196" i="12"/>
  <c r="O196" i="12" s="1"/>
  <c r="K196" i="12"/>
  <c r="N186" i="12"/>
  <c r="O186" i="12" s="1"/>
  <c r="K186" i="12"/>
  <c r="N197" i="12"/>
  <c r="O197" i="12" s="1"/>
  <c r="K197" i="12"/>
  <c r="N219" i="12"/>
  <c r="K219" i="12"/>
  <c r="K217" i="12"/>
  <c r="N217" i="12"/>
  <c r="O217" i="12" s="1"/>
  <c r="N202" i="12"/>
  <c r="O202" i="12" s="1"/>
  <c r="K202" i="12"/>
  <c r="K192" i="12"/>
  <c r="N192" i="12"/>
  <c r="O192" i="12" s="1"/>
  <c r="N205" i="12"/>
  <c r="O205" i="12" s="1"/>
  <c r="K205" i="12"/>
  <c r="N194" i="12"/>
  <c r="O194" i="12" s="1"/>
  <c r="K194" i="12"/>
  <c r="K200" i="12"/>
  <c r="N200" i="12"/>
  <c r="O200" i="12" s="1"/>
  <c r="N29" i="12"/>
  <c r="O29" i="12" s="1"/>
  <c r="K30" i="12"/>
  <c r="M169" i="12"/>
  <c r="M171" i="12" s="1"/>
  <c r="I171" i="12"/>
  <c r="N31" i="12"/>
  <c r="O31" i="12" s="1"/>
  <c r="N147" i="12"/>
  <c r="O147" i="12" s="1"/>
  <c r="K147" i="12"/>
  <c r="K143" i="12"/>
  <c r="N143" i="12"/>
  <c r="O143" i="12" s="1"/>
  <c r="K32" i="12"/>
  <c r="N133" i="12"/>
  <c r="O133" i="12" s="1"/>
  <c r="K133" i="12"/>
  <c r="N138" i="12"/>
  <c r="O138" i="12" s="1"/>
  <c r="K138" i="12"/>
  <c r="K135" i="12"/>
  <c r="N135" i="12"/>
  <c r="O135" i="12" s="1"/>
  <c r="N163" i="12"/>
  <c r="O163" i="12" s="1"/>
  <c r="K163" i="12"/>
  <c r="K151" i="12"/>
  <c r="N151" i="12"/>
  <c r="O151" i="12" s="1"/>
  <c r="N157" i="12"/>
  <c r="O157" i="12" s="1"/>
  <c r="K157" i="12"/>
  <c r="K166" i="12"/>
  <c r="N166" i="12"/>
  <c r="O166" i="12" s="1"/>
  <c r="N153" i="12"/>
  <c r="O153" i="12" s="1"/>
  <c r="K153" i="12"/>
  <c r="K141" i="12"/>
  <c r="N141" i="12"/>
  <c r="O141" i="12" s="1"/>
  <c r="N154" i="12"/>
  <c r="O154" i="12" s="1"/>
  <c r="K154" i="12"/>
  <c r="K159" i="12"/>
  <c r="N159" i="12"/>
  <c r="O159" i="12" s="1"/>
  <c r="N165" i="12"/>
  <c r="O165" i="12" s="1"/>
  <c r="K165" i="12"/>
  <c r="N168" i="12"/>
  <c r="O168" i="12" s="1"/>
  <c r="K168" i="12"/>
  <c r="N132" i="12"/>
  <c r="O132" i="12" s="1"/>
  <c r="K132" i="12"/>
  <c r="N131" i="12"/>
  <c r="O131" i="12" s="1"/>
  <c r="K131" i="12"/>
  <c r="K156" i="12"/>
  <c r="N156" i="12"/>
  <c r="O156" i="12" s="1"/>
  <c r="N134" i="12"/>
  <c r="O134" i="12" s="1"/>
  <c r="K134" i="12"/>
  <c r="N162" i="12"/>
  <c r="O162" i="12" s="1"/>
  <c r="K162" i="12"/>
  <c r="K167" i="12"/>
  <c r="N167" i="12"/>
  <c r="O167" i="12" s="1"/>
  <c r="N137" i="12"/>
  <c r="O137" i="12" s="1"/>
  <c r="K137" i="12"/>
  <c r="K136" i="12"/>
  <c r="N136" i="12"/>
  <c r="O136" i="12" s="1"/>
  <c r="N155" i="12"/>
  <c r="O155" i="12" s="1"/>
  <c r="K155" i="12"/>
  <c r="N149" i="12"/>
  <c r="O149" i="12" s="1"/>
  <c r="K149" i="12"/>
  <c r="N161" i="12"/>
  <c r="O161" i="12" s="1"/>
  <c r="K161" i="12"/>
  <c r="N139" i="12"/>
  <c r="O139" i="12" s="1"/>
  <c r="K139" i="12"/>
  <c r="N144" i="12"/>
  <c r="O144" i="12" s="1"/>
  <c r="K144" i="12"/>
  <c r="N142" i="12"/>
  <c r="O142" i="12" s="1"/>
  <c r="K142" i="12"/>
  <c r="N129" i="12"/>
  <c r="O129" i="12" s="1"/>
  <c r="K129" i="12"/>
  <c r="N130" i="12"/>
  <c r="O130" i="12" s="1"/>
  <c r="K130" i="12"/>
  <c r="K164" i="12"/>
  <c r="N164" i="12"/>
  <c r="O164" i="12" s="1"/>
  <c r="N140" i="12"/>
  <c r="O140" i="12" s="1"/>
  <c r="K140" i="12"/>
  <c r="N152" i="12"/>
  <c r="O152" i="12" s="1"/>
  <c r="K152" i="12"/>
  <c r="K150" i="12"/>
  <c r="N150" i="12"/>
  <c r="O150" i="12" s="1"/>
  <c r="N145" i="12"/>
  <c r="O145" i="12" s="1"/>
  <c r="K145" i="12"/>
  <c r="N146" i="12"/>
  <c r="O146" i="12" s="1"/>
  <c r="K146" i="12"/>
  <c r="N169" i="12"/>
  <c r="K169" i="12"/>
  <c r="K171" i="12" s="1"/>
  <c r="K148" i="12"/>
  <c r="N148" i="12"/>
  <c r="O148" i="12" s="1"/>
  <c r="N160" i="12"/>
  <c r="O160" i="12" s="1"/>
  <c r="K160" i="12"/>
  <c r="K158" i="12"/>
  <c r="N158" i="12"/>
  <c r="O158" i="12" s="1"/>
  <c r="N34" i="12"/>
  <c r="O34" i="12" s="1"/>
  <c r="K34" i="12"/>
  <c r="N45" i="12"/>
  <c r="O45" i="12" s="1"/>
  <c r="K45" i="12"/>
  <c r="N61" i="12"/>
  <c r="O61" i="12" s="1"/>
  <c r="K61" i="12"/>
  <c r="N50" i="12"/>
  <c r="O50" i="12" s="1"/>
  <c r="K50" i="12"/>
  <c r="N66" i="12"/>
  <c r="O66" i="12" s="1"/>
  <c r="K66" i="12"/>
  <c r="N36" i="12"/>
  <c r="O36" i="12" s="1"/>
  <c r="K36" i="12"/>
  <c r="N47" i="12"/>
  <c r="O47" i="12" s="1"/>
  <c r="K47" i="12"/>
  <c r="N63" i="12"/>
  <c r="O63" i="12" s="1"/>
  <c r="K63" i="12"/>
  <c r="N52" i="12"/>
  <c r="O52" i="12" s="1"/>
  <c r="K52" i="12"/>
  <c r="N68" i="12"/>
  <c r="O68" i="12" s="1"/>
  <c r="K68" i="12"/>
  <c r="N38" i="12"/>
  <c r="O38" i="12" s="1"/>
  <c r="K38" i="12"/>
  <c r="N49" i="12"/>
  <c r="O49" i="12" s="1"/>
  <c r="K49" i="12"/>
  <c r="N65" i="12"/>
  <c r="O65" i="12" s="1"/>
  <c r="K65" i="12"/>
  <c r="N54" i="12"/>
  <c r="O54" i="12" s="1"/>
  <c r="K54" i="12"/>
  <c r="M69" i="12"/>
  <c r="M71" i="12" s="1"/>
  <c r="I71" i="12"/>
  <c r="K39" i="12"/>
  <c r="N39" i="12"/>
  <c r="O39" i="12" s="1"/>
  <c r="N51" i="12"/>
  <c r="O51" i="12" s="1"/>
  <c r="K51" i="12"/>
  <c r="N67" i="12"/>
  <c r="O67" i="12" s="1"/>
  <c r="K67" i="12"/>
  <c r="N56" i="12"/>
  <c r="O56" i="12" s="1"/>
  <c r="K56" i="12"/>
  <c r="N37" i="12"/>
  <c r="O37" i="12" s="1"/>
  <c r="K37" i="12"/>
  <c r="N53" i="12"/>
  <c r="O53" i="12" s="1"/>
  <c r="K53" i="12"/>
  <c r="N69" i="12"/>
  <c r="K69" i="12"/>
  <c r="K71" i="12" s="1"/>
  <c r="J71" i="12"/>
  <c r="N58" i="12"/>
  <c r="O58" i="12" s="1"/>
  <c r="K58" i="12"/>
  <c r="N41" i="12"/>
  <c r="O41" i="12" s="1"/>
  <c r="K41" i="12"/>
  <c r="N55" i="12"/>
  <c r="O55" i="12" s="1"/>
  <c r="K55" i="12"/>
  <c r="N44" i="12"/>
  <c r="O44" i="12" s="1"/>
  <c r="K44" i="12"/>
  <c r="N60" i="12"/>
  <c r="O60" i="12" s="1"/>
  <c r="K60" i="12"/>
  <c r="N35" i="12"/>
  <c r="O35" i="12" s="1"/>
  <c r="K35" i="12"/>
  <c r="K40" i="12"/>
  <c r="N40" i="12"/>
  <c r="O40" i="12" s="1"/>
  <c r="N57" i="12"/>
  <c r="O57" i="12" s="1"/>
  <c r="K57" i="12"/>
  <c r="N46" i="12"/>
  <c r="O46" i="12" s="1"/>
  <c r="K46" i="12"/>
  <c r="N62" i="12"/>
  <c r="O62" i="12" s="1"/>
  <c r="K62" i="12"/>
  <c r="N42" i="12"/>
  <c r="O42" i="12" s="1"/>
  <c r="K42" i="12"/>
  <c r="N43" i="12"/>
  <c r="O43" i="12" s="1"/>
  <c r="K43" i="12"/>
  <c r="N59" i="12"/>
  <c r="O59" i="12" s="1"/>
  <c r="K59" i="12"/>
  <c r="K48" i="12"/>
  <c r="N48" i="12"/>
  <c r="O48" i="12" s="1"/>
  <c r="K64" i="12"/>
  <c r="N64" i="12"/>
  <c r="O64" i="12" s="1"/>
  <c r="K37" i="11"/>
  <c r="K287" i="11" s="1"/>
  <c r="J287" i="11"/>
  <c r="K48" i="11"/>
  <c r="K298" i="11" s="1"/>
  <c r="J298" i="11"/>
  <c r="K53" i="11"/>
  <c r="K303" i="11" s="1"/>
  <c r="J303" i="11"/>
  <c r="K58" i="11"/>
  <c r="K308" i="11" s="1"/>
  <c r="J308" i="11"/>
  <c r="K41" i="11"/>
  <c r="K291" i="11" s="1"/>
  <c r="J291" i="11"/>
  <c r="K52" i="11"/>
  <c r="K302" i="11" s="1"/>
  <c r="J302" i="11"/>
  <c r="K57" i="11"/>
  <c r="K307" i="11" s="1"/>
  <c r="J307" i="11"/>
  <c r="K62" i="11"/>
  <c r="K312" i="11" s="1"/>
  <c r="J312" i="11"/>
  <c r="K61" i="11"/>
  <c r="K311" i="11" s="1"/>
  <c r="J311" i="11"/>
  <c r="K35" i="11"/>
  <c r="K285" i="11" s="1"/>
  <c r="J285" i="11"/>
  <c r="K51" i="11"/>
  <c r="K301" i="11" s="1"/>
  <c r="J301" i="11"/>
  <c r="K60" i="11"/>
  <c r="K310" i="11" s="1"/>
  <c r="J310" i="11"/>
  <c r="K65" i="11"/>
  <c r="K315" i="11" s="1"/>
  <c r="J315" i="11"/>
  <c r="K55" i="11"/>
  <c r="K305" i="11" s="1"/>
  <c r="J305" i="11"/>
  <c r="K56" i="11"/>
  <c r="K306" i="11" s="1"/>
  <c r="J306" i="11"/>
  <c r="K39" i="11"/>
  <c r="K289" i="11" s="1"/>
  <c r="J289" i="11"/>
  <c r="K38" i="11"/>
  <c r="K288" i="11" s="1"/>
  <c r="J288" i="11"/>
  <c r="K64" i="11"/>
  <c r="K314" i="11" s="1"/>
  <c r="J314" i="11"/>
  <c r="K69" i="11"/>
  <c r="K319" i="11" s="1"/>
  <c r="K321" i="11" s="1"/>
  <c r="J319" i="11"/>
  <c r="J321" i="11" s="1"/>
  <c r="K59" i="11"/>
  <c r="K309" i="11" s="1"/>
  <c r="J309" i="11"/>
  <c r="K32" i="11"/>
  <c r="K282" i="11" s="1"/>
  <c r="J282" i="11"/>
  <c r="K29" i="11"/>
  <c r="K279" i="11" s="1"/>
  <c r="J279" i="11"/>
  <c r="K43" i="11"/>
  <c r="K293" i="11" s="1"/>
  <c r="J293" i="11"/>
  <c r="K42" i="11"/>
  <c r="K292" i="11" s="1"/>
  <c r="J292" i="11"/>
  <c r="K68" i="11"/>
  <c r="K318" i="11" s="1"/>
  <c r="J318" i="11"/>
  <c r="K46" i="11"/>
  <c r="K296" i="11" s="1"/>
  <c r="J296" i="11"/>
  <c r="K63" i="11"/>
  <c r="K313" i="11" s="1"/>
  <c r="J313" i="11"/>
  <c r="K33" i="11"/>
  <c r="K283" i="11" s="1"/>
  <c r="J283" i="11"/>
  <c r="K36" i="11"/>
  <c r="K286" i="11" s="1"/>
  <c r="J286" i="11"/>
  <c r="K34" i="11"/>
  <c r="K284" i="11" s="1"/>
  <c r="J284" i="11"/>
  <c r="K45" i="11"/>
  <c r="K295" i="11" s="1"/>
  <c r="J295" i="11"/>
  <c r="K50" i="11"/>
  <c r="K300" i="11" s="1"/>
  <c r="J300" i="11"/>
  <c r="K67" i="11"/>
  <c r="K317" i="11" s="1"/>
  <c r="J317" i="11"/>
  <c r="K47" i="11"/>
  <c r="K297" i="11" s="1"/>
  <c r="J297" i="11"/>
  <c r="K66" i="11"/>
  <c r="K316" i="11" s="1"/>
  <c r="J316" i="11"/>
  <c r="K30" i="11"/>
  <c r="K280" i="11" s="1"/>
  <c r="J280" i="11"/>
  <c r="K40" i="11"/>
  <c r="K290" i="11" s="1"/>
  <c r="J290" i="11"/>
  <c r="K44" i="11"/>
  <c r="K294" i="11" s="1"/>
  <c r="J294" i="11"/>
  <c r="K49" i="11"/>
  <c r="K299" i="11" s="1"/>
  <c r="J299" i="11"/>
  <c r="K54" i="11"/>
  <c r="K304" i="11" s="1"/>
  <c r="J304" i="11"/>
  <c r="K31" i="11"/>
  <c r="K281" i="11" s="1"/>
  <c r="J281" i="11"/>
  <c r="N144" i="10"/>
  <c r="O144" i="10" s="1"/>
  <c r="K144" i="10"/>
  <c r="K140" i="10"/>
  <c r="N140" i="10"/>
  <c r="O140" i="10" s="1"/>
  <c r="N186" i="10"/>
  <c r="O186" i="10" s="1"/>
  <c r="K186" i="10"/>
  <c r="N195" i="10"/>
  <c r="O195" i="10" s="1"/>
  <c r="K195" i="10"/>
  <c r="K167" i="10"/>
  <c r="N167" i="10"/>
  <c r="O167" i="10" s="1"/>
  <c r="N194" i="10"/>
  <c r="O194" i="10" s="1"/>
  <c r="K194" i="10"/>
  <c r="N205" i="10"/>
  <c r="O205" i="10" s="1"/>
  <c r="K205" i="10"/>
  <c r="K210" i="10"/>
  <c r="N210" i="10"/>
  <c r="O210" i="10" s="1"/>
  <c r="N218" i="10"/>
  <c r="O218" i="10" s="1"/>
  <c r="K218" i="10"/>
  <c r="J286" i="10"/>
  <c r="K236" i="10"/>
  <c r="K286" i="10" s="1"/>
  <c r="N236" i="10"/>
  <c r="J303" i="10"/>
  <c r="N253" i="10"/>
  <c r="K253" i="10"/>
  <c r="K303" i="10" s="1"/>
  <c r="J305" i="10"/>
  <c r="K255" i="10"/>
  <c r="K305" i="10" s="1"/>
  <c r="N255" i="10"/>
  <c r="J317" i="10"/>
  <c r="K267" i="10"/>
  <c r="K317" i="10" s="1"/>
  <c r="N267" i="10"/>
  <c r="J279" i="10"/>
  <c r="N229" i="10"/>
  <c r="K229" i="10"/>
  <c r="K279" i="10" s="1"/>
  <c r="I303" i="10"/>
  <c r="M253" i="10"/>
  <c r="M303" i="10" s="1"/>
  <c r="I288" i="10"/>
  <c r="M238" i="10"/>
  <c r="M288" i="10" s="1"/>
  <c r="I295" i="10"/>
  <c r="M245" i="10"/>
  <c r="M295" i="10" s="1"/>
  <c r="I313" i="10"/>
  <c r="M263" i="10"/>
  <c r="M313" i="10" s="1"/>
  <c r="I282" i="10"/>
  <c r="M232" i="10"/>
  <c r="M282" i="10" s="1"/>
  <c r="N182" i="10"/>
  <c r="O182" i="10" s="1"/>
  <c r="K182" i="10"/>
  <c r="K135" i="10"/>
  <c r="N135" i="10"/>
  <c r="O135" i="10" s="1"/>
  <c r="K141" i="10"/>
  <c r="N141" i="10"/>
  <c r="O141" i="10" s="1"/>
  <c r="N154" i="10"/>
  <c r="O154" i="10" s="1"/>
  <c r="K154" i="10"/>
  <c r="N206" i="10"/>
  <c r="O206" i="10" s="1"/>
  <c r="K206" i="10"/>
  <c r="N184" i="10"/>
  <c r="O184" i="10" s="1"/>
  <c r="K184" i="10"/>
  <c r="N202" i="10"/>
  <c r="O202" i="10" s="1"/>
  <c r="K202" i="10"/>
  <c r="N204" i="10"/>
  <c r="O204" i="10" s="1"/>
  <c r="K204" i="10"/>
  <c r="N211" i="10"/>
  <c r="O211" i="10" s="1"/>
  <c r="K211" i="10"/>
  <c r="K219" i="10"/>
  <c r="N219" i="10"/>
  <c r="J295" i="10"/>
  <c r="K245" i="10"/>
  <c r="K295" i="10" s="1"/>
  <c r="N245" i="10"/>
  <c r="J299" i="10"/>
  <c r="N249" i="10"/>
  <c r="K249" i="10"/>
  <c r="K299" i="10" s="1"/>
  <c r="J306" i="10"/>
  <c r="N256" i="10"/>
  <c r="K256" i="10"/>
  <c r="K306" i="10" s="1"/>
  <c r="J312" i="10"/>
  <c r="N262" i="10"/>
  <c r="K262" i="10"/>
  <c r="K312" i="10" s="1"/>
  <c r="N131" i="10"/>
  <c r="O131" i="10" s="1"/>
  <c r="K131" i="10"/>
  <c r="I311" i="10"/>
  <c r="M261" i="10"/>
  <c r="M311" i="10" s="1"/>
  <c r="I289" i="10"/>
  <c r="M239" i="10"/>
  <c r="M289" i="10" s="1"/>
  <c r="I297" i="10"/>
  <c r="M247" i="10"/>
  <c r="M297" i="10" s="1"/>
  <c r="I314" i="10"/>
  <c r="M264" i="10"/>
  <c r="M314" i="10" s="1"/>
  <c r="N130" i="10"/>
  <c r="O130" i="10" s="1"/>
  <c r="K130" i="10"/>
  <c r="J282" i="10"/>
  <c r="N232" i="10"/>
  <c r="K232" i="10"/>
  <c r="K282" i="10" s="1"/>
  <c r="N145" i="10"/>
  <c r="O145" i="10" s="1"/>
  <c r="K145" i="10"/>
  <c r="N143" i="10"/>
  <c r="O143" i="10" s="1"/>
  <c r="K143" i="10"/>
  <c r="K148" i="10"/>
  <c r="N148" i="10"/>
  <c r="O148" i="10" s="1"/>
  <c r="N155" i="10"/>
  <c r="O155" i="10" s="1"/>
  <c r="K155" i="10"/>
  <c r="N157" i="10"/>
  <c r="O157" i="10" s="1"/>
  <c r="K157" i="10"/>
  <c r="N191" i="10"/>
  <c r="O191" i="10" s="1"/>
  <c r="K191" i="10"/>
  <c r="N193" i="10"/>
  <c r="O193" i="10" s="1"/>
  <c r="K193" i="10"/>
  <c r="N198" i="10"/>
  <c r="O198" i="10" s="1"/>
  <c r="K198" i="10"/>
  <c r="N212" i="10"/>
  <c r="O212" i="10" s="1"/>
  <c r="K212" i="10"/>
  <c r="J287" i="10"/>
  <c r="K237" i="10"/>
  <c r="K287" i="10" s="1"/>
  <c r="N237" i="10"/>
  <c r="J297" i="10"/>
  <c r="K247" i="10"/>
  <c r="K297" i="10" s="1"/>
  <c r="N247" i="10"/>
  <c r="J290" i="10"/>
  <c r="K240" i="10"/>
  <c r="K290" i="10" s="1"/>
  <c r="N240" i="10"/>
  <c r="J307" i="10"/>
  <c r="K257" i="10"/>
  <c r="K307" i="10" s="1"/>
  <c r="N257" i="10"/>
  <c r="J313" i="10"/>
  <c r="N263" i="10"/>
  <c r="K263" i="10"/>
  <c r="K313" i="10" s="1"/>
  <c r="N181" i="10"/>
  <c r="O181" i="10" s="1"/>
  <c r="K181" i="10"/>
  <c r="I306" i="10"/>
  <c r="M256" i="10"/>
  <c r="M306" i="10" s="1"/>
  <c r="I290" i="10"/>
  <c r="M240" i="10"/>
  <c r="M290" i="10" s="1"/>
  <c r="I302" i="10"/>
  <c r="M252" i="10"/>
  <c r="M302" i="10" s="1"/>
  <c r="I312" i="10"/>
  <c r="M262" i="10"/>
  <c r="M312" i="10" s="1"/>
  <c r="I281" i="10"/>
  <c r="M231" i="10"/>
  <c r="M281" i="10" s="1"/>
  <c r="N180" i="10"/>
  <c r="O180" i="10" s="1"/>
  <c r="K180" i="10"/>
  <c r="N162" i="10"/>
  <c r="O162" i="10" s="1"/>
  <c r="K162" i="10"/>
  <c r="N146" i="10"/>
  <c r="O146" i="10" s="1"/>
  <c r="K146" i="10"/>
  <c r="N151" i="10"/>
  <c r="O151" i="10" s="1"/>
  <c r="K151" i="10"/>
  <c r="N153" i="10"/>
  <c r="O153" i="10" s="1"/>
  <c r="K153" i="10"/>
  <c r="N165" i="10"/>
  <c r="O165" i="10" s="1"/>
  <c r="K165" i="10"/>
  <c r="K152" i="10"/>
  <c r="N152" i="10"/>
  <c r="O152" i="10" s="1"/>
  <c r="K187" i="10"/>
  <c r="N187" i="10"/>
  <c r="O187" i="10" s="1"/>
  <c r="N197" i="10"/>
  <c r="O197" i="10" s="1"/>
  <c r="K197" i="10"/>
  <c r="N213" i="10"/>
  <c r="O213" i="10" s="1"/>
  <c r="K213" i="10"/>
  <c r="J288" i="10"/>
  <c r="K238" i="10"/>
  <c r="K288" i="10" s="1"/>
  <c r="N238" i="10"/>
  <c r="J302" i="10"/>
  <c r="N252" i="10"/>
  <c r="K252" i="10"/>
  <c r="K302" i="10" s="1"/>
  <c r="J291" i="10"/>
  <c r="K241" i="10"/>
  <c r="K291" i="10" s="1"/>
  <c r="N241" i="10"/>
  <c r="J308" i="10"/>
  <c r="K258" i="10"/>
  <c r="K308" i="10" s="1"/>
  <c r="N258" i="10"/>
  <c r="J314" i="10"/>
  <c r="K264" i="10"/>
  <c r="K314" i="10" s="1"/>
  <c r="N264" i="10"/>
  <c r="J281" i="10"/>
  <c r="N231" i="10"/>
  <c r="K231" i="10"/>
  <c r="K281" i="10" s="1"/>
  <c r="I299" i="10"/>
  <c r="M249" i="10"/>
  <c r="M299" i="10" s="1"/>
  <c r="I291" i="10"/>
  <c r="M241" i="10"/>
  <c r="M291" i="10" s="1"/>
  <c r="I305" i="10"/>
  <c r="M255" i="10"/>
  <c r="M305" i="10" s="1"/>
  <c r="I315" i="10"/>
  <c r="M265" i="10"/>
  <c r="M315" i="10" s="1"/>
  <c r="K133" i="10"/>
  <c r="N133" i="10"/>
  <c r="O133" i="10" s="1"/>
  <c r="J280" i="10"/>
  <c r="N230" i="10"/>
  <c r="K230" i="10"/>
  <c r="K280" i="10" s="1"/>
  <c r="N150" i="10"/>
  <c r="O150" i="10" s="1"/>
  <c r="K150" i="10"/>
  <c r="N138" i="10"/>
  <c r="O138" i="10" s="1"/>
  <c r="K138" i="10"/>
  <c r="K134" i="10"/>
  <c r="N134" i="10"/>
  <c r="O134" i="10" s="1"/>
  <c r="N161" i="10"/>
  <c r="O161" i="10" s="1"/>
  <c r="K161" i="10"/>
  <c r="N185" i="10"/>
  <c r="O185" i="10" s="1"/>
  <c r="K185" i="10"/>
  <c r="K160" i="10"/>
  <c r="N160" i="10"/>
  <c r="O160" i="10" s="1"/>
  <c r="K188" i="10"/>
  <c r="N188" i="10"/>
  <c r="O188" i="10" s="1"/>
  <c r="N203" i="10"/>
  <c r="O203" i="10" s="1"/>
  <c r="K203" i="10"/>
  <c r="N214" i="10"/>
  <c r="O214" i="10" s="1"/>
  <c r="K214" i="10"/>
  <c r="J285" i="10"/>
  <c r="K235" i="10"/>
  <c r="K285" i="10" s="1"/>
  <c r="N235" i="10"/>
  <c r="J294" i="10"/>
  <c r="K244" i="10"/>
  <c r="K294" i="10" s="1"/>
  <c r="N244" i="10"/>
  <c r="J292" i="10"/>
  <c r="K242" i="10"/>
  <c r="K292" i="10" s="1"/>
  <c r="N242" i="10"/>
  <c r="J309" i="10"/>
  <c r="K259" i="10"/>
  <c r="K309" i="10" s="1"/>
  <c r="N259" i="10"/>
  <c r="J315" i="10"/>
  <c r="N265" i="10"/>
  <c r="K265" i="10"/>
  <c r="K315" i="10" s="1"/>
  <c r="I294" i="10"/>
  <c r="M244" i="10"/>
  <c r="M294" i="10" s="1"/>
  <c r="I284" i="10"/>
  <c r="M234" i="10"/>
  <c r="M284" i="10" s="1"/>
  <c r="I292" i="10"/>
  <c r="M242" i="10"/>
  <c r="M292" i="10" s="1"/>
  <c r="I307" i="10"/>
  <c r="M257" i="10"/>
  <c r="M307" i="10" s="1"/>
  <c r="I316" i="10"/>
  <c r="M266" i="10"/>
  <c r="M316" i="10" s="1"/>
  <c r="N183" i="10"/>
  <c r="O183" i="10" s="1"/>
  <c r="K183" i="10"/>
  <c r="I279" i="10"/>
  <c r="M229" i="10"/>
  <c r="M279" i="10" s="1"/>
  <c r="N137" i="10"/>
  <c r="O137" i="10" s="1"/>
  <c r="K137" i="10"/>
  <c r="N139" i="10"/>
  <c r="O139" i="10" s="1"/>
  <c r="K139" i="10"/>
  <c r="K142" i="10"/>
  <c r="N142" i="10"/>
  <c r="O142" i="10" s="1"/>
  <c r="N169" i="10"/>
  <c r="K169" i="10"/>
  <c r="N158" i="10"/>
  <c r="O158" i="10" s="1"/>
  <c r="K158" i="10"/>
  <c r="K168" i="10"/>
  <c r="N168" i="10"/>
  <c r="O168" i="10" s="1"/>
  <c r="N189" i="10"/>
  <c r="O189" i="10" s="1"/>
  <c r="K189" i="10"/>
  <c r="N207" i="10"/>
  <c r="O207" i="10" s="1"/>
  <c r="K207" i="10"/>
  <c r="N215" i="10"/>
  <c r="O215" i="10" s="1"/>
  <c r="K215" i="10"/>
  <c r="J319" i="10"/>
  <c r="J321" i="10" s="1"/>
  <c r="K269" i="10"/>
  <c r="K319" i="10" s="1"/>
  <c r="K321" i="10" s="1"/>
  <c r="N269" i="10"/>
  <c r="J296" i="10"/>
  <c r="K246" i="10"/>
  <c r="K296" i="10" s="1"/>
  <c r="N246" i="10"/>
  <c r="J293" i="10"/>
  <c r="K243" i="10"/>
  <c r="K293" i="10" s="1"/>
  <c r="N243" i="10"/>
  <c r="J310" i="10"/>
  <c r="K260" i="10"/>
  <c r="K310" i="10" s="1"/>
  <c r="N260" i="10"/>
  <c r="J316" i="10"/>
  <c r="N266" i="10"/>
  <c r="K266" i="10"/>
  <c r="K316" i="10" s="1"/>
  <c r="I296" i="10"/>
  <c r="M246" i="10"/>
  <c r="M296" i="10" s="1"/>
  <c r="I285" i="10"/>
  <c r="M235" i="10"/>
  <c r="M285" i="10" s="1"/>
  <c r="I293" i="10"/>
  <c r="M243" i="10"/>
  <c r="M293" i="10" s="1"/>
  <c r="I308" i="10"/>
  <c r="M258" i="10"/>
  <c r="M308" i="10" s="1"/>
  <c r="I318" i="10"/>
  <c r="M268" i="10"/>
  <c r="M318" i="10" s="1"/>
  <c r="J283" i="10"/>
  <c r="N233" i="10"/>
  <c r="K233" i="10"/>
  <c r="K283" i="10" s="1"/>
  <c r="K156" i="10"/>
  <c r="N156" i="10"/>
  <c r="O156" i="10" s="1"/>
  <c r="N147" i="10"/>
  <c r="O147" i="10" s="1"/>
  <c r="K147" i="10"/>
  <c r="K159" i="10"/>
  <c r="N159" i="10"/>
  <c r="O159" i="10" s="1"/>
  <c r="N192" i="10"/>
  <c r="O192" i="10" s="1"/>
  <c r="K192" i="10"/>
  <c r="K166" i="10"/>
  <c r="N166" i="10"/>
  <c r="O166" i="10" s="1"/>
  <c r="N200" i="10"/>
  <c r="O200" i="10" s="1"/>
  <c r="K200" i="10"/>
  <c r="N199" i="10"/>
  <c r="O199" i="10" s="1"/>
  <c r="K199" i="10"/>
  <c r="N208" i="10"/>
  <c r="O208" i="10" s="1"/>
  <c r="K208" i="10"/>
  <c r="N216" i="10"/>
  <c r="O216" i="10" s="1"/>
  <c r="K216" i="10"/>
  <c r="J289" i="10"/>
  <c r="K239" i="10"/>
  <c r="K289" i="10" s="1"/>
  <c r="N239" i="10"/>
  <c r="J298" i="10"/>
  <c r="N248" i="10"/>
  <c r="K248" i="10"/>
  <c r="K298" i="10" s="1"/>
  <c r="J300" i="10"/>
  <c r="N250" i="10"/>
  <c r="K250" i="10"/>
  <c r="K300" i="10" s="1"/>
  <c r="J311" i="10"/>
  <c r="K261" i="10"/>
  <c r="K311" i="10" s="1"/>
  <c r="N261" i="10"/>
  <c r="N129" i="10"/>
  <c r="O129" i="10" s="1"/>
  <c r="K129" i="10"/>
  <c r="I298" i="10"/>
  <c r="M248" i="10"/>
  <c r="M298" i="10" s="1"/>
  <c r="I286" i="10"/>
  <c r="M236" i="10"/>
  <c r="M286" i="10" s="1"/>
  <c r="I300" i="10"/>
  <c r="M250" i="10"/>
  <c r="M300" i="10" s="1"/>
  <c r="I309" i="10"/>
  <c r="M259" i="10"/>
  <c r="M309" i="10" s="1"/>
  <c r="I317" i="10"/>
  <c r="M267" i="10"/>
  <c r="M317" i="10" s="1"/>
  <c r="I280" i="10"/>
  <c r="M230" i="10"/>
  <c r="M280" i="10" s="1"/>
  <c r="N136" i="10"/>
  <c r="O136" i="10" s="1"/>
  <c r="K136" i="10"/>
  <c r="N149" i="10"/>
  <c r="O149" i="10" s="1"/>
  <c r="K149" i="10"/>
  <c r="N163" i="10"/>
  <c r="O163" i="10" s="1"/>
  <c r="K163" i="10"/>
  <c r="N164" i="10"/>
  <c r="O164" i="10" s="1"/>
  <c r="K164" i="10"/>
  <c r="N196" i="10"/>
  <c r="O196" i="10" s="1"/>
  <c r="K196" i="10"/>
  <c r="N190" i="10"/>
  <c r="O190" i="10" s="1"/>
  <c r="K190" i="10"/>
  <c r="N201" i="10"/>
  <c r="O201" i="10" s="1"/>
  <c r="K201" i="10"/>
  <c r="N209" i="10"/>
  <c r="O209" i="10" s="1"/>
  <c r="K209" i="10"/>
  <c r="N217" i="10"/>
  <c r="O217" i="10" s="1"/>
  <c r="K217" i="10"/>
  <c r="J284" i="10"/>
  <c r="K234" i="10"/>
  <c r="K284" i="10" s="1"/>
  <c r="N234" i="10"/>
  <c r="J301" i="10"/>
  <c r="N251" i="10"/>
  <c r="K251" i="10"/>
  <c r="K301" i="10" s="1"/>
  <c r="J304" i="10"/>
  <c r="N254" i="10"/>
  <c r="K254" i="10"/>
  <c r="K304" i="10" s="1"/>
  <c r="J318" i="10"/>
  <c r="K268" i="10"/>
  <c r="K318" i="10" s="1"/>
  <c r="N268" i="10"/>
  <c r="K179" i="10"/>
  <c r="N179" i="10"/>
  <c r="O179" i="10" s="1"/>
  <c r="I301" i="10"/>
  <c r="M251" i="10"/>
  <c r="M301" i="10" s="1"/>
  <c r="I287" i="10"/>
  <c r="M237" i="10"/>
  <c r="M287" i="10" s="1"/>
  <c r="I304" i="10"/>
  <c r="M254" i="10"/>
  <c r="M304" i="10" s="1"/>
  <c r="I310" i="10"/>
  <c r="M260" i="10"/>
  <c r="M310" i="10" s="1"/>
  <c r="I319" i="10"/>
  <c r="I321" i="10" s="1"/>
  <c r="M269" i="10"/>
  <c r="K132" i="10"/>
  <c r="N132" i="10"/>
  <c r="O132" i="10" s="1"/>
  <c r="I283" i="10"/>
  <c r="M233" i="10"/>
  <c r="M283" i="10" s="1"/>
  <c r="M17" i="6"/>
  <c r="X89" i="6" s="1"/>
  <c r="M17" i="9"/>
  <c r="M19" i="6"/>
  <c r="Z85" i="6" s="1"/>
  <c r="M19" i="9"/>
  <c r="K129" i="9"/>
  <c r="N129" i="9"/>
  <c r="O129" i="9" s="1"/>
  <c r="I297" i="9"/>
  <c r="M247" i="9"/>
  <c r="I286" i="9"/>
  <c r="M236" i="9"/>
  <c r="I318" i="9"/>
  <c r="M268" i="9"/>
  <c r="M249" i="9"/>
  <c r="I299" i="9"/>
  <c r="K182" i="9"/>
  <c r="N182" i="9"/>
  <c r="O182" i="9" s="1"/>
  <c r="K131" i="9"/>
  <c r="N131" i="9"/>
  <c r="O131" i="9" s="1"/>
  <c r="N152" i="9"/>
  <c r="O152" i="9" s="1"/>
  <c r="K152" i="9"/>
  <c r="K197" i="9"/>
  <c r="N197" i="9"/>
  <c r="O197" i="9" s="1"/>
  <c r="N189" i="9"/>
  <c r="O189" i="9" s="1"/>
  <c r="K189" i="9"/>
  <c r="K153" i="9"/>
  <c r="N153" i="9"/>
  <c r="O153" i="9" s="1"/>
  <c r="N198" i="9"/>
  <c r="O198" i="9" s="1"/>
  <c r="K198" i="9"/>
  <c r="N243" i="9"/>
  <c r="K243" i="9"/>
  <c r="K293" i="9" s="1"/>
  <c r="J293" i="9"/>
  <c r="K138" i="9"/>
  <c r="N138" i="9"/>
  <c r="O138" i="9" s="1"/>
  <c r="N187" i="9"/>
  <c r="O187" i="9" s="1"/>
  <c r="K187" i="9"/>
  <c r="K219" i="9"/>
  <c r="N219" i="9"/>
  <c r="N264" i="9"/>
  <c r="J314" i="9"/>
  <c r="K264" i="9"/>
  <c r="K314" i="9" s="1"/>
  <c r="K159" i="9"/>
  <c r="N159" i="9"/>
  <c r="O159" i="9" s="1"/>
  <c r="N204" i="9"/>
  <c r="O204" i="9" s="1"/>
  <c r="K204" i="9"/>
  <c r="J303" i="9"/>
  <c r="K253" i="9"/>
  <c r="K303" i="9" s="1"/>
  <c r="N253" i="9"/>
  <c r="N179" i="9"/>
  <c r="O179" i="9" s="1"/>
  <c r="K179" i="9"/>
  <c r="I292" i="9"/>
  <c r="M242" i="9"/>
  <c r="M251" i="9"/>
  <c r="I301" i="9"/>
  <c r="I290" i="9"/>
  <c r="M240" i="9"/>
  <c r="I303" i="9"/>
  <c r="M253" i="9"/>
  <c r="K232" i="9"/>
  <c r="K282" i="9" s="1"/>
  <c r="N232" i="9"/>
  <c r="J282" i="9"/>
  <c r="N185" i="9"/>
  <c r="O185" i="9" s="1"/>
  <c r="K185" i="9"/>
  <c r="K168" i="9"/>
  <c r="N168" i="9"/>
  <c r="O168" i="9" s="1"/>
  <c r="N213" i="9"/>
  <c r="O213" i="9" s="1"/>
  <c r="K213" i="9"/>
  <c r="N205" i="9"/>
  <c r="O205" i="9" s="1"/>
  <c r="K205" i="9"/>
  <c r="K157" i="9"/>
  <c r="N157" i="9"/>
  <c r="O157" i="9" s="1"/>
  <c r="N202" i="9"/>
  <c r="O202" i="9" s="1"/>
  <c r="K202" i="9"/>
  <c r="K247" i="9"/>
  <c r="K297" i="9" s="1"/>
  <c r="J297" i="9"/>
  <c r="N247" i="9"/>
  <c r="K142" i="9"/>
  <c r="N142" i="9"/>
  <c r="O142" i="9" s="1"/>
  <c r="N191" i="9"/>
  <c r="O191" i="9" s="1"/>
  <c r="K191" i="9"/>
  <c r="N236" i="9"/>
  <c r="K236" i="9"/>
  <c r="K286" i="9" s="1"/>
  <c r="J286" i="9"/>
  <c r="J318" i="9"/>
  <c r="N268" i="9"/>
  <c r="K268" i="9"/>
  <c r="K318" i="9" s="1"/>
  <c r="K163" i="9"/>
  <c r="N163" i="9"/>
  <c r="O163" i="9" s="1"/>
  <c r="K208" i="9"/>
  <c r="N208" i="9"/>
  <c r="O208" i="9" s="1"/>
  <c r="J307" i="9"/>
  <c r="K257" i="9"/>
  <c r="K307" i="9" s="1"/>
  <c r="N257" i="9"/>
  <c r="J279" i="9"/>
  <c r="K229" i="9"/>
  <c r="K279" i="9" s="1"/>
  <c r="N229" i="9"/>
  <c r="I288" i="9"/>
  <c r="M238" i="9"/>
  <c r="I308" i="9"/>
  <c r="M258" i="9"/>
  <c r="M255" i="9"/>
  <c r="I305" i="9"/>
  <c r="I294" i="9"/>
  <c r="M244" i="9"/>
  <c r="I307" i="9"/>
  <c r="M257" i="9"/>
  <c r="N201" i="9"/>
  <c r="O201" i="9" s="1"/>
  <c r="K201" i="9"/>
  <c r="K193" i="9"/>
  <c r="N193" i="9"/>
  <c r="O193" i="9" s="1"/>
  <c r="J288" i="9"/>
  <c r="N238" i="9"/>
  <c r="K238" i="9"/>
  <c r="K288" i="9" s="1"/>
  <c r="J296" i="9"/>
  <c r="N246" i="9"/>
  <c r="K246" i="9"/>
  <c r="K296" i="9" s="1"/>
  <c r="N161" i="9"/>
  <c r="O161" i="9" s="1"/>
  <c r="K161" i="9"/>
  <c r="N206" i="9"/>
  <c r="O206" i="9" s="1"/>
  <c r="K206" i="9"/>
  <c r="J301" i="9"/>
  <c r="K251" i="9"/>
  <c r="K301" i="9" s="1"/>
  <c r="N251" i="9"/>
  <c r="K146" i="9"/>
  <c r="N146" i="9"/>
  <c r="O146" i="9" s="1"/>
  <c r="N195" i="9"/>
  <c r="O195" i="9" s="1"/>
  <c r="K195" i="9"/>
  <c r="J290" i="9"/>
  <c r="K240" i="9"/>
  <c r="K290" i="9" s="1"/>
  <c r="N240" i="9"/>
  <c r="K135" i="9"/>
  <c r="N135" i="9"/>
  <c r="O135" i="9" s="1"/>
  <c r="K167" i="9"/>
  <c r="N167" i="9"/>
  <c r="O167" i="9" s="1"/>
  <c r="K212" i="9"/>
  <c r="N212" i="9"/>
  <c r="O212" i="9" s="1"/>
  <c r="J311" i="9"/>
  <c r="K261" i="9"/>
  <c r="K311" i="9" s="1"/>
  <c r="N261" i="9"/>
  <c r="I282" i="9"/>
  <c r="M232" i="9"/>
  <c r="K133" i="9"/>
  <c r="N133" i="9"/>
  <c r="O133" i="9" s="1"/>
  <c r="I298" i="9"/>
  <c r="M248" i="9"/>
  <c r="K209" i="9"/>
  <c r="N209" i="9"/>
  <c r="O209" i="9" s="1"/>
  <c r="N262" i="9"/>
  <c r="J312" i="9"/>
  <c r="K262" i="9"/>
  <c r="K312" i="9" s="1"/>
  <c r="N210" i="9"/>
  <c r="O210" i="9" s="1"/>
  <c r="K210" i="9"/>
  <c r="K150" i="9"/>
  <c r="N150" i="9"/>
  <c r="O150" i="9" s="1"/>
  <c r="J294" i="9"/>
  <c r="K244" i="9"/>
  <c r="K294" i="9" s="1"/>
  <c r="N244" i="9"/>
  <c r="N184" i="9"/>
  <c r="O184" i="9" s="1"/>
  <c r="K184" i="9"/>
  <c r="K216" i="9"/>
  <c r="N216" i="9"/>
  <c r="O216" i="9" s="1"/>
  <c r="J315" i="9"/>
  <c r="K265" i="9"/>
  <c r="K315" i="9" s="1"/>
  <c r="N265" i="9"/>
  <c r="K183" i="9"/>
  <c r="N183" i="9"/>
  <c r="O183" i="9" s="1"/>
  <c r="I302" i="9"/>
  <c r="M252" i="9"/>
  <c r="M265" i="9"/>
  <c r="I315" i="9"/>
  <c r="J292" i="9"/>
  <c r="K242" i="9"/>
  <c r="K292" i="9" s="1"/>
  <c r="N242" i="9"/>
  <c r="K144" i="9"/>
  <c r="N144" i="9"/>
  <c r="O144" i="9" s="1"/>
  <c r="K169" i="9"/>
  <c r="N169" i="9"/>
  <c r="J309" i="9"/>
  <c r="N259" i="9"/>
  <c r="K259" i="9"/>
  <c r="K309" i="9" s="1"/>
  <c r="K203" i="9"/>
  <c r="N203" i="9"/>
  <c r="O203" i="9" s="1"/>
  <c r="N143" i="9"/>
  <c r="O143" i="9" s="1"/>
  <c r="K143" i="9"/>
  <c r="K188" i="9"/>
  <c r="N188" i="9"/>
  <c r="O188" i="9" s="1"/>
  <c r="J319" i="9"/>
  <c r="J321" i="9" s="1"/>
  <c r="K269" i="9"/>
  <c r="K319" i="9" s="1"/>
  <c r="K321" i="9" s="1"/>
  <c r="N269" i="9"/>
  <c r="I317" i="9"/>
  <c r="M267" i="9"/>
  <c r="I287" i="9"/>
  <c r="M237" i="9"/>
  <c r="J300" i="9"/>
  <c r="N250" i="9"/>
  <c r="K250" i="9"/>
  <c r="K300" i="9" s="1"/>
  <c r="N141" i="9"/>
  <c r="O141" i="9" s="1"/>
  <c r="K141" i="9"/>
  <c r="K186" i="9"/>
  <c r="N186" i="9"/>
  <c r="O186" i="9" s="1"/>
  <c r="N263" i="9"/>
  <c r="J313" i="9"/>
  <c r="K263" i="9"/>
  <c r="K313" i="9" s="1"/>
  <c r="N158" i="9"/>
  <c r="O158" i="9" s="1"/>
  <c r="K158" i="9"/>
  <c r="N207" i="9"/>
  <c r="O207" i="9" s="1"/>
  <c r="K207" i="9"/>
  <c r="K252" i="9"/>
  <c r="K302" i="9" s="1"/>
  <c r="J302" i="9"/>
  <c r="N252" i="9"/>
  <c r="N147" i="9"/>
  <c r="O147" i="9" s="1"/>
  <c r="K147" i="9"/>
  <c r="N192" i="9"/>
  <c r="O192" i="9" s="1"/>
  <c r="K192" i="9"/>
  <c r="J291" i="9"/>
  <c r="N241" i="9"/>
  <c r="K241" i="9"/>
  <c r="K291" i="9" s="1"/>
  <c r="K230" i="9"/>
  <c r="K280" i="9" s="1"/>
  <c r="N230" i="9"/>
  <c r="J280" i="9"/>
  <c r="I279" i="9"/>
  <c r="M229" i="9"/>
  <c r="M230" i="9"/>
  <c r="I280" i="9"/>
  <c r="I312" i="9"/>
  <c r="M262" i="9"/>
  <c r="I300" i="9"/>
  <c r="M250" i="9"/>
  <c r="I289" i="9"/>
  <c r="M239" i="9"/>
  <c r="I310" i="9"/>
  <c r="M260" i="9"/>
  <c r="I291" i="9"/>
  <c r="M241" i="9"/>
  <c r="K181" i="9"/>
  <c r="N181" i="9"/>
  <c r="O181" i="9" s="1"/>
  <c r="N136" i="9"/>
  <c r="O136" i="9" s="1"/>
  <c r="K136" i="9"/>
  <c r="K266" i="9"/>
  <c r="K316" i="9" s="1"/>
  <c r="J316" i="9"/>
  <c r="N266" i="9"/>
  <c r="K148" i="9"/>
  <c r="N148" i="9"/>
  <c r="O148" i="9" s="1"/>
  <c r="N145" i="9"/>
  <c r="O145" i="9" s="1"/>
  <c r="K145" i="9"/>
  <c r="K190" i="9"/>
  <c r="N190" i="9"/>
  <c r="O190" i="9" s="1"/>
  <c r="N235" i="9"/>
  <c r="J285" i="9"/>
  <c r="K235" i="9"/>
  <c r="K285" i="9" s="1"/>
  <c r="N267" i="9"/>
  <c r="J317" i="9"/>
  <c r="K267" i="9"/>
  <c r="K317" i="9" s="1"/>
  <c r="K162" i="9"/>
  <c r="N162" i="9"/>
  <c r="O162" i="9" s="1"/>
  <c r="N211" i="9"/>
  <c r="O211" i="9" s="1"/>
  <c r="K211" i="9"/>
  <c r="J306" i="9"/>
  <c r="N256" i="9"/>
  <c r="K256" i="9"/>
  <c r="K306" i="9" s="1"/>
  <c r="K151" i="9"/>
  <c r="N151" i="9"/>
  <c r="O151" i="9" s="1"/>
  <c r="K196" i="9"/>
  <c r="N196" i="9"/>
  <c r="O196" i="9" s="1"/>
  <c r="J295" i="9"/>
  <c r="K245" i="9"/>
  <c r="K295" i="9" s="1"/>
  <c r="N245" i="9"/>
  <c r="I281" i="9"/>
  <c r="M231" i="9"/>
  <c r="N130" i="9"/>
  <c r="O130" i="9" s="1"/>
  <c r="K130" i="9"/>
  <c r="M254" i="9"/>
  <c r="I304" i="9"/>
  <c r="M259" i="9"/>
  <c r="I309" i="9"/>
  <c r="I311" i="9"/>
  <c r="M261" i="9"/>
  <c r="N217" i="9"/>
  <c r="O217" i="9" s="1"/>
  <c r="K217" i="9"/>
  <c r="J304" i="9"/>
  <c r="N254" i="9"/>
  <c r="K254" i="9"/>
  <c r="K304" i="9" s="1"/>
  <c r="K165" i="9"/>
  <c r="N165" i="9"/>
  <c r="O165" i="9" s="1"/>
  <c r="N255" i="9"/>
  <c r="J305" i="9"/>
  <c r="K255" i="9"/>
  <c r="K305" i="9" s="1"/>
  <c r="K199" i="9"/>
  <c r="N199" i="9"/>
  <c r="O199" i="9" s="1"/>
  <c r="K139" i="9"/>
  <c r="N139" i="9"/>
  <c r="O139" i="9" s="1"/>
  <c r="M263" i="9"/>
  <c r="I313" i="9"/>
  <c r="M233" i="9"/>
  <c r="I283" i="9"/>
  <c r="J284" i="9"/>
  <c r="N234" i="9"/>
  <c r="K234" i="9"/>
  <c r="K284" i="9" s="1"/>
  <c r="K137" i="9"/>
  <c r="N137" i="9"/>
  <c r="O137" i="9" s="1"/>
  <c r="K214" i="9"/>
  <c r="N214" i="9"/>
  <c r="O214" i="9" s="1"/>
  <c r="K154" i="9"/>
  <c r="N154" i="9"/>
  <c r="O154" i="9" s="1"/>
  <c r="K248" i="9"/>
  <c r="K298" i="9" s="1"/>
  <c r="J298" i="9"/>
  <c r="N248" i="9"/>
  <c r="N237" i="9"/>
  <c r="J287" i="9"/>
  <c r="K237" i="9"/>
  <c r="K287" i="9" s="1"/>
  <c r="J283" i="9"/>
  <c r="N233" i="9"/>
  <c r="K233" i="9"/>
  <c r="K283" i="9" s="1"/>
  <c r="M246" i="9"/>
  <c r="I296" i="9"/>
  <c r="M234" i="9"/>
  <c r="I284" i="9"/>
  <c r="I285" i="9"/>
  <c r="M235" i="9"/>
  <c r="I306" i="9"/>
  <c r="M256" i="9"/>
  <c r="M269" i="9"/>
  <c r="I319" i="9"/>
  <c r="I321" i="9" s="1"/>
  <c r="N258" i="9"/>
  <c r="J308" i="9"/>
  <c r="K258" i="9"/>
  <c r="K308" i="9" s="1"/>
  <c r="K160" i="9"/>
  <c r="N160" i="9"/>
  <c r="O160" i="9" s="1"/>
  <c r="K218" i="9"/>
  <c r="N218" i="9"/>
  <c r="O218" i="9" s="1"/>
  <c r="M266" i="9"/>
  <c r="I316" i="9"/>
  <c r="I293" i="9"/>
  <c r="M243" i="9"/>
  <c r="I314" i="9"/>
  <c r="M264" i="9"/>
  <c r="I295" i="9"/>
  <c r="M245" i="9"/>
  <c r="N132" i="9"/>
  <c r="O132" i="9" s="1"/>
  <c r="K132" i="9"/>
  <c r="J281" i="9"/>
  <c r="K231" i="9"/>
  <c r="K281" i="9" s="1"/>
  <c r="N231" i="9"/>
  <c r="N140" i="9"/>
  <c r="O140" i="9" s="1"/>
  <c r="K140" i="9"/>
  <c r="K156" i="9"/>
  <c r="N156" i="9"/>
  <c r="O156" i="9" s="1"/>
  <c r="K164" i="9"/>
  <c r="N164" i="9"/>
  <c r="O164" i="9" s="1"/>
  <c r="K149" i="9"/>
  <c r="N149" i="9"/>
  <c r="O149" i="9" s="1"/>
  <c r="N194" i="9"/>
  <c r="O194" i="9" s="1"/>
  <c r="K194" i="9"/>
  <c r="K239" i="9"/>
  <c r="K289" i="9" s="1"/>
  <c r="J289" i="9"/>
  <c r="N239" i="9"/>
  <c r="K134" i="9"/>
  <c r="N134" i="9"/>
  <c r="O134" i="9" s="1"/>
  <c r="N166" i="9"/>
  <c r="O166" i="9" s="1"/>
  <c r="K166" i="9"/>
  <c r="N215" i="9"/>
  <c r="O215" i="9" s="1"/>
  <c r="K215" i="9"/>
  <c r="N260" i="9"/>
  <c r="K260" i="9"/>
  <c r="K310" i="9" s="1"/>
  <c r="J310" i="9"/>
  <c r="N155" i="9"/>
  <c r="O155" i="9" s="1"/>
  <c r="K155" i="9"/>
  <c r="K200" i="9"/>
  <c r="N200" i="9"/>
  <c r="O200" i="9" s="1"/>
  <c r="J299" i="9"/>
  <c r="K249" i="9"/>
  <c r="K299" i="9" s="1"/>
  <c r="N249" i="9"/>
  <c r="N180" i="9"/>
  <c r="O180" i="9" s="1"/>
  <c r="K180" i="9"/>
  <c r="Z49" i="6"/>
  <c r="M46" i="6"/>
  <c r="M296" i="6" s="1"/>
  <c r="I296" i="6"/>
  <c r="M42" i="6"/>
  <c r="M292" i="6" s="1"/>
  <c r="I292" i="6"/>
  <c r="N69" i="6"/>
  <c r="N319" i="6" s="1"/>
  <c r="N321" i="6" s="1"/>
  <c r="J319" i="6"/>
  <c r="J321" i="6" s="1"/>
  <c r="K31" i="6"/>
  <c r="K281" i="6" s="1"/>
  <c r="J281" i="6"/>
  <c r="M60" i="6"/>
  <c r="M310" i="6" s="1"/>
  <c r="I310" i="6"/>
  <c r="K32" i="6"/>
  <c r="K282" i="6" s="1"/>
  <c r="J282" i="6"/>
  <c r="M41" i="6"/>
  <c r="M291" i="6" s="1"/>
  <c r="I291" i="6"/>
  <c r="M68" i="6"/>
  <c r="M318" i="6" s="1"/>
  <c r="I318" i="6"/>
  <c r="M66" i="6"/>
  <c r="M316" i="6" s="1"/>
  <c r="I316" i="6"/>
  <c r="M64" i="6"/>
  <c r="M314" i="6" s="1"/>
  <c r="I314" i="6"/>
  <c r="M31" i="6"/>
  <c r="M281" i="6" s="1"/>
  <c r="I281" i="6"/>
  <c r="M30" i="6"/>
  <c r="M280" i="6" s="1"/>
  <c r="I280" i="6"/>
  <c r="M44" i="6"/>
  <c r="M294" i="6" s="1"/>
  <c r="I294" i="6"/>
  <c r="M67" i="6"/>
  <c r="M317" i="6" s="1"/>
  <c r="I317" i="6"/>
  <c r="M32" i="6"/>
  <c r="M282" i="6" s="1"/>
  <c r="I282" i="6"/>
  <c r="M33" i="6"/>
  <c r="M283" i="6" s="1"/>
  <c r="I283" i="6"/>
  <c r="M52" i="6"/>
  <c r="M302" i="6" s="1"/>
  <c r="I302" i="6"/>
  <c r="M48" i="6"/>
  <c r="M298" i="6" s="1"/>
  <c r="I298" i="6"/>
  <c r="M62" i="6"/>
  <c r="M312" i="6" s="1"/>
  <c r="I312" i="6"/>
  <c r="M58" i="6"/>
  <c r="M308" i="6" s="1"/>
  <c r="I308" i="6"/>
  <c r="M56" i="6"/>
  <c r="M306" i="6" s="1"/>
  <c r="I306" i="6"/>
  <c r="M49" i="6"/>
  <c r="M299" i="6" s="1"/>
  <c r="I299" i="6"/>
  <c r="M39" i="6"/>
  <c r="M289" i="6" s="1"/>
  <c r="I289" i="6"/>
  <c r="M40" i="6"/>
  <c r="M290" i="6" s="1"/>
  <c r="I290" i="6"/>
  <c r="M35" i="6"/>
  <c r="M285" i="6" s="1"/>
  <c r="I285" i="6"/>
  <c r="M54" i="6"/>
  <c r="M304" i="6" s="1"/>
  <c r="I304" i="6"/>
  <c r="M50" i="6"/>
  <c r="M300" i="6" s="1"/>
  <c r="I300" i="6"/>
  <c r="M34" i="6"/>
  <c r="M284" i="6" s="1"/>
  <c r="I284" i="6"/>
  <c r="M57" i="6"/>
  <c r="M307" i="6" s="1"/>
  <c r="I307" i="6"/>
  <c r="M47" i="6"/>
  <c r="M297" i="6" s="1"/>
  <c r="I297" i="6"/>
  <c r="M37" i="6"/>
  <c r="M287" i="6" s="1"/>
  <c r="I287" i="6"/>
  <c r="M43" i="6"/>
  <c r="M293" i="6" s="1"/>
  <c r="I293" i="6"/>
  <c r="K33" i="6"/>
  <c r="K283" i="6" s="1"/>
  <c r="J283" i="6"/>
  <c r="M61" i="6"/>
  <c r="M311" i="6" s="1"/>
  <c r="I311" i="6"/>
  <c r="M65" i="6"/>
  <c r="M315" i="6" s="1"/>
  <c r="I315" i="6"/>
  <c r="M55" i="6"/>
  <c r="M305" i="6" s="1"/>
  <c r="I305" i="6"/>
  <c r="M45" i="6"/>
  <c r="M295" i="6" s="1"/>
  <c r="I295" i="6"/>
  <c r="M51" i="6"/>
  <c r="M301" i="6" s="1"/>
  <c r="I301" i="6"/>
  <c r="N30" i="6"/>
  <c r="J280" i="6"/>
  <c r="M38" i="6"/>
  <c r="M288" i="6" s="1"/>
  <c r="I288" i="6"/>
  <c r="M36" i="6"/>
  <c r="M286" i="6" s="1"/>
  <c r="I286" i="6"/>
  <c r="M63" i="6"/>
  <c r="M313" i="6" s="1"/>
  <c r="I313" i="6"/>
  <c r="M53" i="6"/>
  <c r="M303" i="6" s="1"/>
  <c r="I303" i="6"/>
  <c r="M59" i="6"/>
  <c r="M309" i="6" s="1"/>
  <c r="I309" i="6"/>
  <c r="N29" i="6"/>
  <c r="J279" i="6"/>
  <c r="M29" i="6"/>
  <c r="M279" i="6" s="1"/>
  <c r="I279" i="6"/>
  <c r="N31" i="6"/>
  <c r="N33" i="6"/>
  <c r="N108" i="6"/>
  <c r="O108" i="6" s="1"/>
  <c r="K108" i="6"/>
  <c r="K29" i="6"/>
  <c r="K279" i="6" s="1"/>
  <c r="N87" i="6"/>
  <c r="O87" i="6" s="1"/>
  <c r="K87" i="6"/>
  <c r="N100" i="6"/>
  <c r="O100" i="6" s="1"/>
  <c r="K100" i="6"/>
  <c r="N110" i="6"/>
  <c r="O110" i="6" s="1"/>
  <c r="K110" i="6"/>
  <c r="N118" i="6"/>
  <c r="O118" i="6" s="1"/>
  <c r="K118" i="6"/>
  <c r="N117" i="6"/>
  <c r="O117" i="6" s="1"/>
  <c r="K117" i="6"/>
  <c r="K81" i="6"/>
  <c r="N81" i="6"/>
  <c r="O81" i="6" s="1"/>
  <c r="N85" i="6"/>
  <c r="O85" i="6" s="1"/>
  <c r="K85" i="6"/>
  <c r="N101" i="6"/>
  <c r="O101" i="6" s="1"/>
  <c r="K101" i="6"/>
  <c r="N86" i="6"/>
  <c r="O86" i="6" s="1"/>
  <c r="K86" i="6"/>
  <c r="N116" i="6"/>
  <c r="O116" i="6" s="1"/>
  <c r="K116" i="6"/>
  <c r="N103" i="6"/>
  <c r="O103" i="6" s="1"/>
  <c r="K103" i="6"/>
  <c r="K30" i="6"/>
  <c r="K280" i="6" s="1"/>
  <c r="N93" i="6"/>
  <c r="O93" i="6" s="1"/>
  <c r="K93" i="6"/>
  <c r="N94" i="6"/>
  <c r="O94" i="6" s="1"/>
  <c r="K94" i="6"/>
  <c r="K95" i="6"/>
  <c r="N95" i="6"/>
  <c r="O95" i="6" s="1"/>
  <c r="N97" i="6"/>
  <c r="O97" i="6" s="1"/>
  <c r="K97" i="6"/>
  <c r="N111" i="6"/>
  <c r="O111" i="6" s="1"/>
  <c r="K111" i="6"/>
  <c r="K105" i="6"/>
  <c r="N105" i="6"/>
  <c r="O105" i="6" s="1"/>
  <c r="K80" i="6"/>
  <c r="N80" i="6"/>
  <c r="O80" i="6" s="1"/>
  <c r="N89" i="6"/>
  <c r="O89" i="6" s="1"/>
  <c r="K89" i="6"/>
  <c r="N99" i="6"/>
  <c r="O99" i="6" s="1"/>
  <c r="K99" i="6"/>
  <c r="K91" i="6"/>
  <c r="N91" i="6"/>
  <c r="O91" i="6" s="1"/>
  <c r="K96" i="6"/>
  <c r="N96" i="6"/>
  <c r="O96" i="6" s="1"/>
  <c r="N32" i="6"/>
  <c r="K84" i="6"/>
  <c r="N84" i="6"/>
  <c r="O84" i="6" s="1"/>
  <c r="K98" i="6"/>
  <c r="N98" i="6"/>
  <c r="O98" i="6" s="1"/>
  <c r="K106" i="6"/>
  <c r="N106" i="6"/>
  <c r="O106" i="6" s="1"/>
  <c r="N113" i="6"/>
  <c r="O113" i="6" s="1"/>
  <c r="K113" i="6"/>
  <c r="J121" i="6"/>
  <c r="N119" i="6"/>
  <c r="K119" i="6"/>
  <c r="K121" i="6" s="1"/>
  <c r="K88" i="6"/>
  <c r="N88" i="6"/>
  <c r="O88" i="6" s="1"/>
  <c r="N82" i="6"/>
  <c r="O82" i="6" s="1"/>
  <c r="K82" i="6"/>
  <c r="K114" i="6"/>
  <c r="N114" i="6"/>
  <c r="O114" i="6" s="1"/>
  <c r="N102" i="6"/>
  <c r="O102" i="6" s="1"/>
  <c r="K102" i="6"/>
  <c r="N107" i="6"/>
  <c r="O107" i="6" s="1"/>
  <c r="K107" i="6"/>
  <c r="N109" i="6"/>
  <c r="O109" i="6" s="1"/>
  <c r="K109" i="6"/>
  <c r="K115" i="6"/>
  <c r="N115" i="6"/>
  <c r="O115" i="6" s="1"/>
  <c r="N90" i="6"/>
  <c r="O90" i="6" s="1"/>
  <c r="K90" i="6"/>
  <c r="N104" i="6"/>
  <c r="O104" i="6" s="1"/>
  <c r="K104" i="6"/>
  <c r="N112" i="6"/>
  <c r="O112" i="6" s="1"/>
  <c r="K112" i="6"/>
  <c r="N92" i="6"/>
  <c r="O92" i="6" s="1"/>
  <c r="K92" i="6"/>
  <c r="K79" i="6"/>
  <c r="N79" i="6"/>
  <c r="O79" i="6" s="1"/>
  <c r="N83" i="6"/>
  <c r="O83" i="6" s="1"/>
  <c r="K83" i="6"/>
  <c r="M119" i="6"/>
  <c r="M121" i="6" s="1"/>
  <c r="I121" i="6"/>
  <c r="K46" i="6"/>
  <c r="K296" i="6" s="1"/>
  <c r="N46" i="6"/>
  <c r="K44" i="6"/>
  <c r="K294" i="6" s="1"/>
  <c r="N44" i="6"/>
  <c r="K58" i="6"/>
  <c r="K308" i="6" s="1"/>
  <c r="N58" i="6"/>
  <c r="K34" i="6"/>
  <c r="K284" i="6" s="1"/>
  <c r="N34" i="6"/>
  <c r="I71" i="6"/>
  <c r="M69" i="6"/>
  <c r="K43" i="6"/>
  <c r="K293" i="6" s="1"/>
  <c r="N43" i="6"/>
  <c r="K51" i="6"/>
  <c r="K301" i="6" s="1"/>
  <c r="N51" i="6"/>
  <c r="K39" i="6"/>
  <c r="K289" i="6" s="1"/>
  <c r="N39" i="6"/>
  <c r="K42" i="6"/>
  <c r="K292" i="6" s="1"/>
  <c r="N42" i="6"/>
  <c r="K59" i="6"/>
  <c r="K309" i="6" s="1"/>
  <c r="N59" i="6"/>
  <c r="K57" i="6"/>
  <c r="K307" i="6" s="1"/>
  <c r="N57" i="6"/>
  <c r="K47" i="6"/>
  <c r="K297" i="6" s="1"/>
  <c r="N47" i="6"/>
  <c r="K48" i="6"/>
  <c r="K298" i="6" s="1"/>
  <c r="N48" i="6"/>
  <c r="K41" i="6"/>
  <c r="K291" i="6" s="1"/>
  <c r="N41" i="6"/>
  <c r="K68" i="6"/>
  <c r="K318" i="6" s="1"/>
  <c r="N68" i="6"/>
  <c r="K49" i="6"/>
  <c r="K299" i="6" s="1"/>
  <c r="N49" i="6"/>
  <c r="K40" i="6"/>
  <c r="K290" i="6" s="1"/>
  <c r="N40" i="6"/>
  <c r="K50" i="6"/>
  <c r="K300" i="6" s="1"/>
  <c r="N50" i="6"/>
  <c r="K67" i="6"/>
  <c r="K317" i="6" s="1"/>
  <c r="N67" i="6"/>
  <c r="K65" i="6"/>
  <c r="K315" i="6" s="1"/>
  <c r="N65" i="6"/>
  <c r="K55" i="6"/>
  <c r="K305" i="6" s="1"/>
  <c r="N55" i="6"/>
  <c r="K56" i="6"/>
  <c r="K306" i="6" s="1"/>
  <c r="N56" i="6"/>
  <c r="K38" i="6"/>
  <c r="K288" i="6" s="1"/>
  <c r="N38" i="6"/>
  <c r="K45" i="6"/>
  <c r="K295" i="6" s="1"/>
  <c r="N45" i="6"/>
  <c r="K54" i="6"/>
  <c r="K304" i="6" s="1"/>
  <c r="N54" i="6"/>
  <c r="K52" i="6"/>
  <c r="K302" i="6" s="1"/>
  <c r="N52" i="6"/>
  <c r="K53" i="6"/>
  <c r="K303" i="6" s="1"/>
  <c r="N53" i="6"/>
  <c r="K66" i="6"/>
  <c r="K316" i="6" s="1"/>
  <c r="N66" i="6"/>
  <c r="K36" i="6"/>
  <c r="K286" i="6" s="1"/>
  <c r="N36" i="6"/>
  <c r="K63" i="6"/>
  <c r="K313" i="6" s="1"/>
  <c r="N63" i="6"/>
  <c r="K64" i="6"/>
  <c r="K314" i="6" s="1"/>
  <c r="N64" i="6"/>
  <c r="K37" i="6"/>
  <c r="K287" i="6" s="1"/>
  <c r="N37" i="6"/>
  <c r="K35" i="6"/>
  <c r="K285" i="6" s="1"/>
  <c r="N35" i="6"/>
  <c r="K62" i="6"/>
  <c r="K312" i="6" s="1"/>
  <c r="N62" i="6"/>
  <c r="K60" i="6"/>
  <c r="K310" i="6" s="1"/>
  <c r="N60" i="6"/>
  <c r="K61" i="6"/>
  <c r="K311" i="6" s="1"/>
  <c r="N61" i="6"/>
  <c r="K69" i="6"/>
  <c r="J71" i="6"/>
  <c r="S17" i="4"/>
  <c r="U17" i="4"/>
  <c r="U18" i="4"/>
  <c r="T18" i="4"/>
  <c r="X107" i="6" l="1"/>
  <c r="X61" i="6"/>
  <c r="X95" i="6"/>
  <c r="X82" i="6"/>
  <c r="X34" i="6"/>
  <c r="X284" i="6" s="1"/>
  <c r="X80" i="6"/>
  <c r="X40" i="6"/>
  <c r="X290" i="6" s="1"/>
  <c r="X109" i="6"/>
  <c r="X119" i="6"/>
  <c r="X99" i="6"/>
  <c r="X31" i="6"/>
  <c r="X281" i="6" s="1"/>
  <c r="X113" i="6"/>
  <c r="X91" i="6"/>
  <c r="X37" i="6"/>
  <c r="X287" i="6" s="1"/>
  <c r="X45" i="6"/>
  <c r="X295" i="6" s="1"/>
  <c r="X64" i="6"/>
  <c r="X314" i="6" s="1"/>
  <c r="X49" i="6"/>
  <c r="X299" i="6" s="1"/>
  <c r="X90" i="6"/>
  <c r="X67" i="6"/>
  <c r="X317" i="6" s="1"/>
  <c r="X92" i="6"/>
  <c r="X85" i="6"/>
  <c r="X97" i="6"/>
  <c r="X117" i="6"/>
  <c r="X44" i="6"/>
  <c r="X294" i="6" s="1"/>
  <c r="X96" i="6"/>
  <c r="X102" i="6"/>
  <c r="Z271" i="10"/>
  <c r="Z319" i="10"/>
  <c r="X319" i="10"/>
  <c r="X271" i="10"/>
  <c r="Z60" i="6"/>
  <c r="Z310" i="6" s="1"/>
  <c r="Z67" i="6"/>
  <c r="Z317" i="6" s="1"/>
  <c r="Z103" i="6"/>
  <c r="Z90" i="6"/>
  <c r="Z91" i="6"/>
  <c r="Z112" i="6"/>
  <c r="X84" i="6"/>
  <c r="X59" i="6"/>
  <c r="X309" i="6" s="1"/>
  <c r="X104" i="6"/>
  <c r="Z115" i="6"/>
  <c r="Z69" i="6"/>
  <c r="Z71" i="6" s="1"/>
  <c r="Z64" i="6"/>
  <c r="Z314" i="6" s="1"/>
  <c r="Z119" i="6"/>
  <c r="Z121" i="6" s="1"/>
  <c r="Z84" i="6"/>
  <c r="Z30" i="6"/>
  <c r="Z280" i="6" s="1"/>
  <c r="Z45" i="6"/>
  <c r="Z295" i="6" s="1"/>
  <c r="Z117" i="6"/>
  <c r="Z118" i="6"/>
  <c r="Z107" i="6"/>
  <c r="Z57" i="6"/>
  <c r="Z307" i="6" s="1"/>
  <c r="Z31" i="6"/>
  <c r="Z281" i="6" s="1"/>
  <c r="Z59" i="6"/>
  <c r="Z309" i="6" s="1"/>
  <c r="Z83" i="6"/>
  <c r="Z55" i="6"/>
  <c r="Z305" i="6" s="1"/>
  <c r="Z94" i="6"/>
  <c r="X51" i="6"/>
  <c r="X301" i="6" s="1"/>
  <c r="X57" i="6"/>
  <c r="X307" i="6" s="1"/>
  <c r="X62" i="6"/>
  <c r="X312" i="6" s="1"/>
  <c r="X110" i="6"/>
  <c r="Z61" i="6"/>
  <c r="Z311" i="6" s="1"/>
  <c r="Z113" i="6"/>
  <c r="Z88" i="6"/>
  <c r="Z41" i="6"/>
  <c r="Z291" i="6" s="1"/>
  <c r="Z65" i="6"/>
  <c r="Z315" i="6" s="1"/>
  <c r="Z53" i="6"/>
  <c r="Z303" i="6" s="1"/>
  <c r="Z56" i="6"/>
  <c r="Z306" i="6" s="1"/>
  <c r="Z46" i="6"/>
  <c r="Z296" i="6" s="1"/>
  <c r="Z48" i="6"/>
  <c r="Z298" i="6" s="1"/>
  <c r="Z114" i="6"/>
  <c r="X36" i="6"/>
  <c r="X286" i="6" s="1"/>
  <c r="X103" i="6"/>
  <c r="X52" i="6"/>
  <c r="X302" i="6" s="1"/>
  <c r="X86" i="6"/>
  <c r="X46" i="6"/>
  <c r="X296" i="6" s="1"/>
  <c r="X65" i="6"/>
  <c r="X315" i="6" s="1"/>
  <c r="X33" i="6"/>
  <c r="X283" i="6" s="1"/>
  <c r="Z43" i="6"/>
  <c r="Z293" i="6" s="1"/>
  <c r="Z89" i="6"/>
  <c r="Z63" i="6"/>
  <c r="Z313" i="6" s="1"/>
  <c r="Z29" i="6"/>
  <c r="Z279" i="6" s="1"/>
  <c r="Z108" i="6"/>
  <c r="Z109" i="6"/>
  <c r="Z100" i="6"/>
  <c r="Z106" i="6"/>
  <c r="Z42" i="6"/>
  <c r="Z292" i="6" s="1"/>
  <c r="Z39" i="6"/>
  <c r="Z289" i="6" s="1"/>
  <c r="Z95" i="6"/>
  <c r="Z80" i="6"/>
  <c r="Z52" i="6"/>
  <c r="Z302" i="6" s="1"/>
  <c r="Z81" i="6"/>
  <c r="Z98" i="6"/>
  <c r="Z87" i="6"/>
  <c r="Z51" i="6"/>
  <c r="Z301" i="6" s="1"/>
  <c r="Z110" i="6"/>
  <c r="Z96" i="6"/>
  <c r="Z54" i="6"/>
  <c r="Z304" i="6" s="1"/>
  <c r="Z33" i="6"/>
  <c r="Z283" i="6" s="1"/>
  <c r="Z82" i="6"/>
  <c r="Z68" i="6"/>
  <c r="Z318" i="6" s="1"/>
  <c r="Z35" i="6"/>
  <c r="Z285" i="6" s="1"/>
  <c r="X88" i="6"/>
  <c r="X118" i="6"/>
  <c r="X39" i="6"/>
  <c r="X289" i="6" s="1"/>
  <c r="X54" i="6"/>
  <c r="X304" i="6" s="1"/>
  <c r="X81" i="6"/>
  <c r="X63" i="6"/>
  <c r="X313" i="6" s="1"/>
  <c r="X42" i="6"/>
  <c r="X292" i="6" s="1"/>
  <c r="X43" i="6"/>
  <c r="X293" i="6" s="1"/>
  <c r="Z40" i="6"/>
  <c r="Z290" i="6" s="1"/>
  <c r="Z116" i="6"/>
  <c r="Z105" i="6"/>
  <c r="Z37" i="6"/>
  <c r="Z287" i="6" s="1"/>
  <c r="Z101" i="6"/>
  <c r="Z111" i="6"/>
  <c r="Z47" i="6"/>
  <c r="Z297" i="6" s="1"/>
  <c r="Z86" i="6"/>
  <c r="Z79" i="6"/>
  <c r="Z62" i="6"/>
  <c r="Z312" i="6" s="1"/>
  <c r="Z102" i="6"/>
  <c r="Z36" i="6"/>
  <c r="Z286" i="6" s="1"/>
  <c r="Z97" i="6"/>
  <c r="Z93" i="6"/>
  <c r="Z38" i="6"/>
  <c r="Z288" i="6" s="1"/>
  <c r="X38" i="6"/>
  <c r="X288" i="6" s="1"/>
  <c r="X83" i="6"/>
  <c r="X94" i="6"/>
  <c r="X69" i="6"/>
  <c r="X71" i="6" s="1"/>
  <c r="Z58" i="6"/>
  <c r="Z308" i="6" s="1"/>
  <c r="Z104" i="6"/>
  <c r="Z92" i="6"/>
  <c r="Z32" i="6"/>
  <c r="Z282" i="6" s="1"/>
  <c r="Z34" i="6"/>
  <c r="Z284" i="6" s="1"/>
  <c r="Z50" i="6"/>
  <c r="Z300" i="6" s="1"/>
  <c r="Z44" i="6"/>
  <c r="Z294" i="6" s="1"/>
  <c r="Z99" i="6"/>
  <c r="Z66" i="6"/>
  <c r="Z316" i="6" s="1"/>
  <c r="X58" i="6"/>
  <c r="X308" i="6" s="1"/>
  <c r="X32" i="6"/>
  <c r="X282" i="6" s="1"/>
  <c r="X93" i="6"/>
  <c r="X111" i="6"/>
  <c r="X55" i="6"/>
  <c r="X305" i="6" s="1"/>
  <c r="X35" i="6"/>
  <c r="X285" i="6" s="1"/>
  <c r="H40" i="13"/>
  <c r="H39" i="13" s="1"/>
  <c r="H41" i="13" s="1"/>
  <c r="H42" i="13" s="1"/>
  <c r="H59" i="13"/>
  <c r="H58" i="13" s="1"/>
  <c r="H60" i="13" s="1"/>
  <c r="H61" i="13" s="1"/>
  <c r="I40" i="13"/>
  <c r="I39" i="13" s="1"/>
  <c r="I41" i="13" s="1"/>
  <c r="I42" i="13" s="1"/>
  <c r="I59" i="13"/>
  <c r="I58" i="13" s="1"/>
  <c r="I60" i="13" s="1"/>
  <c r="I61" i="13" s="1"/>
  <c r="I31" i="13"/>
  <c r="I32" i="13" s="1"/>
  <c r="I33" i="13" s="1"/>
  <c r="I49" i="13"/>
  <c r="I48" i="13" s="1"/>
  <c r="I50" i="13" s="1"/>
  <c r="I51" i="13" s="1"/>
  <c r="H31" i="13"/>
  <c r="H32" i="13" s="1"/>
  <c r="H33" i="13" s="1"/>
  <c r="H49" i="13"/>
  <c r="H48" i="13" s="1"/>
  <c r="H50" i="13" s="1"/>
  <c r="H51" i="13" s="1"/>
  <c r="H23" i="13"/>
  <c r="I23" i="13"/>
  <c r="G24" i="13"/>
  <c r="G25" i="13" s="1"/>
  <c r="G17" i="13" s="1"/>
  <c r="G27" i="14" s="1"/>
  <c r="I68" i="13"/>
  <c r="I70" i="13" s="1"/>
  <c r="I71" i="13" s="1"/>
  <c r="H68" i="13"/>
  <c r="H70" i="13" s="1"/>
  <c r="H71" i="13" s="1"/>
  <c r="I9" i="13"/>
  <c r="H9" i="13"/>
  <c r="O269" i="12"/>
  <c r="O271" i="12" s="1"/>
  <c r="N271" i="12"/>
  <c r="O219" i="12"/>
  <c r="O221" i="12" s="1"/>
  <c r="N221" i="12"/>
  <c r="O169" i="12"/>
  <c r="O171" i="12" s="1"/>
  <c r="N171" i="12"/>
  <c r="O69" i="12"/>
  <c r="O71" i="12" s="1"/>
  <c r="N71" i="12"/>
  <c r="Z312" i="12"/>
  <c r="Z304" i="12"/>
  <c r="Z298" i="12"/>
  <c r="Z291" i="12"/>
  <c r="Z288" i="12"/>
  <c r="Z311" i="12"/>
  <c r="Z303" i="12"/>
  <c r="Z296" i="12"/>
  <c r="Z287" i="12"/>
  <c r="Z286" i="12"/>
  <c r="Z313" i="12"/>
  <c r="Z305" i="12"/>
  <c r="Z289" i="12"/>
  <c r="Z293" i="12"/>
  <c r="Z318" i="12"/>
  <c r="Z310" i="12"/>
  <c r="Z302" i="12"/>
  <c r="Z294" i="12"/>
  <c r="Z285" i="12"/>
  <c r="Z284" i="12"/>
  <c r="Z317" i="12"/>
  <c r="Z309" i="12"/>
  <c r="Z299" i="12"/>
  <c r="Z292" i="12"/>
  <c r="Z283" i="12"/>
  <c r="Z282" i="12"/>
  <c r="Z316" i="12"/>
  <c r="Z308" i="12"/>
  <c r="Z300" i="12"/>
  <c r="Z297" i="12"/>
  <c r="Z281" i="12"/>
  <c r="Z280" i="12"/>
  <c r="Z315" i="12"/>
  <c r="Z307" i="12"/>
  <c r="Z279" i="12"/>
  <c r="Z301" i="12"/>
  <c r="Z314" i="12"/>
  <c r="Z306" i="12"/>
  <c r="Z290" i="12"/>
  <c r="Z295" i="12"/>
  <c r="X106" i="6"/>
  <c r="X56" i="6"/>
  <c r="X306" i="6" s="1"/>
  <c r="X101" i="6"/>
  <c r="X41" i="6"/>
  <c r="X291" i="6" s="1"/>
  <c r="X47" i="6"/>
  <c r="X297" i="6" s="1"/>
  <c r="X60" i="6"/>
  <c r="X310" i="6" s="1"/>
  <c r="X100" i="6"/>
  <c r="X29" i="6"/>
  <c r="X279" i="6" s="1"/>
  <c r="X68" i="6"/>
  <c r="X318" i="6" s="1"/>
  <c r="X108" i="6"/>
  <c r="X53" i="6"/>
  <c r="X303" i="6" s="1"/>
  <c r="X112" i="6"/>
  <c r="N284" i="10"/>
  <c r="O234" i="10"/>
  <c r="O284" i="10" s="1"/>
  <c r="N171" i="10"/>
  <c r="O169" i="10"/>
  <c r="O171" i="10" s="1"/>
  <c r="N309" i="10"/>
  <c r="O259" i="10"/>
  <c r="O309" i="10" s="1"/>
  <c r="N302" i="10"/>
  <c r="O252" i="10"/>
  <c r="O302" i="10" s="1"/>
  <c r="N307" i="10"/>
  <c r="O257" i="10"/>
  <c r="O307" i="10" s="1"/>
  <c r="N279" i="10"/>
  <c r="O229" i="10"/>
  <c r="O279" i="10" s="1"/>
  <c r="X116" i="6"/>
  <c r="N310" i="10"/>
  <c r="O260" i="10"/>
  <c r="O310" i="10" s="1"/>
  <c r="N285" i="10"/>
  <c r="O235" i="10"/>
  <c r="O285" i="10" s="1"/>
  <c r="N308" i="10"/>
  <c r="O258" i="10"/>
  <c r="O308" i="10" s="1"/>
  <c r="N287" i="10"/>
  <c r="O237" i="10"/>
  <c r="O287" i="10" s="1"/>
  <c r="N306" i="10"/>
  <c r="O256" i="10"/>
  <c r="O306" i="10" s="1"/>
  <c r="N221" i="10"/>
  <c r="O219" i="10"/>
  <c r="O221" i="10" s="1"/>
  <c r="N303" i="10"/>
  <c r="O253" i="10"/>
  <c r="O303" i="10" s="1"/>
  <c r="N298" i="10"/>
  <c r="O248" i="10"/>
  <c r="O298" i="10" s="1"/>
  <c r="N283" i="10"/>
  <c r="O233" i="10"/>
  <c r="O283" i="10" s="1"/>
  <c r="N319" i="10"/>
  <c r="N321" i="10" s="1"/>
  <c r="O269" i="10"/>
  <c r="N271" i="10"/>
  <c r="N288" i="10"/>
  <c r="O238" i="10"/>
  <c r="O288" i="10" s="1"/>
  <c r="N317" i="10"/>
  <c r="O267" i="10"/>
  <c r="O317" i="10" s="1"/>
  <c r="M319" i="10"/>
  <c r="M321" i="10" s="1"/>
  <c r="M271" i="10"/>
  <c r="N304" i="10"/>
  <c r="O254" i="10"/>
  <c r="O304" i="10" s="1"/>
  <c r="N311" i="10"/>
  <c r="O261" i="10"/>
  <c r="O311" i="10" s="1"/>
  <c r="N292" i="10"/>
  <c r="O242" i="10"/>
  <c r="O292" i="10" s="1"/>
  <c r="N290" i="10"/>
  <c r="O240" i="10"/>
  <c r="O290" i="10" s="1"/>
  <c r="N286" i="10"/>
  <c r="O236" i="10"/>
  <c r="O286" i="10" s="1"/>
  <c r="X114" i="6"/>
  <c r="X66" i="6"/>
  <c r="X316" i="6" s="1"/>
  <c r="X105" i="6"/>
  <c r="X48" i="6"/>
  <c r="X298" i="6" s="1"/>
  <c r="X98" i="6"/>
  <c r="X50" i="6"/>
  <c r="X300" i="6" s="1"/>
  <c r="X115" i="6"/>
  <c r="X87" i="6"/>
  <c r="X30" i="6"/>
  <c r="X280" i="6" s="1"/>
  <c r="X79" i="6"/>
  <c r="N289" i="10"/>
  <c r="O239" i="10"/>
  <c r="O289" i="10" s="1"/>
  <c r="N293" i="10"/>
  <c r="O243" i="10"/>
  <c r="O293" i="10" s="1"/>
  <c r="N281" i="10"/>
  <c r="O231" i="10"/>
  <c r="O281" i="10" s="1"/>
  <c r="N291" i="10"/>
  <c r="O241" i="10"/>
  <c r="O291" i="10" s="1"/>
  <c r="N299" i="10"/>
  <c r="O249" i="10"/>
  <c r="O299" i="10" s="1"/>
  <c r="N305" i="10"/>
  <c r="O255" i="10"/>
  <c r="O305" i="10" s="1"/>
  <c r="N301" i="10"/>
  <c r="O251" i="10"/>
  <c r="O301" i="10" s="1"/>
  <c r="N315" i="10"/>
  <c r="O265" i="10"/>
  <c r="O315" i="10" s="1"/>
  <c r="N294" i="10"/>
  <c r="O244" i="10"/>
  <c r="O294" i="10" s="1"/>
  <c r="N314" i="10"/>
  <c r="O264" i="10"/>
  <c r="O314" i="10" s="1"/>
  <c r="N313" i="10"/>
  <c r="O263" i="10"/>
  <c r="O313" i="10" s="1"/>
  <c r="N297" i="10"/>
  <c r="O247" i="10"/>
  <c r="O297" i="10" s="1"/>
  <c r="N312" i="10"/>
  <c r="O262" i="10"/>
  <c r="O312" i="10" s="1"/>
  <c r="N295" i="10"/>
  <c r="O245" i="10"/>
  <c r="O295" i="10" s="1"/>
  <c r="N318" i="10"/>
  <c r="O268" i="10"/>
  <c r="O318" i="10" s="1"/>
  <c r="N300" i="10"/>
  <c r="O250" i="10"/>
  <c r="O300" i="10" s="1"/>
  <c r="N316" i="10"/>
  <c r="O266" i="10"/>
  <c r="O316" i="10" s="1"/>
  <c r="N296" i="10"/>
  <c r="O246" i="10"/>
  <c r="O296" i="10" s="1"/>
  <c r="N280" i="10"/>
  <c r="O230" i="10"/>
  <c r="O280" i="10" s="1"/>
  <c r="N282" i="10"/>
  <c r="O232" i="10"/>
  <c r="O282" i="10" s="1"/>
  <c r="Z229" i="9"/>
  <c r="Z279" i="9" s="1"/>
  <c r="Z250" i="9"/>
  <c r="Z300" i="9" s="1"/>
  <c r="Z190" i="9"/>
  <c r="Z198" i="9"/>
  <c r="Z211" i="9"/>
  <c r="Z249" i="9"/>
  <c r="Z299" i="9" s="1"/>
  <c r="Z262" i="9"/>
  <c r="Z312" i="9" s="1"/>
  <c r="Z189" i="9"/>
  <c r="Z210" i="9"/>
  <c r="Z215" i="9"/>
  <c r="Z139" i="9"/>
  <c r="Z149" i="9"/>
  <c r="Z167" i="9"/>
  <c r="Z140" i="9"/>
  <c r="Z166" i="9"/>
  <c r="Z241" i="9"/>
  <c r="Z291" i="9" s="1"/>
  <c r="Z202" i="9"/>
  <c r="Z131" i="9"/>
  <c r="Z141" i="9"/>
  <c r="Z132" i="9"/>
  <c r="Z158" i="9"/>
  <c r="Z232" i="9"/>
  <c r="Z282" i="9" s="1"/>
  <c r="Z212" i="9"/>
  <c r="Z242" i="9"/>
  <c r="Z292" i="9" s="1"/>
  <c r="Z263" i="9"/>
  <c r="Z313" i="9" s="1"/>
  <c r="Z182" i="9"/>
  <c r="Z203" i="9"/>
  <c r="Z254" i="9"/>
  <c r="Z304" i="9" s="1"/>
  <c r="Z181" i="9"/>
  <c r="Z207" i="9"/>
  <c r="Z159" i="9"/>
  <c r="Z258" i="9"/>
  <c r="Z308" i="9" s="1"/>
  <c r="Z197" i="9"/>
  <c r="Z148" i="9"/>
  <c r="Z204" i="9"/>
  <c r="Z234" i="9"/>
  <c r="Z284" i="9" s="1"/>
  <c r="Z255" i="9"/>
  <c r="Z305" i="9" s="1"/>
  <c r="Z268" i="9"/>
  <c r="Z318" i="9" s="1"/>
  <c r="Z195" i="9"/>
  <c r="Z233" i="9"/>
  <c r="Z283" i="9" s="1"/>
  <c r="Z246" i="9"/>
  <c r="Z296" i="9" s="1"/>
  <c r="Z267" i="9"/>
  <c r="Z317" i="9" s="1"/>
  <c r="Z194" i="9"/>
  <c r="Z199" i="9"/>
  <c r="Z168" i="9"/>
  <c r="Z162" i="9"/>
  <c r="Z151" i="9"/>
  <c r="Z169" i="9"/>
  <c r="Z171" i="9" s="1"/>
  <c r="Z150" i="9"/>
  <c r="Z231" i="9"/>
  <c r="Z281" i="9" s="1"/>
  <c r="Z248" i="9"/>
  <c r="Z298" i="9" s="1"/>
  <c r="Z164" i="9"/>
  <c r="Z237" i="9"/>
  <c r="Z287" i="9" s="1"/>
  <c r="Z257" i="9"/>
  <c r="Z307" i="9" s="1"/>
  <c r="Z157" i="9"/>
  <c r="Z269" i="9"/>
  <c r="Z196" i="9"/>
  <c r="Z217" i="9"/>
  <c r="Z247" i="9"/>
  <c r="Z297" i="9" s="1"/>
  <c r="Z260" i="9"/>
  <c r="Z310" i="9" s="1"/>
  <c r="Z187" i="9"/>
  <c r="Z216" i="9"/>
  <c r="Z238" i="9"/>
  <c r="Z288" i="9" s="1"/>
  <c r="Z259" i="9"/>
  <c r="Z309" i="9" s="1"/>
  <c r="Z264" i="9"/>
  <c r="Z314" i="9" s="1"/>
  <c r="Z191" i="9"/>
  <c r="Z160" i="9"/>
  <c r="Z154" i="9"/>
  <c r="Z143" i="9"/>
  <c r="Z161" i="9"/>
  <c r="Z142" i="9"/>
  <c r="Z185" i="9"/>
  <c r="Z133" i="9"/>
  <c r="Z261" i="9"/>
  <c r="Z311" i="9" s="1"/>
  <c r="Z188" i="9"/>
  <c r="Z209" i="9"/>
  <c r="Z239" i="9"/>
  <c r="Z289" i="9" s="1"/>
  <c r="Z252" i="9"/>
  <c r="Z302" i="9" s="1"/>
  <c r="Z179" i="9"/>
  <c r="Z208" i="9"/>
  <c r="Z230" i="9"/>
  <c r="Z280" i="9" s="1"/>
  <c r="Z251" i="9"/>
  <c r="Z301" i="9" s="1"/>
  <c r="Z256" i="9"/>
  <c r="Z306" i="9" s="1"/>
  <c r="Z183" i="9"/>
  <c r="Z152" i="9"/>
  <c r="Z146" i="9"/>
  <c r="Z135" i="9"/>
  <c r="Z153" i="9"/>
  <c r="Z134" i="9"/>
  <c r="Z253" i="9"/>
  <c r="Z303" i="9" s="1"/>
  <c r="Z213" i="9"/>
  <c r="Z163" i="9"/>
  <c r="Z138" i="9"/>
  <c r="Z145" i="9"/>
  <c r="Z184" i="9"/>
  <c r="Z180" i="9"/>
  <c r="Z201" i="9"/>
  <c r="Z244" i="9"/>
  <c r="Z294" i="9" s="1"/>
  <c r="Z186" i="9"/>
  <c r="Z200" i="9"/>
  <c r="Z243" i="9"/>
  <c r="Z293" i="9" s="1"/>
  <c r="Z144" i="9"/>
  <c r="Z165" i="9"/>
  <c r="Z206" i="9"/>
  <c r="Z218" i="9"/>
  <c r="Z129" i="9"/>
  <c r="Z245" i="9"/>
  <c r="Z295" i="9" s="1"/>
  <c r="Z266" i="9"/>
  <c r="Z316" i="9" s="1"/>
  <c r="Z193" i="9"/>
  <c r="Z214" i="9"/>
  <c r="Z236" i="9"/>
  <c r="Z286" i="9" s="1"/>
  <c r="Z265" i="9"/>
  <c r="Z315" i="9" s="1"/>
  <c r="Z192" i="9"/>
  <c r="Z205" i="9"/>
  <c r="Z235" i="9"/>
  <c r="Z285" i="9" s="1"/>
  <c r="Z240" i="9"/>
  <c r="Z290" i="9" s="1"/>
  <c r="Z155" i="9"/>
  <c r="Z136" i="9"/>
  <c r="Z130" i="9"/>
  <c r="Z156" i="9"/>
  <c r="Z137" i="9"/>
  <c r="Z219" i="9"/>
  <c r="Z221" i="9" s="1"/>
  <c r="Z147" i="9"/>
  <c r="X264" i="9"/>
  <c r="X314" i="9" s="1"/>
  <c r="X191" i="9"/>
  <c r="X212" i="9"/>
  <c r="X242" i="9"/>
  <c r="X292" i="9" s="1"/>
  <c r="X247" i="9"/>
  <c r="X297" i="9" s="1"/>
  <c r="X181" i="9"/>
  <c r="X203" i="9"/>
  <c r="X233" i="9"/>
  <c r="X283" i="9" s="1"/>
  <c r="X246" i="9"/>
  <c r="X296" i="9" s="1"/>
  <c r="X259" i="9"/>
  <c r="X309" i="9" s="1"/>
  <c r="X186" i="9"/>
  <c r="X152" i="9"/>
  <c r="X149" i="9"/>
  <c r="X130" i="9"/>
  <c r="X143" i="9"/>
  <c r="X160" i="9"/>
  <c r="X207" i="9"/>
  <c r="X262" i="9"/>
  <c r="X312" i="9" s="1"/>
  <c r="X137" i="9"/>
  <c r="X256" i="9"/>
  <c r="X306" i="9" s="1"/>
  <c r="X183" i="9"/>
  <c r="X204" i="9"/>
  <c r="X234" i="9"/>
  <c r="X284" i="9" s="1"/>
  <c r="X239" i="9"/>
  <c r="X289" i="9" s="1"/>
  <c r="X268" i="9"/>
  <c r="X318" i="9" s="1"/>
  <c r="X195" i="9"/>
  <c r="X216" i="9"/>
  <c r="X238" i="9"/>
  <c r="X288" i="9" s="1"/>
  <c r="X251" i="9"/>
  <c r="X301" i="9" s="1"/>
  <c r="X185" i="9"/>
  <c r="X163" i="9"/>
  <c r="X141" i="9"/>
  <c r="X156" i="9"/>
  <c r="X135" i="9"/>
  <c r="X144" i="9"/>
  <c r="X258" i="9"/>
  <c r="X308" i="9" s="1"/>
  <c r="X202" i="9"/>
  <c r="X248" i="9"/>
  <c r="X298" i="9" s="1"/>
  <c r="X269" i="9"/>
  <c r="X196" i="9"/>
  <c r="X217" i="9"/>
  <c r="X231" i="9"/>
  <c r="X281" i="9" s="1"/>
  <c r="X260" i="9"/>
  <c r="X310" i="9" s="1"/>
  <c r="X187" i="9"/>
  <c r="X208" i="9"/>
  <c r="X230" i="9"/>
  <c r="X280" i="9" s="1"/>
  <c r="X243" i="9"/>
  <c r="X293" i="9" s="1"/>
  <c r="X166" i="9"/>
  <c r="X155" i="9"/>
  <c r="X133" i="9"/>
  <c r="X148" i="9"/>
  <c r="X169" i="9"/>
  <c r="X171" i="9" s="1"/>
  <c r="X136" i="9"/>
  <c r="X237" i="9"/>
  <c r="X287" i="9" s="1"/>
  <c r="X249" i="9"/>
  <c r="X299" i="9" s="1"/>
  <c r="X134" i="9"/>
  <c r="X240" i="9"/>
  <c r="X290" i="9" s="1"/>
  <c r="X261" i="9"/>
  <c r="X311" i="9" s="1"/>
  <c r="X188" i="9"/>
  <c r="X209" i="9"/>
  <c r="X214" i="9"/>
  <c r="X252" i="9"/>
  <c r="X302" i="9" s="1"/>
  <c r="X179" i="9"/>
  <c r="X200" i="9"/>
  <c r="X213" i="9"/>
  <c r="X235" i="9"/>
  <c r="X285" i="9" s="1"/>
  <c r="X158" i="9"/>
  <c r="X147" i="9"/>
  <c r="X164" i="9"/>
  <c r="X140" i="9"/>
  <c r="X161" i="9"/>
  <c r="X232" i="9"/>
  <c r="X282" i="9" s="1"/>
  <c r="X253" i="9"/>
  <c r="X303" i="9" s="1"/>
  <c r="X180" i="9"/>
  <c r="X201" i="9"/>
  <c r="X206" i="9"/>
  <c r="X244" i="9"/>
  <c r="X294" i="9" s="1"/>
  <c r="X265" i="9"/>
  <c r="X315" i="9" s="1"/>
  <c r="X192" i="9"/>
  <c r="X205" i="9"/>
  <c r="X218" i="9"/>
  <c r="X150" i="9"/>
  <c r="X139" i="9"/>
  <c r="X162" i="9"/>
  <c r="X132" i="9"/>
  <c r="X153" i="9"/>
  <c r="X219" i="9"/>
  <c r="X221" i="9" s="1"/>
  <c r="X159" i="9"/>
  <c r="X215" i="9"/>
  <c r="X245" i="9"/>
  <c r="X295" i="9" s="1"/>
  <c r="X266" i="9"/>
  <c r="X316" i="9" s="1"/>
  <c r="X193" i="9"/>
  <c r="X198" i="9"/>
  <c r="X236" i="9"/>
  <c r="X286" i="9" s="1"/>
  <c r="X257" i="9"/>
  <c r="X307" i="9" s="1"/>
  <c r="X184" i="9"/>
  <c r="X197" i="9"/>
  <c r="X210" i="9"/>
  <c r="X142" i="9"/>
  <c r="X131" i="9"/>
  <c r="X154" i="9"/>
  <c r="X167" i="9"/>
  <c r="X145" i="9"/>
  <c r="X190" i="9"/>
  <c r="X189" i="9"/>
  <c r="X146" i="9"/>
  <c r="X199" i="9"/>
  <c r="X229" i="9"/>
  <c r="X279" i="9" s="1"/>
  <c r="X250" i="9"/>
  <c r="X300" i="9" s="1"/>
  <c r="X255" i="9"/>
  <c r="X305" i="9" s="1"/>
  <c r="X182" i="9"/>
  <c r="X211" i="9"/>
  <c r="X241" i="9"/>
  <c r="X291" i="9" s="1"/>
  <c r="X254" i="9"/>
  <c r="X304" i="9" s="1"/>
  <c r="X267" i="9"/>
  <c r="X317" i="9" s="1"/>
  <c r="X194" i="9"/>
  <c r="X168" i="9"/>
  <c r="X157" i="9"/>
  <c r="X138" i="9"/>
  <c r="X151" i="9"/>
  <c r="X129" i="9"/>
  <c r="X263" i="9"/>
  <c r="X313" i="9" s="1"/>
  <c r="X165" i="9"/>
  <c r="M301" i="9"/>
  <c r="M284" i="9"/>
  <c r="M313" i="9"/>
  <c r="M316" i="9"/>
  <c r="M295" i="9"/>
  <c r="M296" i="9"/>
  <c r="M291" i="9"/>
  <c r="M288" i="9"/>
  <c r="M306" i="9"/>
  <c r="M287" i="9"/>
  <c r="M315" i="9"/>
  <c r="M298" i="9"/>
  <c r="M297" i="9"/>
  <c r="M281" i="9"/>
  <c r="M307" i="9"/>
  <c r="M303" i="9"/>
  <c r="M314" i="9"/>
  <c r="M304" i="9"/>
  <c r="M310" i="9"/>
  <c r="M302" i="9"/>
  <c r="M294" i="9"/>
  <c r="M290" i="9"/>
  <c r="M311" i="9"/>
  <c r="M305" i="9"/>
  <c r="M318" i="9"/>
  <c r="M292" i="9"/>
  <c r="M285" i="9"/>
  <c r="M280" i="9"/>
  <c r="M317" i="9"/>
  <c r="M282" i="9"/>
  <c r="M300" i="9"/>
  <c r="M308" i="9"/>
  <c r="M286" i="9"/>
  <c r="M309" i="9"/>
  <c r="M312" i="9"/>
  <c r="M293" i="9"/>
  <c r="M283" i="9"/>
  <c r="M289" i="9"/>
  <c r="M279" i="9"/>
  <c r="M299" i="9"/>
  <c r="N305" i="9"/>
  <c r="O255" i="9"/>
  <c r="N319" i="9"/>
  <c r="N321" i="9" s="1"/>
  <c r="O269" i="9"/>
  <c r="N271" i="9"/>
  <c r="N292" i="9"/>
  <c r="O242" i="9"/>
  <c r="N294" i="9"/>
  <c r="O244" i="9"/>
  <c r="N307" i="9"/>
  <c r="O257" i="9"/>
  <c r="O268" i="9"/>
  <c r="N318" i="9"/>
  <c r="N299" i="9"/>
  <c r="O249" i="9"/>
  <c r="N289" i="9"/>
  <c r="O239" i="9"/>
  <c r="N308" i="9"/>
  <c r="O258" i="9"/>
  <c r="N287" i="9"/>
  <c r="O237" i="9"/>
  <c r="O265" i="9"/>
  <c r="N315" i="9"/>
  <c r="O262" i="9"/>
  <c r="N312" i="9"/>
  <c r="O247" i="9"/>
  <c r="N297" i="9"/>
  <c r="N282" i="9"/>
  <c r="O232" i="9"/>
  <c r="N310" i="9"/>
  <c r="O260" i="9"/>
  <c r="N298" i="9"/>
  <c r="O248" i="9"/>
  <c r="O245" i="9"/>
  <c r="N295" i="9"/>
  <c r="N306" i="9"/>
  <c r="O256" i="9"/>
  <c r="O267" i="9"/>
  <c r="N317" i="9"/>
  <c r="N280" i="9"/>
  <c r="O230" i="9"/>
  <c r="O250" i="9"/>
  <c r="N300" i="9"/>
  <c r="N309" i="9"/>
  <c r="O259" i="9"/>
  <c r="N311" i="9"/>
  <c r="O261" i="9"/>
  <c r="N301" i="9"/>
  <c r="O251" i="9"/>
  <c r="N296" i="9"/>
  <c r="O246" i="9"/>
  <c r="O252" i="9"/>
  <c r="N302" i="9"/>
  <c r="N316" i="9"/>
  <c r="O266" i="9"/>
  <c r="O236" i="9"/>
  <c r="N286" i="9"/>
  <c r="N291" i="9"/>
  <c r="O241" i="9"/>
  <c r="O229" i="9"/>
  <c r="N279" i="9"/>
  <c r="N281" i="9"/>
  <c r="O231" i="9"/>
  <c r="O264" i="9"/>
  <c r="N314" i="9"/>
  <c r="M271" i="9"/>
  <c r="M319" i="9"/>
  <c r="M321" i="9" s="1"/>
  <c r="O240" i="9"/>
  <c r="N290" i="9"/>
  <c r="O234" i="9"/>
  <c r="N284" i="9"/>
  <c r="N304" i="9"/>
  <c r="O254" i="9"/>
  <c r="N313" i="9"/>
  <c r="O263" i="9"/>
  <c r="O169" i="9"/>
  <c r="O171" i="9" s="1"/>
  <c r="N171" i="9"/>
  <c r="N283" i="9"/>
  <c r="O233" i="9"/>
  <c r="O235" i="9"/>
  <c r="N285" i="9"/>
  <c r="N288" i="9"/>
  <c r="O238" i="9"/>
  <c r="N303" i="9"/>
  <c r="O253" i="9"/>
  <c r="O219" i="9"/>
  <c r="O221" i="9" s="1"/>
  <c r="N221" i="9"/>
  <c r="O243" i="9"/>
  <c r="N293" i="9"/>
  <c r="Z299" i="6"/>
  <c r="X121" i="6"/>
  <c r="X311" i="6"/>
  <c r="N71" i="6"/>
  <c r="O69" i="6"/>
  <c r="O71" i="6" s="1"/>
  <c r="O52" i="6"/>
  <c r="O302" i="6" s="1"/>
  <c r="N302" i="6"/>
  <c r="O50" i="6"/>
  <c r="O300" i="6" s="1"/>
  <c r="N300" i="6"/>
  <c r="O59" i="6"/>
  <c r="O309" i="6" s="1"/>
  <c r="N309" i="6"/>
  <c r="O44" i="6"/>
  <c r="O294" i="6" s="1"/>
  <c r="N294" i="6"/>
  <c r="O31" i="6"/>
  <c r="O281" i="6" s="1"/>
  <c r="N281" i="6"/>
  <c r="O35" i="6"/>
  <c r="O285" i="6" s="1"/>
  <c r="N285" i="6"/>
  <c r="O54" i="6"/>
  <c r="O304" i="6" s="1"/>
  <c r="N304" i="6"/>
  <c r="O40" i="6"/>
  <c r="O290" i="6" s="1"/>
  <c r="N290" i="6"/>
  <c r="M71" i="6"/>
  <c r="M319" i="6"/>
  <c r="M321" i="6" s="1"/>
  <c r="K71" i="6"/>
  <c r="K319" i="6"/>
  <c r="K321" i="6" s="1"/>
  <c r="O30" i="6"/>
  <c r="O280" i="6" s="1"/>
  <c r="N280" i="6"/>
  <c r="O63" i="6"/>
  <c r="O313" i="6" s="1"/>
  <c r="N313" i="6"/>
  <c r="O56" i="6"/>
  <c r="O306" i="6" s="1"/>
  <c r="N306" i="6"/>
  <c r="O41" i="6"/>
  <c r="O291" i="6" s="1"/>
  <c r="N291" i="6"/>
  <c r="O43" i="6"/>
  <c r="O293" i="6" s="1"/>
  <c r="N293" i="6"/>
  <c r="O33" i="6"/>
  <c r="O283" i="6" s="1"/>
  <c r="N283" i="6"/>
  <c r="O36" i="6"/>
  <c r="O286" i="6" s="1"/>
  <c r="N286" i="6"/>
  <c r="O55" i="6"/>
  <c r="O305" i="6" s="1"/>
  <c r="N305" i="6"/>
  <c r="O48" i="6"/>
  <c r="O298" i="6" s="1"/>
  <c r="N298" i="6"/>
  <c r="O42" i="6"/>
  <c r="O292" i="6" s="1"/>
  <c r="N292" i="6"/>
  <c r="O46" i="6"/>
  <c r="O296" i="6" s="1"/>
  <c r="N296" i="6"/>
  <c r="O61" i="6"/>
  <c r="O311" i="6" s="1"/>
  <c r="N311" i="6"/>
  <c r="O37" i="6"/>
  <c r="O287" i="6" s="1"/>
  <c r="N287" i="6"/>
  <c r="O66" i="6"/>
  <c r="O316" i="6" s="1"/>
  <c r="N316" i="6"/>
  <c r="O45" i="6"/>
  <c r="O295" i="6" s="1"/>
  <c r="N295" i="6"/>
  <c r="O65" i="6"/>
  <c r="O315" i="6" s="1"/>
  <c r="N315" i="6"/>
  <c r="O49" i="6"/>
  <c r="O299" i="6" s="1"/>
  <c r="N299" i="6"/>
  <c r="O47" i="6"/>
  <c r="O297" i="6" s="1"/>
  <c r="N297" i="6"/>
  <c r="O39" i="6"/>
  <c r="O289" i="6" s="1"/>
  <c r="N289" i="6"/>
  <c r="O34" i="6"/>
  <c r="O284" i="6" s="1"/>
  <c r="N284" i="6"/>
  <c r="O62" i="6"/>
  <c r="O312" i="6" s="1"/>
  <c r="N312" i="6"/>
  <c r="O60" i="6"/>
  <c r="O310" i="6" s="1"/>
  <c r="N310" i="6"/>
  <c r="O64" i="6"/>
  <c r="O314" i="6" s="1"/>
  <c r="N314" i="6"/>
  <c r="O53" i="6"/>
  <c r="O303" i="6" s="1"/>
  <c r="N303" i="6"/>
  <c r="O38" i="6"/>
  <c r="O288" i="6" s="1"/>
  <c r="N288" i="6"/>
  <c r="O67" i="6"/>
  <c r="O317" i="6" s="1"/>
  <c r="N317" i="6"/>
  <c r="O68" i="6"/>
  <c r="O318" i="6" s="1"/>
  <c r="N318" i="6"/>
  <c r="O57" i="6"/>
  <c r="O307" i="6" s="1"/>
  <c r="N307" i="6"/>
  <c r="O51" i="6"/>
  <c r="O301" i="6" s="1"/>
  <c r="N301" i="6"/>
  <c r="O58" i="6"/>
  <c r="O308" i="6" s="1"/>
  <c r="N308" i="6"/>
  <c r="O32" i="6"/>
  <c r="O282" i="6" s="1"/>
  <c r="N282" i="6"/>
  <c r="O29" i="6"/>
  <c r="O279" i="6" s="1"/>
  <c r="N279" i="6"/>
  <c r="N121" i="6"/>
  <c r="O119" i="6"/>
  <c r="O121" i="6" s="1"/>
  <c r="H60" i="5"/>
  <c r="I60" i="5" s="1"/>
  <c r="J60" i="5" s="1"/>
  <c r="G60" i="5"/>
  <c r="G59" i="5"/>
  <c r="H59" i="5" s="1"/>
  <c r="I59" i="5" s="1"/>
  <c r="J59" i="5" s="1"/>
  <c r="E54" i="5"/>
  <c r="X319" i="6" l="1"/>
  <c r="X321" i="6" s="1"/>
  <c r="Z319" i="6"/>
  <c r="Z321" i="6" s="1"/>
  <c r="G14" i="13" a="1"/>
  <c r="G14" i="13" s="1"/>
  <c r="G12" i="13" a="1"/>
  <c r="G12" i="13" s="1"/>
  <c r="G13" i="13" a="1"/>
  <c r="G13" i="13" s="1"/>
  <c r="I24" i="13"/>
  <c r="I25" i="13" s="1"/>
  <c r="I17" i="13" s="1"/>
  <c r="I27" i="14" s="1"/>
  <c r="I69" i="14" s="1"/>
  <c r="H24" i="13"/>
  <c r="H25" i="13" s="1"/>
  <c r="H17" i="13" s="1"/>
  <c r="H27" i="14" s="1"/>
  <c r="H69" i="14" s="1"/>
  <c r="X312" i="12"/>
  <c r="X302" i="12"/>
  <c r="X293" i="12"/>
  <c r="X282" i="12"/>
  <c r="X292" i="12"/>
  <c r="X311" i="12"/>
  <c r="X304" i="12"/>
  <c r="X291" i="12"/>
  <c r="X281" i="12"/>
  <c r="X297" i="12"/>
  <c r="X313" i="12"/>
  <c r="X305" i="12"/>
  <c r="X283" i="12"/>
  <c r="X318" i="12"/>
  <c r="X310" i="12"/>
  <c r="X303" i="12"/>
  <c r="X288" i="12"/>
  <c r="X280" i="12"/>
  <c r="X317" i="12"/>
  <c r="X309" i="12"/>
  <c r="X299" i="12"/>
  <c r="X287" i="12"/>
  <c r="X290" i="12"/>
  <c r="X295" i="12"/>
  <c r="X294" i="12"/>
  <c r="X316" i="12"/>
  <c r="X308" i="12"/>
  <c r="X300" i="12"/>
  <c r="X286" i="12"/>
  <c r="X289" i="12"/>
  <c r="X315" i="12"/>
  <c r="X307" i="12"/>
  <c r="X298" i="12"/>
  <c r="X285" i="12"/>
  <c r="X279" i="12"/>
  <c r="X314" i="12"/>
  <c r="X306" i="12"/>
  <c r="X301" i="12"/>
  <c r="X284" i="12"/>
  <c r="X296" i="12"/>
  <c r="Z319" i="12"/>
  <c r="O319" i="10"/>
  <c r="O321" i="10" s="1"/>
  <c r="O271" i="10"/>
  <c r="Z271" i="9"/>
  <c r="Z319" i="9"/>
  <c r="X271" i="9"/>
  <c r="X319" i="9"/>
  <c r="O282" i="9"/>
  <c r="O290" i="9"/>
  <c r="O291" i="9"/>
  <c r="O300" i="9"/>
  <c r="O295" i="9"/>
  <c r="O297" i="9"/>
  <c r="O305" i="9"/>
  <c r="O306" i="9"/>
  <c r="O279" i="9"/>
  <c r="O313" i="9"/>
  <c r="O304" i="9"/>
  <c r="O301" i="9"/>
  <c r="O280" i="9"/>
  <c r="O298" i="9"/>
  <c r="O289" i="9"/>
  <c r="O294" i="9"/>
  <c r="O284" i="9"/>
  <c r="O317" i="9"/>
  <c r="O287" i="9"/>
  <c r="O302" i="9"/>
  <c r="O288" i="9"/>
  <c r="O296" i="9"/>
  <c r="O308" i="9"/>
  <c r="O293" i="9"/>
  <c r="O285" i="9"/>
  <c r="O314" i="9"/>
  <c r="O286" i="9"/>
  <c r="O312" i="9"/>
  <c r="O315" i="9"/>
  <c r="O303" i="9"/>
  <c r="O309" i="9"/>
  <c r="O318" i="9"/>
  <c r="O307" i="9"/>
  <c r="O283" i="9"/>
  <c r="O281" i="9"/>
  <c r="O316" i="9"/>
  <c r="O311" i="9"/>
  <c r="O310" i="9"/>
  <c r="O299" i="9"/>
  <c r="O292" i="9"/>
  <c r="O319" i="9"/>
  <c r="O321" i="9" s="1"/>
  <c r="O271" i="9"/>
  <c r="O319" i="6"/>
  <c r="O321" i="6" s="1"/>
  <c r="K60" i="5"/>
  <c r="F60" i="5"/>
  <c r="F59" i="5"/>
  <c r="S14" i="4" s="1" a="1"/>
  <c r="L46" i="5"/>
  <c r="L47" i="5" s="1"/>
  <c r="K46" i="5"/>
  <c r="K47" i="5" s="1"/>
  <c r="F46" i="5"/>
  <c r="F47" i="5" s="1"/>
  <c r="G46" i="5"/>
  <c r="G47" i="5" s="1"/>
  <c r="J41" i="5"/>
  <c r="H41" i="5"/>
  <c r="F41" i="5"/>
  <c r="J45" i="5"/>
  <c r="I45" i="5"/>
  <c r="H45" i="5"/>
  <c r="G45" i="5"/>
  <c r="F45" i="5"/>
  <c r="E45" i="5"/>
  <c r="E46" i="5" s="1"/>
  <c r="E47" i="5" s="1"/>
  <c r="J44" i="5"/>
  <c r="J46" i="5" s="1"/>
  <c r="J47" i="5" s="1"/>
  <c r="I44" i="5"/>
  <c r="I46" i="5" s="1"/>
  <c r="I47" i="5" s="1"/>
  <c r="H44" i="5"/>
  <c r="H46" i="5" s="1"/>
  <c r="H47" i="5" s="1"/>
  <c r="G44" i="5"/>
  <c r="F44" i="5"/>
  <c r="E44" i="5"/>
  <c r="AV27" i="14" l="1"/>
  <c r="AX27" i="14" s="1"/>
  <c r="G15" i="13"/>
  <c r="H14" i="13" a="1"/>
  <c r="H14" i="13" s="1"/>
  <c r="I14" i="13" a="1"/>
  <c r="I14" i="13" s="1"/>
  <c r="H13" i="13" a="1"/>
  <c r="H13" i="13" s="1"/>
  <c r="I13" i="13" a="1"/>
  <c r="I13" i="13" s="1"/>
  <c r="H12" i="13" a="1"/>
  <c r="H12" i="13" s="1"/>
  <c r="I12" i="13" a="1"/>
  <c r="I12" i="13" s="1"/>
  <c r="X319" i="12"/>
  <c r="S14" i="4"/>
  <c r="U14" i="4"/>
  <c r="T14" i="4"/>
  <c r="K59" i="5"/>
  <c r="K33" i="5"/>
  <c r="K32" i="5"/>
  <c r="K31" i="5"/>
  <c r="F33" i="5"/>
  <c r="F32" i="5"/>
  <c r="G32" i="5" s="1"/>
  <c r="H32" i="5" s="1"/>
  <c r="F31" i="5"/>
  <c r="G31" i="5" s="1"/>
  <c r="H31" i="5" s="1"/>
  <c r="I19" i="5"/>
  <c r="I24" i="5" s="1"/>
  <c r="H19" i="5"/>
  <c r="H24" i="5" s="1"/>
  <c r="G19" i="5"/>
  <c r="F19" i="5"/>
  <c r="I15" i="5"/>
  <c r="H15" i="5"/>
  <c r="G15" i="5"/>
  <c r="F15" i="5"/>
  <c r="I15" i="13" l="1"/>
  <c r="H15" i="13"/>
  <c r="S16" i="4" a="1"/>
  <c r="F34" i="5"/>
  <c r="F20" i="5"/>
  <c r="I20" i="5"/>
  <c r="I22" i="5" s="1"/>
  <c r="Y17" i="6" s="1"/>
  <c r="G33" i="5"/>
  <c r="G37" i="5" s="1"/>
  <c r="G20" i="5"/>
  <c r="G34" i="5"/>
  <c r="G36" i="5"/>
  <c r="H20" i="5"/>
  <c r="H22" i="5" s="1"/>
  <c r="I9" i="5"/>
  <c r="I8" i="5"/>
  <c r="I7" i="5"/>
  <c r="F9" i="5"/>
  <c r="F8" i="5"/>
  <c r="F7" i="5"/>
  <c r="H27" i="5"/>
  <c r="H34" i="5" l="1"/>
  <c r="Y20" i="6" s="1"/>
  <c r="Y19" i="6"/>
  <c r="S16" i="4"/>
  <c r="U16" i="4"/>
  <c r="T16" i="4"/>
  <c r="T19" i="4"/>
  <c r="S19" i="4"/>
  <c r="H36" i="5"/>
  <c r="R21" i="4" s="1"/>
  <c r="R19" i="4"/>
  <c r="H33" i="5"/>
  <c r="H37" i="5" s="1"/>
  <c r="I27" i="5"/>
  <c r="K27" i="5" s="1"/>
  <c r="AB62" i="4"/>
  <c r="AA62" i="4"/>
  <c r="AB61" i="4"/>
  <c r="AA61" i="4"/>
  <c r="Z62" i="4"/>
  <c r="Y62" i="4"/>
  <c r="Z61" i="4"/>
  <c r="Y61" i="4"/>
  <c r="X62" i="4"/>
  <c r="W62" i="4"/>
  <c r="X61" i="4"/>
  <c r="W61" i="4"/>
  <c r="V62" i="4"/>
  <c r="U62" i="4"/>
  <c r="V61" i="4"/>
  <c r="U61" i="4"/>
  <c r="T62" i="4"/>
  <c r="S62" i="4"/>
  <c r="T61" i="4"/>
  <c r="S61" i="4"/>
  <c r="R62" i="4"/>
  <c r="R61" i="4"/>
  <c r="Q62" i="4"/>
  <c r="Q61" i="4"/>
  <c r="N48" i="4"/>
  <c r="N47" i="4"/>
  <c r="N46" i="4"/>
  <c r="N45" i="4"/>
  <c r="N44" i="4"/>
  <c r="P43" i="4"/>
  <c r="AO8" i="12" l="1"/>
  <c r="AO8" i="10"/>
  <c r="AO7" i="12"/>
  <c r="AO7" i="10"/>
  <c r="AO10" i="12"/>
  <c r="AO10" i="10"/>
  <c r="AO9" i="12"/>
  <c r="AO9" i="10"/>
  <c r="AO11" i="12"/>
  <c r="AO11" i="10"/>
  <c r="AO7" i="6"/>
  <c r="AQ7" i="6" s="1"/>
  <c r="AO7" i="9"/>
  <c r="AO8" i="6"/>
  <c r="AQ8" i="6" s="1"/>
  <c r="AO8" i="9"/>
  <c r="AO10" i="6"/>
  <c r="AQ10" i="6" s="1"/>
  <c r="AO10" i="9"/>
  <c r="AO9" i="6"/>
  <c r="AQ9" i="6" s="1"/>
  <c r="AO9" i="9"/>
  <c r="AO11" i="6"/>
  <c r="AQ11" i="6" s="1"/>
  <c r="AO11" i="9"/>
  <c r="Y21" i="6"/>
  <c r="R20" i="4"/>
  <c r="T21" i="4"/>
  <c r="S21" i="4"/>
  <c r="G64" i="5"/>
  <c r="H65" i="5"/>
  <c r="AU11" i="9" s="1"/>
  <c r="H64" i="5"/>
  <c r="AU11" i="10" s="1"/>
  <c r="G65" i="5"/>
  <c r="F65" i="5"/>
  <c r="F64" i="5"/>
  <c r="B2" i="4"/>
  <c r="AU9" i="10" l="1"/>
  <c r="AU9" i="12"/>
  <c r="AU10" i="12"/>
  <c r="AU10" i="10"/>
  <c r="AU11" i="12"/>
  <c r="AU10" i="9"/>
  <c r="AU9" i="9"/>
  <c r="G51" i="6"/>
  <c r="Y51" i="6" s="1"/>
  <c r="G29" i="6"/>
  <c r="G44" i="6"/>
  <c r="G32" i="6"/>
  <c r="G62" i="6"/>
  <c r="G64" i="6"/>
  <c r="G34" i="6"/>
  <c r="G38" i="6"/>
  <c r="G69" i="6"/>
  <c r="G49" i="6"/>
  <c r="G66" i="6"/>
  <c r="G58" i="6"/>
  <c r="G57" i="6"/>
  <c r="G56" i="6"/>
  <c r="G45" i="6"/>
  <c r="G31" i="6"/>
  <c r="G40" i="6"/>
  <c r="G59" i="6"/>
  <c r="G63" i="6"/>
  <c r="G35" i="6"/>
  <c r="G46" i="6"/>
  <c r="G42" i="6"/>
  <c r="G36" i="6"/>
  <c r="G61" i="6"/>
  <c r="G43" i="6"/>
  <c r="G39" i="6"/>
  <c r="G68" i="6"/>
  <c r="G60" i="6"/>
  <c r="G48" i="6"/>
  <c r="G41" i="6"/>
  <c r="G72" i="6"/>
  <c r="G55" i="6"/>
  <c r="G37" i="6"/>
  <c r="G65" i="6"/>
  <c r="G50" i="6"/>
  <c r="G52" i="6"/>
  <c r="G122" i="6"/>
  <c r="G30" i="6"/>
  <c r="G53" i="6"/>
  <c r="AY7" i="6"/>
  <c r="G67" i="6"/>
  <c r="G33" i="6"/>
  <c r="G54" i="6"/>
  <c r="G47" i="6"/>
  <c r="G115" i="6"/>
  <c r="G115" i="11" s="1"/>
  <c r="G99" i="6"/>
  <c r="G99" i="11" s="1"/>
  <c r="G83" i="6"/>
  <c r="G83" i="11" s="1"/>
  <c r="G106" i="6"/>
  <c r="G106" i="11" s="1"/>
  <c r="G90" i="6"/>
  <c r="G90" i="11" s="1"/>
  <c r="G80" i="6"/>
  <c r="G80" i="11" s="1"/>
  <c r="G94" i="6"/>
  <c r="G94" i="11" s="1"/>
  <c r="G92" i="6"/>
  <c r="G92" i="11" s="1"/>
  <c r="G113" i="6"/>
  <c r="G113" i="11" s="1"/>
  <c r="G97" i="6"/>
  <c r="G97" i="11" s="1"/>
  <c r="G81" i="6"/>
  <c r="G81" i="11" s="1"/>
  <c r="G104" i="6"/>
  <c r="G104" i="11" s="1"/>
  <c r="G88" i="6"/>
  <c r="G88" i="11" s="1"/>
  <c r="G93" i="6"/>
  <c r="G93" i="11" s="1"/>
  <c r="G100" i="6"/>
  <c r="G100" i="11" s="1"/>
  <c r="G112" i="6"/>
  <c r="G112" i="11" s="1"/>
  <c r="G103" i="6"/>
  <c r="G103" i="11" s="1"/>
  <c r="G117" i="6"/>
  <c r="G117" i="11" s="1"/>
  <c r="G85" i="6"/>
  <c r="G85" i="11" s="1"/>
  <c r="G111" i="6"/>
  <c r="G111" i="11" s="1"/>
  <c r="G95" i="6"/>
  <c r="G95" i="11" s="1"/>
  <c r="G118" i="6"/>
  <c r="G118" i="11" s="1"/>
  <c r="G102" i="6"/>
  <c r="G102" i="11" s="1"/>
  <c r="G86" i="6"/>
  <c r="G86" i="11" s="1"/>
  <c r="AY8" i="6"/>
  <c r="G109" i="6"/>
  <c r="G109" i="11" s="1"/>
  <c r="G116" i="6"/>
  <c r="G116" i="11" s="1"/>
  <c r="G84" i="6"/>
  <c r="G84" i="11" s="1"/>
  <c r="G87" i="6"/>
  <c r="G87" i="11" s="1"/>
  <c r="G101" i="6"/>
  <c r="G101" i="11" s="1"/>
  <c r="G107" i="6"/>
  <c r="G107" i="11" s="1"/>
  <c r="G91" i="6"/>
  <c r="G91" i="11" s="1"/>
  <c r="G114" i="6"/>
  <c r="G114" i="11" s="1"/>
  <c r="G98" i="6"/>
  <c r="G98" i="11" s="1"/>
  <c r="G82" i="6"/>
  <c r="G82" i="11" s="1"/>
  <c r="G79" i="6"/>
  <c r="G79" i="11" s="1"/>
  <c r="G105" i="6"/>
  <c r="G105" i="11" s="1"/>
  <c r="G89" i="6"/>
  <c r="G89" i="11" s="1"/>
  <c r="G96" i="6"/>
  <c r="G96" i="11" s="1"/>
  <c r="G119" i="6"/>
  <c r="G119" i="11" s="1"/>
  <c r="G110" i="6"/>
  <c r="G110" i="11" s="1"/>
  <c r="G108" i="6"/>
  <c r="G108" i="11" s="1"/>
  <c r="H67" i="5"/>
  <c r="S20" i="4"/>
  <c r="T20" i="4"/>
  <c r="F67" i="5"/>
  <c r="G67" i="5"/>
  <c r="AU12" i="10" l="1"/>
  <c r="AU12" i="12"/>
  <c r="AU12" i="9"/>
  <c r="W51" i="6"/>
  <c r="AA51" i="6"/>
  <c r="G120" i="11"/>
  <c r="W56" i="6"/>
  <c r="Y48" i="6"/>
  <c r="W58" i="6"/>
  <c r="W53" i="6"/>
  <c r="W36" i="6"/>
  <c r="Y34" i="6"/>
  <c r="AA31" i="6"/>
  <c r="W30" i="6"/>
  <c r="W41" i="6"/>
  <c r="W42" i="6"/>
  <c r="AA56" i="6"/>
  <c r="Y64" i="6"/>
  <c r="W48" i="6"/>
  <c r="W46" i="6"/>
  <c r="W57" i="6"/>
  <c r="AA29" i="6"/>
  <c r="AA47" i="6"/>
  <c r="W52" i="6"/>
  <c r="AA60" i="6"/>
  <c r="Y35" i="6"/>
  <c r="AA58" i="6"/>
  <c r="W62" i="6"/>
  <c r="Y55" i="6"/>
  <c r="W38" i="6"/>
  <c r="W54" i="6"/>
  <c r="AA50" i="6"/>
  <c r="AA68" i="6"/>
  <c r="Y63" i="6"/>
  <c r="W66" i="6"/>
  <c r="W32" i="6"/>
  <c r="W61" i="6"/>
  <c r="G315" i="6"/>
  <c r="AA33" i="6"/>
  <c r="W65" i="6"/>
  <c r="W39" i="6"/>
  <c r="W59" i="6"/>
  <c r="W49" i="6"/>
  <c r="AA44" i="6"/>
  <c r="W67" i="6"/>
  <c r="W37" i="6"/>
  <c r="W43" i="6"/>
  <c r="W40" i="6"/>
  <c r="W69" i="6"/>
  <c r="AA48" i="6"/>
  <c r="G312" i="6"/>
  <c r="W35" i="6"/>
  <c r="Y58" i="6"/>
  <c r="AA35" i="6"/>
  <c r="Y39" i="6"/>
  <c r="AA64" i="6"/>
  <c r="W63" i="6"/>
  <c r="AA63" i="6"/>
  <c r="Y50" i="6"/>
  <c r="W64" i="6"/>
  <c r="G314" i="6"/>
  <c r="G307" i="6"/>
  <c r="AE30" i="6"/>
  <c r="AA39" i="6"/>
  <c r="G298" i="6"/>
  <c r="AA30" i="6"/>
  <c r="W50" i="6"/>
  <c r="G282" i="6"/>
  <c r="Y30" i="6"/>
  <c r="G291" i="6"/>
  <c r="G292" i="6"/>
  <c r="G306" i="6"/>
  <c r="Y42" i="6"/>
  <c r="G313" i="6"/>
  <c r="W29" i="6"/>
  <c r="AA57" i="6"/>
  <c r="Y46" i="6"/>
  <c r="AA46" i="6"/>
  <c r="Y29" i="6"/>
  <c r="AA52" i="6"/>
  <c r="G308" i="6"/>
  <c r="G310" i="6"/>
  <c r="AA32" i="6"/>
  <c r="AE50" i="6"/>
  <c r="Y32" i="6"/>
  <c r="G300" i="6"/>
  <c r="G318" i="6"/>
  <c r="W68" i="6"/>
  <c r="AA53" i="6"/>
  <c r="Y53" i="6"/>
  <c r="AE58" i="6"/>
  <c r="AE39" i="6"/>
  <c r="Y52" i="6"/>
  <c r="G302" i="6"/>
  <c r="AA62" i="6"/>
  <c r="Y59" i="6"/>
  <c r="AE55" i="6"/>
  <c r="AA49" i="6"/>
  <c r="Y57" i="6"/>
  <c r="AE53" i="6"/>
  <c r="AE52" i="6"/>
  <c r="G303" i="6"/>
  <c r="AE63" i="6"/>
  <c r="AE48" i="6"/>
  <c r="AE64" i="6"/>
  <c r="AE51" i="6"/>
  <c r="AE35" i="6"/>
  <c r="G309" i="6"/>
  <c r="Y49" i="6"/>
  <c r="Y65" i="6"/>
  <c r="W44" i="6"/>
  <c r="AA65" i="6"/>
  <c r="AE65" i="6"/>
  <c r="AA55" i="6"/>
  <c r="G288" i="6"/>
  <c r="W55" i="6"/>
  <c r="AA61" i="6"/>
  <c r="Y61" i="6"/>
  <c r="AY12" i="6"/>
  <c r="Y31" i="6"/>
  <c r="W31" i="6"/>
  <c r="AA41" i="6"/>
  <c r="Y41" i="6"/>
  <c r="Y44" i="6"/>
  <c r="AA42" i="6"/>
  <c r="AE44" i="6"/>
  <c r="AA59" i="6"/>
  <c r="Y56" i="6"/>
  <c r="W60" i="6"/>
  <c r="AA67" i="6"/>
  <c r="AE31" i="6"/>
  <c r="Y38" i="6"/>
  <c r="AA38" i="6"/>
  <c r="AE69" i="6"/>
  <c r="Y40" i="6"/>
  <c r="AA37" i="6"/>
  <c r="Y67" i="6"/>
  <c r="Y43" i="6"/>
  <c r="AA40" i="6"/>
  <c r="Y37" i="6"/>
  <c r="AE67" i="6"/>
  <c r="AA43" i="6"/>
  <c r="AE37" i="6"/>
  <c r="G319" i="6"/>
  <c r="AE57" i="6"/>
  <c r="AE40" i="6"/>
  <c r="Y69" i="6"/>
  <c r="AA69" i="6"/>
  <c r="G290" i="6"/>
  <c r="W47" i="6"/>
  <c r="AE34" i="6"/>
  <c r="Y60" i="6"/>
  <c r="G297" i="6"/>
  <c r="AE47" i="6"/>
  <c r="AE61" i="6"/>
  <c r="AE41" i="6"/>
  <c r="AE45" i="6"/>
  <c r="AE32" i="6"/>
  <c r="Y62" i="6"/>
  <c r="AE62" i="6"/>
  <c r="AE43" i="6"/>
  <c r="W45" i="6"/>
  <c r="AE54" i="6"/>
  <c r="AE66" i="6"/>
  <c r="Y47" i="6"/>
  <c r="AE42" i="6"/>
  <c r="AE36" i="6"/>
  <c r="AE59" i="6"/>
  <c r="Y68" i="6"/>
  <c r="AA34" i="6"/>
  <c r="Y54" i="6"/>
  <c r="AE68" i="6"/>
  <c r="AE29" i="6"/>
  <c r="W34" i="6"/>
  <c r="AE38" i="6"/>
  <c r="AE46" i="6"/>
  <c r="AA54" i="6"/>
  <c r="AA66" i="6"/>
  <c r="Y36" i="6"/>
  <c r="AA45" i="6"/>
  <c r="Y66" i="6"/>
  <c r="AA36" i="6"/>
  <c r="Y45" i="6"/>
  <c r="AE33" i="6"/>
  <c r="AE49" i="6"/>
  <c r="AE56" i="6"/>
  <c r="AE60" i="6"/>
  <c r="Y33" i="6"/>
  <c r="W33" i="6"/>
  <c r="G70" i="6"/>
  <c r="G71" i="6" s="1"/>
  <c r="AE101" i="6"/>
  <c r="AE101" i="11" s="1"/>
  <c r="W101" i="6"/>
  <c r="W101" i="11" s="1"/>
  <c r="V101" i="11" s="1"/>
  <c r="AA101" i="6"/>
  <c r="AA101" i="11" s="1"/>
  <c r="Z101" i="11" s="1"/>
  <c r="Y101" i="6"/>
  <c r="Y101" i="11" s="1"/>
  <c r="X101" i="11" s="1"/>
  <c r="AE105" i="6"/>
  <c r="AE105" i="11" s="1"/>
  <c r="W105" i="6"/>
  <c r="W105" i="11" s="1"/>
  <c r="V105" i="11" s="1"/>
  <c r="AA105" i="6"/>
  <c r="AA105" i="11" s="1"/>
  <c r="Z105" i="11" s="1"/>
  <c r="Y105" i="6"/>
  <c r="Y105" i="11" s="1"/>
  <c r="X105" i="11" s="1"/>
  <c r="AE118" i="6"/>
  <c r="AE118" i="11" s="1"/>
  <c r="W118" i="6"/>
  <c r="W118" i="11" s="1"/>
  <c r="V118" i="11" s="1"/>
  <c r="Y118" i="6"/>
  <c r="Y118" i="11" s="1"/>
  <c r="X118" i="11" s="1"/>
  <c r="AA118" i="6"/>
  <c r="AA118" i="11" s="1"/>
  <c r="Z118" i="11" s="1"/>
  <c r="AE88" i="6"/>
  <c r="AE88" i="11" s="1"/>
  <c r="W88" i="6"/>
  <c r="W88" i="11" s="1"/>
  <c r="V88" i="11" s="1"/>
  <c r="AA88" i="6"/>
  <c r="AA88" i="11" s="1"/>
  <c r="Z88" i="11" s="1"/>
  <c r="Y88" i="6"/>
  <c r="Y88" i="11" s="1"/>
  <c r="X88" i="11" s="1"/>
  <c r="G305" i="6"/>
  <c r="AE79" i="6"/>
  <c r="AE79" i="11" s="1"/>
  <c r="G120" i="6"/>
  <c r="G121" i="6" s="1"/>
  <c r="G121" i="11" s="1"/>
  <c r="W79" i="6"/>
  <c r="W79" i="11" s="1"/>
  <c r="Y79" i="6"/>
  <c r="Y79" i="11" s="1"/>
  <c r="AA79" i="6"/>
  <c r="AA79" i="11" s="1"/>
  <c r="G279" i="6"/>
  <c r="AE84" i="6"/>
  <c r="AE84" i="11" s="1"/>
  <c r="W84" i="6"/>
  <c r="W84" i="11" s="1"/>
  <c r="V84" i="11" s="1"/>
  <c r="AA84" i="6"/>
  <c r="AA84" i="11" s="1"/>
  <c r="Z84" i="11" s="1"/>
  <c r="Y84" i="6"/>
  <c r="Y84" i="11" s="1"/>
  <c r="X84" i="11" s="1"/>
  <c r="G284" i="6"/>
  <c r="AE111" i="6"/>
  <c r="AE111" i="11" s="1"/>
  <c r="W111" i="6"/>
  <c r="W111" i="11" s="1"/>
  <c r="V111" i="11" s="1"/>
  <c r="Y111" i="6"/>
  <c r="Y111" i="11" s="1"/>
  <c r="X111" i="11" s="1"/>
  <c r="AA111" i="6"/>
  <c r="AA111" i="11" s="1"/>
  <c r="Z111" i="11" s="1"/>
  <c r="G311" i="6"/>
  <c r="AE104" i="6"/>
  <c r="AE104" i="11" s="1"/>
  <c r="W104" i="6"/>
  <c r="W104" i="11" s="1"/>
  <c r="V104" i="11" s="1"/>
  <c r="AA104" i="6"/>
  <c r="AA104" i="11" s="1"/>
  <c r="Z104" i="11" s="1"/>
  <c r="Y104" i="6"/>
  <c r="Y104" i="11" s="1"/>
  <c r="X104" i="11" s="1"/>
  <c r="AE106" i="6"/>
  <c r="AE106" i="11" s="1"/>
  <c r="W106" i="6"/>
  <c r="W106" i="11" s="1"/>
  <c r="V106" i="11" s="1"/>
  <c r="Y106" i="6"/>
  <c r="Y106" i="11" s="1"/>
  <c r="X106" i="11" s="1"/>
  <c r="AA106" i="6"/>
  <c r="AA106" i="11" s="1"/>
  <c r="Z106" i="11" s="1"/>
  <c r="G304" i="6"/>
  <c r="AE93" i="6"/>
  <c r="AE93" i="11" s="1"/>
  <c r="W93" i="6"/>
  <c r="W93" i="11" s="1"/>
  <c r="V93" i="11" s="1"/>
  <c r="Y93" i="6"/>
  <c r="Y93" i="11" s="1"/>
  <c r="X93" i="11" s="1"/>
  <c r="AA93" i="6"/>
  <c r="AA93" i="11" s="1"/>
  <c r="Z93" i="11" s="1"/>
  <c r="G293" i="6"/>
  <c r="AE95" i="6"/>
  <c r="AE95" i="11" s="1"/>
  <c r="W95" i="6"/>
  <c r="W95" i="11" s="1"/>
  <c r="V95" i="11" s="1"/>
  <c r="AA95" i="6"/>
  <c r="AA95" i="11" s="1"/>
  <c r="Z95" i="11" s="1"/>
  <c r="Y95" i="6"/>
  <c r="Y95" i="11" s="1"/>
  <c r="X95" i="11" s="1"/>
  <c r="G295" i="6"/>
  <c r="AE89" i="6"/>
  <c r="AE89" i="11" s="1"/>
  <c r="W89" i="6"/>
  <c r="W89" i="11" s="1"/>
  <c r="V89" i="11" s="1"/>
  <c r="Y89" i="6"/>
  <c r="Y89" i="11" s="1"/>
  <c r="X89" i="11" s="1"/>
  <c r="AA89" i="6"/>
  <c r="AA89" i="11" s="1"/>
  <c r="Z89" i="11" s="1"/>
  <c r="G289" i="6"/>
  <c r="AE80" i="6"/>
  <c r="AE80" i="11" s="1"/>
  <c r="W80" i="6"/>
  <c r="W80" i="11" s="1"/>
  <c r="V80" i="11" s="1"/>
  <c r="Y80" i="6"/>
  <c r="Y80" i="11" s="1"/>
  <c r="X80" i="11" s="1"/>
  <c r="AA80" i="6"/>
  <c r="AA80" i="11" s="1"/>
  <c r="Z80" i="11" s="1"/>
  <c r="G280" i="6"/>
  <c r="G301" i="6"/>
  <c r="AE87" i="6"/>
  <c r="AE87" i="11" s="1"/>
  <c r="W87" i="6"/>
  <c r="W87" i="11" s="1"/>
  <c r="V87" i="11" s="1"/>
  <c r="AA87" i="6"/>
  <c r="AA87" i="11" s="1"/>
  <c r="Z87" i="11" s="1"/>
  <c r="Y87" i="6"/>
  <c r="Y87" i="11" s="1"/>
  <c r="X87" i="11" s="1"/>
  <c r="G287" i="6"/>
  <c r="AE90" i="6"/>
  <c r="AE90" i="11" s="1"/>
  <c r="W90" i="6"/>
  <c r="W90" i="11" s="1"/>
  <c r="V90" i="11" s="1"/>
  <c r="Y90" i="6"/>
  <c r="Y90" i="11" s="1"/>
  <c r="X90" i="11" s="1"/>
  <c r="AA90" i="6"/>
  <c r="AA90" i="11" s="1"/>
  <c r="Z90" i="11" s="1"/>
  <c r="AE82" i="6"/>
  <c r="AE82" i="11" s="1"/>
  <c r="W82" i="6"/>
  <c r="W82" i="11" s="1"/>
  <c r="V82" i="11" s="1"/>
  <c r="Y82" i="6"/>
  <c r="Y82" i="11" s="1"/>
  <c r="X82" i="11" s="1"/>
  <c r="AA82" i="6"/>
  <c r="AA82" i="11" s="1"/>
  <c r="Z82" i="11" s="1"/>
  <c r="AE85" i="6"/>
  <c r="AE85" i="11" s="1"/>
  <c r="W85" i="6"/>
  <c r="W85" i="11" s="1"/>
  <c r="V85" i="11" s="1"/>
  <c r="AA85" i="6"/>
  <c r="AA85" i="11" s="1"/>
  <c r="Z85" i="11" s="1"/>
  <c r="Y85" i="6"/>
  <c r="Y85" i="11" s="1"/>
  <c r="X85" i="11" s="1"/>
  <c r="AE83" i="6"/>
  <c r="AE83" i="11" s="1"/>
  <c r="W83" i="6"/>
  <c r="W83" i="11" s="1"/>
  <c r="V83" i="11" s="1"/>
  <c r="AA83" i="6"/>
  <c r="AA83" i="11" s="1"/>
  <c r="Z83" i="11" s="1"/>
  <c r="Y83" i="6"/>
  <c r="Y83" i="11" s="1"/>
  <c r="X83" i="11" s="1"/>
  <c r="AE96" i="6"/>
  <c r="AE96" i="11" s="1"/>
  <c r="W96" i="6"/>
  <c r="W96" i="11" s="1"/>
  <c r="V96" i="11" s="1"/>
  <c r="Y96" i="6"/>
  <c r="Y96" i="11" s="1"/>
  <c r="X96" i="11" s="1"/>
  <c r="AA96" i="6"/>
  <c r="AA96" i="11" s="1"/>
  <c r="Z96" i="11" s="1"/>
  <c r="AE107" i="6"/>
  <c r="AE107" i="11" s="1"/>
  <c r="W107" i="6"/>
  <c r="W107" i="11" s="1"/>
  <c r="V107" i="11" s="1"/>
  <c r="Y107" i="6"/>
  <c r="Y107" i="11" s="1"/>
  <c r="X107" i="11" s="1"/>
  <c r="AA107" i="6"/>
  <c r="AA107" i="11" s="1"/>
  <c r="Z107" i="11" s="1"/>
  <c r="AE102" i="6"/>
  <c r="AE102" i="11" s="1"/>
  <c r="W102" i="6"/>
  <c r="W102" i="11" s="1"/>
  <c r="V102" i="11" s="1"/>
  <c r="Y102" i="6"/>
  <c r="Y102" i="11" s="1"/>
  <c r="X102" i="11" s="1"/>
  <c r="AA102" i="6"/>
  <c r="AA102" i="11" s="1"/>
  <c r="Z102" i="11" s="1"/>
  <c r="AE100" i="6"/>
  <c r="AE100" i="11" s="1"/>
  <c r="W100" i="6"/>
  <c r="W100" i="11" s="1"/>
  <c r="V100" i="11" s="1"/>
  <c r="AA100" i="6"/>
  <c r="AA100" i="11" s="1"/>
  <c r="Z100" i="11" s="1"/>
  <c r="Y100" i="6"/>
  <c r="Y100" i="11" s="1"/>
  <c r="X100" i="11" s="1"/>
  <c r="AE94" i="6"/>
  <c r="AE94" i="11" s="1"/>
  <c r="W94" i="6"/>
  <c r="W94" i="11" s="1"/>
  <c r="V94" i="11" s="1"/>
  <c r="AA94" i="6"/>
  <c r="AA94" i="11" s="1"/>
  <c r="Z94" i="11" s="1"/>
  <c r="Y94" i="6"/>
  <c r="Y94" i="11" s="1"/>
  <c r="X94" i="11" s="1"/>
  <c r="G283" i="6"/>
  <c r="AE81" i="6"/>
  <c r="AE81" i="11" s="1"/>
  <c r="W81" i="6"/>
  <c r="W81" i="11" s="1"/>
  <c r="V81" i="11" s="1"/>
  <c r="AA81" i="6"/>
  <c r="AA81" i="11" s="1"/>
  <c r="Z81" i="11" s="1"/>
  <c r="Y81" i="6"/>
  <c r="Y81" i="11" s="1"/>
  <c r="X81" i="11" s="1"/>
  <c r="G281" i="6"/>
  <c r="AE108" i="6"/>
  <c r="AE108" i="11" s="1"/>
  <c r="W108" i="6"/>
  <c r="W108" i="11" s="1"/>
  <c r="V108" i="11" s="1"/>
  <c r="AA108" i="6"/>
  <c r="AA108" i="11" s="1"/>
  <c r="Z108" i="11" s="1"/>
  <c r="Y108" i="6"/>
  <c r="Y108" i="11" s="1"/>
  <c r="X108" i="11" s="1"/>
  <c r="AE98" i="6"/>
  <c r="AE98" i="11" s="1"/>
  <c r="W98" i="6"/>
  <c r="W98" i="11" s="1"/>
  <c r="V98" i="11" s="1"/>
  <c r="AA98" i="6"/>
  <c r="AA98" i="11" s="1"/>
  <c r="Z98" i="11" s="1"/>
  <c r="Y98" i="6"/>
  <c r="Y98" i="11" s="1"/>
  <c r="X98" i="11" s="1"/>
  <c r="AE109" i="6"/>
  <c r="AE109" i="11" s="1"/>
  <c r="W109" i="6"/>
  <c r="W109" i="11" s="1"/>
  <c r="V109" i="11" s="1"/>
  <c r="AA109" i="6"/>
  <c r="AA109" i="11" s="1"/>
  <c r="Z109" i="11" s="1"/>
  <c r="Y109" i="6"/>
  <c r="Y109" i="11" s="1"/>
  <c r="X109" i="11" s="1"/>
  <c r="AE117" i="6"/>
  <c r="AE117" i="11" s="1"/>
  <c r="W117" i="6"/>
  <c r="W117" i="11" s="1"/>
  <c r="V117" i="11" s="1"/>
  <c r="Y117" i="6"/>
  <c r="Y117" i="11" s="1"/>
  <c r="X117" i="11" s="1"/>
  <c r="AA117" i="6"/>
  <c r="AA117" i="11" s="1"/>
  <c r="Z117" i="11" s="1"/>
  <c r="AE97" i="6"/>
  <c r="AE97" i="11" s="1"/>
  <c r="W97" i="6"/>
  <c r="W97" i="11" s="1"/>
  <c r="V97" i="11" s="1"/>
  <c r="Y97" i="6"/>
  <c r="Y97" i="11" s="1"/>
  <c r="X97" i="11" s="1"/>
  <c r="AA97" i="6"/>
  <c r="AA97" i="11" s="1"/>
  <c r="Z97" i="11" s="1"/>
  <c r="AE99" i="6"/>
  <c r="AE99" i="11" s="1"/>
  <c r="W99" i="6"/>
  <c r="W99" i="11" s="1"/>
  <c r="V99" i="11" s="1"/>
  <c r="AA99" i="6"/>
  <c r="AA99" i="11" s="1"/>
  <c r="Z99" i="11" s="1"/>
  <c r="Y99" i="6"/>
  <c r="Y99" i="11" s="1"/>
  <c r="X99" i="11" s="1"/>
  <c r="G316" i="6"/>
  <c r="G299" i="6"/>
  <c r="G294" i="6"/>
  <c r="AE110" i="6"/>
  <c r="AE110" i="11" s="1"/>
  <c r="W110" i="6"/>
  <c r="W110" i="11" s="1"/>
  <c r="V110" i="11" s="1"/>
  <c r="AA110" i="6"/>
  <c r="AA110" i="11" s="1"/>
  <c r="Z110" i="11" s="1"/>
  <c r="Y110" i="6"/>
  <c r="Y110" i="11" s="1"/>
  <c r="X110" i="11" s="1"/>
  <c r="AE114" i="6"/>
  <c r="AE114" i="11" s="1"/>
  <c r="W114" i="6"/>
  <c r="W114" i="11" s="1"/>
  <c r="V114" i="11" s="1"/>
  <c r="Y114" i="6"/>
  <c r="Y114" i="11" s="1"/>
  <c r="X114" i="11" s="1"/>
  <c r="AA114" i="6"/>
  <c r="AA114" i="11" s="1"/>
  <c r="Z114" i="11" s="1"/>
  <c r="AE103" i="6"/>
  <c r="AE103" i="11" s="1"/>
  <c r="W103" i="6"/>
  <c r="W103" i="11" s="1"/>
  <c r="V103" i="11" s="1"/>
  <c r="Y103" i="6"/>
  <c r="Y103" i="11" s="1"/>
  <c r="X103" i="11" s="1"/>
  <c r="AA103" i="6"/>
  <c r="AA103" i="11" s="1"/>
  <c r="Z103" i="11" s="1"/>
  <c r="AE113" i="6"/>
  <c r="AE113" i="11" s="1"/>
  <c r="W113" i="6"/>
  <c r="W113" i="11" s="1"/>
  <c r="V113" i="11" s="1"/>
  <c r="AA113" i="6"/>
  <c r="AA113" i="11" s="1"/>
  <c r="Z113" i="11" s="1"/>
  <c r="Y113" i="6"/>
  <c r="Y113" i="11" s="1"/>
  <c r="X113" i="11" s="1"/>
  <c r="AE115" i="6"/>
  <c r="AE115" i="11" s="1"/>
  <c r="W115" i="6"/>
  <c r="W115" i="11" s="1"/>
  <c r="V115" i="11" s="1"/>
  <c r="AA115" i="6"/>
  <c r="AA115" i="11" s="1"/>
  <c r="Z115" i="11" s="1"/>
  <c r="Y115" i="6"/>
  <c r="Y115" i="11" s="1"/>
  <c r="X115" i="11" s="1"/>
  <c r="G317" i="6"/>
  <c r="AE116" i="6"/>
  <c r="AE116" i="11" s="1"/>
  <c r="W116" i="6"/>
  <c r="W116" i="11" s="1"/>
  <c r="V116" i="11" s="1"/>
  <c r="Y116" i="6"/>
  <c r="Y116" i="11" s="1"/>
  <c r="X116" i="11" s="1"/>
  <c r="AA116" i="6"/>
  <c r="AA116" i="11" s="1"/>
  <c r="Z116" i="11" s="1"/>
  <c r="G285" i="6"/>
  <c r="AE119" i="6"/>
  <c r="AE119" i="11" s="1"/>
  <c r="W119" i="6"/>
  <c r="W119" i="11" s="1"/>
  <c r="V119" i="11" s="1"/>
  <c r="AA119" i="6"/>
  <c r="AA119" i="11" s="1"/>
  <c r="Z119" i="11" s="1"/>
  <c r="Y119" i="6"/>
  <c r="Y119" i="11" s="1"/>
  <c r="X119" i="11" s="1"/>
  <c r="AE91" i="6"/>
  <c r="AE91" i="11" s="1"/>
  <c r="W91" i="6"/>
  <c r="W91" i="11" s="1"/>
  <c r="V91" i="11" s="1"/>
  <c r="Y91" i="6"/>
  <c r="Y91" i="11" s="1"/>
  <c r="X91" i="11" s="1"/>
  <c r="AA91" i="6"/>
  <c r="AA91" i="11" s="1"/>
  <c r="Z91" i="11" s="1"/>
  <c r="AE86" i="6"/>
  <c r="AE86" i="11" s="1"/>
  <c r="W86" i="6"/>
  <c r="W86" i="11" s="1"/>
  <c r="V86" i="11" s="1"/>
  <c r="Y86" i="6"/>
  <c r="Y86" i="11" s="1"/>
  <c r="X86" i="11" s="1"/>
  <c r="AA86" i="6"/>
  <c r="AA86" i="11" s="1"/>
  <c r="Z86" i="11" s="1"/>
  <c r="AE112" i="6"/>
  <c r="AE112" i="11" s="1"/>
  <c r="W112" i="6"/>
  <c r="W112" i="11" s="1"/>
  <c r="V112" i="11" s="1"/>
  <c r="Y112" i="6"/>
  <c r="Y112" i="11" s="1"/>
  <c r="X112" i="11" s="1"/>
  <c r="AA112" i="6"/>
  <c r="AA112" i="11" s="1"/>
  <c r="Z112" i="11" s="1"/>
  <c r="AE92" i="6"/>
  <c r="AE92" i="11" s="1"/>
  <c r="W92" i="6"/>
  <c r="W92" i="11" s="1"/>
  <c r="V92" i="11" s="1"/>
  <c r="AA92" i="6"/>
  <c r="AA92" i="11" s="1"/>
  <c r="Z92" i="11" s="1"/>
  <c r="Y92" i="6"/>
  <c r="Y92" i="11" s="1"/>
  <c r="X92" i="11" s="1"/>
  <c r="G286" i="6"/>
  <c r="G296" i="6"/>
  <c r="M118" i="4"/>
  <c r="AB51" i="6" l="1"/>
  <c r="G122" i="11"/>
  <c r="G75" i="4" s="1"/>
  <c r="W120" i="11"/>
  <c r="V79" i="11"/>
  <c r="AE120" i="11"/>
  <c r="Z79" i="11"/>
  <c r="AA120" i="11"/>
  <c r="Y120" i="11"/>
  <c r="X79" i="11"/>
  <c r="AB35" i="6"/>
  <c r="AB48" i="6"/>
  <c r="AB58" i="6"/>
  <c r="Y314" i="6"/>
  <c r="Y284" i="6"/>
  <c r="AA294" i="6"/>
  <c r="Y285" i="6"/>
  <c r="AA301" i="6"/>
  <c r="AI95" i="4"/>
  <c r="AI89" i="4"/>
  <c r="AI103" i="4"/>
  <c r="AI111" i="4"/>
  <c r="AI110" i="4"/>
  <c r="AI101" i="4"/>
  <c r="AA289" i="6"/>
  <c r="AI94" i="4"/>
  <c r="AA298" i="6"/>
  <c r="AH97" i="4"/>
  <c r="AI84" i="4"/>
  <c r="AI82" i="4"/>
  <c r="AB62" i="6"/>
  <c r="AI80" i="4"/>
  <c r="AI83" i="4"/>
  <c r="AI109" i="4"/>
  <c r="AI76" i="4"/>
  <c r="Y298" i="6"/>
  <c r="AA285" i="6"/>
  <c r="AI92" i="4"/>
  <c r="W286" i="6"/>
  <c r="W285" i="6"/>
  <c r="AA310" i="6"/>
  <c r="W299" i="6"/>
  <c r="AA281" i="6"/>
  <c r="Y300" i="6"/>
  <c r="AA307" i="6"/>
  <c r="W289" i="6"/>
  <c r="W306" i="6"/>
  <c r="Y305" i="6"/>
  <c r="W71" i="6"/>
  <c r="AI88" i="4"/>
  <c r="AI78" i="4"/>
  <c r="AI115" i="4"/>
  <c r="AI90" i="4"/>
  <c r="AI79" i="4"/>
  <c r="Y289" i="6"/>
  <c r="W315" i="6"/>
  <c r="W303" i="6"/>
  <c r="AA300" i="6"/>
  <c r="W311" i="6"/>
  <c r="AI75" i="4"/>
  <c r="AI91" i="4"/>
  <c r="AI113" i="4"/>
  <c r="AI98" i="4"/>
  <c r="AI108" i="4"/>
  <c r="W292" i="6"/>
  <c r="AH98" i="4"/>
  <c r="AA297" i="6"/>
  <c r="Y308" i="6"/>
  <c r="AA283" i="6"/>
  <c r="AI114" i="4"/>
  <c r="AI112" i="4"/>
  <c r="AI87" i="4"/>
  <c r="AI99" i="4"/>
  <c r="AI85" i="4"/>
  <c r="AI96" i="4"/>
  <c r="W296" i="6"/>
  <c r="AI105" i="4"/>
  <c r="AB56" i="6"/>
  <c r="W291" i="6"/>
  <c r="Y313" i="6"/>
  <c r="AA308" i="6"/>
  <c r="W282" i="6"/>
  <c r="AA318" i="6"/>
  <c r="AI106" i="4"/>
  <c r="AI100" i="4"/>
  <c r="AI107" i="4"/>
  <c r="AI77" i="4"/>
  <c r="AI81" i="4"/>
  <c r="AI104" i="4"/>
  <c r="AB50" i="6"/>
  <c r="W302" i="6"/>
  <c r="AA306" i="6"/>
  <c r="W304" i="6"/>
  <c r="Y301" i="6"/>
  <c r="AI102" i="4"/>
  <c r="AI93" i="4"/>
  <c r="AI86" i="4"/>
  <c r="AI97" i="4"/>
  <c r="AA313" i="6"/>
  <c r="AB64" i="6"/>
  <c r="AB63" i="6"/>
  <c r="AA280" i="6"/>
  <c r="AA314" i="6"/>
  <c r="AB39" i="6"/>
  <c r="AA296" i="6"/>
  <c r="AB57" i="6"/>
  <c r="AA295" i="6"/>
  <c r="AB29" i="6"/>
  <c r="Y307" i="6"/>
  <c r="AA282" i="6"/>
  <c r="AB32" i="6"/>
  <c r="AB46" i="6"/>
  <c r="AB30" i="6"/>
  <c r="Y299" i="6"/>
  <c r="Y302" i="6"/>
  <c r="Y296" i="6"/>
  <c r="Y280" i="6"/>
  <c r="AA292" i="6"/>
  <c r="AB42" i="6"/>
  <c r="AB52" i="6"/>
  <c r="AA311" i="6"/>
  <c r="Y282" i="6"/>
  <c r="AA288" i="6"/>
  <c r="Y292" i="6"/>
  <c r="Y309" i="6"/>
  <c r="W318" i="6"/>
  <c r="AB68" i="6"/>
  <c r="AA315" i="6"/>
  <c r="AA302" i="6"/>
  <c r="Y281" i="6"/>
  <c r="AB49" i="6"/>
  <c r="AB55" i="6"/>
  <c r="AB53" i="6"/>
  <c r="AA303" i="6"/>
  <c r="Y317" i="6"/>
  <c r="W295" i="6"/>
  <c r="AA284" i="6"/>
  <c r="AA316" i="6"/>
  <c r="Y303" i="6"/>
  <c r="AA317" i="6"/>
  <c r="Y293" i="6"/>
  <c r="AB34" i="6"/>
  <c r="AB43" i="6"/>
  <c r="AA299" i="6"/>
  <c r="AA291" i="6"/>
  <c r="AA312" i="6"/>
  <c r="AA305" i="6"/>
  <c r="AB41" i="6"/>
  <c r="AB65" i="6"/>
  <c r="AB59" i="6"/>
  <c r="AB61" i="6"/>
  <c r="Y312" i="6"/>
  <c r="AB38" i="6"/>
  <c r="AB44" i="6"/>
  <c r="AA309" i="6"/>
  <c r="Y290" i="6"/>
  <c r="AB45" i="6"/>
  <c r="Y311" i="6"/>
  <c r="AA71" i="6"/>
  <c r="Y71" i="6"/>
  <c r="AE71" i="6"/>
  <c r="Y315" i="6"/>
  <c r="AA286" i="6"/>
  <c r="W284" i="6"/>
  <c r="AB31" i="6"/>
  <c r="AA293" i="6"/>
  <c r="AA319" i="6"/>
  <c r="Y294" i="6"/>
  <c r="Y283" i="6"/>
  <c r="Y288" i="6"/>
  <c r="Y287" i="6"/>
  <c r="Y291" i="6"/>
  <c r="AB67" i="6"/>
  <c r="AB37" i="6"/>
  <c r="AB66" i="6"/>
  <c r="AB60" i="6"/>
  <c r="W310" i="6"/>
  <c r="AA304" i="6"/>
  <c r="Y318" i="6"/>
  <c r="Y306" i="6"/>
  <c r="W70" i="6"/>
  <c r="AB47" i="6"/>
  <c r="AA287" i="6"/>
  <c r="Y310" i="6"/>
  <c r="AB54" i="6"/>
  <c r="AB69" i="6"/>
  <c r="AB40" i="6"/>
  <c r="AA70" i="6"/>
  <c r="AA290" i="6"/>
  <c r="Y319" i="6"/>
  <c r="Y286" i="6"/>
  <c r="AB36" i="6"/>
  <c r="AE70" i="6"/>
  <c r="Y297" i="6"/>
  <c r="Y316" i="6"/>
  <c r="AB33" i="6"/>
  <c r="Y70" i="6"/>
  <c r="Y295" i="6"/>
  <c r="Y304" i="6"/>
  <c r="AE301" i="6"/>
  <c r="AE302" i="6"/>
  <c r="AE292" i="6"/>
  <c r="AH88" i="4"/>
  <c r="AE286" i="6"/>
  <c r="AH82" i="4"/>
  <c r="AE319" i="6"/>
  <c r="AH115" i="4"/>
  <c r="AE316" i="6"/>
  <c r="AH112" i="4"/>
  <c r="AE313" i="6"/>
  <c r="AH109" i="4"/>
  <c r="AE314" i="6"/>
  <c r="AH110" i="4"/>
  <c r="AE318" i="6"/>
  <c r="AH114" i="4"/>
  <c r="AE281" i="6"/>
  <c r="AH77" i="4"/>
  <c r="AE300" i="6"/>
  <c r="AH96" i="4"/>
  <c r="AJ96" i="4" s="1"/>
  <c r="AE307" i="6"/>
  <c r="AH103" i="4"/>
  <c r="AE285" i="6"/>
  <c r="AH81" i="4"/>
  <c r="AE280" i="6"/>
  <c r="AH76" i="4"/>
  <c r="AE306" i="6"/>
  <c r="AH102" i="4"/>
  <c r="AE305" i="6"/>
  <c r="AH101" i="4"/>
  <c r="AE289" i="6"/>
  <c r="AH85" i="4"/>
  <c r="AE297" i="6"/>
  <c r="AH93" i="4"/>
  <c r="AE308" i="6"/>
  <c r="AH104" i="4"/>
  <c r="AE284" i="6"/>
  <c r="AH80" i="4"/>
  <c r="AE293" i="6"/>
  <c r="AH89" i="4"/>
  <c r="AE299" i="6"/>
  <c r="AH95" i="4"/>
  <c r="AE298" i="6"/>
  <c r="AH94" i="4"/>
  <c r="AE288" i="6"/>
  <c r="AH84" i="4"/>
  <c r="AE312" i="6"/>
  <c r="AH108" i="4"/>
  <c r="AE291" i="6"/>
  <c r="AH87" i="4"/>
  <c r="AE315" i="6"/>
  <c r="AH111" i="4"/>
  <c r="AE303" i="6"/>
  <c r="AH99" i="4"/>
  <c r="AE310" i="6"/>
  <c r="AH106" i="4"/>
  <c r="AE295" i="6"/>
  <c r="AH91" i="4"/>
  <c r="AE309" i="6"/>
  <c r="AH105" i="4"/>
  <c r="AE287" i="6"/>
  <c r="AH83" i="4"/>
  <c r="AE311" i="6"/>
  <c r="AH107" i="4"/>
  <c r="AE317" i="6"/>
  <c r="AH113" i="4"/>
  <c r="AE294" i="6"/>
  <c r="AH90" i="4"/>
  <c r="AE296" i="6"/>
  <c r="AH92" i="4"/>
  <c r="AE283" i="6"/>
  <c r="AH79" i="4"/>
  <c r="AE282" i="6"/>
  <c r="AH78" i="4"/>
  <c r="AE290" i="6"/>
  <c r="AH86" i="4"/>
  <c r="AE304" i="6"/>
  <c r="AH100" i="4"/>
  <c r="AE279" i="6"/>
  <c r="AH75" i="4"/>
  <c r="AB106" i="6"/>
  <c r="AB106" i="11" s="1"/>
  <c r="AB101" i="6"/>
  <c r="AB101" i="11" s="1"/>
  <c r="AB100" i="6"/>
  <c r="AB100" i="11" s="1"/>
  <c r="AB110" i="6"/>
  <c r="AB110" i="11" s="1"/>
  <c r="AB89" i="6"/>
  <c r="AB89" i="11" s="1"/>
  <c r="AB116" i="6"/>
  <c r="AB116" i="11" s="1"/>
  <c r="W300" i="6"/>
  <c r="W301" i="6"/>
  <c r="AB105" i="6"/>
  <c r="AB105" i="11" s="1"/>
  <c r="AB81" i="6"/>
  <c r="AB81" i="11" s="1"/>
  <c r="W281" i="6"/>
  <c r="AB93" i="6"/>
  <c r="AB93" i="11" s="1"/>
  <c r="AB113" i="6"/>
  <c r="AB113" i="11" s="1"/>
  <c r="W313" i="6"/>
  <c r="AA120" i="6"/>
  <c r="AA279" i="6"/>
  <c r="AB114" i="6"/>
  <c r="AB114" i="11" s="1"/>
  <c r="W314" i="6"/>
  <c r="AB94" i="6"/>
  <c r="AB94" i="11" s="1"/>
  <c r="W294" i="6"/>
  <c r="AB88" i="6"/>
  <c r="AB88" i="11" s="1"/>
  <c r="W288" i="6"/>
  <c r="W316" i="6"/>
  <c r="AB80" i="6"/>
  <c r="AB80" i="11" s="1"/>
  <c r="W280" i="6"/>
  <c r="AB95" i="6"/>
  <c r="AB95" i="11" s="1"/>
  <c r="AB119" i="6"/>
  <c r="AB119" i="11" s="1"/>
  <c r="W319" i="6"/>
  <c r="AB83" i="6"/>
  <c r="AB83" i="11" s="1"/>
  <c r="W283" i="6"/>
  <c r="Y120" i="6"/>
  <c r="AB112" i="6"/>
  <c r="AB112" i="11" s="1"/>
  <c r="W312" i="6"/>
  <c r="W293" i="6"/>
  <c r="AB117" i="6"/>
  <c r="AB117" i="11" s="1"/>
  <c r="W317" i="6"/>
  <c r="AB107" i="6"/>
  <c r="AB107" i="11" s="1"/>
  <c r="W307" i="6"/>
  <c r="AB79" i="6"/>
  <c r="AB79" i="11" s="1"/>
  <c r="W120" i="6"/>
  <c r="W279" i="6"/>
  <c r="AB87" i="6"/>
  <c r="AB87" i="11" s="1"/>
  <c r="W287" i="6"/>
  <c r="Y279" i="6"/>
  <c r="AB98" i="6"/>
  <c r="AB98" i="11" s="1"/>
  <c r="W298" i="6"/>
  <c r="AB86" i="6"/>
  <c r="AB86" i="11" s="1"/>
  <c r="AB108" i="6"/>
  <c r="AB108" i="11" s="1"/>
  <c r="AB82" i="6"/>
  <c r="AB82" i="11" s="1"/>
  <c r="AB90" i="6"/>
  <c r="AB90" i="11" s="1"/>
  <c r="AE121" i="6"/>
  <c r="AE121" i="11" s="1"/>
  <c r="W121" i="6"/>
  <c r="W121" i="11" s="1"/>
  <c r="AA121" i="6"/>
  <c r="AA121" i="11" s="1"/>
  <c r="Y121" i="6"/>
  <c r="Y121" i="11" s="1"/>
  <c r="AB91" i="6"/>
  <c r="AB91" i="11" s="1"/>
  <c r="G321" i="6"/>
  <c r="AB102" i="6"/>
  <c r="AB102" i="11" s="1"/>
  <c r="AB111" i="6"/>
  <c r="AB111" i="11" s="1"/>
  <c r="AE120" i="6"/>
  <c r="W305" i="6"/>
  <c r="AB97" i="6"/>
  <c r="AB97" i="11" s="1"/>
  <c r="AB92" i="6"/>
  <c r="AB92" i="11" s="1"/>
  <c r="AB103" i="6"/>
  <c r="AB103" i="11" s="1"/>
  <c r="AB109" i="6"/>
  <c r="AB109" i="11" s="1"/>
  <c r="W290" i="6"/>
  <c r="AB118" i="6"/>
  <c r="AB118" i="11" s="1"/>
  <c r="AB115" i="6"/>
  <c r="AB115" i="11" s="1"/>
  <c r="AB84" i="6"/>
  <c r="AB84" i="11" s="1"/>
  <c r="W297" i="6"/>
  <c r="AB99" i="6"/>
  <c r="AB99" i="11" s="1"/>
  <c r="AB96" i="6"/>
  <c r="AB96" i="11" s="1"/>
  <c r="AB85" i="6"/>
  <c r="AB85" i="11" s="1"/>
  <c r="W308" i="6"/>
  <c r="W309" i="6"/>
  <c r="AB104" i="6"/>
  <c r="AB104" i="11" s="1"/>
  <c r="G320" i="6"/>
  <c r="N34" i="4"/>
  <c r="N33" i="4"/>
  <c r="N32" i="4"/>
  <c r="I12" i="9" l="1"/>
  <c r="I12" i="12"/>
  <c r="I12" i="10"/>
  <c r="I13" i="9"/>
  <c r="I13" i="12"/>
  <c r="I13" i="10"/>
  <c r="I14" i="9"/>
  <c r="I14" i="12"/>
  <c r="I14" i="10"/>
  <c r="AE122" i="11"/>
  <c r="AB120" i="11"/>
  <c r="X121" i="11"/>
  <c r="Y122" i="11"/>
  <c r="AA122" i="11"/>
  <c r="Z121" i="11"/>
  <c r="V121" i="11"/>
  <c r="W122" i="11"/>
  <c r="AJ92" i="4"/>
  <c r="AJ82" i="4"/>
  <c r="AJ111" i="4"/>
  <c r="AJ108" i="4"/>
  <c r="AJ87" i="4"/>
  <c r="AJ93" i="4"/>
  <c r="AJ102" i="4"/>
  <c r="AJ91" i="4"/>
  <c r="AJ112" i="4"/>
  <c r="AJ94" i="4"/>
  <c r="AJ78" i="4"/>
  <c r="AJ95" i="4"/>
  <c r="AJ75" i="4"/>
  <c r="AJ106" i="4"/>
  <c r="AJ115" i="4"/>
  <c r="AJ109" i="4"/>
  <c r="AJ81" i="4"/>
  <c r="AJ110" i="4"/>
  <c r="AJ76" i="4"/>
  <c r="AJ77" i="4"/>
  <c r="AJ89" i="4"/>
  <c r="AJ80" i="4"/>
  <c r="AJ101" i="4"/>
  <c r="AJ97" i="4"/>
  <c r="AJ100" i="4"/>
  <c r="AJ99" i="4"/>
  <c r="AJ86" i="4"/>
  <c r="AJ90" i="4"/>
  <c r="AJ105" i="4"/>
  <c r="AJ104" i="4"/>
  <c r="AJ98" i="4"/>
  <c r="AJ83" i="4"/>
  <c r="AJ84" i="4"/>
  <c r="AJ103" i="4"/>
  <c r="W72" i="6"/>
  <c r="AJ79" i="4"/>
  <c r="AJ107" i="4"/>
  <c r="AJ85" i="4"/>
  <c r="AJ114" i="4"/>
  <c r="AJ88" i="4"/>
  <c r="AJ113" i="4"/>
  <c r="AB296" i="6"/>
  <c r="AB298" i="6"/>
  <c r="AB313" i="6"/>
  <c r="AB291" i="6"/>
  <c r="W321" i="6"/>
  <c r="AB294" i="6"/>
  <c r="AB300" i="6"/>
  <c r="AB301" i="6"/>
  <c r="AB303" i="6"/>
  <c r="AB314" i="6"/>
  <c r="AB306" i="6"/>
  <c r="AB285" i="6"/>
  <c r="AB308" i="6"/>
  <c r="AB312" i="6"/>
  <c r="AB280" i="6"/>
  <c r="AB289" i="6"/>
  <c r="AB307" i="6"/>
  <c r="AB305" i="6"/>
  <c r="AB279" i="6"/>
  <c r="AB282" i="6"/>
  <c r="AB315" i="6"/>
  <c r="AB292" i="6"/>
  <c r="AB318" i="6"/>
  <c r="AB302" i="6"/>
  <c r="AE72" i="6"/>
  <c r="AB299" i="6"/>
  <c r="AB288" i="6"/>
  <c r="AB304" i="6"/>
  <c r="AB290" i="6"/>
  <c r="AB297" i="6"/>
  <c r="AB284" i="6"/>
  <c r="AB287" i="6"/>
  <c r="AB309" i="6"/>
  <c r="AB71" i="6"/>
  <c r="AB316" i="6"/>
  <c r="AA72" i="6"/>
  <c r="AB293" i="6"/>
  <c r="AB311" i="6"/>
  <c r="AB286" i="6"/>
  <c r="Y321" i="6"/>
  <c r="AB310" i="6"/>
  <c r="Y72" i="6"/>
  <c r="AB295" i="6"/>
  <c r="AB281" i="6"/>
  <c r="AA320" i="6"/>
  <c r="AB317" i="6"/>
  <c r="AB319" i="6"/>
  <c r="AB70" i="6"/>
  <c r="AB283" i="6"/>
  <c r="Y320" i="6"/>
  <c r="AE320" i="6"/>
  <c r="AA122" i="6"/>
  <c r="AE122" i="6"/>
  <c r="AE321" i="6"/>
  <c r="G322" i="6"/>
  <c r="I12" i="6"/>
  <c r="W320" i="6"/>
  <c r="AB121" i="6"/>
  <c r="AB121" i="11" s="1"/>
  <c r="W122" i="6"/>
  <c r="AB120" i="6"/>
  <c r="Y122" i="6"/>
  <c r="I14" i="6"/>
  <c r="AA321" i="6"/>
  <c r="I13" i="6"/>
  <c r="U26" i="4"/>
  <c r="U32" i="4" s="1"/>
  <c r="AB122" i="11" l="1"/>
  <c r="W322" i="6"/>
  <c r="AJ116" i="4"/>
  <c r="Y322" i="6"/>
  <c r="AB72" i="6"/>
  <c r="AA322" i="6"/>
  <c r="AB320" i="6"/>
  <c r="U33" i="4"/>
  <c r="AE322" i="6"/>
  <c r="U34" i="4"/>
  <c r="M14" i="12" s="1"/>
  <c r="E29" i="12" s="1"/>
  <c r="R29" i="12" s="1"/>
  <c r="AB122" i="6"/>
  <c r="AB321" i="6"/>
  <c r="Q74" i="4"/>
  <c r="S43" i="4"/>
  <c r="C86" i="4" s="1"/>
  <c r="T26" i="4"/>
  <c r="S26" i="4"/>
  <c r="R26" i="4"/>
  <c r="N31" i="4"/>
  <c r="N30" i="4"/>
  <c r="N29" i="4"/>
  <c r="N28" i="4"/>
  <c r="N27" i="4"/>
  <c r="I5" i="9" l="1"/>
  <c r="I5" i="12"/>
  <c r="I5" i="10"/>
  <c r="I6" i="9"/>
  <c r="I6" i="12"/>
  <c r="I6" i="10"/>
  <c r="I7" i="9"/>
  <c r="I7" i="12"/>
  <c r="I7" i="10"/>
  <c r="I8" i="9"/>
  <c r="I8" i="12"/>
  <c r="I8" i="10"/>
  <c r="I9" i="9"/>
  <c r="I9" i="12"/>
  <c r="I9" i="10"/>
  <c r="M13" i="12"/>
  <c r="F29" i="12" s="1"/>
  <c r="S29" i="12" s="1"/>
  <c r="M12" i="12"/>
  <c r="D29" i="12" s="1"/>
  <c r="Q29" i="12" s="1"/>
  <c r="AB322" i="6"/>
  <c r="I6" i="6"/>
  <c r="S28" i="4"/>
  <c r="R28" i="4"/>
  <c r="U28" i="4"/>
  <c r="T28" i="4"/>
  <c r="I5" i="6"/>
  <c r="R27" i="4"/>
  <c r="U27" i="4"/>
  <c r="M5" i="12" s="1"/>
  <c r="T27" i="4"/>
  <c r="S27" i="4"/>
  <c r="R34" i="4"/>
  <c r="M14" i="6" s="1"/>
  <c r="R32" i="4"/>
  <c r="M12" i="6" s="1"/>
  <c r="R33" i="4"/>
  <c r="M13" i="6" s="1"/>
  <c r="I7" i="6"/>
  <c r="R29" i="4"/>
  <c r="T29" i="4"/>
  <c r="U29" i="4"/>
  <c r="M7" i="12" s="1"/>
  <c r="S29" i="4"/>
  <c r="M7" i="10" s="1"/>
  <c r="I9" i="6"/>
  <c r="R31" i="4"/>
  <c r="S31" i="4"/>
  <c r="M9" i="10" s="1"/>
  <c r="T31" i="4"/>
  <c r="U31" i="4"/>
  <c r="S34" i="4"/>
  <c r="M14" i="10" s="1"/>
  <c r="S32" i="4"/>
  <c r="M12" i="10" s="1"/>
  <c r="S33" i="4"/>
  <c r="M13" i="10" s="1"/>
  <c r="I8" i="6"/>
  <c r="R30" i="4"/>
  <c r="T30" i="4"/>
  <c r="S30" i="4"/>
  <c r="M8" i="10" s="1"/>
  <c r="AR125" i="10" s="1"/>
  <c r="AU129" i="10" s="1"/>
  <c r="U30" i="4"/>
  <c r="T33" i="4"/>
  <c r="M13" i="9" s="1"/>
  <c r="T32" i="4"/>
  <c r="M12" i="9" s="1"/>
  <c r="T34" i="4"/>
  <c r="M14" i="9" s="1"/>
  <c r="Q43" i="4"/>
  <c r="C84" i="4" s="1"/>
  <c r="O74" i="4"/>
  <c r="R43" i="4"/>
  <c r="C85" i="4" s="1"/>
  <c r="P74" i="4"/>
  <c r="E75" i="4"/>
  <c r="E74" i="4"/>
  <c r="E82" i="4" l="1"/>
  <c r="F75" i="4"/>
  <c r="M6" i="12"/>
  <c r="AA29" i="12" s="1"/>
  <c r="M5" i="10"/>
  <c r="AR10" i="10" s="1"/>
  <c r="AT10" i="10" s="1"/>
  <c r="M5" i="9"/>
  <c r="AR11" i="9" s="1"/>
  <c r="AT11" i="9" s="1"/>
  <c r="BA72" i="9" s="1"/>
  <c r="M6" i="9"/>
  <c r="T29" i="12"/>
  <c r="M6" i="10"/>
  <c r="AS222" i="12"/>
  <c r="M8" i="12"/>
  <c r="AR125" i="12" s="1"/>
  <c r="AU129" i="12" s="1"/>
  <c r="M9" i="12"/>
  <c r="AQ9" i="10"/>
  <c r="AQ7" i="12"/>
  <c r="AQ8" i="10"/>
  <c r="AQ11" i="10"/>
  <c r="AQ10" i="12"/>
  <c r="AQ7" i="10"/>
  <c r="AQ9" i="12"/>
  <c r="AQ10" i="10"/>
  <c r="AQ11" i="12"/>
  <c r="AQ8" i="12"/>
  <c r="AY8" i="12" s="1"/>
  <c r="M7" i="9"/>
  <c r="AS172" i="9" s="1"/>
  <c r="AS222" i="9" s="1"/>
  <c r="M9" i="9"/>
  <c r="M6" i="6"/>
  <c r="M7" i="6"/>
  <c r="AR11" i="12"/>
  <c r="AT11" i="12" s="1"/>
  <c r="AR9" i="12"/>
  <c r="AT9" i="12" s="1"/>
  <c r="AR8" i="12"/>
  <c r="AV8" i="12" s="1"/>
  <c r="AR7" i="12"/>
  <c r="AV7" i="12" s="1"/>
  <c r="AR10" i="12"/>
  <c r="AT10" i="12" s="1"/>
  <c r="AU130" i="10"/>
  <c r="AS129" i="10"/>
  <c r="M5" i="6"/>
  <c r="AQ10" i="9"/>
  <c r="AQ11" i="9"/>
  <c r="AQ7" i="9"/>
  <c r="AQ8" i="9"/>
  <c r="AQ9" i="9"/>
  <c r="M8" i="6"/>
  <c r="M8" i="9"/>
  <c r="AR125" i="9" s="1"/>
  <c r="AU129" i="9" s="1"/>
  <c r="M9" i="6"/>
  <c r="D98" i="6"/>
  <c r="D98" i="11" s="1"/>
  <c r="D119" i="6"/>
  <c r="D119" i="11" s="1"/>
  <c r="D113" i="6"/>
  <c r="D113" i="11" s="1"/>
  <c r="D103" i="6"/>
  <c r="D103" i="11" s="1"/>
  <c r="D72" i="6"/>
  <c r="D66" i="6"/>
  <c r="D64" i="6"/>
  <c r="D38" i="6"/>
  <c r="D41" i="6"/>
  <c r="D35" i="6"/>
  <c r="D94" i="6"/>
  <c r="D94" i="11" s="1"/>
  <c r="D109" i="6"/>
  <c r="D109" i="11" s="1"/>
  <c r="D102" i="6"/>
  <c r="D102" i="11" s="1"/>
  <c r="D115" i="6"/>
  <c r="D115" i="11" s="1"/>
  <c r="D30" i="6"/>
  <c r="D34" i="6"/>
  <c r="D67" i="6"/>
  <c r="D40" i="6"/>
  <c r="D39" i="6"/>
  <c r="D44" i="6"/>
  <c r="D36" i="6"/>
  <c r="D56" i="6"/>
  <c r="D57" i="6"/>
  <c r="D114" i="6"/>
  <c r="D114" i="11" s="1"/>
  <c r="D53" i="6"/>
  <c r="D69" i="6"/>
  <c r="D86" i="6"/>
  <c r="D86" i="11" s="1"/>
  <c r="D97" i="6"/>
  <c r="D97" i="11" s="1"/>
  <c r="D122" i="6"/>
  <c r="D45" i="6"/>
  <c r="D116" i="6"/>
  <c r="D116" i="11" s="1"/>
  <c r="D63" i="6"/>
  <c r="D54" i="6"/>
  <c r="D110" i="6"/>
  <c r="D110" i="11" s="1"/>
  <c r="D33" i="6"/>
  <c r="D65" i="6"/>
  <c r="D51" i="6"/>
  <c r="D48" i="6"/>
  <c r="D55" i="6"/>
  <c r="D32" i="6"/>
  <c r="D100" i="6"/>
  <c r="D100" i="11" s="1"/>
  <c r="D92" i="6"/>
  <c r="D92" i="11" s="1"/>
  <c r="D68" i="6"/>
  <c r="D43" i="6"/>
  <c r="D111" i="6"/>
  <c r="D111" i="11" s="1"/>
  <c r="D42" i="6"/>
  <c r="D29" i="6"/>
  <c r="D106" i="6"/>
  <c r="D106" i="11" s="1"/>
  <c r="D83" i="6"/>
  <c r="D83" i="11" s="1"/>
  <c r="D31" i="6"/>
  <c r="D108" i="6"/>
  <c r="D108" i="11" s="1"/>
  <c r="D49" i="6"/>
  <c r="D50" i="6"/>
  <c r="D84" i="6"/>
  <c r="D84" i="11" s="1"/>
  <c r="D62" i="6"/>
  <c r="D47" i="6"/>
  <c r="D82" i="6"/>
  <c r="D82" i="11" s="1"/>
  <c r="D117" i="6"/>
  <c r="D117" i="11" s="1"/>
  <c r="D58" i="6"/>
  <c r="D52" i="6"/>
  <c r="D107" i="6"/>
  <c r="D107" i="11" s="1"/>
  <c r="D60" i="6"/>
  <c r="D91" i="6"/>
  <c r="D91" i="11" s="1"/>
  <c r="D59" i="6"/>
  <c r="D99" i="6"/>
  <c r="D99" i="11" s="1"/>
  <c r="D96" i="6"/>
  <c r="D96" i="11" s="1"/>
  <c r="D37" i="6"/>
  <c r="D46" i="6"/>
  <c r="D112" i="6"/>
  <c r="D112" i="11" s="1"/>
  <c r="D61" i="6"/>
  <c r="D88" i="6"/>
  <c r="D88" i="11" s="1"/>
  <c r="D95" i="6"/>
  <c r="D95" i="11" s="1"/>
  <c r="D87" i="6"/>
  <c r="D87" i="11" s="1"/>
  <c r="D90" i="6"/>
  <c r="D90" i="11" s="1"/>
  <c r="D81" i="6"/>
  <c r="D81" i="11" s="1"/>
  <c r="D101" i="6"/>
  <c r="D101" i="11" s="1"/>
  <c r="D93" i="6"/>
  <c r="D93" i="11" s="1"/>
  <c r="D79" i="6"/>
  <c r="D79" i="11" s="1"/>
  <c r="D89" i="6"/>
  <c r="D89" i="11" s="1"/>
  <c r="D85" i="6"/>
  <c r="D85" i="11" s="1"/>
  <c r="D118" i="6"/>
  <c r="D118" i="11" s="1"/>
  <c r="D104" i="6"/>
  <c r="D104" i="11" s="1"/>
  <c r="D105" i="6"/>
  <c r="D105" i="11" s="1"/>
  <c r="D80" i="6"/>
  <c r="D80" i="11" s="1"/>
  <c r="F115" i="6"/>
  <c r="F115" i="11" s="1"/>
  <c r="F97" i="6"/>
  <c r="F97" i="11" s="1"/>
  <c r="F109" i="6"/>
  <c r="F109" i="11" s="1"/>
  <c r="F62" i="6"/>
  <c r="F59" i="6"/>
  <c r="F65" i="6"/>
  <c r="F66" i="6"/>
  <c r="F69" i="6"/>
  <c r="F108" i="6"/>
  <c r="F108" i="11" s="1"/>
  <c r="F96" i="6"/>
  <c r="F96" i="11" s="1"/>
  <c r="F56" i="6"/>
  <c r="F99" i="6"/>
  <c r="F99" i="11" s="1"/>
  <c r="F37" i="6"/>
  <c r="F58" i="6"/>
  <c r="F30" i="6"/>
  <c r="F45" i="6"/>
  <c r="F46" i="6"/>
  <c r="F72" i="6"/>
  <c r="F34" i="6"/>
  <c r="F61" i="6"/>
  <c r="F52" i="6"/>
  <c r="F67" i="6"/>
  <c r="F63" i="6"/>
  <c r="F98" i="6"/>
  <c r="F98" i="11" s="1"/>
  <c r="F86" i="6"/>
  <c r="F86" i="11" s="1"/>
  <c r="F94" i="6"/>
  <c r="F94" i="11" s="1"/>
  <c r="F117" i="6"/>
  <c r="F117" i="11" s="1"/>
  <c r="F43" i="6"/>
  <c r="F119" i="6"/>
  <c r="F119" i="11" s="1"/>
  <c r="F48" i="6"/>
  <c r="F102" i="6"/>
  <c r="F102" i="11" s="1"/>
  <c r="F53" i="6"/>
  <c r="F36" i="6"/>
  <c r="F40" i="6"/>
  <c r="F39" i="6"/>
  <c r="F44" i="6"/>
  <c r="F114" i="6"/>
  <c r="F114" i="11" s="1"/>
  <c r="F49" i="6"/>
  <c r="F68" i="6"/>
  <c r="F107" i="6"/>
  <c r="F107" i="11" s="1"/>
  <c r="F111" i="6"/>
  <c r="F111" i="11" s="1"/>
  <c r="F41" i="6"/>
  <c r="F54" i="6"/>
  <c r="F113" i="6"/>
  <c r="F113" i="11" s="1"/>
  <c r="F51" i="6"/>
  <c r="F103" i="6"/>
  <c r="F103" i="11" s="1"/>
  <c r="F60" i="6"/>
  <c r="F91" i="6"/>
  <c r="F91" i="11" s="1"/>
  <c r="F122" i="6"/>
  <c r="F33" i="6"/>
  <c r="F57" i="6"/>
  <c r="F112" i="6"/>
  <c r="F112" i="11" s="1"/>
  <c r="F38" i="6"/>
  <c r="F110" i="6"/>
  <c r="F110" i="11" s="1"/>
  <c r="F92" i="6"/>
  <c r="F92" i="11" s="1"/>
  <c r="F35" i="6"/>
  <c r="F79" i="6"/>
  <c r="F79" i="11" s="1"/>
  <c r="F32" i="6"/>
  <c r="F55" i="6"/>
  <c r="F29" i="6"/>
  <c r="F100" i="6"/>
  <c r="F100" i="11" s="1"/>
  <c r="F50" i="6"/>
  <c r="F64" i="6"/>
  <c r="F47" i="6"/>
  <c r="F31" i="6"/>
  <c r="F42" i="6"/>
  <c r="F87" i="6"/>
  <c r="F87" i="11" s="1"/>
  <c r="F89" i="6"/>
  <c r="F89" i="11" s="1"/>
  <c r="F85" i="6"/>
  <c r="F85" i="11" s="1"/>
  <c r="F95" i="6"/>
  <c r="F95" i="11" s="1"/>
  <c r="F83" i="6"/>
  <c r="F83" i="11" s="1"/>
  <c r="F105" i="6"/>
  <c r="F105" i="11" s="1"/>
  <c r="F93" i="6"/>
  <c r="F93" i="11" s="1"/>
  <c r="F84" i="6"/>
  <c r="F84" i="11" s="1"/>
  <c r="F101" i="6"/>
  <c r="F101" i="11" s="1"/>
  <c r="F90" i="6"/>
  <c r="F90" i="11" s="1"/>
  <c r="F106" i="6"/>
  <c r="F106" i="11" s="1"/>
  <c r="F80" i="6"/>
  <c r="F80" i="11" s="1"/>
  <c r="F88" i="6"/>
  <c r="F88" i="11" s="1"/>
  <c r="F104" i="6"/>
  <c r="F104" i="11" s="1"/>
  <c r="F82" i="6"/>
  <c r="F82" i="11" s="1"/>
  <c r="F118" i="6"/>
  <c r="F118" i="11" s="1"/>
  <c r="F81" i="6"/>
  <c r="F81" i="11" s="1"/>
  <c r="F116" i="6"/>
  <c r="F116" i="11" s="1"/>
  <c r="E122" i="6"/>
  <c r="E38" i="6"/>
  <c r="E69" i="6"/>
  <c r="E65" i="6"/>
  <c r="E32" i="6"/>
  <c r="E39" i="6"/>
  <c r="E64" i="6"/>
  <c r="E34" i="6"/>
  <c r="E53" i="6"/>
  <c r="E55" i="6"/>
  <c r="E66" i="6"/>
  <c r="E45" i="6"/>
  <c r="E36" i="6"/>
  <c r="E40" i="6"/>
  <c r="E37" i="6"/>
  <c r="E63" i="6"/>
  <c r="E57" i="6"/>
  <c r="E48" i="6"/>
  <c r="E56" i="6"/>
  <c r="E43" i="6"/>
  <c r="E35" i="6"/>
  <c r="E29" i="6"/>
  <c r="E60" i="6"/>
  <c r="E31" i="6"/>
  <c r="E72" i="6"/>
  <c r="E62" i="6"/>
  <c r="E68" i="6"/>
  <c r="E42" i="6"/>
  <c r="E30" i="6"/>
  <c r="E61" i="6"/>
  <c r="E67" i="6"/>
  <c r="E47" i="6"/>
  <c r="E49" i="6"/>
  <c r="E46" i="6"/>
  <c r="E59" i="6"/>
  <c r="E41" i="6"/>
  <c r="E54" i="6"/>
  <c r="E44" i="6"/>
  <c r="E33" i="6"/>
  <c r="E51" i="6"/>
  <c r="E50" i="6"/>
  <c r="E58" i="6"/>
  <c r="E52" i="6"/>
  <c r="E83" i="6"/>
  <c r="E83" i="11" s="1"/>
  <c r="E107" i="6"/>
  <c r="E107" i="11" s="1"/>
  <c r="E81" i="6"/>
  <c r="E81" i="11" s="1"/>
  <c r="E116" i="6"/>
  <c r="E116" i="11" s="1"/>
  <c r="E119" i="6"/>
  <c r="E119" i="11" s="1"/>
  <c r="E104" i="6"/>
  <c r="E104" i="11" s="1"/>
  <c r="E80" i="6"/>
  <c r="E80" i="11" s="1"/>
  <c r="E117" i="6"/>
  <c r="E117" i="11" s="1"/>
  <c r="E113" i="6"/>
  <c r="E113" i="11" s="1"/>
  <c r="E101" i="6"/>
  <c r="E101" i="11" s="1"/>
  <c r="E105" i="6"/>
  <c r="E105" i="11" s="1"/>
  <c r="E106" i="6"/>
  <c r="E106" i="11" s="1"/>
  <c r="E89" i="6"/>
  <c r="E89" i="11" s="1"/>
  <c r="E100" i="6"/>
  <c r="E100" i="11" s="1"/>
  <c r="E108" i="6"/>
  <c r="E108" i="11" s="1"/>
  <c r="E110" i="6"/>
  <c r="E110" i="11" s="1"/>
  <c r="E86" i="6"/>
  <c r="E86" i="11" s="1"/>
  <c r="E96" i="6"/>
  <c r="E96" i="11" s="1"/>
  <c r="E88" i="6"/>
  <c r="E88" i="11" s="1"/>
  <c r="E79" i="6"/>
  <c r="E79" i="11" s="1"/>
  <c r="E93" i="6"/>
  <c r="E93" i="11" s="1"/>
  <c r="E95" i="6"/>
  <c r="E95" i="11" s="1"/>
  <c r="E87" i="6"/>
  <c r="E87" i="11" s="1"/>
  <c r="E94" i="6"/>
  <c r="E94" i="11" s="1"/>
  <c r="E98" i="6"/>
  <c r="E98" i="11" s="1"/>
  <c r="E114" i="6"/>
  <c r="E114" i="11" s="1"/>
  <c r="E112" i="6"/>
  <c r="E112" i="11" s="1"/>
  <c r="E85" i="6"/>
  <c r="E85" i="11" s="1"/>
  <c r="E99" i="6"/>
  <c r="E99" i="11" s="1"/>
  <c r="E82" i="6"/>
  <c r="E82" i="11" s="1"/>
  <c r="E102" i="6"/>
  <c r="E102" i="11" s="1"/>
  <c r="E97" i="6"/>
  <c r="E97" i="11" s="1"/>
  <c r="E90" i="6"/>
  <c r="E90" i="11" s="1"/>
  <c r="E103" i="6"/>
  <c r="E103" i="11" s="1"/>
  <c r="E115" i="6"/>
  <c r="E115" i="11" s="1"/>
  <c r="E92" i="6"/>
  <c r="E92" i="11" s="1"/>
  <c r="E111" i="6"/>
  <c r="E111" i="11" s="1"/>
  <c r="E91" i="6"/>
  <c r="E91" i="11" s="1"/>
  <c r="E109" i="6"/>
  <c r="E109" i="11" s="1"/>
  <c r="E84" i="6"/>
  <c r="E84" i="11" s="1"/>
  <c r="E118" i="6"/>
  <c r="E118" i="11" s="1"/>
  <c r="C78" i="4"/>
  <c r="C77" i="4"/>
  <c r="C76" i="4"/>
  <c r="C83" i="4" s="1"/>
  <c r="C75" i="4"/>
  <c r="C74" i="4"/>
  <c r="AS172" i="10" l="1"/>
  <c r="AS222" i="10" s="1"/>
  <c r="AW10" i="10"/>
  <c r="AY10" i="10" s="1"/>
  <c r="AY7" i="12"/>
  <c r="G72" i="12"/>
  <c r="AR8" i="10"/>
  <c r="Y29" i="12"/>
  <c r="AX7" i="12"/>
  <c r="W29" i="12"/>
  <c r="AX8" i="12"/>
  <c r="AR10" i="9"/>
  <c r="AT10" i="9" s="1"/>
  <c r="AW72" i="9" s="1"/>
  <c r="AR8" i="9"/>
  <c r="AR9" i="9"/>
  <c r="AT9" i="9" s="1"/>
  <c r="AS72" i="9" s="1"/>
  <c r="AR7" i="9"/>
  <c r="AR7" i="10"/>
  <c r="AR11" i="10"/>
  <c r="AT11" i="10" s="1"/>
  <c r="AZ29" i="10" s="1"/>
  <c r="AR9" i="10"/>
  <c r="AT9" i="10" s="1"/>
  <c r="AS72" i="10" s="1"/>
  <c r="AZ222" i="9"/>
  <c r="AW11" i="12"/>
  <c r="AS272" i="12"/>
  <c r="AR272" i="12" s="1"/>
  <c r="AY272" i="12" s="1"/>
  <c r="AW11" i="10"/>
  <c r="AW9" i="10"/>
  <c r="AW10" i="12"/>
  <c r="AS172" i="12"/>
  <c r="AQ172" i="12" s="1"/>
  <c r="AX172" i="12" s="1"/>
  <c r="AW9" i="12"/>
  <c r="Y17" i="12" s="1"/>
  <c r="AQ172" i="9"/>
  <c r="AX172" i="9" s="1"/>
  <c r="AZ172" i="9"/>
  <c r="AR172" i="9"/>
  <c r="AY172" i="9" s="1"/>
  <c r="AW11" i="9"/>
  <c r="AS272" i="9"/>
  <c r="AZ272" i="9" s="1"/>
  <c r="AW10" i="9"/>
  <c r="AW9" i="9"/>
  <c r="AY9" i="9" s="1"/>
  <c r="AP172" i="9"/>
  <c r="AP222" i="9" s="1"/>
  <c r="AS129" i="12"/>
  <c r="AS179" i="12" s="1"/>
  <c r="AU130" i="12"/>
  <c r="AS130" i="12" s="1"/>
  <c r="AV10" i="12"/>
  <c r="AV29" i="12"/>
  <c r="AW72" i="12"/>
  <c r="AR222" i="12"/>
  <c r="AY222" i="12" s="1"/>
  <c r="AQ222" i="12"/>
  <c r="AX222" i="12" s="1"/>
  <c r="AZ222" i="12"/>
  <c r="AP222" i="12"/>
  <c r="AW222" i="12" s="1"/>
  <c r="AS72" i="12"/>
  <c r="AR29" i="12"/>
  <c r="AT12" i="12"/>
  <c r="AV9" i="12"/>
  <c r="AV11" i="12"/>
  <c r="AZ29" i="12"/>
  <c r="BA72" i="12"/>
  <c r="D120" i="11"/>
  <c r="E120" i="11"/>
  <c r="F120" i="11"/>
  <c r="S93" i="6"/>
  <c r="S93" i="11" s="1"/>
  <c r="O93" i="11" s="1"/>
  <c r="S108" i="6"/>
  <c r="S108" i="11" s="1"/>
  <c r="O108" i="11" s="1"/>
  <c r="R99" i="6"/>
  <c r="R99" i="11" s="1"/>
  <c r="N99" i="11" s="1"/>
  <c r="R115" i="6"/>
  <c r="R115" i="11" s="1"/>
  <c r="N115" i="11" s="1"/>
  <c r="R112" i="6"/>
  <c r="R112" i="11" s="1"/>
  <c r="N112" i="11" s="1"/>
  <c r="R88" i="6"/>
  <c r="R88" i="11" s="1"/>
  <c r="N88" i="11" s="1"/>
  <c r="R105" i="6"/>
  <c r="R105" i="11" s="1"/>
  <c r="N105" i="11" s="1"/>
  <c r="R81" i="6"/>
  <c r="R81" i="11" s="1"/>
  <c r="N81" i="11" s="1"/>
  <c r="S118" i="6"/>
  <c r="S118" i="11" s="1"/>
  <c r="O118" i="11" s="1"/>
  <c r="S84" i="6"/>
  <c r="S84" i="11" s="1"/>
  <c r="O84" i="11" s="1"/>
  <c r="S94" i="6"/>
  <c r="S94" i="11" s="1"/>
  <c r="O94" i="11" s="1"/>
  <c r="S96" i="6"/>
  <c r="S96" i="11" s="1"/>
  <c r="O96" i="11" s="1"/>
  <c r="S97" i="6"/>
  <c r="S97" i="11" s="1"/>
  <c r="O97" i="11" s="1"/>
  <c r="Q84" i="6"/>
  <c r="Q84" i="11" s="1"/>
  <c r="M84" i="11" s="1"/>
  <c r="Q115" i="6"/>
  <c r="Q115" i="11" s="1"/>
  <c r="M115" i="11" s="1"/>
  <c r="R103" i="6"/>
  <c r="R103" i="11" s="1"/>
  <c r="N103" i="11" s="1"/>
  <c r="S82" i="6"/>
  <c r="S82" i="11" s="1"/>
  <c r="O82" i="11" s="1"/>
  <c r="S115" i="6"/>
  <c r="S115" i="11" s="1"/>
  <c r="O115" i="11" s="1"/>
  <c r="Q111" i="6"/>
  <c r="Q111" i="11" s="1"/>
  <c r="M111" i="11" s="1"/>
  <c r="Q102" i="6"/>
  <c r="Q102" i="11" s="1"/>
  <c r="M102" i="11" s="1"/>
  <c r="R86" i="6"/>
  <c r="R86" i="11" s="1"/>
  <c r="N86" i="11" s="1"/>
  <c r="R83" i="6"/>
  <c r="R83" i="11" s="1"/>
  <c r="N83" i="11" s="1"/>
  <c r="S104" i="6"/>
  <c r="S104" i="11" s="1"/>
  <c r="O104" i="11" s="1"/>
  <c r="S105" i="6"/>
  <c r="S105" i="11" s="1"/>
  <c r="O105" i="11" s="1"/>
  <c r="S91" i="6"/>
  <c r="S91" i="11" s="1"/>
  <c r="O91" i="11" s="1"/>
  <c r="S107" i="6"/>
  <c r="S107" i="11" s="1"/>
  <c r="O107" i="11" s="1"/>
  <c r="S98" i="6"/>
  <c r="S98" i="11" s="1"/>
  <c r="O98" i="11" s="1"/>
  <c r="Q80" i="6"/>
  <c r="Q80" i="11" s="1"/>
  <c r="M80" i="11" s="1"/>
  <c r="Q101" i="6"/>
  <c r="Q101" i="11" s="1"/>
  <c r="M101" i="11" s="1"/>
  <c r="Q97" i="6"/>
  <c r="Q97" i="11" s="1"/>
  <c r="M97" i="11" s="1"/>
  <c r="Q109" i="6"/>
  <c r="Q109" i="11" s="1"/>
  <c r="M109" i="11" s="1"/>
  <c r="Q103" i="6"/>
  <c r="Q103" i="11" s="1"/>
  <c r="M103" i="11" s="1"/>
  <c r="R101" i="6"/>
  <c r="R101" i="11" s="1"/>
  <c r="N101" i="11" s="1"/>
  <c r="Q112" i="6"/>
  <c r="Q112" i="11" s="1"/>
  <c r="M112" i="11" s="1"/>
  <c r="R90" i="6"/>
  <c r="R90" i="11" s="1"/>
  <c r="N90" i="11" s="1"/>
  <c r="R113" i="6"/>
  <c r="R113" i="11" s="1"/>
  <c r="N113" i="11" s="1"/>
  <c r="R94" i="6"/>
  <c r="R94" i="11" s="1"/>
  <c r="N94" i="11" s="1"/>
  <c r="S88" i="6"/>
  <c r="S88" i="11" s="1"/>
  <c r="O88" i="11" s="1"/>
  <c r="S83" i="6"/>
  <c r="S83" i="11" s="1"/>
  <c r="O83" i="11" s="1"/>
  <c r="S92" i="6"/>
  <c r="S92" i="11" s="1"/>
  <c r="O92" i="11" s="1"/>
  <c r="S102" i="6"/>
  <c r="S102" i="11" s="1"/>
  <c r="O102" i="11" s="1"/>
  <c r="Q105" i="6"/>
  <c r="Q105" i="11" s="1"/>
  <c r="M105" i="11" s="1"/>
  <c r="Q81" i="6"/>
  <c r="Q81" i="11" s="1"/>
  <c r="M81" i="11" s="1"/>
  <c r="Q108" i="6"/>
  <c r="Q108" i="11" s="1"/>
  <c r="M108" i="11" s="1"/>
  <c r="Q86" i="6"/>
  <c r="Q86" i="11" s="1"/>
  <c r="M86" i="11" s="1"/>
  <c r="Q94" i="6"/>
  <c r="Q94" i="11" s="1"/>
  <c r="M94" i="11" s="1"/>
  <c r="Q113" i="6"/>
  <c r="Q113" i="11" s="1"/>
  <c r="M113" i="11" s="1"/>
  <c r="R118" i="6"/>
  <c r="R118" i="11" s="1"/>
  <c r="N118" i="11" s="1"/>
  <c r="R97" i="6"/>
  <c r="R97" i="11" s="1"/>
  <c r="N97" i="11" s="1"/>
  <c r="R117" i="6"/>
  <c r="R117" i="11" s="1"/>
  <c r="N117" i="11" s="1"/>
  <c r="R102" i="6"/>
  <c r="R102" i="11" s="1"/>
  <c r="N102" i="11" s="1"/>
  <c r="R87" i="6"/>
  <c r="R87" i="11" s="1"/>
  <c r="N87" i="11" s="1"/>
  <c r="R108" i="6"/>
  <c r="R108" i="11" s="1"/>
  <c r="N108" i="11" s="1"/>
  <c r="R80" i="6"/>
  <c r="R80" i="11" s="1"/>
  <c r="N80" i="11" s="1"/>
  <c r="S80" i="6"/>
  <c r="S80" i="11" s="1"/>
  <c r="O80" i="11" s="1"/>
  <c r="S95" i="6"/>
  <c r="S95" i="11" s="1"/>
  <c r="O95" i="11" s="1"/>
  <c r="S110" i="6"/>
  <c r="S110" i="11" s="1"/>
  <c r="O110" i="11" s="1"/>
  <c r="S103" i="6"/>
  <c r="S103" i="11" s="1"/>
  <c r="O103" i="11" s="1"/>
  <c r="Q104" i="6"/>
  <c r="Q104" i="11" s="1"/>
  <c r="M104" i="11" s="1"/>
  <c r="Q90" i="6"/>
  <c r="Q90" i="11" s="1"/>
  <c r="M90" i="11" s="1"/>
  <c r="Q96" i="6"/>
  <c r="Q96" i="11" s="1"/>
  <c r="M96" i="11" s="1"/>
  <c r="Q117" i="6"/>
  <c r="Q117" i="11" s="1"/>
  <c r="M117" i="11" s="1"/>
  <c r="Q92" i="6"/>
  <c r="Q92" i="11" s="1"/>
  <c r="M92" i="11" s="1"/>
  <c r="Q110" i="6"/>
  <c r="Q110" i="11" s="1"/>
  <c r="M110" i="11" s="1"/>
  <c r="Q119" i="6"/>
  <c r="Q119" i="11" s="1"/>
  <c r="M119" i="11" s="1"/>
  <c r="R114" i="6"/>
  <c r="R114" i="11" s="1"/>
  <c r="N114" i="11" s="1"/>
  <c r="S111" i="6"/>
  <c r="S111" i="11" s="1"/>
  <c r="O111" i="11" s="1"/>
  <c r="Q93" i="6"/>
  <c r="Q93" i="11" s="1"/>
  <c r="M93" i="11" s="1"/>
  <c r="Q107" i="6"/>
  <c r="Q107" i="11" s="1"/>
  <c r="M107" i="11" s="1"/>
  <c r="R98" i="6"/>
  <c r="R98" i="11" s="1"/>
  <c r="N98" i="11" s="1"/>
  <c r="R84" i="6"/>
  <c r="R84" i="11" s="1"/>
  <c r="N84" i="11" s="1"/>
  <c r="R110" i="6"/>
  <c r="R110" i="11" s="1"/>
  <c r="N110" i="11" s="1"/>
  <c r="R109" i="6"/>
  <c r="R109" i="11" s="1"/>
  <c r="N109" i="11" s="1"/>
  <c r="R91" i="6"/>
  <c r="R91" i="11" s="1"/>
  <c r="N91" i="11" s="1"/>
  <c r="R82" i="6"/>
  <c r="R82" i="11" s="1"/>
  <c r="N82" i="11" s="1"/>
  <c r="R95" i="6"/>
  <c r="R95" i="11" s="1"/>
  <c r="N95" i="11" s="1"/>
  <c r="R100" i="6"/>
  <c r="R100" i="11" s="1"/>
  <c r="N100" i="11" s="1"/>
  <c r="R104" i="6"/>
  <c r="R104" i="11" s="1"/>
  <c r="N104" i="11" s="1"/>
  <c r="S106" i="6"/>
  <c r="S106" i="11" s="1"/>
  <c r="O106" i="11" s="1"/>
  <c r="S85" i="6"/>
  <c r="S85" i="11" s="1"/>
  <c r="O85" i="11" s="1"/>
  <c r="S100" i="6"/>
  <c r="S100" i="11" s="1"/>
  <c r="O100" i="11" s="1"/>
  <c r="S114" i="6"/>
  <c r="S114" i="11" s="1"/>
  <c r="O114" i="11" s="1"/>
  <c r="S119" i="6"/>
  <c r="S119" i="11" s="1"/>
  <c r="O119" i="11" s="1"/>
  <c r="Q118" i="6"/>
  <c r="Q118" i="11" s="1"/>
  <c r="M118" i="11" s="1"/>
  <c r="Q87" i="6"/>
  <c r="Q87" i="11" s="1"/>
  <c r="M87" i="11" s="1"/>
  <c r="Q99" i="6"/>
  <c r="Q99" i="11" s="1"/>
  <c r="M99" i="11" s="1"/>
  <c r="Q82" i="6"/>
  <c r="Q82" i="11" s="1"/>
  <c r="M82" i="11" s="1"/>
  <c r="Q83" i="6"/>
  <c r="Q83" i="11" s="1"/>
  <c r="M83" i="11" s="1"/>
  <c r="Q100" i="6"/>
  <c r="Q100" i="11" s="1"/>
  <c r="M100" i="11" s="1"/>
  <c r="Q98" i="6"/>
  <c r="Q98" i="11" s="1"/>
  <c r="M98" i="11" s="1"/>
  <c r="R96" i="6"/>
  <c r="R96" i="11" s="1"/>
  <c r="N96" i="11" s="1"/>
  <c r="R89" i="6"/>
  <c r="R89" i="11" s="1"/>
  <c r="N89" i="11" s="1"/>
  <c r="S116" i="6"/>
  <c r="S116" i="11" s="1"/>
  <c r="O116" i="11" s="1"/>
  <c r="S90" i="6"/>
  <c r="S90" i="11" s="1"/>
  <c r="O90" i="11" s="1"/>
  <c r="S89" i="6"/>
  <c r="S89" i="11" s="1"/>
  <c r="O89" i="11" s="1"/>
  <c r="S112" i="6"/>
  <c r="S112" i="11" s="1"/>
  <c r="O112" i="11" s="1"/>
  <c r="S113" i="6"/>
  <c r="S113" i="11" s="1"/>
  <c r="O113" i="11" s="1"/>
  <c r="S99" i="6"/>
  <c r="S99" i="11" s="1"/>
  <c r="O99" i="11" s="1"/>
  <c r="Q85" i="6"/>
  <c r="Q85" i="11" s="1"/>
  <c r="M85" i="11" s="1"/>
  <c r="Q95" i="6"/>
  <c r="Q95" i="11" s="1"/>
  <c r="M95" i="11" s="1"/>
  <c r="Q106" i="6"/>
  <c r="Q106" i="11" s="1"/>
  <c r="M106" i="11" s="1"/>
  <c r="Q114" i="6"/>
  <c r="Q114" i="11" s="1"/>
  <c r="M114" i="11" s="1"/>
  <c r="R107" i="6"/>
  <c r="R107" i="11" s="1"/>
  <c r="N107" i="11" s="1"/>
  <c r="S86" i="6"/>
  <c r="S86" i="11" s="1"/>
  <c r="O86" i="11" s="1"/>
  <c r="R111" i="6"/>
  <c r="R111" i="11" s="1"/>
  <c r="N111" i="11" s="1"/>
  <c r="R93" i="6"/>
  <c r="R93" i="11" s="1"/>
  <c r="N93" i="11" s="1"/>
  <c r="R119" i="6"/>
  <c r="R119" i="11" s="1"/>
  <c r="N119" i="11" s="1"/>
  <c r="R92" i="6"/>
  <c r="R92" i="11" s="1"/>
  <c r="N92" i="11" s="1"/>
  <c r="R85" i="6"/>
  <c r="R85" i="11" s="1"/>
  <c r="N85" i="11" s="1"/>
  <c r="R106" i="6"/>
  <c r="R106" i="11" s="1"/>
  <c r="N106" i="11" s="1"/>
  <c r="R116" i="6"/>
  <c r="R116" i="11" s="1"/>
  <c r="N116" i="11" s="1"/>
  <c r="S81" i="6"/>
  <c r="S81" i="11" s="1"/>
  <c r="O81" i="11" s="1"/>
  <c r="S101" i="6"/>
  <c r="S101" i="11" s="1"/>
  <c r="O101" i="11" s="1"/>
  <c r="S87" i="6"/>
  <c r="S87" i="11" s="1"/>
  <c r="O87" i="11" s="1"/>
  <c r="S117" i="6"/>
  <c r="S117" i="11" s="1"/>
  <c r="O117" i="11" s="1"/>
  <c r="S109" i="6"/>
  <c r="S109" i="11" s="1"/>
  <c r="O109" i="11" s="1"/>
  <c r="Q89" i="6"/>
  <c r="Q89" i="11" s="1"/>
  <c r="M89" i="11" s="1"/>
  <c r="Q88" i="6"/>
  <c r="Q88" i="11" s="1"/>
  <c r="M88" i="11" s="1"/>
  <c r="Q91" i="6"/>
  <c r="Q91" i="11" s="1"/>
  <c r="M91" i="11" s="1"/>
  <c r="Q116" i="6"/>
  <c r="Q116" i="11" s="1"/>
  <c r="M116" i="11" s="1"/>
  <c r="AV29" i="10"/>
  <c r="AW72" i="10"/>
  <c r="AV10" i="10"/>
  <c r="AX10" i="10" s="1"/>
  <c r="AS179" i="10"/>
  <c r="AZ129" i="10"/>
  <c r="AR129" i="10"/>
  <c r="AQ129" i="10"/>
  <c r="AP129" i="10"/>
  <c r="AU131" i="10"/>
  <c r="AS130" i="10"/>
  <c r="AU130" i="9"/>
  <c r="AU131" i="9" s="1"/>
  <c r="AU132" i="9" s="1"/>
  <c r="AU133" i="9" s="1"/>
  <c r="AU134" i="9" s="1"/>
  <c r="AU135" i="9" s="1"/>
  <c r="AU136" i="9" s="1"/>
  <c r="AU137" i="9" s="1"/>
  <c r="AU138" i="9" s="1"/>
  <c r="AU139" i="9" s="1"/>
  <c r="AU140" i="9" s="1"/>
  <c r="AU141" i="9" s="1"/>
  <c r="AU142" i="9" s="1"/>
  <c r="AU143" i="9" s="1"/>
  <c r="AU144" i="9" s="1"/>
  <c r="AU145" i="9" s="1"/>
  <c r="AU146" i="9" s="1"/>
  <c r="AU147" i="9" s="1"/>
  <c r="AU148" i="9" s="1"/>
  <c r="AU149" i="9" s="1"/>
  <c r="AU150" i="9" s="1"/>
  <c r="AU151" i="9" s="1"/>
  <c r="AU152" i="9" s="1"/>
  <c r="AU153" i="9" s="1"/>
  <c r="AU154" i="9" s="1"/>
  <c r="AU155" i="9" s="1"/>
  <c r="AU156" i="9" s="1"/>
  <c r="AU157" i="9" s="1"/>
  <c r="AU158" i="9" s="1"/>
  <c r="AU159" i="9" s="1"/>
  <c r="AU160" i="9" s="1"/>
  <c r="AU161" i="9" s="1"/>
  <c r="AU162" i="9" s="1"/>
  <c r="AU163" i="9" s="1"/>
  <c r="AU164" i="9" s="1"/>
  <c r="AU165" i="9" s="1"/>
  <c r="AU166" i="9" s="1"/>
  <c r="AU167" i="9" s="1"/>
  <c r="AU168" i="9" s="1"/>
  <c r="AU169" i="9" s="1"/>
  <c r="AS129" i="9"/>
  <c r="AZ129" i="9" s="1"/>
  <c r="AV11" i="9"/>
  <c r="AX11" i="9" s="1"/>
  <c r="AZ29" i="9"/>
  <c r="E283" i="6"/>
  <c r="R33" i="6"/>
  <c r="E314" i="6"/>
  <c r="R64" i="6"/>
  <c r="F305" i="6"/>
  <c r="S55" i="6"/>
  <c r="S39" i="6"/>
  <c r="F289" i="6"/>
  <c r="D70" i="6"/>
  <c r="D71" i="6" s="1"/>
  <c r="Q29" i="6"/>
  <c r="D279" i="6"/>
  <c r="Q30" i="6"/>
  <c r="D280" i="6"/>
  <c r="E294" i="6"/>
  <c r="R44" i="6"/>
  <c r="Q45" i="6"/>
  <c r="D295" i="6"/>
  <c r="R30" i="6"/>
  <c r="E280" i="6"/>
  <c r="Q50" i="6"/>
  <c r="D300" i="6"/>
  <c r="Q51" i="6"/>
  <c r="D301" i="6"/>
  <c r="R42" i="6"/>
  <c r="E292" i="6"/>
  <c r="S53" i="6"/>
  <c r="F303" i="6"/>
  <c r="F319" i="6"/>
  <c r="S69" i="6"/>
  <c r="Q52" i="6"/>
  <c r="D302" i="6"/>
  <c r="E301" i="6"/>
  <c r="R51" i="6"/>
  <c r="R47" i="6"/>
  <c r="E297" i="6"/>
  <c r="R31" i="6"/>
  <c r="E281" i="6"/>
  <c r="E313" i="6"/>
  <c r="R63" i="6"/>
  <c r="E284" i="6"/>
  <c r="R34" i="6"/>
  <c r="F70" i="6"/>
  <c r="F71" i="6" s="1"/>
  <c r="S29" i="6"/>
  <c r="F279" i="6"/>
  <c r="F294" i="6"/>
  <c r="S44" i="6"/>
  <c r="S43" i="6"/>
  <c r="F293" i="6"/>
  <c r="S61" i="6"/>
  <c r="F311" i="6"/>
  <c r="F312" i="6"/>
  <c r="S62" i="6"/>
  <c r="Q59" i="6"/>
  <c r="D309" i="6"/>
  <c r="Q47" i="6"/>
  <c r="D297" i="6"/>
  <c r="Q32" i="6"/>
  <c r="D282" i="6"/>
  <c r="Q63" i="6"/>
  <c r="D313" i="6"/>
  <c r="Q34" i="6"/>
  <c r="D284" i="6"/>
  <c r="Q38" i="6"/>
  <c r="D288" i="6"/>
  <c r="R79" i="6"/>
  <c r="R79" i="11" s="1"/>
  <c r="E120" i="6"/>
  <c r="E121" i="6" s="1"/>
  <c r="E121" i="11" s="1"/>
  <c r="E317" i="6"/>
  <c r="R67" i="6"/>
  <c r="S57" i="6"/>
  <c r="F307" i="6"/>
  <c r="S34" i="6"/>
  <c r="F284" i="6"/>
  <c r="E70" i="6"/>
  <c r="E71" i="6" s="1"/>
  <c r="E279" i="6"/>
  <c r="R29" i="6"/>
  <c r="S33" i="6"/>
  <c r="F283" i="6"/>
  <c r="R54" i="6"/>
  <c r="E304" i="6"/>
  <c r="E282" i="6"/>
  <c r="R32" i="6"/>
  <c r="F120" i="6"/>
  <c r="F121" i="6" s="1"/>
  <c r="F121" i="11" s="1"/>
  <c r="S79" i="6"/>
  <c r="S79" i="11" s="1"/>
  <c r="F286" i="6"/>
  <c r="S36" i="6"/>
  <c r="E295" i="6"/>
  <c r="R45" i="6"/>
  <c r="S45" i="6"/>
  <c r="F295" i="6"/>
  <c r="Q46" i="6"/>
  <c r="D296" i="6"/>
  <c r="D294" i="6"/>
  <c r="Q44" i="6"/>
  <c r="R52" i="6"/>
  <c r="E302" i="6"/>
  <c r="R59" i="6"/>
  <c r="E309" i="6"/>
  <c r="E318" i="6"/>
  <c r="R68" i="6"/>
  <c r="E306" i="6"/>
  <c r="R56" i="6"/>
  <c r="R66" i="6"/>
  <c r="E316" i="6"/>
  <c r="R69" i="6"/>
  <c r="E319" i="6"/>
  <c r="S64" i="6"/>
  <c r="F314" i="6"/>
  <c r="S60" i="6"/>
  <c r="F310" i="6"/>
  <c r="S68" i="6"/>
  <c r="F318" i="6"/>
  <c r="S63" i="6"/>
  <c r="F313" i="6"/>
  <c r="S30" i="6"/>
  <c r="F280" i="6"/>
  <c r="S66" i="6"/>
  <c r="F316" i="6"/>
  <c r="Q37" i="6"/>
  <c r="D287" i="6"/>
  <c r="D308" i="6"/>
  <c r="Q58" i="6"/>
  <c r="D318" i="6"/>
  <c r="Q68" i="6"/>
  <c r="D283" i="6"/>
  <c r="Q33" i="6"/>
  <c r="D289" i="6"/>
  <c r="Q39" i="6"/>
  <c r="R60" i="6"/>
  <c r="E310" i="6"/>
  <c r="F304" i="6"/>
  <c r="S54" i="6"/>
  <c r="F306" i="6"/>
  <c r="S56" i="6"/>
  <c r="D312" i="6"/>
  <c r="Q62" i="6"/>
  <c r="D314" i="6"/>
  <c r="Q64" i="6"/>
  <c r="E311" i="6"/>
  <c r="R61" i="6"/>
  <c r="R39" i="6"/>
  <c r="E289" i="6"/>
  <c r="S32" i="6"/>
  <c r="F282" i="6"/>
  <c r="S40" i="6"/>
  <c r="F290" i="6"/>
  <c r="Q61" i="6"/>
  <c r="D311" i="6"/>
  <c r="D292" i="6"/>
  <c r="Q42" i="6"/>
  <c r="Q56" i="6"/>
  <c r="D306" i="6"/>
  <c r="R36" i="6"/>
  <c r="E286" i="6"/>
  <c r="F281" i="6"/>
  <c r="S31" i="6"/>
  <c r="E293" i="6"/>
  <c r="R43" i="6"/>
  <c r="S47" i="6"/>
  <c r="F297" i="6"/>
  <c r="Q49" i="6"/>
  <c r="D299" i="6"/>
  <c r="Q43" i="6"/>
  <c r="D293" i="6"/>
  <c r="Q65" i="6"/>
  <c r="D315" i="6"/>
  <c r="R58" i="6"/>
  <c r="E308" i="6"/>
  <c r="R46" i="6"/>
  <c r="E296" i="6"/>
  <c r="R62" i="6"/>
  <c r="E312" i="6"/>
  <c r="E298" i="6"/>
  <c r="R48" i="6"/>
  <c r="R55" i="6"/>
  <c r="E305" i="6"/>
  <c r="R38" i="6"/>
  <c r="E288" i="6"/>
  <c r="S50" i="6"/>
  <c r="F300" i="6"/>
  <c r="S49" i="6"/>
  <c r="F299" i="6"/>
  <c r="F298" i="6"/>
  <c r="S48" i="6"/>
  <c r="F317" i="6"/>
  <c r="S67" i="6"/>
  <c r="F308" i="6"/>
  <c r="S58" i="6"/>
  <c r="F315" i="6"/>
  <c r="S65" i="6"/>
  <c r="Q31" i="6"/>
  <c r="D281" i="6"/>
  <c r="D319" i="6"/>
  <c r="Q69" i="6"/>
  <c r="Q40" i="6"/>
  <c r="D290" i="6"/>
  <c r="Q35" i="6"/>
  <c r="D285" i="6"/>
  <c r="E287" i="6"/>
  <c r="R37" i="6"/>
  <c r="D305" i="6"/>
  <c r="Q55" i="6"/>
  <c r="D307" i="6"/>
  <c r="Q57" i="6"/>
  <c r="E290" i="6"/>
  <c r="R40" i="6"/>
  <c r="S42" i="6"/>
  <c r="F292" i="6"/>
  <c r="F291" i="6"/>
  <c r="S41" i="6"/>
  <c r="D120" i="6"/>
  <c r="D121" i="6" s="1"/>
  <c r="D121" i="11" s="1"/>
  <c r="Q79" i="6"/>
  <c r="Q79" i="11" s="1"/>
  <c r="D310" i="6"/>
  <c r="Q60" i="6"/>
  <c r="Q48" i="6"/>
  <c r="D298" i="6"/>
  <c r="Q66" i="6"/>
  <c r="D316" i="6"/>
  <c r="E285" i="6"/>
  <c r="R35" i="6"/>
  <c r="S46" i="6"/>
  <c r="F296" i="6"/>
  <c r="Q36" i="6"/>
  <c r="D286" i="6"/>
  <c r="R41" i="6"/>
  <c r="E291" i="6"/>
  <c r="R65" i="6"/>
  <c r="E315" i="6"/>
  <c r="F285" i="6"/>
  <c r="S35" i="6"/>
  <c r="R50" i="6"/>
  <c r="E300" i="6"/>
  <c r="R49" i="6"/>
  <c r="E299" i="6"/>
  <c r="E307" i="6"/>
  <c r="R57" i="6"/>
  <c r="E303" i="6"/>
  <c r="R53" i="6"/>
  <c r="F288" i="6"/>
  <c r="S38" i="6"/>
  <c r="F301" i="6"/>
  <c r="S51" i="6"/>
  <c r="F302" i="6"/>
  <c r="S52" i="6"/>
  <c r="S37" i="6"/>
  <c r="F287" i="6"/>
  <c r="S59" i="6"/>
  <c r="F309" i="6"/>
  <c r="D304" i="6"/>
  <c r="Q54" i="6"/>
  <c r="Q53" i="6"/>
  <c r="D303" i="6"/>
  <c r="D317" i="6"/>
  <c r="Q67" i="6"/>
  <c r="D291" i="6"/>
  <c r="Q41" i="6"/>
  <c r="C53" i="4"/>
  <c r="C54" i="4" s="1"/>
  <c r="C55" i="4" s="1"/>
  <c r="C56" i="4" s="1"/>
  <c r="C57" i="4" s="1"/>
  <c r="C58" i="4" s="1"/>
  <c r="C59" i="4" s="1"/>
  <c r="C60" i="4" s="1"/>
  <c r="C61" i="4" s="1"/>
  <c r="C62" i="4" s="1"/>
  <c r="E78" i="4"/>
  <c r="E76" i="4"/>
  <c r="E77" i="4"/>
  <c r="AZ172" i="10" l="1"/>
  <c r="AP172" i="10"/>
  <c r="AQ172" i="10"/>
  <c r="AR172" i="10"/>
  <c r="AV29" i="9"/>
  <c r="AV10" i="9"/>
  <c r="AX10" i="9" s="1"/>
  <c r="AB29" i="12"/>
  <c r="AD29" i="12" s="1"/>
  <c r="E83" i="4"/>
  <c r="AV11" i="10"/>
  <c r="AX11" i="10" s="1"/>
  <c r="AT12" i="10"/>
  <c r="AR29" i="10"/>
  <c r="E79" i="4"/>
  <c r="AY10" i="9"/>
  <c r="AY9" i="10"/>
  <c r="AY11" i="10"/>
  <c r="BA72" i="10"/>
  <c r="AV9" i="10"/>
  <c r="AZ272" i="12"/>
  <c r="AQ272" i="12"/>
  <c r="AX272" i="12" s="1"/>
  <c r="AP272" i="12"/>
  <c r="AW272" i="12" s="1"/>
  <c r="AW12" i="10"/>
  <c r="AZ172" i="12"/>
  <c r="AR172" i="12"/>
  <c r="AY172" i="12" s="1"/>
  <c r="AP172" i="12"/>
  <c r="AW172" i="12" s="1"/>
  <c r="AW12" i="9"/>
  <c r="AY11" i="9"/>
  <c r="AR222" i="9"/>
  <c r="AR272" i="9" s="1"/>
  <c r="AY272" i="9" s="1"/>
  <c r="AQ222" i="9"/>
  <c r="AQ272" i="9" s="1"/>
  <c r="AX272" i="9" s="1"/>
  <c r="AW12" i="12"/>
  <c r="AW172" i="9"/>
  <c r="AQ129" i="12"/>
  <c r="AQ179" i="12" s="1"/>
  <c r="AZ129" i="12"/>
  <c r="AP129" i="12"/>
  <c r="AW129" i="12" s="1"/>
  <c r="AR129" i="12"/>
  <c r="AY129" i="12" s="1"/>
  <c r="AU131" i="12"/>
  <c r="E122" i="11"/>
  <c r="D122" i="11"/>
  <c r="AV12" i="12"/>
  <c r="AS229" i="12"/>
  <c r="AZ179" i="12"/>
  <c r="AP130" i="12"/>
  <c r="AR130" i="12"/>
  <c r="AS180" i="12"/>
  <c r="AQ130" i="12"/>
  <c r="AZ130" i="12"/>
  <c r="F122" i="11"/>
  <c r="R120" i="11"/>
  <c r="N79" i="11"/>
  <c r="Q120" i="11"/>
  <c r="M79" i="11"/>
  <c r="S120" i="11"/>
  <c r="O79" i="11"/>
  <c r="T119" i="6"/>
  <c r="T82" i="6"/>
  <c r="T99" i="6"/>
  <c r="T114" i="6"/>
  <c r="T117" i="6"/>
  <c r="T104" i="6"/>
  <c r="T98" i="6"/>
  <c r="T84" i="6"/>
  <c r="T90" i="6"/>
  <c r="T100" i="6"/>
  <c r="T94" i="6"/>
  <c r="T106" i="6"/>
  <c r="T101" i="6"/>
  <c r="T111" i="6"/>
  <c r="T111" i="11" s="1"/>
  <c r="T107" i="6"/>
  <c r="T97" i="6"/>
  <c r="T109" i="6"/>
  <c r="T96" i="6"/>
  <c r="T86" i="6"/>
  <c r="T83" i="6"/>
  <c r="T83" i="11" s="1"/>
  <c r="T81" i="6"/>
  <c r="T95" i="6"/>
  <c r="T91" i="6"/>
  <c r="T110" i="6"/>
  <c r="T110" i="11" s="1"/>
  <c r="T103" i="6"/>
  <c r="T105" i="6"/>
  <c r="T116" i="6"/>
  <c r="T85" i="6"/>
  <c r="T89" i="6"/>
  <c r="T113" i="6"/>
  <c r="T115" i="6"/>
  <c r="T115" i="11" s="1"/>
  <c r="T87" i="6"/>
  <c r="T87" i="11" s="1"/>
  <c r="T108" i="6"/>
  <c r="T102" i="6"/>
  <c r="T102" i="11" s="1"/>
  <c r="T92" i="6"/>
  <c r="T112" i="6"/>
  <c r="T80" i="6"/>
  <c r="T118" i="6"/>
  <c r="T93" i="6"/>
  <c r="T88" i="6"/>
  <c r="R309" i="6"/>
  <c r="R287" i="6"/>
  <c r="R305" i="6"/>
  <c r="R308" i="6"/>
  <c r="R295" i="6"/>
  <c r="R121" i="6"/>
  <c r="R121" i="11" s="1"/>
  <c r="S294" i="6"/>
  <c r="R303" i="6"/>
  <c r="S313" i="6"/>
  <c r="S287" i="6"/>
  <c r="S302" i="6"/>
  <c r="R307" i="6"/>
  <c r="S285" i="6"/>
  <c r="S292" i="6"/>
  <c r="S315" i="6"/>
  <c r="R298" i="6"/>
  <c r="S297" i="6"/>
  <c r="R286" i="6"/>
  <c r="S290" i="6"/>
  <c r="R310" i="6"/>
  <c r="S318" i="6"/>
  <c r="R316" i="6"/>
  <c r="R302" i="6"/>
  <c r="R304" i="6"/>
  <c r="R120" i="6"/>
  <c r="R294" i="6"/>
  <c r="S289" i="6"/>
  <c r="R319" i="6"/>
  <c r="R290" i="6"/>
  <c r="S299" i="6"/>
  <c r="R293" i="6"/>
  <c r="R306" i="6"/>
  <c r="S286" i="6"/>
  <c r="S312" i="6"/>
  <c r="R281" i="6"/>
  <c r="S319" i="6"/>
  <c r="S305" i="6"/>
  <c r="S298" i="6"/>
  <c r="S293" i="6"/>
  <c r="S282" i="6"/>
  <c r="S310" i="6"/>
  <c r="S284" i="6"/>
  <c r="R315" i="6"/>
  <c r="S300" i="6"/>
  <c r="R312" i="6"/>
  <c r="S306" i="6"/>
  <c r="R318" i="6"/>
  <c r="S120" i="6"/>
  <c r="R297" i="6"/>
  <c r="R314" i="6"/>
  <c r="S295" i="6"/>
  <c r="R292" i="6"/>
  <c r="S316" i="6"/>
  <c r="R299" i="6"/>
  <c r="R285" i="6"/>
  <c r="S288" i="6"/>
  <c r="Q121" i="6"/>
  <c r="Q121" i="11" s="1"/>
  <c r="S317" i="6"/>
  <c r="R289" i="6"/>
  <c r="S280" i="6"/>
  <c r="S314" i="6"/>
  <c r="S121" i="6"/>
  <c r="S121" i="11" s="1"/>
  <c r="S283" i="6"/>
  <c r="S307" i="6"/>
  <c r="S311" i="6"/>
  <c r="R284" i="6"/>
  <c r="R301" i="6"/>
  <c r="S303" i="6"/>
  <c r="R313" i="6"/>
  <c r="S301" i="6"/>
  <c r="S296" i="6"/>
  <c r="S308" i="6"/>
  <c r="S309" i="6"/>
  <c r="R300" i="6"/>
  <c r="R291" i="6"/>
  <c r="S291" i="6"/>
  <c r="R288" i="6"/>
  <c r="R296" i="6"/>
  <c r="S281" i="6"/>
  <c r="R311" i="6"/>
  <c r="S304" i="6"/>
  <c r="R282" i="6"/>
  <c r="R317" i="6"/>
  <c r="R280" i="6"/>
  <c r="R283" i="6"/>
  <c r="AS131" i="10"/>
  <c r="AU132" i="10"/>
  <c r="AS229" i="10"/>
  <c r="AZ179" i="10"/>
  <c r="AP222" i="10"/>
  <c r="AW172" i="10"/>
  <c r="AQ222" i="10"/>
  <c r="AX172" i="10"/>
  <c r="AR222" i="10"/>
  <c r="AY172" i="10"/>
  <c r="AS272" i="10"/>
  <c r="AZ272" i="10" s="1"/>
  <c r="AZ222" i="10"/>
  <c r="AW129" i="10"/>
  <c r="AP179" i="10"/>
  <c r="AX129" i="10"/>
  <c r="AQ179" i="10"/>
  <c r="AP130" i="10"/>
  <c r="AZ130" i="10"/>
  <c r="AS180" i="10"/>
  <c r="AR130" i="10"/>
  <c r="AQ130" i="10"/>
  <c r="AR179" i="10"/>
  <c r="AY129" i="10"/>
  <c r="AS130" i="9"/>
  <c r="AS180" i="9" s="1"/>
  <c r="AP129" i="9"/>
  <c r="AW129" i="9" s="1"/>
  <c r="AQ129" i="9"/>
  <c r="AQ179" i="9" s="1"/>
  <c r="AR129" i="9"/>
  <c r="AY129" i="9" s="1"/>
  <c r="AS179" i="9"/>
  <c r="AZ179" i="9" s="1"/>
  <c r="AT12" i="9"/>
  <c r="AR29" i="9"/>
  <c r="AV9" i="9"/>
  <c r="AX9" i="9" s="1"/>
  <c r="AP272" i="9"/>
  <c r="AW272" i="9" s="1"/>
  <c r="AW222" i="9"/>
  <c r="AS131" i="9"/>
  <c r="Q301" i="6"/>
  <c r="T51" i="6"/>
  <c r="Q282" i="6"/>
  <c r="T32" i="6"/>
  <c r="Q306" i="6"/>
  <c r="T56" i="6"/>
  <c r="Q288" i="6"/>
  <c r="T38" i="6"/>
  <c r="Q303" i="6"/>
  <c r="T53" i="6"/>
  <c r="Q307" i="6"/>
  <c r="T57" i="6"/>
  <c r="Q292" i="6"/>
  <c r="T42" i="6"/>
  <c r="S71" i="6"/>
  <c r="F321" i="6"/>
  <c r="Q286" i="6"/>
  <c r="T36" i="6"/>
  <c r="Q314" i="6"/>
  <c r="T64" i="6"/>
  <c r="E321" i="6"/>
  <c r="R71" i="6"/>
  <c r="Q313" i="6"/>
  <c r="T63" i="6"/>
  <c r="Q295" i="6"/>
  <c r="T45" i="6"/>
  <c r="T67" i="6"/>
  <c r="Q317" i="6"/>
  <c r="Q318" i="6"/>
  <c r="T68" i="6"/>
  <c r="Q302" i="6"/>
  <c r="T52" i="6"/>
  <c r="T44" i="6"/>
  <c r="Q294" i="6"/>
  <c r="F320" i="6"/>
  <c r="Q293" i="6"/>
  <c r="T43" i="6"/>
  <c r="Q296" i="6"/>
  <c r="T46" i="6"/>
  <c r="Q284" i="6"/>
  <c r="T34" i="6"/>
  <c r="Q297" i="6"/>
  <c r="T47" i="6"/>
  <c r="D320" i="6"/>
  <c r="Q310" i="6"/>
  <c r="T60" i="6"/>
  <c r="Q315" i="6"/>
  <c r="T65" i="6"/>
  <c r="S70" i="6"/>
  <c r="S279" i="6"/>
  <c r="Q300" i="6"/>
  <c r="T50" i="6"/>
  <c r="Q120" i="6"/>
  <c r="T79" i="6"/>
  <c r="T79" i="11" s="1"/>
  <c r="Q281" i="6"/>
  <c r="T31" i="6"/>
  <c r="Q289" i="6"/>
  <c r="T39" i="6"/>
  <c r="Q280" i="6"/>
  <c r="T30" i="6"/>
  <c r="Q305" i="6"/>
  <c r="T55" i="6"/>
  <c r="Q290" i="6"/>
  <c r="T40" i="6"/>
  <c r="R279" i="6"/>
  <c r="R70" i="6"/>
  <c r="T29" i="6"/>
  <c r="Q279" i="6"/>
  <c r="Q70" i="6"/>
  <c r="T48" i="6"/>
  <c r="Q298" i="6"/>
  <c r="Q312" i="6"/>
  <c r="T62" i="6"/>
  <c r="Q285" i="6"/>
  <c r="T35" i="6"/>
  <c r="T58" i="6"/>
  <c r="Q308" i="6"/>
  <c r="Q304" i="6"/>
  <c r="T54" i="6"/>
  <c r="Q291" i="6"/>
  <c r="T41" i="6"/>
  <c r="Q316" i="6"/>
  <c r="T66" i="6"/>
  <c r="Q319" i="6"/>
  <c r="T69" i="6"/>
  <c r="Q299" i="6"/>
  <c r="T49" i="6"/>
  <c r="Q311" i="6"/>
  <c r="T61" i="6"/>
  <c r="Q283" i="6"/>
  <c r="T33" i="6"/>
  <c r="Q287" i="6"/>
  <c r="T37" i="6"/>
  <c r="E320" i="6"/>
  <c r="Q309" i="6"/>
  <c r="T59" i="6"/>
  <c r="Q71" i="6"/>
  <c r="D321" i="6"/>
  <c r="AD74" i="4"/>
  <c r="AC74" i="4"/>
  <c r="AB74" i="4"/>
  <c r="Z74" i="4"/>
  <c r="Y74" i="4"/>
  <c r="X74" i="4"/>
  <c r="V74" i="4"/>
  <c r="U74" i="4"/>
  <c r="T74" i="4"/>
  <c r="N75" i="4"/>
  <c r="E86" i="4"/>
  <c r="E84" i="4"/>
  <c r="E85" i="4"/>
  <c r="AX12" i="9" l="1"/>
  <c r="AV12" i="10"/>
  <c r="E87" i="4"/>
  <c r="AY12" i="10"/>
  <c r="AY12" i="9"/>
  <c r="AX9" i="10"/>
  <c r="AX12" i="10" s="1"/>
  <c r="AX222" i="9"/>
  <c r="AY222" i="9"/>
  <c r="AX129" i="12"/>
  <c r="AR179" i="12"/>
  <c r="AR229" i="12" s="1"/>
  <c r="AP179" i="12"/>
  <c r="AW179" i="12" s="1"/>
  <c r="AU132" i="12"/>
  <c r="AU133" i="12" s="1"/>
  <c r="AS131" i="12"/>
  <c r="AS181" i="12" s="1"/>
  <c r="AZ229" i="12"/>
  <c r="AP180" i="12"/>
  <c r="AW130" i="12"/>
  <c r="AP29" i="12"/>
  <c r="AQ229" i="12"/>
  <c r="AX179" i="12"/>
  <c r="AX130" i="12"/>
  <c r="AQ180" i="12"/>
  <c r="AS230" i="12"/>
  <c r="AZ230" i="12" s="1"/>
  <c r="AZ180" i="12"/>
  <c r="AR180" i="12"/>
  <c r="AY130" i="12"/>
  <c r="AD93" i="6"/>
  <c r="AD93" i="11" s="1"/>
  <c r="T93" i="11"/>
  <c r="O121" i="11"/>
  <c r="S122" i="11"/>
  <c r="N121" i="11"/>
  <c r="R122" i="11"/>
  <c r="AD118" i="6"/>
  <c r="AD118" i="11" s="1"/>
  <c r="T118" i="11"/>
  <c r="AD113" i="6"/>
  <c r="AD113" i="11" s="1"/>
  <c r="T113" i="11"/>
  <c r="AD95" i="6"/>
  <c r="AD95" i="11" s="1"/>
  <c r="T95" i="11"/>
  <c r="AD104" i="6"/>
  <c r="AD104" i="11" s="1"/>
  <c r="T104" i="11"/>
  <c r="AD91" i="6"/>
  <c r="AD91" i="11" s="1"/>
  <c r="T91" i="11"/>
  <c r="AD107" i="6"/>
  <c r="AD107" i="11" s="1"/>
  <c r="T107" i="11"/>
  <c r="AD98" i="6"/>
  <c r="AD98" i="11" s="1"/>
  <c r="T98" i="11"/>
  <c r="AD80" i="6"/>
  <c r="AD80" i="11" s="1"/>
  <c r="T80" i="11"/>
  <c r="AD89" i="6"/>
  <c r="AD89" i="11" s="1"/>
  <c r="T89" i="11"/>
  <c r="AD81" i="6"/>
  <c r="AD81" i="11" s="1"/>
  <c r="T81" i="11"/>
  <c r="AD101" i="6"/>
  <c r="AD101" i="11" s="1"/>
  <c r="T101" i="11"/>
  <c r="AD117" i="6"/>
  <c r="AD117" i="11" s="1"/>
  <c r="T117" i="11"/>
  <c r="AD112" i="6"/>
  <c r="AD112" i="11" s="1"/>
  <c r="T112" i="11"/>
  <c r="AD85" i="6"/>
  <c r="AD85" i="11" s="1"/>
  <c r="T85" i="11"/>
  <c r="AD106" i="6"/>
  <c r="AD106" i="11" s="1"/>
  <c r="T106" i="11"/>
  <c r="AD114" i="6"/>
  <c r="AD114" i="11" s="1"/>
  <c r="T114" i="11"/>
  <c r="AD92" i="6"/>
  <c r="AD92" i="11" s="1"/>
  <c r="T92" i="11"/>
  <c r="AD116" i="6"/>
  <c r="AD116" i="11" s="1"/>
  <c r="T116" i="11"/>
  <c r="AD86" i="6"/>
  <c r="AD86" i="11" s="1"/>
  <c r="T86" i="11"/>
  <c r="AD94" i="6"/>
  <c r="AD94" i="11" s="1"/>
  <c r="T94" i="11"/>
  <c r="AD99" i="6"/>
  <c r="AD99" i="11" s="1"/>
  <c r="T99" i="11"/>
  <c r="AD105" i="6"/>
  <c r="AD105" i="11" s="1"/>
  <c r="T105" i="11"/>
  <c r="AD96" i="6"/>
  <c r="AD96" i="11" s="1"/>
  <c r="T96" i="11"/>
  <c r="AD100" i="6"/>
  <c r="AD100" i="11" s="1"/>
  <c r="T100" i="11"/>
  <c r="AD82" i="6"/>
  <c r="AD82" i="11" s="1"/>
  <c r="T82" i="11"/>
  <c r="M121" i="11"/>
  <c r="Q122" i="11"/>
  <c r="AD108" i="6"/>
  <c r="AD108" i="11" s="1"/>
  <c r="T108" i="11"/>
  <c r="AD103" i="6"/>
  <c r="AD103" i="11" s="1"/>
  <c r="T103" i="11"/>
  <c r="AD109" i="6"/>
  <c r="AD109" i="11" s="1"/>
  <c r="T109" i="11"/>
  <c r="AD90" i="6"/>
  <c r="AD90" i="11" s="1"/>
  <c r="T90" i="11"/>
  <c r="AD119" i="6"/>
  <c r="AD119" i="11" s="1"/>
  <c r="T119" i="11"/>
  <c r="AD88" i="6"/>
  <c r="AD88" i="11" s="1"/>
  <c r="T88" i="11"/>
  <c r="AD97" i="6"/>
  <c r="AD97" i="11" s="1"/>
  <c r="T97" i="11"/>
  <c r="AD84" i="6"/>
  <c r="AD84" i="11" s="1"/>
  <c r="T84" i="11"/>
  <c r="AD102" i="6"/>
  <c r="AD111" i="6"/>
  <c r="AD83" i="6"/>
  <c r="R122" i="6"/>
  <c r="AD115" i="6"/>
  <c r="T120" i="6"/>
  <c r="AD87" i="6"/>
  <c r="AD110" i="6"/>
  <c r="R320" i="6"/>
  <c r="S122" i="6"/>
  <c r="T121" i="6"/>
  <c r="T121" i="11" s="1"/>
  <c r="S320" i="6"/>
  <c r="AD79" i="6"/>
  <c r="AD79" i="11" s="1"/>
  <c r="S321" i="6"/>
  <c r="AQ272" i="10"/>
  <c r="AX272" i="10" s="1"/>
  <c r="AX222" i="10"/>
  <c r="AR180" i="10"/>
  <c r="AY130" i="10"/>
  <c r="AS230" i="10"/>
  <c r="AZ230" i="10" s="1"/>
  <c r="AZ180" i="10"/>
  <c r="AW222" i="10"/>
  <c r="AP272" i="10"/>
  <c r="AW272" i="10" s="1"/>
  <c r="AP180" i="10"/>
  <c r="AW130" i="10"/>
  <c r="AY222" i="10"/>
  <c r="AR272" i="10"/>
  <c r="AY272" i="10" s="1"/>
  <c r="AQ130" i="9"/>
  <c r="AX130" i="9" s="1"/>
  <c r="AQ229" i="10"/>
  <c r="AX179" i="10"/>
  <c r="AZ229" i="10"/>
  <c r="AX130" i="10"/>
  <c r="AQ180" i="10"/>
  <c r="AU133" i="10"/>
  <c r="AS132" i="10"/>
  <c r="AR229" i="10"/>
  <c r="AY179" i="10"/>
  <c r="AW179" i="10"/>
  <c r="AP229" i="10"/>
  <c r="AQ131" i="10"/>
  <c r="AP131" i="10"/>
  <c r="AS181" i="10"/>
  <c r="AZ131" i="10"/>
  <c r="AR131" i="10"/>
  <c r="AP29" i="10"/>
  <c r="AZ130" i="9"/>
  <c r="AS229" i="9"/>
  <c r="AZ229" i="9" s="1"/>
  <c r="AP130" i="9"/>
  <c r="AW130" i="9" s="1"/>
  <c r="AR130" i="9"/>
  <c r="AY130" i="9" s="1"/>
  <c r="AX129" i="9"/>
  <c r="AP179" i="9"/>
  <c r="AP229" i="9" s="1"/>
  <c r="AW229" i="9" s="1"/>
  <c r="AR179" i="9"/>
  <c r="AY179" i="9" s="1"/>
  <c r="AP29" i="9"/>
  <c r="AS29" i="9" s="1"/>
  <c r="AV12" i="9"/>
  <c r="AS230" i="9"/>
  <c r="AZ230" i="9" s="1"/>
  <c r="AZ180" i="9"/>
  <c r="AQ229" i="9"/>
  <c r="AX229" i="9" s="1"/>
  <c r="AX179" i="9"/>
  <c r="AZ131" i="9"/>
  <c r="AS181" i="9"/>
  <c r="AQ131" i="9"/>
  <c r="AP131" i="9"/>
  <c r="AR131" i="9"/>
  <c r="AS132" i="9"/>
  <c r="Q122" i="6"/>
  <c r="D322" i="6"/>
  <c r="E322" i="6"/>
  <c r="AD29" i="6"/>
  <c r="T279" i="6"/>
  <c r="AD58" i="6"/>
  <c r="T308" i="6"/>
  <c r="Q320" i="6"/>
  <c r="AD30" i="6"/>
  <c r="T280" i="6"/>
  <c r="AD50" i="6"/>
  <c r="T300" i="6"/>
  <c r="AD43" i="6"/>
  <c r="T293" i="6"/>
  <c r="F322" i="6"/>
  <c r="T288" i="6"/>
  <c r="AD38" i="6"/>
  <c r="AD33" i="6"/>
  <c r="T283" i="6"/>
  <c r="AD39" i="6"/>
  <c r="T289" i="6"/>
  <c r="R321" i="6"/>
  <c r="R72" i="6"/>
  <c r="S72" i="6"/>
  <c r="AD34" i="6"/>
  <c r="T284" i="6"/>
  <c r="AD59" i="6"/>
  <c r="T309" i="6"/>
  <c r="T290" i="6"/>
  <c r="AD40" i="6"/>
  <c r="AD31" i="6"/>
  <c r="T281" i="6"/>
  <c r="AD65" i="6"/>
  <c r="T315" i="6"/>
  <c r="AD67" i="6"/>
  <c r="T317" i="6"/>
  <c r="AD64" i="6"/>
  <c r="T314" i="6"/>
  <c r="AD49" i="6"/>
  <c r="T299" i="6"/>
  <c r="T304" i="6"/>
  <c r="AD54" i="6"/>
  <c r="AD45" i="6"/>
  <c r="T295" i="6"/>
  <c r="T316" i="6"/>
  <c r="AD66" i="6"/>
  <c r="AD68" i="6"/>
  <c r="T318" i="6"/>
  <c r="T292" i="6"/>
  <c r="AD42" i="6"/>
  <c r="AD61" i="6"/>
  <c r="T311" i="6"/>
  <c r="AD62" i="6"/>
  <c r="T312" i="6"/>
  <c r="AD32" i="6"/>
  <c r="T282" i="6"/>
  <c r="AD48" i="6"/>
  <c r="T298" i="6"/>
  <c r="T305" i="6"/>
  <c r="AD55" i="6"/>
  <c r="AD60" i="6"/>
  <c r="T310" i="6"/>
  <c r="T296" i="6"/>
  <c r="AD46" i="6"/>
  <c r="T294" i="6"/>
  <c r="AD44" i="6"/>
  <c r="T286" i="6"/>
  <c r="AD36" i="6"/>
  <c r="AD53" i="6"/>
  <c r="T303" i="6"/>
  <c r="AD51" i="6"/>
  <c r="T301" i="6"/>
  <c r="AD35" i="6"/>
  <c r="T285" i="6"/>
  <c r="AD47" i="6"/>
  <c r="T297" i="6"/>
  <c r="T306" i="6"/>
  <c r="AD56" i="6"/>
  <c r="Q72" i="6"/>
  <c r="T71" i="6"/>
  <c r="Q321" i="6"/>
  <c r="T291" i="6"/>
  <c r="AD41" i="6"/>
  <c r="AD57" i="6"/>
  <c r="T307" i="6"/>
  <c r="T287" i="6"/>
  <c r="AD37" i="6"/>
  <c r="AD69" i="6"/>
  <c r="T319" i="6"/>
  <c r="T70" i="6"/>
  <c r="T302" i="6"/>
  <c r="AD52" i="6"/>
  <c r="T313" i="6"/>
  <c r="AD63" i="6"/>
  <c r="N76" i="4"/>
  <c r="N77" i="4" s="1"/>
  <c r="N78" i="4" s="1"/>
  <c r="N79" i="4" s="1"/>
  <c r="N80" i="4" s="1"/>
  <c r="N81" i="4" s="1"/>
  <c r="N82" i="4" s="1"/>
  <c r="N83" i="4" s="1"/>
  <c r="N84" i="4" s="1"/>
  <c r="N85" i="4" s="1"/>
  <c r="N86" i="4" s="1"/>
  <c r="N87" i="4" s="1"/>
  <c r="N88" i="4" s="1"/>
  <c r="N89" i="4" s="1"/>
  <c r="N90" i="4" s="1"/>
  <c r="N91" i="4" s="1"/>
  <c r="N92" i="4" s="1"/>
  <c r="N93" i="4" s="1"/>
  <c r="N94" i="4" s="1"/>
  <c r="N95" i="4" s="1"/>
  <c r="N96" i="4" s="1"/>
  <c r="N97" i="4" s="1"/>
  <c r="N98" i="4" s="1"/>
  <c r="N99" i="4" s="1"/>
  <c r="N100" i="4" s="1"/>
  <c r="N101" i="4" s="1"/>
  <c r="N102" i="4" s="1"/>
  <c r="N103" i="4" s="1"/>
  <c r="N104" i="4" s="1"/>
  <c r="N105" i="4" s="1"/>
  <c r="N106" i="4" s="1"/>
  <c r="N107" i="4" s="1"/>
  <c r="N108" i="4" s="1"/>
  <c r="N109" i="4" s="1"/>
  <c r="N110" i="4" s="1"/>
  <c r="N111" i="4" s="1"/>
  <c r="N112" i="4" s="1"/>
  <c r="N113" i="4" s="1"/>
  <c r="N114" i="4" s="1"/>
  <c r="N115" i="4" s="1"/>
  <c r="AY179" i="12" l="1"/>
  <c r="AP69" i="12"/>
  <c r="AP61" i="12"/>
  <c r="AP53" i="12"/>
  <c r="AP45" i="12"/>
  <c r="AP37" i="12"/>
  <c r="AQ131" i="12"/>
  <c r="AQ181" i="12" s="1"/>
  <c r="AS132" i="12"/>
  <c r="AR132" i="12" s="1"/>
  <c r="AP229" i="12"/>
  <c r="AW229" i="12" s="1"/>
  <c r="AP131" i="12"/>
  <c r="AP181" i="12" s="1"/>
  <c r="AZ131" i="12"/>
  <c r="AR131" i="12"/>
  <c r="AY131" i="12" s="1"/>
  <c r="AR230" i="12"/>
  <c r="AY230" i="12" s="1"/>
  <c r="AY180" i="12"/>
  <c r="AP68" i="12"/>
  <c r="AP60" i="12"/>
  <c r="AP52" i="12"/>
  <c r="AP44" i="12"/>
  <c r="AP36" i="12"/>
  <c r="AS29" i="12"/>
  <c r="AW29" i="12" s="1"/>
  <c r="AS231" i="12"/>
  <c r="AZ231" i="12" s="1"/>
  <c r="AZ181" i="12"/>
  <c r="AP67" i="12"/>
  <c r="AP59" i="12"/>
  <c r="AP51" i="12"/>
  <c r="AP43" i="12"/>
  <c r="AP35" i="12"/>
  <c r="AP230" i="12"/>
  <c r="AW230" i="12" s="1"/>
  <c r="AW180" i="12"/>
  <c r="AP66" i="12"/>
  <c r="AP58" i="12"/>
  <c r="AP50" i="12"/>
  <c r="AP42" i="12"/>
  <c r="AP34" i="12"/>
  <c r="AQ230" i="12"/>
  <c r="AX230" i="12" s="1"/>
  <c r="AX180" i="12"/>
  <c r="AX229" i="12"/>
  <c r="AP65" i="12"/>
  <c r="AP57" i="12"/>
  <c r="AP49" i="12"/>
  <c r="AP41" i="12"/>
  <c r="AP33" i="12"/>
  <c r="AP64" i="12"/>
  <c r="AP56" i="12"/>
  <c r="AP48" i="12"/>
  <c r="AP40" i="12"/>
  <c r="AP32" i="12"/>
  <c r="AY229" i="12"/>
  <c r="AU134" i="12"/>
  <c r="AS133" i="12"/>
  <c r="AP63" i="12"/>
  <c r="AP55" i="12"/>
  <c r="AP47" i="12"/>
  <c r="AP39" i="12"/>
  <c r="AP31" i="12"/>
  <c r="AP62" i="12"/>
  <c r="AP54" i="12"/>
  <c r="AP46" i="12"/>
  <c r="AP38" i="12"/>
  <c r="AP30" i="12"/>
  <c r="AF103" i="6"/>
  <c r="AF103" i="11" s="1"/>
  <c r="AF105" i="6"/>
  <c r="AF105" i="11" s="1"/>
  <c r="AF93" i="6"/>
  <c r="AF93" i="11" s="1"/>
  <c r="AF81" i="6"/>
  <c r="AF81" i="11" s="1"/>
  <c r="AF80" i="6"/>
  <c r="AF80" i="11" s="1"/>
  <c r="AF100" i="6"/>
  <c r="AF100" i="11" s="1"/>
  <c r="AF104" i="6"/>
  <c r="AF104" i="11" s="1"/>
  <c r="AF108" i="6"/>
  <c r="AF108" i="11" s="1"/>
  <c r="AF96" i="6"/>
  <c r="AF96" i="11" s="1"/>
  <c r="AF106" i="6"/>
  <c r="AF106" i="11" s="1"/>
  <c r="AF86" i="6"/>
  <c r="AF86" i="11" s="1"/>
  <c r="AF98" i="6"/>
  <c r="AF98" i="11" s="1"/>
  <c r="AF119" i="6"/>
  <c r="AF119" i="11" s="1"/>
  <c r="AF101" i="6"/>
  <c r="AF101" i="11" s="1"/>
  <c r="AF95" i="6"/>
  <c r="AF95" i="11" s="1"/>
  <c r="AF84" i="6"/>
  <c r="AF84" i="11" s="1"/>
  <c r="AF90" i="6"/>
  <c r="AF90" i="11" s="1"/>
  <c r="AF112" i="6"/>
  <c r="AF112" i="11" s="1"/>
  <c r="AF92" i="6"/>
  <c r="AF92" i="11" s="1"/>
  <c r="AF99" i="6"/>
  <c r="AF99" i="11" s="1"/>
  <c r="AF89" i="6"/>
  <c r="AF89" i="11" s="1"/>
  <c r="AF91" i="6"/>
  <c r="AF91" i="11" s="1"/>
  <c r="AF118" i="6"/>
  <c r="AF118" i="11" s="1"/>
  <c r="T120" i="11"/>
  <c r="T122" i="11" s="1"/>
  <c r="AF88" i="6"/>
  <c r="AF88" i="11" s="1"/>
  <c r="AF97" i="6"/>
  <c r="AF97" i="11" s="1"/>
  <c r="AF113" i="6"/>
  <c r="AF113" i="11" s="1"/>
  <c r="AF85" i="6"/>
  <c r="AF85" i="11" s="1"/>
  <c r="AF115" i="6"/>
  <c r="AF115" i="11" s="1"/>
  <c r="AD115" i="11"/>
  <c r="AF117" i="6"/>
  <c r="AF117" i="11" s="1"/>
  <c r="AF114" i="6"/>
  <c r="AF114" i="11" s="1"/>
  <c r="AF83" i="6"/>
  <c r="AF83" i="11" s="1"/>
  <c r="AD83" i="11"/>
  <c r="AF87" i="6"/>
  <c r="AF87" i="11" s="1"/>
  <c r="AD87" i="11"/>
  <c r="AF116" i="6"/>
  <c r="AF116" i="11" s="1"/>
  <c r="AF82" i="6"/>
  <c r="AF82" i="11" s="1"/>
  <c r="AF109" i="6"/>
  <c r="AF109" i="11" s="1"/>
  <c r="AF111" i="6"/>
  <c r="AF111" i="11" s="1"/>
  <c r="AD111" i="11"/>
  <c r="AF94" i="6"/>
  <c r="AF94" i="11" s="1"/>
  <c r="AF107" i="6"/>
  <c r="AF107" i="11" s="1"/>
  <c r="AF102" i="6"/>
  <c r="AF102" i="11" s="1"/>
  <c r="AD102" i="11"/>
  <c r="AF110" i="6"/>
  <c r="AF110" i="11" s="1"/>
  <c r="AD110" i="11"/>
  <c r="AQ180" i="9"/>
  <c r="AQ230" i="9" s="1"/>
  <c r="AX230" i="9" s="1"/>
  <c r="AF79" i="6"/>
  <c r="AF79" i="11" s="1"/>
  <c r="AD120" i="6"/>
  <c r="T122" i="6"/>
  <c r="AD121" i="6"/>
  <c r="AD121" i="11" s="1"/>
  <c r="S322" i="6"/>
  <c r="R322" i="6"/>
  <c r="AX229" i="10"/>
  <c r="AP132" i="10"/>
  <c r="AZ132" i="10"/>
  <c r="AR132" i="10"/>
  <c r="AS182" i="10"/>
  <c r="AQ132" i="10"/>
  <c r="AY229" i="10"/>
  <c r="AZ181" i="10"/>
  <c r="AS231" i="10"/>
  <c r="AZ231" i="10" s="1"/>
  <c r="AS133" i="10"/>
  <c r="AU134" i="10"/>
  <c r="AY131" i="10"/>
  <c r="AR181" i="10"/>
  <c r="AP181" i="10"/>
  <c r="AW131" i="10"/>
  <c r="AQ230" i="10"/>
  <c r="AX230" i="10" s="1"/>
  <c r="AX180" i="10"/>
  <c r="AQ181" i="10"/>
  <c r="AX131" i="10"/>
  <c r="AW229" i="10"/>
  <c r="AR230" i="10"/>
  <c r="AY230" i="10" s="1"/>
  <c r="AY180" i="10"/>
  <c r="AP230" i="10"/>
  <c r="AW230" i="10" s="1"/>
  <c r="AW180" i="10"/>
  <c r="AP68" i="10"/>
  <c r="AP60" i="10"/>
  <c r="AP52" i="10"/>
  <c r="AP44" i="10"/>
  <c r="AP36" i="10"/>
  <c r="AP67" i="10"/>
  <c r="AP59" i="10"/>
  <c r="AP51" i="10"/>
  <c r="AP43" i="10"/>
  <c r="AP35" i="10"/>
  <c r="AP66" i="10"/>
  <c r="AP58" i="10"/>
  <c r="AP50" i="10"/>
  <c r="AP42" i="10"/>
  <c r="AP34" i="10"/>
  <c r="AP65" i="10"/>
  <c r="AP57" i="10"/>
  <c r="AP49" i="10"/>
  <c r="AP41" i="10"/>
  <c r="AP33" i="10"/>
  <c r="AP64" i="10"/>
  <c r="AP56" i="10"/>
  <c r="AP48" i="10"/>
  <c r="AP40" i="10"/>
  <c r="AP32" i="10"/>
  <c r="AP63" i="10"/>
  <c r="AP55" i="10"/>
  <c r="AP47" i="10"/>
  <c r="AP39" i="10"/>
  <c r="AS29" i="10"/>
  <c r="AW29" i="10" s="1"/>
  <c r="AP62" i="10"/>
  <c r="AP54" i="10"/>
  <c r="AP46" i="10"/>
  <c r="AP38" i="10"/>
  <c r="AP31" i="10"/>
  <c r="AP69" i="10"/>
  <c r="AP61" i="10"/>
  <c r="AP53" i="10"/>
  <c r="AP45" i="10"/>
  <c r="AP37" i="10"/>
  <c r="AP30" i="10"/>
  <c r="AP180" i="9"/>
  <c r="AP230" i="9" s="1"/>
  <c r="AW230" i="9" s="1"/>
  <c r="AR229" i="9"/>
  <c r="AY229" i="9" s="1"/>
  <c r="AR180" i="9"/>
  <c r="AR230" i="9" s="1"/>
  <c r="AY230" i="9" s="1"/>
  <c r="AW179" i="9"/>
  <c r="AW29" i="9"/>
  <c r="AX29" i="9" s="1"/>
  <c r="AV30" i="9" s="1"/>
  <c r="AT29" i="9"/>
  <c r="AR30" i="9" s="1"/>
  <c r="AP38" i="9"/>
  <c r="AP53" i="9"/>
  <c r="AP60" i="9"/>
  <c r="AP54" i="9"/>
  <c r="AP42" i="9"/>
  <c r="AP31" i="9"/>
  <c r="AP37" i="9"/>
  <c r="AP57" i="9"/>
  <c r="AP62" i="9"/>
  <c r="AP68" i="9"/>
  <c r="AP59" i="9"/>
  <c r="AP66" i="9"/>
  <c r="AP33" i="9"/>
  <c r="AP50" i="9"/>
  <c r="AP51" i="9"/>
  <c r="AP36" i="9"/>
  <c r="AP69" i="9"/>
  <c r="AP45" i="9"/>
  <c r="AP58" i="9"/>
  <c r="AP49" i="9"/>
  <c r="AP39" i="9"/>
  <c r="AP64" i="9"/>
  <c r="AP56" i="9"/>
  <c r="AP52" i="9"/>
  <c r="AP48" i="9"/>
  <c r="AP44" i="9"/>
  <c r="AP41" i="9"/>
  <c r="AP43" i="9"/>
  <c r="AP65" i="9"/>
  <c r="AP63" i="9"/>
  <c r="AP40" i="9"/>
  <c r="AP35" i="9"/>
  <c r="AP32" i="9"/>
  <c r="AP34" i="9"/>
  <c r="AP47" i="9"/>
  <c r="AP55" i="9"/>
  <c r="AP46" i="9"/>
  <c r="AP30" i="9"/>
  <c r="AP61" i="9"/>
  <c r="AP67" i="9"/>
  <c r="AS231" i="9"/>
  <c r="AZ231" i="9" s="1"/>
  <c r="AZ181" i="9"/>
  <c r="AZ132" i="9"/>
  <c r="AS182" i="9"/>
  <c r="AY131" i="9"/>
  <c r="AR181" i="9"/>
  <c r="AW131" i="9"/>
  <c r="AP181" i="9"/>
  <c r="AX131" i="9"/>
  <c r="AQ181" i="9"/>
  <c r="AQ132" i="9"/>
  <c r="AR132" i="9"/>
  <c r="AP132" i="9"/>
  <c r="AS133" i="9"/>
  <c r="AD287" i="6"/>
  <c r="AF37" i="6"/>
  <c r="AF63" i="6"/>
  <c r="AD313" i="6"/>
  <c r="AD310" i="6"/>
  <c r="AF60" i="6"/>
  <c r="AF31" i="6"/>
  <c r="AD281" i="6"/>
  <c r="AF38" i="6"/>
  <c r="AD288" i="6"/>
  <c r="AF57" i="6"/>
  <c r="AD307" i="6"/>
  <c r="AD312" i="6"/>
  <c r="AF62" i="6"/>
  <c r="AF64" i="6"/>
  <c r="AD314" i="6"/>
  <c r="AF65" i="6"/>
  <c r="AD315" i="6"/>
  <c r="AF32" i="6"/>
  <c r="AD282" i="6"/>
  <c r="AD280" i="6"/>
  <c r="AF30" i="6"/>
  <c r="AF36" i="6"/>
  <c r="AD286" i="6"/>
  <c r="AF66" i="6"/>
  <c r="AD316" i="6"/>
  <c r="AF47" i="6"/>
  <c r="AD297" i="6"/>
  <c r="AF44" i="6"/>
  <c r="AD294" i="6"/>
  <c r="AF55" i="6"/>
  <c r="AD305" i="6"/>
  <c r="AD308" i="6"/>
  <c r="AF58" i="6"/>
  <c r="AF48" i="6"/>
  <c r="AD298" i="6"/>
  <c r="AF33" i="6"/>
  <c r="AD283" i="6"/>
  <c r="AF68" i="6"/>
  <c r="AD318" i="6"/>
  <c r="AF41" i="6"/>
  <c r="AD291" i="6"/>
  <c r="Q322" i="6"/>
  <c r="AF35" i="6"/>
  <c r="AD285" i="6"/>
  <c r="AD311" i="6"/>
  <c r="AF61" i="6"/>
  <c r="AD295" i="6"/>
  <c r="AF45" i="6"/>
  <c r="AF67" i="6"/>
  <c r="AD317" i="6"/>
  <c r="AF59" i="6"/>
  <c r="AD309" i="6"/>
  <c r="AD293" i="6"/>
  <c r="AF43" i="6"/>
  <c r="T320" i="6"/>
  <c r="AF51" i="6"/>
  <c r="AD301" i="6"/>
  <c r="AD300" i="6"/>
  <c r="AF50" i="6"/>
  <c r="AF56" i="6"/>
  <c r="AD306" i="6"/>
  <c r="AD303" i="6"/>
  <c r="AF53" i="6"/>
  <c r="AF49" i="6"/>
  <c r="AD299" i="6"/>
  <c r="AD284" i="6"/>
  <c r="AF34" i="6"/>
  <c r="AF52" i="6"/>
  <c r="AD302" i="6"/>
  <c r="AD290" i="6"/>
  <c r="AF40" i="6"/>
  <c r="AF69" i="6"/>
  <c r="AD319" i="6"/>
  <c r="T321" i="6"/>
  <c r="AD71" i="6"/>
  <c r="T72" i="6"/>
  <c r="AF46" i="6"/>
  <c r="AD296" i="6"/>
  <c r="AD292" i="6"/>
  <c r="AF42" i="6"/>
  <c r="AF54" i="6"/>
  <c r="AD304" i="6"/>
  <c r="AF39" i="6"/>
  <c r="AD289" i="6"/>
  <c r="AF29" i="6"/>
  <c r="AD70" i="6"/>
  <c r="AD279" i="6"/>
  <c r="N63" i="4"/>
  <c r="N64" i="4" s="1"/>
  <c r="N65" i="4" s="1"/>
  <c r="N66" i="4" s="1"/>
  <c r="N67" i="4" s="1"/>
  <c r="AS182" i="12" l="1"/>
  <c r="AS232" i="12" s="1"/>
  <c r="AQ132" i="12"/>
  <c r="AQ182" i="12" s="1"/>
  <c r="AW131" i="12"/>
  <c r="AZ132" i="12"/>
  <c r="AP132" i="12"/>
  <c r="AW132" i="12" s="1"/>
  <c r="AX131" i="12"/>
  <c r="AR181" i="12"/>
  <c r="AR231" i="12" s="1"/>
  <c r="AT29" i="12"/>
  <c r="AR30" i="12" s="1"/>
  <c r="AP231" i="12"/>
  <c r="AW181" i="12"/>
  <c r="BA29" i="12"/>
  <c r="BB29" i="12" s="1"/>
  <c r="AZ30" i="12" s="1"/>
  <c r="AX29" i="12"/>
  <c r="AV30" i="12" s="1"/>
  <c r="AQ133" i="12"/>
  <c r="AP133" i="12"/>
  <c r="AS183" i="12"/>
  <c r="AZ133" i="12"/>
  <c r="AR133" i="12"/>
  <c r="AX181" i="12"/>
  <c r="AQ231" i="12"/>
  <c r="AX231" i="12" s="1"/>
  <c r="AU135" i="12"/>
  <c r="AS134" i="12"/>
  <c r="AK103" i="6"/>
  <c r="AK103" i="11" s="1"/>
  <c r="AR182" i="12"/>
  <c r="AY132" i="12"/>
  <c r="AK105" i="6"/>
  <c r="AK105" i="11" s="1"/>
  <c r="AK81" i="6"/>
  <c r="AK81" i="11" s="1"/>
  <c r="AK93" i="6"/>
  <c r="AK93" i="11" s="1"/>
  <c r="AK96" i="6"/>
  <c r="AK96" i="11" s="1"/>
  <c r="AK112" i="6"/>
  <c r="AK112" i="11" s="1"/>
  <c r="AK92" i="6"/>
  <c r="AK92" i="11" s="1"/>
  <c r="AK80" i="6"/>
  <c r="AK80" i="11" s="1"/>
  <c r="AK95" i="6"/>
  <c r="AK95" i="11" s="1"/>
  <c r="AK100" i="6"/>
  <c r="AK100" i="11" s="1"/>
  <c r="AK86" i="6"/>
  <c r="AK86" i="11" s="1"/>
  <c r="AX180" i="9"/>
  <c r="AK97" i="6"/>
  <c r="AK97" i="11" s="1"/>
  <c r="AK106" i="6"/>
  <c r="AK106" i="11" s="1"/>
  <c r="AK84" i="6"/>
  <c r="AK84" i="11" s="1"/>
  <c r="AK115" i="6"/>
  <c r="AK115" i="11" s="1"/>
  <c r="AK90" i="6"/>
  <c r="AK90" i="11" s="1"/>
  <c r="AK83" i="6"/>
  <c r="AK83" i="11" s="1"/>
  <c r="AK94" i="6"/>
  <c r="AK94" i="11" s="1"/>
  <c r="AK119" i="6"/>
  <c r="AK119" i="11" s="1"/>
  <c r="AK89" i="6"/>
  <c r="AK89" i="11" s="1"/>
  <c r="AK104" i="6"/>
  <c r="AK104" i="11" s="1"/>
  <c r="AK87" i="6"/>
  <c r="AK87" i="11" s="1"/>
  <c r="AK113" i="6"/>
  <c r="AK113" i="11" s="1"/>
  <c r="AK85" i="6"/>
  <c r="AK85" i="11" s="1"/>
  <c r="AK110" i="6"/>
  <c r="AK110" i="11" s="1"/>
  <c r="AK101" i="6"/>
  <c r="AK101" i="11" s="1"/>
  <c r="AK98" i="6"/>
  <c r="AK98" i="11" s="1"/>
  <c r="AK99" i="6"/>
  <c r="AK99" i="11" s="1"/>
  <c r="AK91" i="6"/>
  <c r="AK91" i="11" s="1"/>
  <c r="AK82" i="6"/>
  <c r="AK82" i="11" s="1"/>
  <c r="AK118" i="6"/>
  <c r="AK118" i="11" s="1"/>
  <c r="AK117" i="6"/>
  <c r="AK117" i="11" s="1"/>
  <c r="AK107" i="6"/>
  <c r="AK107" i="11" s="1"/>
  <c r="AK108" i="6"/>
  <c r="AK108" i="11" s="1"/>
  <c r="AK88" i="6"/>
  <c r="AK88" i="11" s="1"/>
  <c r="AK116" i="6"/>
  <c r="AK116" i="11" s="1"/>
  <c r="AK111" i="6"/>
  <c r="AK111" i="11" s="1"/>
  <c r="AK114" i="6"/>
  <c r="AK114" i="11" s="1"/>
  <c r="AD120" i="11"/>
  <c r="AD122" i="11" s="1"/>
  <c r="AF120" i="6"/>
  <c r="AK109" i="6"/>
  <c r="AK109" i="11" s="1"/>
  <c r="AF120" i="11"/>
  <c r="AK102" i="6"/>
  <c r="AK102" i="11" s="1"/>
  <c r="AD122" i="6"/>
  <c r="AY180" i="9"/>
  <c r="BA29" i="9"/>
  <c r="BB29" i="9" s="1"/>
  <c r="AZ30" i="9" s="1"/>
  <c r="AF121" i="6"/>
  <c r="AW180" i="9"/>
  <c r="AX132" i="10"/>
  <c r="AQ182" i="10"/>
  <c r="AS232" i="10"/>
  <c r="AZ182" i="10"/>
  <c r="AQ231" i="10"/>
  <c r="AX231" i="10" s="1"/>
  <c r="AX181" i="10"/>
  <c r="AU135" i="10"/>
  <c r="AS134" i="10"/>
  <c r="AY132" i="10"/>
  <c r="AR182" i="10"/>
  <c r="AS183" i="10"/>
  <c r="AR133" i="10"/>
  <c r="AZ133" i="10"/>
  <c r="AQ133" i="10"/>
  <c r="AP133" i="10"/>
  <c r="AR231" i="10"/>
  <c r="AY181" i="10"/>
  <c r="AW132" i="10"/>
  <c r="AP182" i="10"/>
  <c r="AW181" i="10"/>
  <c r="AP231" i="10"/>
  <c r="AX29" i="10"/>
  <c r="AV30" i="10" s="1"/>
  <c r="BA29" i="10"/>
  <c r="AT29" i="10"/>
  <c r="AR30" i="10" s="1"/>
  <c r="AS30" i="10" s="1"/>
  <c r="AS30" i="9"/>
  <c r="AR231" i="9"/>
  <c r="AY231" i="9" s="1"/>
  <c r="AY181" i="9"/>
  <c r="AQ231" i="9"/>
  <c r="AX231" i="9" s="1"/>
  <c r="AX181" i="9"/>
  <c r="AS232" i="9"/>
  <c r="AZ232" i="9" s="1"/>
  <c r="AZ182" i="9"/>
  <c r="AP231" i="9"/>
  <c r="AW231" i="9" s="1"/>
  <c r="AW181" i="9"/>
  <c r="AW132" i="9"/>
  <c r="AP182" i="9"/>
  <c r="AY132" i="9"/>
  <c r="AR182" i="9"/>
  <c r="AZ133" i="9"/>
  <c r="AS183" i="9"/>
  <c r="AX132" i="9"/>
  <c r="AQ182" i="9"/>
  <c r="AR133" i="9"/>
  <c r="AQ133" i="9"/>
  <c r="AP133" i="9"/>
  <c r="AS134" i="9"/>
  <c r="AF289" i="6"/>
  <c r="AK39" i="6"/>
  <c r="AK54" i="6"/>
  <c r="AF304" i="6"/>
  <c r="AK69" i="6"/>
  <c r="AF319" i="6"/>
  <c r="T322" i="6"/>
  <c r="AF284" i="6"/>
  <c r="AK34" i="6"/>
  <c r="AF298" i="6"/>
  <c r="AK48" i="6"/>
  <c r="AF282" i="6"/>
  <c r="AK32" i="6"/>
  <c r="AK58" i="6"/>
  <c r="AF308" i="6"/>
  <c r="AK42" i="6"/>
  <c r="AF292" i="6"/>
  <c r="AF301" i="6"/>
  <c r="AK51" i="6"/>
  <c r="AK41" i="6"/>
  <c r="AF291" i="6"/>
  <c r="AK57" i="6"/>
  <c r="AF307" i="6"/>
  <c r="AF293" i="6"/>
  <c r="AK43" i="6"/>
  <c r="AF311" i="6"/>
  <c r="AK61" i="6"/>
  <c r="AK68" i="6"/>
  <c r="AF318" i="6"/>
  <c r="AK55" i="6"/>
  <c r="AF305" i="6"/>
  <c r="AK36" i="6"/>
  <c r="AF286" i="6"/>
  <c r="AK64" i="6"/>
  <c r="AF314" i="6"/>
  <c r="AK38" i="6"/>
  <c r="AF288" i="6"/>
  <c r="AK50" i="6"/>
  <c r="AF300" i="6"/>
  <c r="AF285" i="6"/>
  <c r="AK35" i="6"/>
  <c r="AK60" i="6"/>
  <c r="AF310" i="6"/>
  <c r="AF317" i="6"/>
  <c r="AK67" i="6"/>
  <c r="AF299" i="6"/>
  <c r="AK49" i="6"/>
  <c r="AF295" i="6"/>
  <c r="AK45" i="6"/>
  <c r="AK66" i="6"/>
  <c r="AF316" i="6"/>
  <c r="AF315" i="6"/>
  <c r="AK65" i="6"/>
  <c r="AK63" i="6"/>
  <c r="AF313" i="6"/>
  <c r="AF290" i="6"/>
  <c r="AK40" i="6"/>
  <c r="AF70" i="6"/>
  <c r="AF279" i="6"/>
  <c r="AF296" i="6"/>
  <c r="AK46" i="6"/>
  <c r="AF280" i="6"/>
  <c r="AK30" i="6"/>
  <c r="AK62" i="6"/>
  <c r="AF312" i="6"/>
  <c r="AK37" i="6"/>
  <c r="AF287" i="6"/>
  <c r="AD321" i="6"/>
  <c r="AF71" i="6"/>
  <c r="AD72" i="6"/>
  <c r="AK59" i="6"/>
  <c r="AF309" i="6"/>
  <c r="AF297" i="6"/>
  <c r="AK47" i="6"/>
  <c r="AD320" i="6"/>
  <c r="AK53" i="6"/>
  <c r="AF303" i="6"/>
  <c r="AF302" i="6"/>
  <c r="AK52" i="6"/>
  <c r="AK56" i="6"/>
  <c r="AF306" i="6"/>
  <c r="AF283" i="6"/>
  <c r="AK33" i="6"/>
  <c r="AF294" i="6"/>
  <c r="AK44" i="6"/>
  <c r="AF281" i="6"/>
  <c r="AK31" i="6"/>
  <c r="K23" i="4"/>
  <c r="K24" i="4" s="1"/>
  <c r="AK29" i="6" l="1"/>
  <c r="AK70" i="6" s="1"/>
  <c r="G64" i="14"/>
  <c r="G69" i="14" s="1"/>
  <c r="AV69" i="14" s="1"/>
  <c r="AX69" i="14" s="1"/>
  <c r="H89" i="4" s="1"/>
  <c r="AZ182" i="12"/>
  <c r="AX132" i="12"/>
  <c r="AP182" i="12"/>
  <c r="AW182" i="12" s="1"/>
  <c r="AY181" i="12"/>
  <c r="AS184" i="12"/>
  <c r="AQ134" i="12"/>
  <c r="AP134" i="12"/>
  <c r="AZ134" i="12"/>
  <c r="AR134" i="12"/>
  <c r="AS233" i="12"/>
  <c r="AZ233" i="12" s="1"/>
  <c r="AZ183" i="12"/>
  <c r="AR232" i="12"/>
  <c r="AY232" i="12" s="1"/>
  <c r="AY182" i="12"/>
  <c r="AS135" i="12"/>
  <c r="AU136" i="12"/>
  <c r="AP183" i="12"/>
  <c r="AW133" i="12"/>
  <c r="AQ183" i="12"/>
  <c r="AX133" i="12"/>
  <c r="AY231" i="12"/>
  <c r="AW231" i="12"/>
  <c r="AQ232" i="12"/>
  <c r="AX182" i="12"/>
  <c r="AR183" i="12"/>
  <c r="AY133" i="12"/>
  <c r="AZ232" i="12"/>
  <c r="AS30" i="12"/>
  <c r="AT30" i="12" s="1"/>
  <c r="AR31" i="12" s="1"/>
  <c r="AS31" i="12" s="1"/>
  <c r="AK121" i="6"/>
  <c r="AK121" i="11" s="1"/>
  <c r="AF121" i="11"/>
  <c r="AF122" i="11" s="1"/>
  <c r="AF122" i="6"/>
  <c r="AK289" i="6"/>
  <c r="AK310" i="6"/>
  <c r="AK318" i="6"/>
  <c r="AK290" i="6"/>
  <c r="AK295" i="6"/>
  <c r="AK285" i="6"/>
  <c r="AK311" i="6"/>
  <c r="AK301" i="6"/>
  <c r="AK298" i="6"/>
  <c r="AK304" i="6"/>
  <c r="AK306" i="6"/>
  <c r="AK302" i="6"/>
  <c r="AK284" i="6"/>
  <c r="AK281" i="6"/>
  <c r="AK280" i="6"/>
  <c r="AK313" i="6"/>
  <c r="AK300" i="6"/>
  <c r="AK286" i="6"/>
  <c r="AK292" i="6"/>
  <c r="AK312" i="6"/>
  <c r="AK309" i="6"/>
  <c r="AK299" i="6"/>
  <c r="AK294" i="6"/>
  <c r="AK296" i="6"/>
  <c r="AK315" i="6"/>
  <c r="AK317" i="6"/>
  <c r="AK293" i="6"/>
  <c r="AK303" i="6"/>
  <c r="AK305" i="6"/>
  <c r="AK307" i="6"/>
  <c r="AK308" i="6"/>
  <c r="AK283" i="6"/>
  <c r="AK282" i="6"/>
  <c r="AK319" i="6"/>
  <c r="AK314" i="6"/>
  <c r="AK297" i="6"/>
  <c r="AK287" i="6"/>
  <c r="AK316" i="6"/>
  <c r="AK288" i="6"/>
  <c r="AK291" i="6"/>
  <c r="AS184" i="10"/>
  <c r="AQ134" i="10"/>
  <c r="AZ134" i="10"/>
  <c r="AP134" i="10"/>
  <c r="AR134" i="10"/>
  <c r="AW231" i="10"/>
  <c r="AP183" i="10"/>
  <c r="AW133" i="10"/>
  <c r="AS135" i="10"/>
  <c r="AU136" i="10"/>
  <c r="AY231" i="10"/>
  <c r="AQ183" i="10"/>
  <c r="AX133" i="10"/>
  <c r="AR183" i="10"/>
  <c r="AY133" i="10"/>
  <c r="AP232" i="10"/>
  <c r="AW232" i="10" s="1"/>
  <c r="AW182" i="10"/>
  <c r="AS233" i="10"/>
  <c r="AZ233" i="10" s="1"/>
  <c r="AZ183" i="10"/>
  <c r="AZ232" i="10"/>
  <c r="AR232" i="10"/>
  <c r="AY232" i="10" s="1"/>
  <c r="AY182" i="10"/>
  <c r="AX182" i="10"/>
  <c r="AQ232" i="10"/>
  <c r="BB29" i="10"/>
  <c r="AZ30" i="10" s="1"/>
  <c r="AW30" i="10"/>
  <c r="AT30" i="10"/>
  <c r="AR31" i="10" s="1"/>
  <c r="AW30" i="9"/>
  <c r="AT30" i="9"/>
  <c r="AR31" i="9" s="1"/>
  <c r="AQ232" i="9"/>
  <c r="AX232" i="9" s="1"/>
  <c r="AX182" i="9"/>
  <c r="AP232" i="9"/>
  <c r="AW232" i="9" s="1"/>
  <c r="AW182" i="9"/>
  <c r="AS233" i="9"/>
  <c r="AZ233" i="9" s="1"/>
  <c r="AZ183" i="9"/>
  <c r="AR232" i="9"/>
  <c r="AY232" i="9" s="1"/>
  <c r="AY182" i="9"/>
  <c r="AZ134" i="9"/>
  <c r="AS184" i="9"/>
  <c r="AW133" i="9"/>
  <c r="AP183" i="9"/>
  <c r="AX133" i="9"/>
  <c r="AQ183" i="9"/>
  <c r="AY133" i="9"/>
  <c r="AR183" i="9"/>
  <c r="AP134" i="9"/>
  <c r="AR134" i="9"/>
  <c r="AQ134" i="9"/>
  <c r="AS135" i="9"/>
  <c r="AF321" i="6"/>
  <c r="AF72" i="6"/>
  <c r="AK71" i="6"/>
  <c r="AF320" i="6"/>
  <c r="AD322" i="6"/>
  <c r="G9" i="6"/>
  <c r="AK79" i="6"/>
  <c r="AK79" i="11" s="1"/>
  <c r="AK120" i="11" s="1"/>
  <c r="AP232" i="12" l="1"/>
  <c r="AW232" i="12" s="1"/>
  <c r="AT31" i="12"/>
  <c r="AR32" i="12" s="1"/>
  <c r="AP233" i="12"/>
  <c r="AW233" i="12" s="1"/>
  <c r="AW183" i="12"/>
  <c r="AR184" i="12"/>
  <c r="AY134" i="12"/>
  <c r="AW30" i="12"/>
  <c r="BA30" i="12" s="1"/>
  <c r="BB30" i="12" s="1"/>
  <c r="AZ31" i="12" s="1"/>
  <c r="AU137" i="12"/>
  <c r="AS136" i="12"/>
  <c r="AS185" i="12"/>
  <c r="AZ135" i="12"/>
  <c r="AP135" i="12"/>
  <c r="AR135" i="12"/>
  <c r="AQ135" i="12"/>
  <c r="AW134" i="12"/>
  <c r="AP184" i="12"/>
  <c r="AQ184" i="12"/>
  <c r="AX134" i="12"/>
  <c r="AS234" i="12"/>
  <c r="AZ184" i="12"/>
  <c r="AX232" i="12"/>
  <c r="AR233" i="12"/>
  <c r="AY183" i="12"/>
  <c r="AQ233" i="12"/>
  <c r="AX233" i="12" s="1"/>
  <c r="AX183" i="12"/>
  <c r="AK122" i="11"/>
  <c r="H75" i="4" s="1"/>
  <c r="AK120" i="6"/>
  <c r="AK122" i="6" s="1"/>
  <c r="AR233" i="10"/>
  <c r="AY233" i="10" s="1"/>
  <c r="AY183" i="10"/>
  <c r="AP233" i="10"/>
  <c r="AW183" i="10"/>
  <c r="AR184" i="10"/>
  <c r="AY134" i="10"/>
  <c r="AX232" i="10"/>
  <c r="AP184" i="10"/>
  <c r="AW134" i="10"/>
  <c r="AX183" i="10"/>
  <c r="AQ233" i="10"/>
  <c r="AX233" i="10" s="1"/>
  <c r="AS136" i="10"/>
  <c r="AU137" i="10"/>
  <c r="AS185" i="10"/>
  <c r="AP135" i="10"/>
  <c r="AQ135" i="10"/>
  <c r="AZ135" i="10"/>
  <c r="AR135" i="10"/>
  <c r="AQ184" i="10"/>
  <c r="AX134" i="10"/>
  <c r="AS234" i="10"/>
  <c r="AZ184" i="10"/>
  <c r="AX30" i="10"/>
  <c r="AV31" i="10" s="1"/>
  <c r="BA30" i="10"/>
  <c r="AS31" i="10"/>
  <c r="AS31" i="9"/>
  <c r="AT31" i="9" s="1"/>
  <c r="AR32" i="9" s="1"/>
  <c r="BA30" i="9"/>
  <c r="BB30" i="9" s="1"/>
  <c r="AZ31" i="9" s="1"/>
  <c r="AX30" i="9"/>
  <c r="AV31" i="9" s="1"/>
  <c r="AS234" i="9"/>
  <c r="AZ234" i="9" s="1"/>
  <c r="AZ184" i="9"/>
  <c r="AP233" i="9"/>
  <c r="AW233" i="9" s="1"/>
  <c r="AW183" i="9"/>
  <c r="AR233" i="9"/>
  <c r="AY233" i="9" s="1"/>
  <c r="AY183" i="9"/>
  <c r="AQ233" i="9"/>
  <c r="AX233" i="9" s="1"/>
  <c r="AX183" i="9"/>
  <c r="AY134" i="9"/>
  <c r="AR184" i="9"/>
  <c r="AZ135" i="9"/>
  <c r="AS185" i="9"/>
  <c r="AX134" i="9"/>
  <c r="AQ184" i="9"/>
  <c r="AW134" i="9"/>
  <c r="AP184" i="9"/>
  <c r="AP135" i="9"/>
  <c r="AR135" i="9"/>
  <c r="AQ135" i="9"/>
  <c r="AS136" i="9"/>
  <c r="AF322" i="6"/>
  <c r="AK279" i="6"/>
  <c r="AK321" i="6"/>
  <c r="AK72" i="6"/>
  <c r="AQ234" i="12" l="1"/>
  <c r="AX234" i="12" s="1"/>
  <c r="AX184" i="12"/>
  <c r="AP234" i="12"/>
  <c r="AW184" i="12"/>
  <c r="AR234" i="12"/>
  <c r="AY234" i="12" s="1"/>
  <c r="AY184" i="12"/>
  <c r="AQ185" i="12"/>
  <c r="AX135" i="12"/>
  <c r="AY233" i="12"/>
  <c r="AY135" i="12"/>
  <c r="AR185" i="12"/>
  <c r="AQ136" i="12"/>
  <c r="AP136" i="12"/>
  <c r="AZ136" i="12"/>
  <c r="AS186" i="12"/>
  <c r="AR136" i="12"/>
  <c r="AP185" i="12"/>
  <c r="AW135" i="12"/>
  <c r="AU138" i="12"/>
  <c r="AS137" i="12"/>
  <c r="AZ234" i="12"/>
  <c r="AS235" i="12"/>
  <c r="AZ235" i="12" s="1"/>
  <c r="AZ185" i="12"/>
  <c r="AX30" i="12"/>
  <c r="AV31" i="12" s="1"/>
  <c r="AS32" i="12"/>
  <c r="AT32" i="12" s="1"/>
  <c r="AR33" i="12" s="1"/>
  <c r="AK320" i="6"/>
  <c r="AK322" i="6"/>
  <c r="AZ234" i="10"/>
  <c r="AQ234" i="10"/>
  <c r="AX234" i="10" s="1"/>
  <c r="AX184" i="10"/>
  <c r="AR234" i="10"/>
  <c r="AY184" i="10"/>
  <c r="AY135" i="10"/>
  <c r="AR185" i="10"/>
  <c r="AU138" i="10"/>
  <c r="AS137" i="10"/>
  <c r="AQ185" i="10"/>
  <c r="AX135" i="10"/>
  <c r="AP234" i="10"/>
  <c r="AW234" i="10" s="1"/>
  <c r="AW184" i="10"/>
  <c r="AW233" i="10"/>
  <c r="AQ136" i="10"/>
  <c r="AZ136" i="10"/>
  <c r="AP136" i="10"/>
  <c r="AR136" i="10"/>
  <c r="AS186" i="10"/>
  <c r="AP185" i="10"/>
  <c r="AW135" i="10"/>
  <c r="AZ185" i="10"/>
  <c r="AS235" i="10"/>
  <c r="AZ235" i="10" s="1"/>
  <c r="BB30" i="10"/>
  <c r="AZ31" i="10" s="1"/>
  <c r="AW31" i="10"/>
  <c r="AT31" i="10"/>
  <c r="AR32" i="10" s="1"/>
  <c r="AW31" i="9"/>
  <c r="AX31" i="9" s="1"/>
  <c r="AV32" i="9" s="1"/>
  <c r="AS32" i="9"/>
  <c r="AT32" i="9" s="1"/>
  <c r="AR33" i="9" s="1"/>
  <c r="AS235" i="9"/>
  <c r="AZ235" i="9" s="1"/>
  <c r="AZ185" i="9"/>
  <c r="AR234" i="9"/>
  <c r="AY234" i="9" s="1"/>
  <c r="AY184" i="9"/>
  <c r="AP234" i="9"/>
  <c r="AW234" i="9" s="1"/>
  <c r="AW184" i="9"/>
  <c r="AQ234" i="9"/>
  <c r="AX234" i="9" s="1"/>
  <c r="AX184" i="9"/>
  <c r="AZ136" i="9"/>
  <c r="AS186" i="9"/>
  <c r="AX135" i="9"/>
  <c r="AQ185" i="9"/>
  <c r="AY135" i="9"/>
  <c r="AR185" i="9"/>
  <c r="AW135" i="9"/>
  <c r="AP185" i="9"/>
  <c r="AR136" i="9"/>
  <c r="AQ136" i="9"/>
  <c r="AP136" i="9"/>
  <c r="AS137" i="9"/>
  <c r="AS33" i="12" l="1"/>
  <c r="AZ137" i="12"/>
  <c r="AP137" i="12"/>
  <c r="AR137" i="12"/>
  <c r="AS187" i="12"/>
  <c r="AQ137" i="12"/>
  <c r="AP186" i="12"/>
  <c r="AW136" i="12"/>
  <c r="AQ235" i="12"/>
  <c r="AX185" i="12"/>
  <c r="AS138" i="12"/>
  <c r="AU139" i="12"/>
  <c r="AQ186" i="12"/>
  <c r="AX136" i="12"/>
  <c r="AY185" i="12"/>
  <c r="AR235" i="12"/>
  <c r="AY235" i="12" s="1"/>
  <c r="AW31" i="12"/>
  <c r="AW185" i="12"/>
  <c r="AP235" i="12"/>
  <c r="AW235" i="12" s="1"/>
  <c r="AW234" i="12"/>
  <c r="AR186" i="12"/>
  <c r="AY136" i="12"/>
  <c r="AS236" i="12"/>
  <c r="AZ186" i="12"/>
  <c r="AR235" i="10"/>
  <c r="AY235" i="10" s="1"/>
  <c r="AY185" i="10"/>
  <c r="AS236" i="10"/>
  <c r="AZ236" i="10" s="1"/>
  <c r="AZ186" i="10"/>
  <c r="AY234" i="10"/>
  <c r="AU139" i="10"/>
  <c r="AS138" i="10"/>
  <c r="AR186" i="10"/>
  <c r="AY136" i="10"/>
  <c r="AP235" i="10"/>
  <c r="AW185" i="10"/>
  <c r="AW136" i="10"/>
  <c r="AP186" i="10"/>
  <c r="AQ235" i="10"/>
  <c r="AX185" i="10"/>
  <c r="AX136" i="10"/>
  <c r="AQ186" i="10"/>
  <c r="AR137" i="10"/>
  <c r="AQ137" i="10"/>
  <c r="AP137" i="10"/>
  <c r="AZ137" i="10"/>
  <c r="AS187" i="10"/>
  <c r="AX31" i="10"/>
  <c r="AV32" i="10" s="1"/>
  <c r="AS32" i="10"/>
  <c r="BA31" i="10"/>
  <c r="BA31" i="9"/>
  <c r="BB31" i="9" s="1"/>
  <c r="AZ32" i="9" s="1"/>
  <c r="AS33" i="9"/>
  <c r="AT33" i="9" s="1"/>
  <c r="AR34" i="9" s="1"/>
  <c r="AW32" i="9"/>
  <c r="AX32" i="9" s="1"/>
  <c r="AV33" i="9" s="1"/>
  <c r="AQ235" i="9"/>
  <c r="AX235" i="9" s="1"/>
  <c r="AX185" i="9"/>
  <c r="AS236" i="9"/>
  <c r="AZ236" i="9" s="1"/>
  <c r="AZ186" i="9"/>
  <c r="AP235" i="9"/>
  <c r="AW235" i="9" s="1"/>
  <c r="AW185" i="9"/>
  <c r="AR235" i="9"/>
  <c r="AY235" i="9" s="1"/>
  <c r="AY185" i="9"/>
  <c r="AZ137" i="9"/>
  <c r="AS187" i="9"/>
  <c r="AX136" i="9"/>
  <c r="AQ186" i="9"/>
  <c r="AW136" i="9"/>
  <c r="AP186" i="9"/>
  <c r="AY136" i="9"/>
  <c r="AR186" i="9"/>
  <c r="AR137" i="9"/>
  <c r="AQ137" i="9"/>
  <c r="AP137" i="9"/>
  <c r="AS138" i="9"/>
  <c r="AX235" i="12" l="1"/>
  <c r="AQ236" i="12"/>
  <c r="AX236" i="12" s="1"/>
  <c r="AX186" i="12"/>
  <c r="AU140" i="12"/>
  <c r="AS139" i="12"/>
  <c r="AW186" i="12"/>
  <c r="AP236" i="12"/>
  <c r="AZ236" i="12"/>
  <c r="AR236" i="12"/>
  <c r="AY186" i="12"/>
  <c r="BA31" i="12"/>
  <c r="BB31" i="12" s="1"/>
  <c r="AZ32" i="12" s="1"/>
  <c r="AZ138" i="12"/>
  <c r="AP138" i="12"/>
  <c r="AQ138" i="12"/>
  <c r="AS188" i="12"/>
  <c r="AR138" i="12"/>
  <c r="AQ187" i="12"/>
  <c r="AX137" i="12"/>
  <c r="AX31" i="12"/>
  <c r="AV32" i="12" s="1"/>
  <c r="AS237" i="12"/>
  <c r="AZ237" i="12" s="1"/>
  <c r="AZ187" i="12"/>
  <c r="AY137" i="12"/>
  <c r="AR187" i="12"/>
  <c r="AP187" i="12"/>
  <c r="AW137" i="12"/>
  <c r="AT33" i="12"/>
  <c r="AR34" i="12" s="1"/>
  <c r="AZ187" i="10"/>
  <c r="AS237" i="10"/>
  <c r="AZ237" i="10" s="1"/>
  <c r="AX235" i="10"/>
  <c r="AS139" i="10"/>
  <c r="AU140" i="10"/>
  <c r="AR236" i="10"/>
  <c r="AY236" i="10" s="1"/>
  <c r="AY186" i="10"/>
  <c r="AS188" i="10"/>
  <c r="AR138" i="10"/>
  <c r="AP138" i="10"/>
  <c r="AQ138" i="10"/>
  <c r="AZ138" i="10"/>
  <c r="AP187" i="10"/>
  <c r="AW137" i="10"/>
  <c r="AQ187" i="10"/>
  <c r="AX137" i="10"/>
  <c r="AR187" i="10"/>
  <c r="AY137" i="10"/>
  <c r="AW235" i="10"/>
  <c r="AW186" i="10"/>
  <c r="AP236" i="10"/>
  <c r="AW236" i="10" s="1"/>
  <c r="AX186" i="10"/>
  <c r="AQ236" i="10"/>
  <c r="AX236" i="10" s="1"/>
  <c r="AW32" i="10"/>
  <c r="AX32" i="10" s="1"/>
  <c r="AV33" i="10" s="1"/>
  <c r="BB31" i="10"/>
  <c r="AZ32" i="10" s="1"/>
  <c r="AT32" i="10"/>
  <c r="AR33" i="10" s="1"/>
  <c r="AW33" i="9"/>
  <c r="AX33" i="9" s="1"/>
  <c r="AV34" i="9" s="1"/>
  <c r="BA32" i="9"/>
  <c r="BB32" i="9" s="1"/>
  <c r="AZ33" i="9" s="1"/>
  <c r="AS34" i="9"/>
  <c r="AT34" i="9" s="1"/>
  <c r="AR35" i="9" s="1"/>
  <c r="AP236" i="9"/>
  <c r="AW236" i="9" s="1"/>
  <c r="AW186" i="9"/>
  <c r="AS237" i="9"/>
  <c r="AZ237" i="9" s="1"/>
  <c r="AZ187" i="9"/>
  <c r="AR236" i="9"/>
  <c r="AY236" i="9" s="1"/>
  <c r="AY186" i="9"/>
  <c r="AQ236" i="9"/>
  <c r="AX236" i="9" s="1"/>
  <c r="AX186" i="9"/>
  <c r="AZ138" i="9"/>
  <c r="AS188" i="9"/>
  <c r="AX137" i="9"/>
  <c r="AQ187" i="9"/>
  <c r="AW137" i="9"/>
  <c r="AP187" i="9"/>
  <c r="AY137" i="9"/>
  <c r="AR187" i="9"/>
  <c r="AR138" i="9"/>
  <c r="AQ138" i="9"/>
  <c r="AP138" i="9"/>
  <c r="AS139" i="9"/>
  <c r="AS140" i="12" l="1"/>
  <c r="AU141" i="12"/>
  <c r="AP237" i="12"/>
  <c r="AW237" i="12" s="1"/>
  <c r="AW187" i="12"/>
  <c r="AW32" i="12"/>
  <c r="AR139" i="12"/>
  <c r="AQ139" i="12"/>
  <c r="AS189" i="12"/>
  <c r="AZ139" i="12"/>
  <c r="AP139" i="12"/>
  <c r="AR237" i="12"/>
  <c r="AY237" i="12" s="1"/>
  <c r="AY187" i="12"/>
  <c r="AQ237" i="12"/>
  <c r="AX237" i="12" s="1"/>
  <c r="AX187" i="12"/>
  <c r="AR188" i="12"/>
  <c r="AY138" i="12"/>
  <c r="AY236" i="12"/>
  <c r="AZ188" i="12"/>
  <c r="AS238" i="12"/>
  <c r="AZ238" i="12" s="1"/>
  <c r="AX138" i="12"/>
  <c r="AQ188" i="12"/>
  <c r="AS34" i="12"/>
  <c r="AT34" i="12" s="1"/>
  <c r="AR35" i="12" s="1"/>
  <c r="AS35" i="12" s="1"/>
  <c r="AP188" i="12"/>
  <c r="AW138" i="12"/>
  <c r="AW236" i="12"/>
  <c r="AS238" i="10"/>
  <c r="AZ238" i="10" s="1"/>
  <c r="AZ188" i="10"/>
  <c r="AP139" i="10"/>
  <c r="AS189" i="10"/>
  <c r="AR139" i="10"/>
  <c r="AQ139" i="10"/>
  <c r="AZ139" i="10"/>
  <c r="AP237" i="10"/>
  <c r="AW237" i="10" s="1"/>
  <c r="AW187" i="10"/>
  <c r="AQ188" i="10"/>
  <c r="AX138" i="10"/>
  <c r="AR237" i="10"/>
  <c r="AY237" i="10" s="1"/>
  <c r="AY187" i="10"/>
  <c r="AP188" i="10"/>
  <c r="AW138" i="10"/>
  <c r="AU141" i="10"/>
  <c r="AS140" i="10"/>
  <c r="AR188" i="10"/>
  <c r="AY138" i="10"/>
  <c r="AQ237" i="10"/>
  <c r="AX237" i="10" s="1"/>
  <c r="AX187" i="10"/>
  <c r="AS33" i="10"/>
  <c r="AT33" i="10" s="1"/>
  <c r="AR34" i="10" s="1"/>
  <c r="BA32" i="10"/>
  <c r="BA33" i="9"/>
  <c r="BB33" i="9" s="1"/>
  <c r="AZ34" i="9" s="1"/>
  <c r="AS35" i="9"/>
  <c r="AT35" i="9" s="1"/>
  <c r="AR36" i="9" s="1"/>
  <c r="AW34" i="9"/>
  <c r="AQ237" i="9"/>
  <c r="AX237" i="9" s="1"/>
  <c r="AX187" i="9"/>
  <c r="AR237" i="9"/>
  <c r="AY237" i="9" s="1"/>
  <c r="AY187" i="9"/>
  <c r="AP237" i="9"/>
  <c r="AW237" i="9" s="1"/>
  <c r="AW187" i="9"/>
  <c r="AS238" i="9"/>
  <c r="AZ238" i="9" s="1"/>
  <c r="AZ188" i="9"/>
  <c r="AZ139" i="9"/>
  <c r="AS189" i="9"/>
  <c r="AX138" i="9"/>
  <c r="AQ188" i="9"/>
  <c r="AW138" i="9"/>
  <c r="AP188" i="9"/>
  <c r="AY138" i="9"/>
  <c r="AR188" i="9"/>
  <c r="AQ139" i="9"/>
  <c r="AP139" i="9"/>
  <c r="AR139" i="9"/>
  <c r="AS140" i="9"/>
  <c r="AT35" i="12" l="1"/>
  <c r="AR36" i="12" s="1"/>
  <c r="AX188" i="12"/>
  <c r="AQ238" i="12"/>
  <c r="AX238" i="12" s="1"/>
  <c r="AR189" i="12"/>
  <c r="AY139" i="12"/>
  <c r="AY188" i="12"/>
  <c r="AR238" i="12"/>
  <c r="AY238" i="12" s="1"/>
  <c r="AP238" i="12"/>
  <c r="AW238" i="12" s="1"/>
  <c r="AW188" i="12"/>
  <c r="BA32" i="12"/>
  <c r="BB32" i="12" s="1"/>
  <c r="AZ33" i="12" s="1"/>
  <c r="AX32" i="12"/>
  <c r="AV33" i="12" s="1"/>
  <c r="AX139" i="12"/>
  <c r="AQ189" i="12"/>
  <c r="AW139" i="12"/>
  <c r="AP189" i="12"/>
  <c r="AU142" i="12"/>
  <c r="AS141" i="12"/>
  <c r="AS239" i="12"/>
  <c r="AZ239" i="12" s="1"/>
  <c r="AZ189" i="12"/>
  <c r="AS190" i="12"/>
  <c r="AQ140" i="12"/>
  <c r="AZ140" i="12"/>
  <c r="AR140" i="12"/>
  <c r="AP140" i="12"/>
  <c r="AW188" i="10"/>
  <c r="AP238" i="10"/>
  <c r="AW238" i="10" s="1"/>
  <c r="AY139" i="10"/>
  <c r="AR189" i="10"/>
  <c r="AS239" i="10"/>
  <c r="AZ239" i="10" s="1"/>
  <c r="AZ189" i="10"/>
  <c r="AS141" i="10"/>
  <c r="AU142" i="10"/>
  <c r="AX139" i="10"/>
  <c r="AQ189" i="10"/>
  <c r="AR238" i="10"/>
  <c r="AY238" i="10" s="1"/>
  <c r="AY188" i="10"/>
  <c r="AP189" i="10"/>
  <c r="AW139" i="10"/>
  <c r="AS190" i="10"/>
  <c r="AR140" i="10"/>
  <c r="AQ140" i="10"/>
  <c r="AZ140" i="10"/>
  <c r="AP140" i="10"/>
  <c r="AQ238" i="10"/>
  <c r="AX238" i="10" s="1"/>
  <c r="AX188" i="10"/>
  <c r="AS34" i="10"/>
  <c r="AT34" i="10" s="1"/>
  <c r="AR35" i="10" s="1"/>
  <c r="BB32" i="10"/>
  <c r="AZ33" i="10" s="1"/>
  <c r="AW33" i="10"/>
  <c r="AX33" i="10" s="1"/>
  <c r="AV34" i="10" s="1"/>
  <c r="BA34" i="9"/>
  <c r="BB34" i="9" s="1"/>
  <c r="AZ35" i="9" s="1"/>
  <c r="AX34" i="9"/>
  <c r="AV35" i="9" s="1"/>
  <c r="AW35" i="9" s="1"/>
  <c r="AX35" i="9" s="1"/>
  <c r="AV36" i="9" s="1"/>
  <c r="AS36" i="9"/>
  <c r="AT36" i="9" s="1"/>
  <c r="AR37" i="9" s="1"/>
  <c r="AR238" i="9"/>
  <c r="AY238" i="9" s="1"/>
  <c r="AY188" i="9"/>
  <c r="AQ238" i="9"/>
  <c r="AX238" i="9" s="1"/>
  <c r="AX188" i="9"/>
  <c r="AP238" i="9"/>
  <c r="AW238" i="9" s="1"/>
  <c r="AW188" i="9"/>
  <c r="AS239" i="9"/>
  <c r="AZ239" i="9" s="1"/>
  <c r="AZ189" i="9"/>
  <c r="AZ140" i="9"/>
  <c r="AS190" i="9"/>
  <c r="AY139" i="9"/>
  <c r="AR189" i="9"/>
  <c r="AW139" i="9"/>
  <c r="AP189" i="9"/>
  <c r="AX139" i="9"/>
  <c r="AQ189" i="9"/>
  <c r="AQ140" i="9"/>
  <c r="AR140" i="9"/>
  <c r="AP140" i="9"/>
  <c r="AS141" i="9"/>
  <c r="AZ190" i="12" l="1"/>
  <c r="AS240" i="12"/>
  <c r="AZ240" i="12" s="1"/>
  <c r="AX189" i="12"/>
  <c r="AQ239" i="12"/>
  <c r="AX239" i="12" s="1"/>
  <c r="AW33" i="12"/>
  <c r="AX33" i="12" s="1"/>
  <c r="AV34" i="12" s="1"/>
  <c r="AR239" i="12"/>
  <c r="AY239" i="12" s="1"/>
  <c r="AY189" i="12"/>
  <c r="AS191" i="12"/>
  <c r="AZ141" i="12"/>
  <c r="AP141" i="12"/>
  <c r="AR141" i="12"/>
  <c r="AQ141" i="12"/>
  <c r="AP190" i="12"/>
  <c r="AW140" i="12"/>
  <c r="AU143" i="12"/>
  <c r="AS142" i="12"/>
  <c r="AP239" i="12"/>
  <c r="AW239" i="12" s="1"/>
  <c r="AW189" i="12"/>
  <c r="AR190" i="12"/>
  <c r="AY140" i="12"/>
  <c r="AQ190" i="12"/>
  <c r="AX140" i="12"/>
  <c r="AS36" i="12"/>
  <c r="AT36" i="12" s="1"/>
  <c r="AR37" i="12" s="1"/>
  <c r="AS37" i="12" s="1"/>
  <c r="AQ190" i="10"/>
  <c r="AX140" i="10"/>
  <c r="AU143" i="10"/>
  <c r="AS142" i="10"/>
  <c r="AZ190" i="10"/>
  <c r="AS240" i="10"/>
  <c r="AZ240" i="10" s="1"/>
  <c r="AZ141" i="10"/>
  <c r="AP141" i="10"/>
  <c r="AS191" i="10"/>
  <c r="AR141" i="10"/>
  <c r="AQ141" i="10"/>
  <c r="AP239" i="10"/>
  <c r="AW239" i="10" s="1"/>
  <c r="AW189" i="10"/>
  <c r="AR239" i="10"/>
  <c r="AY239" i="10" s="1"/>
  <c r="AY189" i="10"/>
  <c r="AR190" i="10"/>
  <c r="AY140" i="10"/>
  <c r="AW140" i="10"/>
  <c r="AP190" i="10"/>
  <c r="AQ239" i="10"/>
  <c r="AX239" i="10" s="1"/>
  <c r="AX189" i="10"/>
  <c r="BA33" i="10"/>
  <c r="BB33" i="10" s="1"/>
  <c r="AZ34" i="10" s="1"/>
  <c r="AW34" i="10"/>
  <c r="AS35" i="10"/>
  <c r="BA35" i="9"/>
  <c r="BB35" i="9" s="1"/>
  <c r="AZ36" i="9" s="1"/>
  <c r="AS37" i="9"/>
  <c r="AT37" i="9" s="1"/>
  <c r="AR38" i="9" s="1"/>
  <c r="AW36" i="9"/>
  <c r="AP239" i="9"/>
  <c r="AW239" i="9" s="1"/>
  <c r="AW189" i="9"/>
  <c r="AR239" i="9"/>
  <c r="AY239" i="9" s="1"/>
  <c r="AY189" i="9"/>
  <c r="AS240" i="9"/>
  <c r="AZ240" i="9" s="1"/>
  <c r="AZ190" i="9"/>
  <c r="AQ239" i="9"/>
  <c r="AX239" i="9" s="1"/>
  <c r="AX189" i="9"/>
  <c r="AW140" i="9"/>
  <c r="AP190" i="9"/>
  <c r="AZ141" i="9"/>
  <c r="AS191" i="9"/>
  <c r="AY140" i="9"/>
  <c r="AR190" i="9"/>
  <c r="AX140" i="9"/>
  <c r="AQ190" i="9"/>
  <c r="AR141" i="9"/>
  <c r="AQ141" i="9"/>
  <c r="AP141" i="9"/>
  <c r="AS142" i="9"/>
  <c r="AR142" i="12" l="1"/>
  <c r="AS192" i="12"/>
  <c r="AQ142" i="12"/>
  <c r="AZ142" i="12"/>
  <c r="AP142" i="12"/>
  <c r="AS143" i="12"/>
  <c r="AU144" i="12"/>
  <c r="AT37" i="12"/>
  <c r="AR38" i="12" s="1"/>
  <c r="AW34" i="12"/>
  <c r="AX34" i="12" s="1"/>
  <c r="AV35" i="12" s="1"/>
  <c r="AW35" i="12" s="1"/>
  <c r="AS241" i="12"/>
  <c r="AZ241" i="12" s="1"/>
  <c r="AZ191" i="12"/>
  <c r="AP240" i="12"/>
  <c r="AW240" i="12" s="1"/>
  <c r="AW190" i="12"/>
  <c r="BA33" i="12"/>
  <c r="BB33" i="12" s="1"/>
  <c r="AZ34" i="12" s="1"/>
  <c r="AQ191" i="12"/>
  <c r="AX141" i="12"/>
  <c r="AQ240" i="12"/>
  <c r="AX240" i="12" s="1"/>
  <c r="AX190" i="12"/>
  <c r="AR240" i="12"/>
  <c r="AY240" i="12" s="1"/>
  <c r="AY190" i="12"/>
  <c r="AR191" i="12"/>
  <c r="AY141" i="12"/>
  <c r="AP191" i="12"/>
  <c r="AW141" i="12"/>
  <c r="AP191" i="10"/>
  <c r="AW141" i="10"/>
  <c r="AQ240" i="10"/>
  <c r="AX240" i="10" s="1"/>
  <c r="AX190" i="10"/>
  <c r="AQ142" i="10"/>
  <c r="AZ142" i="10"/>
  <c r="AP142" i="10"/>
  <c r="AR142" i="10"/>
  <c r="AS192" i="10"/>
  <c r="AP240" i="10"/>
  <c r="AW240" i="10" s="1"/>
  <c r="AW190" i="10"/>
  <c r="AQ191" i="10"/>
  <c r="AX141" i="10"/>
  <c r="AU144" i="10"/>
  <c r="AS143" i="10"/>
  <c r="AS241" i="10"/>
  <c r="AZ241" i="10" s="1"/>
  <c r="AZ191" i="10"/>
  <c r="AR240" i="10"/>
  <c r="AY240" i="10" s="1"/>
  <c r="AY190" i="10"/>
  <c r="AR191" i="10"/>
  <c r="AY141" i="10"/>
  <c r="BA34" i="10"/>
  <c r="BB34" i="10" s="1"/>
  <c r="AZ35" i="10" s="1"/>
  <c r="AX34" i="10"/>
  <c r="AV35" i="10" s="1"/>
  <c r="AW35" i="10" s="1"/>
  <c r="AT35" i="10"/>
  <c r="AR36" i="10" s="1"/>
  <c r="BA36" i="9"/>
  <c r="BB36" i="9" s="1"/>
  <c r="AZ37" i="9" s="1"/>
  <c r="AX36" i="9"/>
  <c r="AV37" i="9" s="1"/>
  <c r="AW37" i="9" s="1"/>
  <c r="AS38" i="9"/>
  <c r="AT38" i="9" s="1"/>
  <c r="AR39" i="9" s="1"/>
  <c r="AS241" i="9"/>
  <c r="AZ241" i="9" s="1"/>
  <c r="AZ191" i="9"/>
  <c r="AQ240" i="9"/>
  <c r="AX240" i="9" s="1"/>
  <c r="AX190" i="9"/>
  <c r="AP240" i="9"/>
  <c r="AW240" i="9" s="1"/>
  <c r="AW190" i="9"/>
  <c r="AR240" i="9"/>
  <c r="AY240" i="9" s="1"/>
  <c r="AY190" i="9"/>
  <c r="AZ142" i="9"/>
  <c r="AS192" i="9"/>
  <c r="AX141" i="9"/>
  <c r="AQ191" i="9"/>
  <c r="AW141" i="9"/>
  <c r="AP191" i="9"/>
  <c r="AY141" i="9"/>
  <c r="AR191" i="9"/>
  <c r="AP142" i="9"/>
  <c r="AR142" i="9"/>
  <c r="AQ142" i="9"/>
  <c r="AS143" i="9"/>
  <c r="AX35" i="12" l="1"/>
  <c r="AV36" i="12" s="1"/>
  <c r="AS38" i="12"/>
  <c r="AT38" i="12" s="1"/>
  <c r="AR39" i="12" s="1"/>
  <c r="AS39" i="12" s="1"/>
  <c r="AS144" i="12"/>
  <c r="AU145" i="12"/>
  <c r="AP241" i="12"/>
  <c r="AW241" i="12" s="1"/>
  <c r="AW191" i="12"/>
  <c r="AX191" i="12"/>
  <c r="AQ241" i="12"/>
  <c r="AX241" i="12" s="1"/>
  <c r="AR143" i="12"/>
  <c r="AQ143" i="12"/>
  <c r="AZ143" i="12"/>
  <c r="AP143" i="12"/>
  <c r="AS193" i="12"/>
  <c r="AP192" i="12"/>
  <c r="AW142" i="12"/>
  <c r="AR241" i="12"/>
  <c r="AY241" i="12" s="1"/>
  <c r="AY191" i="12"/>
  <c r="BA34" i="12"/>
  <c r="BB34" i="12" s="1"/>
  <c r="AZ35" i="12" s="1"/>
  <c r="BA35" i="12" s="1"/>
  <c r="BB35" i="12" s="1"/>
  <c r="AZ36" i="12" s="1"/>
  <c r="AX142" i="12"/>
  <c r="AQ192" i="12"/>
  <c r="AS242" i="12"/>
  <c r="AZ242" i="12" s="1"/>
  <c r="AZ192" i="12"/>
  <c r="AR192" i="12"/>
  <c r="AY142" i="12"/>
  <c r="AR143" i="10"/>
  <c r="AQ143" i="10"/>
  <c r="AS193" i="10"/>
  <c r="AZ143" i="10"/>
  <c r="AP143" i="10"/>
  <c r="AW142" i="10"/>
  <c r="AP192" i="10"/>
  <c r="AU145" i="10"/>
  <c r="AS144" i="10"/>
  <c r="AQ192" i="10"/>
  <c r="AX142" i="10"/>
  <c r="AR192" i="10"/>
  <c r="AY142" i="10"/>
  <c r="AY191" i="10"/>
  <c r="AR241" i="10"/>
  <c r="AY241" i="10" s="1"/>
  <c r="AQ241" i="10"/>
  <c r="AX241" i="10" s="1"/>
  <c r="AX191" i="10"/>
  <c r="AS242" i="10"/>
  <c r="AZ242" i="10" s="1"/>
  <c r="AZ192" i="10"/>
  <c r="AP241" i="10"/>
  <c r="AW241" i="10" s="1"/>
  <c r="AW191" i="10"/>
  <c r="BA35" i="10"/>
  <c r="BB35" i="10" s="1"/>
  <c r="AZ36" i="10" s="1"/>
  <c r="AX35" i="10"/>
  <c r="AV36" i="10" s="1"/>
  <c r="AS36" i="10"/>
  <c r="AX37" i="9"/>
  <c r="AV38" i="9" s="1"/>
  <c r="AW38" i="9" s="1"/>
  <c r="AX38" i="9" s="1"/>
  <c r="AV39" i="9" s="1"/>
  <c r="BA37" i="9"/>
  <c r="BB37" i="9" s="1"/>
  <c r="AZ38" i="9" s="1"/>
  <c r="AS39" i="9"/>
  <c r="AT39" i="9" s="1"/>
  <c r="AR40" i="9" s="1"/>
  <c r="AP241" i="9"/>
  <c r="AW241" i="9" s="1"/>
  <c r="AW191" i="9"/>
  <c r="AR241" i="9"/>
  <c r="AY241" i="9" s="1"/>
  <c r="AY191" i="9"/>
  <c r="AS242" i="9"/>
  <c r="AZ242" i="9" s="1"/>
  <c r="AZ192" i="9"/>
  <c r="AQ241" i="9"/>
  <c r="AX241" i="9" s="1"/>
  <c r="AX191" i="9"/>
  <c r="AZ143" i="9"/>
  <c r="AS193" i="9"/>
  <c r="AX142" i="9"/>
  <c r="AQ192" i="9"/>
  <c r="AY142" i="9"/>
  <c r="AR192" i="9"/>
  <c r="AW142" i="9"/>
  <c r="AP192" i="9"/>
  <c r="AP143" i="9"/>
  <c r="AR143" i="9"/>
  <c r="AQ143" i="9"/>
  <c r="AS144" i="9"/>
  <c r="AR242" i="12" l="1"/>
  <c r="AY242" i="12" s="1"/>
  <c r="AY192" i="12"/>
  <c r="AU146" i="12"/>
  <c r="AS145" i="12"/>
  <c r="AY143" i="12"/>
  <c r="AR193" i="12"/>
  <c r="AS194" i="12"/>
  <c r="AR144" i="12"/>
  <c r="AQ144" i="12"/>
  <c r="AZ144" i="12"/>
  <c r="AP144" i="12"/>
  <c r="AX192" i="12"/>
  <c r="AQ242" i="12"/>
  <c r="AX242" i="12" s="1"/>
  <c r="AZ193" i="12"/>
  <c r="AS243" i="12"/>
  <c r="AZ243" i="12" s="1"/>
  <c r="AT39" i="12"/>
  <c r="AR40" i="12" s="1"/>
  <c r="AP193" i="12"/>
  <c r="AW143" i="12"/>
  <c r="AP242" i="12"/>
  <c r="AW242" i="12" s="1"/>
  <c r="AW192" i="12"/>
  <c r="AX143" i="12"/>
  <c r="AQ193" i="12"/>
  <c r="AW36" i="12"/>
  <c r="BA36" i="12" s="1"/>
  <c r="BB36" i="12" s="1"/>
  <c r="AZ37" i="12" s="1"/>
  <c r="AU146" i="10"/>
  <c r="AS145" i="10"/>
  <c r="AP242" i="10"/>
  <c r="AW242" i="10" s="1"/>
  <c r="AW192" i="10"/>
  <c r="AR193" i="10"/>
  <c r="AY143" i="10"/>
  <c r="AP193" i="10"/>
  <c r="AW143" i="10"/>
  <c r="AR144" i="10"/>
  <c r="AQ144" i="10"/>
  <c r="AS194" i="10"/>
  <c r="AP144" i="10"/>
  <c r="AZ144" i="10"/>
  <c r="AR242" i="10"/>
  <c r="AY242" i="10" s="1"/>
  <c r="AY192" i="10"/>
  <c r="AZ193" i="10"/>
  <c r="AS243" i="10"/>
  <c r="AZ243" i="10" s="1"/>
  <c r="AX192" i="10"/>
  <c r="AQ242" i="10"/>
  <c r="AX242" i="10" s="1"/>
  <c r="AQ193" i="10"/>
  <c r="AX143" i="10"/>
  <c r="AW36" i="10"/>
  <c r="AX36" i="10" s="1"/>
  <c r="AV37" i="10" s="1"/>
  <c r="AT36" i="10"/>
  <c r="AR37" i="10" s="1"/>
  <c r="BA38" i="9"/>
  <c r="BB38" i="9" s="1"/>
  <c r="AZ39" i="9" s="1"/>
  <c r="AW39" i="9"/>
  <c r="AX39" i="9" s="1"/>
  <c r="AV40" i="9" s="1"/>
  <c r="AS40" i="9"/>
  <c r="AP242" i="9"/>
  <c r="AW242" i="9" s="1"/>
  <c r="AW192" i="9"/>
  <c r="AQ242" i="9"/>
  <c r="AX242" i="9" s="1"/>
  <c r="AX192" i="9"/>
  <c r="AR242" i="9"/>
  <c r="AY242" i="9" s="1"/>
  <c r="AY192" i="9"/>
  <c r="AS243" i="9"/>
  <c r="AZ243" i="9" s="1"/>
  <c r="AZ193" i="9"/>
  <c r="AZ144" i="9"/>
  <c r="AS194" i="9"/>
  <c r="AX143" i="9"/>
  <c r="AQ193" i="9"/>
  <c r="AY143" i="9"/>
  <c r="AR193" i="9"/>
  <c r="AW143" i="9"/>
  <c r="AP193" i="9"/>
  <c r="AR144" i="9"/>
  <c r="AQ144" i="9"/>
  <c r="AP144" i="9"/>
  <c r="AS145" i="9"/>
  <c r="AS40" i="12" l="1"/>
  <c r="AT40" i="12" s="1"/>
  <c r="AR41" i="12" s="1"/>
  <c r="AS41" i="12" s="1"/>
  <c r="AX36" i="12"/>
  <c r="AV37" i="12" s="1"/>
  <c r="AW37" i="12" s="1"/>
  <c r="AR243" i="12"/>
  <c r="AY243" i="12" s="1"/>
  <c r="AY193" i="12"/>
  <c r="AQ243" i="12"/>
  <c r="AX243" i="12" s="1"/>
  <c r="AX193" i="12"/>
  <c r="AQ194" i="12"/>
  <c r="AX144" i="12"/>
  <c r="AY144" i="12"/>
  <c r="AR194" i="12"/>
  <c r="AZ145" i="12"/>
  <c r="AP145" i="12"/>
  <c r="AR145" i="12"/>
  <c r="AQ145" i="12"/>
  <c r="AS195" i="12"/>
  <c r="AW193" i="12"/>
  <c r="AP243" i="12"/>
  <c r="AW243" i="12" s="1"/>
  <c r="AS244" i="12"/>
  <c r="AZ244" i="12" s="1"/>
  <c r="AZ194" i="12"/>
  <c r="AS146" i="12"/>
  <c r="AU147" i="12"/>
  <c r="AP194" i="12"/>
  <c r="AW144" i="12"/>
  <c r="AP243" i="10"/>
  <c r="AW243" i="10" s="1"/>
  <c r="AW193" i="10"/>
  <c r="AR243" i="10"/>
  <c r="AY243" i="10" s="1"/>
  <c r="AY193" i="10"/>
  <c r="AQ243" i="10"/>
  <c r="AX243" i="10" s="1"/>
  <c r="AX193" i="10"/>
  <c r="AP194" i="10"/>
  <c r="AW144" i="10"/>
  <c r="AS244" i="10"/>
  <c r="AZ244" i="10" s="1"/>
  <c r="AZ194" i="10"/>
  <c r="AQ194" i="10"/>
  <c r="AX144" i="10"/>
  <c r="AS195" i="10"/>
  <c r="AR145" i="10"/>
  <c r="AP145" i="10"/>
  <c r="AQ145" i="10"/>
  <c r="AZ145" i="10"/>
  <c r="AR194" i="10"/>
  <c r="AY144" i="10"/>
  <c r="AU147" i="10"/>
  <c r="AS146" i="10"/>
  <c r="BA36" i="10"/>
  <c r="BB36" i="10" s="1"/>
  <c r="AZ37" i="10" s="1"/>
  <c r="AS37" i="10"/>
  <c r="BA39" i="9"/>
  <c r="BB39" i="9" s="1"/>
  <c r="AZ40" i="9" s="1"/>
  <c r="AW40" i="9"/>
  <c r="AX40" i="9" s="1"/>
  <c r="AV41" i="9" s="1"/>
  <c r="AT40" i="9"/>
  <c r="AR41" i="9" s="1"/>
  <c r="AP243" i="9"/>
  <c r="AW243" i="9" s="1"/>
  <c r="AW193" i="9"/>
  <c r="AQ243" i="9"/>
  <c r="AX243" i="9" s="1"/>
  <c r="AX193" i="9"/>
  <c r="AR243" i="9"/>
  <c r="AY243" i="9" s="1"/>
  <c r="AY193" i="9"/>
  <c r="AS244" i="9"/>
  <c r="AZ244" i="9" s="1"/>
  <c r="AZ194" i="9"/>
  <c r="AZ145" i="9"/>
  <c r="AS195" i="9"/>
  <c r="AX144" i="9"/>
  <c r="AQ194" i="9"/>
  <c r="AW144" i="9"/>
  <c r="AP194" i="9"/>
  <c r="AY144" i="9"/>
  <c r="AR194" i="9"/>
  <c r="AR145" i="9"/>
  <c r="AQ145" i="9"/>
  <c r="AP145" i="9"/>
  <c r="AS146" i="9"/>
  <c r="AS245" i="12" l="1"/>
  <c r="AZ245" i="12" s="1"/>
  <c r="AZ195" i="12"/>
  <c r="AU148" i="12"/>
  <c r="AS147" i="12"/>
  <c r="AR195" i="12"/>
  <c r="AY145" i="12"/>
  <c r="AS196" i="12"/>
  <c r="AZ146" i="12"/>
  <c r="AP146" i="12"/>
  <c r="AR146" i="12"/>
  <c r="AQ146" i="12"/>
  <c r="AP195" i="12"/>
  <c r="AW145" i="12"/>
  <c r="AX194" i="12"/>
  <c r="AQ244" i="12"/>
  <c r="AX244" i="12" s="1"/>
  <c r="AW194" i="12"/>
  <c r="AP244" i="12"/>
  <c r="AW244" i="12" s="1"/>
  <c r="AR244" i="12"/>
  <c r="AY244" i="12" s="1"/>
  <c r="AY194" i="12"/>
  <c r="AX37" i="12"/>
  <c r="AV38" i="12" s="1"/>
  <c r="AW38" i="12" s="1"/>
  <c r="BA37" i="12"/>
  <c r="BB37" i="12" s="1"/>
  <c r="AZ38" i="12" s="1"/>
  <c r="AT41" i="12"/>
  <c r="AR42" i="12" s="1"/>
  <c r="AS42" i="12" s="1"/>
  <c r="AQ195" i="12"/>
  <c r="AX145" i="12"/>
  <c r="AP195" i="10"/>
  <c r="AW145" i="10"/>
  <c r="AP244" i="10"/>
  <c r="AW244" i="10" s="1"/>
  <c r="AW194" i="10"/>
  <c r="AQ195" i="10"/>
  <c r="AX145" i="10"/>
  <c r="AS196" i="10"/>
  <c r="AR146" i="10"/>
  <c r="AP146" i="10"/>
  <c r="AQ146" i="10"/>
  <c r="AZ146" i="10"/>
  <c r="AS245" i="10"/>
  <c r="AZ245" i="10" s="1"/>
  <c r="AZ195" i="10"/>
  <c r="AU148" i="10"/>
  <c r="AS147" i="10"/>
  <c r="AX194" i="10"/>
  <c r="AQ244" i="10"/>
  <c r="AX244" i="10" s="1"/>
  <c r="AR195" i="10"/>
  <c r="AY145" i="10"/>
  <c r="AR244" i="10"/>
  <c r="AY244" i="10" s="1"/>
  <c r="AY194" i="10"/>
  <c r="AW37" i="10"/>
  <c r="AX37" i="10" s="1"/>
  <c r="AV38" i="10" s="1"/>
  <c r="AT37" i="10"/>
  <c r="AR38" i="10" s="1"/>
  <c r="BA40" i="9"/>
  <c r="BB40" i="9" s="1"/>
  <c r="AZ41" i="9" s="1"/>
  <c r="AS41" i="9"/>
  <c r="AT41" i="9" s="1"/>
  <c r="AR42" i="9" s="1"/>
  <c r="AR244" i="9"/>
  <c r="AY244" i="9" s="1"/>
  <c r="AY194" i="9"/>
  <c r="AQ244" i="9"/>
  <c r="AX244" i="9" s="1"/>
  <c r="AX194" i="9"/>
  <c r="AP244" i="9"/>
  <c r="AW244" i="9" s="1"/>
  <c r="AW194" i="9"/>
  <c r="AS245" i="9"/>
  <c r="AZ245" i="9" s="1"/>
  <c r="AZ195" i="9"/>
  <c r="AZ146" i="9"/>
  <c r="AS196" i="9"/>
  <c r="AX145" i="9"/>
  <c r="AQ195" i="9"/>
  <c r="AW145" i="9"/>
  <c r="AP195" i="9"/>
  <c r="AY145" i="9"/>
  <c r="AR195" i="9"/>
  <c r="AR146" i="9"/>
  <c r="AQ146" i="9"/>
  <c r="AP146" i="9"/>
  <c r="AS147" i="9"/>
  <c r="AQ245" i="12" l="1"/>
  <c r="AX245" i="12" s="1"/>
  <c r="AX195" i="12"/>
  <c r="AZ196" i="12"/>
  <c r="AS246" i="12"/>
  <c r="AZ246" i="12" s="1"/>
  <c r="AR245" i="12"/>
  <c r="AY245" i="12" s="1"/>
  <c r="AY195" i="12"/>
  <c r="AP245" i="12"/>
  <c r="AW245" i="12" s="1"/>
  <c r="AW195" i="12"/>
  <c r="AS197" i="12"/>
  <c r="AQ147" i="12"/>
  <c r="AP147" i="12"/>
  <c r="AZ147" i="12"/>
  <c r="AR147" i="12"/>
  <c r="AT42" i="12"/>
  <c r="AR43" i="12" s="1"/>
  <c r="AQ196" i="12"/>
  <c r="AX146" i="12"/>
  <c r="AU149" i="12"/>
  <c r="AS148" i="12"/>
  <c r="AR196" i="12"/>
  <c r="AY146" i="12"/>
  <c r="AX38" i="12"/>
  <c r="AV39" i="12" s="1"/>
  <c r="AW39" i="12" s="1"/>
  <c r="BA38" i="12"/>
  <c r="BB38" i="12" s="1"/>
  <c r="AZ39" i="12" s="1"/>
  <c r="AW146" i="12"/>
  <c r="AP196" i="12"/>
  <c r="AP196" i="10"/>
  <c r="AW146" i="10"/>
  <c r="AR196" i="10"/>
  <c r="AY146" i="10"/>
  <c r="AP147" i="10"/>
  <c r="AZ147" i="10"/>
  <c r="AS197" i="10"/>
  <c r="AR147" i="10"/>
  <c r="AQ147" i="10"/>
  <c r="AS246" i="10"/>
  <c r="AZ246" i="10" s="1"/>
  <c r="AZ196" i="10"/>
  <c r="AQ245" i="10"/>
  <c r="AX245" i="10" s="1"/>
  <c r="AX195" i="10"/>
  <c r="AP245" i="10"/>
  <c r="AW245" i="10" s="1"/>
  <c r="AW195" i="10"/>
  <c r="AU149" i="10"/>
  <c r="AS148" i="10"/>
  <c r="AR245" i="10"/>
  <c r="AY245" i="10" s="1"/>
  <c r="AY195" i="10"/>
  <c r="AQ196" i="10"/>
  <c r="AX146" i="10"/>
  <c r="AS38" i="10"/>
  <c r="AT38" i="10" s="1"/>
  <c r="AR39" i="10" s="1"/>
  <c r="BA37" i="10"/>
  <c r="BB37" i="10" s="1"/>
  <c r="AZ38" i="10" s="1"/>
  <c r="AS42" i="9"/>
  <c r="AT42" i="9" s="1"/>
  <c r="AR43" i="9" s="1"/>
  <c r="AW41" i="9"/>
  <c r="AX41" i="9" s="1"/>
  <c r="AV42" i="9" s="1"/>
  <c r="AS246" i="9"/>
  <c r="AZ246" i="9" s="1"/>
  <c r="AZ196" i="9"/>
  <c r="AR245" i="9"/>
  <c r="AY245" i="9" s="1"/>
  <c r="AY195" i="9"/>
  <c r="AP245" i="9"/>
  <c r="AW245" i="9" s="1"/>
  <c r="AW195" i="9"/>
  <c r="AQ245" i="9"/>
  <c r="AX245" i="9" s="1"/>
  <c r="AX195" i="9"/>
  <c r="AZ147" i="9"/>
  <c r="AS197" i="9"/>
  <c r="AX146" i="9"/>
  <c r="AQ196" i="9"/>
  <c r="AW146" i="9"/>
  <c r="AP196" i="9"/>
  <c r="AY146" i="9"/>
  <c r="AR196" i="9"/>
  <c r="AQ147" i="9"/>
  <c r="AP147" i="9"/>
  <c r="AR147" i="9"/>
  <c r="AS148" i="9"/>
  <c r="D51" i="4"/>
  <c r="AX39" i="12" l="1"/>
  <c r="AV40" i="12" s="1"/>
  <c r="BA39" i="12"/>
  <c r="BB39" i="12" s="1"/>
  <c r="AZ40" i="12" s="1"/>
  <c r="AS43" i="12"/>
  <c r="AT43" i="12" s="1"/>
  <c r="AR44" i="12" s="1"/>
  <c r="AR246" i="12"/>
  <c r="AY246" i="12" s="1"/>
  <c r="AY196" i="12"/>
  <c r="AY147" i="12"/>
  <c r="AR197" i="12"/>
  <c r="AS198" i="12"/>
  <c r="AR148" i="12"/>
  <c r="AZ148" i="12"/>
  <c r="AP148" i="12"/>
  <c r="AQ148" i="12"/>
  <c r="AP246" i="12"/>
  <c r="AW246" i="12" s="1"/>
  <c r="AW196" i="12"/>
  <c r="AU150" i="12"/>
  <c r="AS149" i="12"/>
  <c r="AP197" i="12"/>
  <c r="AW147" i="12"/>
  <c r="AQ197" i="12"/>
  <c r="AX147" i="12"/>
  <c r="AX196" i="12"/>
  <c r="AQ246" i="12"/>
  <c r="AX246" i="12" s="1"/>
  <c r="AS247" i="12"/>
  <c r="AZ247" i="12" s="1"/>
  <c r="AZ197" i="12"/>
  <c r="AQ197" i="10"/>
  <c r="AX147" i="10"/>
  <c r="AR197" i="10"/>
  <c r="AY147" i="10"/>
  <c r="AS247" i="10"/>
  <c r="AZ247" i="10" s="1"/>
  <c r="AZ197" i="10"/>
  <c r="AS149" i="10"/>
  <c r="AU150" i="10"/>
  <c r="AW147" i="10"/>
  <c r="AP197" i="10"/>
  <c r="AQ246" i="10"/>
  <c r="AX246" i="10" s="1"/>
  <c r="AX196" i="10"/>
  <c r="AQ148" i="10"/>
  <c r="AS198" i="10"/>
  <c r="AZ148" i="10"/>
  <c r="AP148" i="10"/>
  <c r="AR148" i="10"/>
  <c r="AR246" i="10"/>
  <c r="AY246" i="10" s="1"/>
  <c r="AY196" i="10"/>
  <c r="AP246" i="10"/>
  <c r="AW246" i="10" s="1"/>
  <c r="AW196" i="10"/>
  <c r="AW38" i="10"/>
  <c r="AX38" i="10" s="1"/>
  <c r="AV39" i="10" s="1"/>
  <c r="AS39" i="10"/>
  <c r="BA41" i="9"/>
  <c r="BB41" i="9" s="1"/>
  <c r="AZ42" i="9" s="1"/>
  <c r="AS43" i="9"/>
  <c r="AT43" i="9" s="1"/>
  <c r="AR44" i="9" s="1"/>
  <c r="AW42" i="9"/>
  <c r="AX42" i="9" s="1"/>
  <c r="AV43" i="9" s="1"/>
  <c r="AR246" i="9"/>
  <c r="AY246" i="9" s="1"/>
  <c r="AY196" i="9"/>
  <c r="AP246" i="9"/>
  <c r="AW246" i="9" s="1"/>
  <c r="AW196" i="9"/>
  <c r="AQ246" i="9"/>
  <c r="AX246" i="9" s="1"/>
  <c r="AX196" i="9"/>
  <c r="AS247" i="9"/>
  <c r="AZ247" i="9" s="1"/>
  <c r="AZ197" i="9"/>
  <c r="AZ148" i="9"/>
  <c r="AS198" i="9"/>
  <c r="AY147" i="9"/>
  <c r="AR197" i="9"/>
  <c r="AW147" i="9"/>
  <c r="AP197" i="9"/>
  <c r="AX147" i="9"/>
  <c r="AQ197" i="9"/>
  <c r="AQ148" i="9"/>
  <c r="AR148" i="9"/>
  <c r="AP148" i="9"/>
  <c r="AS149" i="9"/>
  <c r="AS199" i="12" l="1"/>
  <c r="AR149" i="12"/>
  <c r="AQ149" i="12"/>
  <c r="AZ149" i="12"/>
  <c r="AP149" i="12"/>
  <c r="AR247" i="12"/>
  <c r="AY247" i="12" s="1"/>
  <c r="AY197" i="12"/>
  <c r="AQ198" i="12"/>
  <c r="AX148" i="12"/>
  <c r="AP198" i="12"/>
  <c r="AW148" i="12"/>
  <c r="AS44" i="12"/>
  <c r="AT44" i="12" s="1"/>
  <c r="AR45" i="12" s="1"/>
  <c r="AQ247" i="12"/>
  <c r="AX247" i="12" s="1"/>
  <c r="AX197" i="12"/>
  <c r="AR198" i="12"/>
  <c r="AY148" i="12"/>
  <c r="AU151" i="12"/>
  <c r="AS150" i="12"/>
  <c r="AP247" i="12"/>
  <c r="AW247" i="12" s="1"/>
  <c r="AW197" i="12"/>
  <c r="AZ198" i="12"/>
  <c r="AS248" i="12"/>
  <c r="AZ248" i="12" s="1"/>
  <c r="AW40" i="12"/>
  <c r="BA40" i="12" s="1"/>
  <c r="BB40" i="12" s="1"/>
  <c r="AZ41" i="12" s="1"/>
  <c r="AU151" i="10"/>
  <c r="AS150" i="10"/>
  <c r="AZ149" i="10"/>
  <c r="AS199" i="10"/>
  <c r="AR149" i="10"/>
  <c r="AQ149" i="10"/>
  <c r="AP149" i="10"/>
  <c r="AS248" i="10"/>
  <c r="AZ248" i="10" s="1"/>
  <c r="AZ198" i="10"/>
  <c r="AQ198" i="10"/>
  <c r="AX148" i="10"/>
  <c r="AP198" i="10"/>
  <c r="AW148" i="10"/>
  <c r="AR247" i="10"/>
  <c r="AY247" i="10" s="1"/>
  <c r="AY197" i="10"/>
  <c r="AP247" i="10"/>
  <c r="AW247" i="10" s="1"/>
  <c r="AW197" i="10"/>
  <c r="AR198" i="10"/>
  <c r="AY148" i="10"/>
  <c r="AQ247" i="10"/>
  <c r="AX247" i="10" s="1"/>
  <c r="AX197" i="10"/>
  <c r="BA38" i="10"/>
  <c r="BB38" i="10" s="1"/>
  <c r="AZ39" i="10" s="1"/>
  <c r="AW39" i="10"/>
  <c r="AT39" i="10"/>
  <c r="AR40" i="10" s="1"/>
  <c r="BA42" i="9"/>
  <c r="BB42" i="9" s="1"/>
  <c r="AZ43" i="9" s="1"/>
  <c r="AW43" i="9"/>
  <c r="AX43" i="9" s="1"/>
  <c r="AV44" i="9" s="1"/>
  <c r="AS44" i="9"/>
  <c r="AT44" i="9" s="1"/>
  <c r="AR45" i="9" s="1"/>
  <c r="AQ247" i="9"/>
  <c r="AX247" i="9" s="1"/>
  <c r="AX197" i="9"/>
  <c r="AP247" i="9"/>
  <c r="AW247" i="9" s="1"/>
  <c r="AW197" i="9"/>
  <c r="AR247" i="9"/>
  <c r="AY247" i="9" s="1"/>
  <c r="AY197" i="9"/>
  <c r="AS248" i="9"/>
  <c r="AZ248" i="9" s="1"/>
  <c r="AZ198" i="9"/>
  <c r="AZ149" i="9"/>
  <c r="AS199" i="9"/>
  <c r="AY148" i="9"/>
  <c r="AR198" i="9"/>
  <c r="AW148" i="9"/>
  <c r="AP198" i="9"/>
  <c r="AX148" i="9"/>
  <c r="AQ198" i="9"/>
  <c r="AR149" i="9"/>
  <c r="AQ149" i="9"/>
  <c r="AP149" i="9"/>
  <c r="AS150" i="9"/>
  <c r="AS45" i="12" l="1"/>
  <c r="AT45" i="12" s="1"/>
  <c r="AR46" i="12" s="1"/>
  <c r="AS46" i="12" s="1"/>
  <c r="AS151" i="12"/>
  <c r="AU152" i="12"/>
  <c r="AP248" i="12"/>
  <c r="AW248" i="12" s="1"/>
  <c r="AW198" i="12"/>
  <c r="AS249" i="12"/>
  <c r="AZ249" i="12" s="1"/>
  <c r="AZ199" i="12"/>
  <c r="AX40" i="12"/>
  <c r="AV41" i="12" s="1"/>
  <c r="AW41" i="12" s="1"/>
  <c r="AQ248" i="12"/>
  <c r="AX248" i="12" s="1"/>
  <c r="AX198" i="12"/>
  <c r="AR248" i="12"/>
  <c r="AY248" i="12" s="1"/>
  <c r="AY198" i="12"/>
  <c r="AP199" i="12"/>
  <c r="AW149" i="12"/>
  <c r="AQ199" i="12"/>
  <c r="AX149" i="12"/>
  <c r="AQ150" i="12"/>
  <c r="AZ150" i="12"/>
  <c r="AP150" i="12"/>
  <c r="AS200" i="12"/>
  <c r="AR150" i="12"/>
  <c r="AR199" i="12"/>
  <c r="AY149" i="12"/>
  <c r="AP199" i="10"/>
  <c r="AW149" i="10"/>
  <c r="AQ199" i="10"/>
  <c r="AX149" i="10"/>
  <c r="AY149" i="10"/>
  <c r="AR199" i="10"/>
  <c r="AP248" i="10"/>
  <c r="AW248" i="10" s="1"/>
  <c r="AW198" i="10"/>
  <c r="AZ199" i="10"/>
  <c r="AS249" i="10"/>
  <c r="AZ249" i="10" s="1"/>
  <c r="AR248" i="10"/>
  <c r="AY248" i="10" s="1"/>
  <c r="AY198" i="10"/>
  <c r="AX198" i="10"/>
  <c r="AQ248" i="10"/>
  <c r="AX248" i="10" s="1"/>
  <c r="AZ150" i="10"/>
  <c r="AP150" i="10"/>
  <c r="AS200" i="10"/>
  <c r="AR150" i="10"/>
  <c r="AQ150" i="10"/>
  <c r="AU152" i="10"/>
  <c r="AS151" i="10"/>
  <c r="BA39" i="10"/>
  <c r="BB39" i="10" s="1"/>
  <c r="AZ40" i="10" s="1"/>
  <c r="AX39" i="10"/>
  <c r="AV40" i="10" s="1"/>
  <c r="AS40" i="10"/>
  <c r="BA43" i="9"/>
  <c r="BB43" i="9" s="1"/>
  <c r="AZ44" i="9" s="1"/>
  <c r="AS45" i="9"/>
  <c r="AT45" i="9" s="1"/>
  <c r="AR46" i="9" s="1"/>
  <c r="AW44" i="9"/>
  <c r="AQ248" i="9"/>
  <c r="AX248" i="9" s="1"/>
  <c r="AX198" i="9"/>
  <c r="AP248" i="9"/>
  <c r="AW248" i="9" s="1"/>
  <c r="AW198" i="9"/>
  <c r="AR248" i="9"/>
  <c r="AY248" i="9" s="1"/>
  <c r="AY198" i="9"/>
  <c r="AS249" i="9"/>
  <c r="AZ249" i="9" s="1"/>
  <c r="AZ199" i="9"/>
  <c r="AZ150" i="9"/>
  <c r="AS200" i="9"/>
  <c r="AX149" i="9"/>
  <c r="AQ199" i="9"/>
  <c r="AW149" i="9"/>
  <c r="AP199" i="9"/>
  <c r="AY149" i="9"/>
  <c r="AR199" i="9"/>
  <c r="AP150" i="9"/>
  <c r="AR150" i="9"/>
  <c r="AQ150" i="9"/>
  <c r="AS151" i="9"/>
  <c r="AT46" i="12" l="1"/>
  <c r="AR47" i="12" s="1"/>
  <c r="AS47" i="12" s="1"/>
  <c r="AP200" i="12"/>
  <c r="AW150" i="12"/>
  <c r="AQ200" i="12"/>
  <c r="AX150" i="12"/>
  <c r="AS250" i="12"/>
  <c r="AZ250" i="12" s="1"/>
  <c r="AZ200" i="12"/>
  <c r="AS152" i="12"/>
  <c r="AU153" i="12"/>
  <c r="AX199" i="12"/>
  <c r="AQ249" i="12"/>
  <c r="AX249" i="12" s="1"/>
  <c r="AZ151" i="12"/>
  <c r="AP151" i="12"/>
  <c r="AQ151" i="12"/>
  <c r="AS201" i="12"/>
  <c r="AR151" i="12"/>
  <c r="AR249" i="12"/>
  <c r="AY249" i="12" s="1"/>
  <c r="AY199" i="12"/>
  <c r="AW199" i="12"/>
  <c r="AP249" i="12"/>
  <c r="AW249" i="12" s="1"/>
  <c r="AR200" i="12"/>
  <c r="AY150" i="12"/>
  <c r="AX41" i="12"/>
  <c r="AV42" i="12" s="1"/>
  <c r="BA41" i="12"/>
  <c r="BB41" i="12" s="1"/>
  <c r="AZ42" i="12" s="1"/>
  <c r="AP200" i="10"/>
  <c r="AW150" i="10"/>
  <c r="AR249" i="10"/>
  <c r="AY249" i="10" s="1"/>
  <c r="AY199" i="10"/>
  <c r="AS201" i="10"/>
  <c r="AP151" i="10"/>
  <c r="AZ151" i="10"/>
  <c r="AQ151" i="10"/>
  <c r="AR151" i="10"/>
  <c r="AS152" i="10"/>
  <c r="AU153" i="10"/>
  <c r="AX150" i="10"/>
  <c r="AQ200" i="10"/>
  <c r="AQ249" i="10"/>
  <c r="AX249" i="10" s="1"/>
  <c r="AX199" i="10"/>
  <c r="AR200" i="10"/>
  <c r="AY150" i="10"/>
  <c r="AZ200" i="10"/>
  <c r="AS250" i="10"/>
  <c r="AZ250" i="10" s="1"/>
  <c r="AP249" i="10"/>
  <c r="AW249" i="10" s="1"/>
  <c r="AW199" i="10"/>
  <c r="AW40" i="10"/>
  <c r="BA40" i="10" s="1"/>
  <c r="BB40" i="10" s="1"/>
  <c r="AZ41" i="10" s="1"/>
  <c r="AT40" i="10"/>
  <c r="AR41" i="10" s="1"/>
  <c r="BA44" i="9"/>
  <c r="BB44" i="9" s="1"/>
  <c r="AZ45" i="9" s="1"/>
  <c r="AX44" i="9"/>
  <c r="AV45" i="9" s="1"/>
  <c r="AW45" i="9" s="1"/>
  <c r="AS46" i="9"/>
  <c r="AT46" i="9" s="1"/>
  <c r="AR47" i="9" s="1"/>
  <c r="AQ249" i="9"/>
  <c r="AX249" i="9" s="1"/>
  <c r="AX199" i="9"/>
  <c r="AS250" i="9"/>
  <c r="AZ250" i="9" s="1"/>
  <c r="AZ200" i="9"/>
  <c r="AR249" i="9"/>
  <c r="AY249" i="9" s="1"/>
  <c r="AY199" i="9"/>
  <c r="AP249" i="9"/>
  <c r="AW249" i="9" s="1"/>
  <c r="AW199" i="9"/>
  <c r="AZ151" i="9"/>
  <c r="AS201" i="9"/>
  <c r="AX150" i="9"/>
  <c r="AQ200" i="9"/>
  <c r="AY150" i="9"/>
  <c r="AR200" i="9"/>
  <c r="AW150" i="9"/>
  <c r="AP200" i="9"/>
  <c r="AP151" i="9"/>
  <c r="AR151" i="9"/>
  <c r="AQ151" i="9"/>
  <c r="AS152" i="9"/>
  <c r="AP201" i="12" l="1"/>
  <c r="AW151" i="12"/>
  <c r="AW42" i="12"/>
  <c r="BA42" i="12" s="1"/>
  <c r="BB42" i="12" s="1"/>
  <c r="AZ43" i="12" s="1"/>
  <c r="AQ250" i="12"/>
  <c r="AX250" i="12" s="1"/>
  <c r="AX200" i="12"/>
  <c r="AY200" i="12"/>
  <c r="AR250" i="12"/>
  <c r="AY250" i="12" s="1"/>
  <c r="AU154" i="12"/>
  <c r="AS153" i="12"/>
  <c r="AW200" i="12"/>
  <c r="AP250" i="12"/>
  <c r="AW250" i="12" s="1"/>
  <c r="AY151" i="12"/>
  <c r="AR201" i="12"/>
  <c r="AS202" i="12"/>
  <c r="AR152" i="12"/>
  <c r="AQ152" i="12"/>
  <c r="AZ152" i="12"/>
  <c r="AP152" i="12"/>
  <c r="AS251" i="12"/>
  <c r="AZ251" i="12" s="1"/>
  <c r="AZ201" i="12"/>
  <c r="AQ201" i="12"/>
  <c r="AX151" i="12"/>
  <c r="AT47" i="12"/>
  <c r="AR48" i="12" s="1"/>
  <c r="AS48" i="12" s="1"/>
  <c r="AP201" i="10"/>
  <c r="AW151" i="10"/>
  <c r="AQ250" i="10"/>
  <c r="AX250" i="10" s="1"/>
  <c r="AX200" i="10"/>
  <c r="AS251" i="10"/>
  <c r="AZ251" i="10" s="1"/>
  <c r="AZ201" i="10"/>
  <c r="AY200" i="10"/>
  <c r="AR250" i="10"/>
  <c r="AY250" i="10" s="1"/>
  <c r="AX151" i="10"/>
  <c r="AQ201" i="10"/>
  <c r="AS153" i="10"/>
  <c r="AU154" i="10"/>
  <c r="AQ152" i="10"/>
  <c r="AS202" i="10"/>
  <c r="AR152" i="10"/>
  <c r="AZ152" i="10"/>
  <c r="AP152" i="10"/>
  <c r="AR201" i="10"/>
  <c r="AY151" i="10"/>
  <c r="AP250" i="10"/>
  <c r="AW250" i="10" s="1"/>
  <c r="AW200" i="10"/>
  <c r="AX40" i="10"/>
  <c r="AV41" i="10" s="1"/>
  <c r="AS41" i="10"/>
  <c r="BA45" i="9"/>
  <c r="BB45" i="9" s="1"/>
  <c r="AZ46" i="9" s="1"/>
  <c r="AX45" i="9"/>
  <c r="AV46" i="9" s="1"/>
  <c r="AW46" i="9" s="1"/>
  <c r="AX46" i="9" s="1"/>
  <c r="AV47" i="9" s="1"/>
  <c r="AS47" i="9"/>
  <c r="AT47" i="9" s="1"/>
  <c r="AR48" i="9" s="1"/>
  <c r="AQ250" i="9"/>
  <c r="AX250" i="9" s="1"/>
  <c r="AX200" i="9"/>
  <c r="AR250" i="9"/>
  <c r="AY250" i="9" s="1"/>
  <c r="AY200" i="9"/>
  <c r="AP250" i="9"/>
  <c r="AW250" i="9" s="1"/>
  <c r="AW200" i="9"/>
  <c r="AS251" i="9"/>
  <c r="AZ251" i="9" s="1"/>
  <c r="AZ201" i="9"/>
  <c r="AZ152" i="9"/>
  <c r="AS202" i="9"/>
  <c r="AX151" i="9"/>
  <c r="AQ201" i="9"/>
  <c r="AY151" i="9"/>
  <c r="AR201" i="9"/>
  <c r="AW151" i="9"/>
  <c r="AP201" i="9"/>
  <c r="AR152" i="9"/>
  <c r="AQ152" i="9"/>
  <c r="AP152" i="9"/>
  <c r="AS153" i="9"/>
  <c r="AP202" i="12" l="1"/>
  <c r="AW152" i="12"/>
  <c r="AQ251" i="12"/>
  <c r="AX251" i="12" s="1"/>
  <c r="AX201" i="12"/>
  <c r="AR153" i="12"/>
  <c r="AZ153" i="12"/>
  <c r="AP153" i="12"/>
  <c r="AS203" i="12"/>
  <c r="AQ153" i="12"/>
  <c r="AQ202" i="12"/>
  <c r="AX152" i="12"/>
  <c r="AU155" i="12"/>
  <c r="AS154" i="12"/>
  <c r="AT48" i="12"/>
  <c r="AR49" i="12" s="1"/>
  <c r="AY152" i="12"/>
  <c r="AR202" i="12"/>
  <c r="AX42" i="12"/>
  <c r="AV43" i="12" s="1"/>
  <c r="AS252" i="12"/>
  <c r="AZ252" i="12" s="1"/>
  <c r="AZ202" i="12"/>
  <c r="AR251" i="12"/>
  <c r="AY251" i="12" s="1"/>
  <c r="AY201" i="12"/>
  <c r="AP251" i="12"/>
  <c r="AW251" i="12" s="1"/>
  <c r="AW201" i="12"/>
  <c r="AY152" i="10"/>
  <c r="AR202" i="10"/>
  <c r="AQ202" i="10"/>
  <c r="AX152" i="10"/>
  <c r="AP202" i="10"/>
  <c r="AW152" i="10"/>
  <c r="AS252" i="10"/>
  <c r="AZ252" i="10" s="1"/>
  <c r="AZ202" i="10"/>
  <c r="AU155" i="10"/>
  <c r="AS154" i="10"/>
  <c r="AP153" i="10"/>
  <c r="AQ153" i="10"/>
  <c r="AR153" i="10"/>
  <c r="AZ153" i="10"/>
  <c r="AS203" i="10"/>
  <c r="AY201" i="10"/>
  <c r="AR251" i="10"/>
  <c r="AY251" i="10" s="1"/>
  <c r="AQ251" i="10"/>
  <c r="AX251" i="10" s="1"/>
  <c r="AX201" i="10"/>
  <c r="AW201" i="10"/>
  <c r="AP251" i="10"/>
  <c r="AW251" i="10" s="1"/>
  <c r="AW41" i="10"/>
  <c r="AX41" i="10" s="1"/>
  <c r="AV42" i="10" s="1"/>
  <c r="AT41" i="10"/>
  <c r="AR42" i="10" s="1"/>
  <c r="AW47" i="9"/>
  <c r="AX47" i="9" s="1"/>
  <c r="AV48" i="9" s="1"/>
  <c r="BA46" i="9"/>
  <c r="BB46" i="9" s="1"/>
  <c r="AZ47" i="9" s="1"/>
  <c r="AS48" i="9"/>
  <c r="AT48" i="9" s="1"/>
  <c r="AR49" i="9" s="1"/>
  <c r="AR251" i="9"/>
  <c r="AY251" i="9" s="1"/>
  <c r="AY201" i="9"/>
  <c r="AQ251" i="9"/>
  <c r="AX251" i="9" s="1"/>
  <c r="AX201" i="9"/>
  <c r="AS252" i="9"/>
  <c r="AZ252" i="9" s="1"/>
  <c r="AZ202" i="9"/>
  <c r="AP251" i="9"/>
  <c r="AW251" i="9" s="1"/>
  <c r="AW201" i="9"/>
  <c r="AX152" i="9"/>
  <c r="AQ202" i="9"/>
  <c r="AZ153" i="9"/>
  <c r="AS203" i="9"/>
  <c r="AW152" i="9"/>
  <c r="AP202" i="9"/>
  <c r="AY152" i="9"/>
  <c r="AR202" i="9"/>
  <c r="AR153" i="9"/>
  <c r="AQ153" i="9"/>
  <c r="AP153" i="9"/>
  <c r="AS154" i="9"/>
  <c r="AS49" i="12" l="1"/>
  <c r="AT49" i="12" s="1"/>
  <c r="AR50" i="12" s="1"/>
  <c r="AQ203" i="12"/>
  <c r="AX153" i="12"/>
  <c r="AZ203" i="12"/>
  <c r="AS253" i="12"/>
  <c r="AZ253" i="12" s="1"/>
  <c r="AW153" i="12"/>
  <c r="AP203" i="12"/>
  <c r="AP252" i="12"/>
  <c r="AW252" i="12" s="1"/>
  <c r="AW202" i="12"/>
  <c r="AW43" i="12"/>
  <c r="BA43" i="12" s="1"/>
  <c r="BB43" i="12" s="1"/>
  <c r="AZ44" i="12" s="1"/>
  <c r="AR252" i="12"/>
  <c r="AY252" i="12" s="1"/>
  <c r="AY202" i="12"/>
  <c r="AS204" i="12"/>
  <c r="AZ154" i="12"/>
  <c r="AP154" i="12"/>
  <c r="AR154" i="12"/>
  <c r="AQ154" i="12"/>
  <c r="AR203" i="12"/>
  <c r="AY153" i="12"/>
  <c r="AQ252" i="12"/>
  <c r="AX252" i="12" s="1"/>
  <c r="AX202" i="12"/>
  <c r="AU156" i="12"/>
  <c r="AS155" i="12"/>
  <c r="AS253" i="10"/>
  <c r="AZ253" i="10" s="1"/>
  <c r="AZ203" i="10"/>
  <c r="AR203" i="10"/>
  <c r="AY153" i="10"/>
  <c r="AP252" i="10"/>
  <c r="AW252" i="10" s="1"/>
  <c r="AW202" i="10"/>
  <c r="AU156" i="10"/>
  <c r="AS155" i="10"/>
  <c r="AX153" i="10"/>
  <c r="AQ203" i="10"/>
  <c r="AW153" i="10"/>
  <c r="AP203" i="10"/>
  <c r="AQ252" i="10"/>
  <c r="AX252" i="10" s="1"/>
  <c r="AX202" i="10"/>
  <c r="AS204" i="10"/>
  <c r="AZ154" i="10"/>
  <c r="AP154" i="10"/>
  <c r="AQ154" i="10"/>
  <c r="AR154" i="10"/>
  <c r="AY202" i="10"/>
  <c r="AR252" i="10"/>
  <c r="AY252" i="10" s="1"/>
  <c r="AS42" i="10"/>
  <c r="AT42" i="10" s="1"/>
  <c r="AR43" i="10" s="1"/>
  <c r="BA41" i="10"/>
  <c r="BB41" i="10" s="1"/>
  <c r="AZ42" i="10" s="1"/>
  <c r="BA47" i="9"/>
  <c r="BB47" i="9" s="1"/>
  <c r="AZ48" i="9" s="1"/>
  <c r="AS49" i="9"/>
  <c r="AW48" i="9"/>
  <c r="AR252" i="9"/>
  <c r="AY252" i="9" s="1"/>
  <c r="AY202" i="9"/>
  <c r="AP252" i="9"/>
  <c r="AW252" i="9" s="1"/>
  <c r="AW202" i="9"/>
  <c r="AS253" i="9"/>
  <c r="AZ253" i="9" s="1"/>
  <c r="AZ203" i="9"/>
  <c r="AQ252" i="9"/>
  <c r="AX252" i="9" s="1"/>
  <c r="AX202" i="9"/>
  <c r="AZ154" i="9"/>
  <c r="AS204" i="9"/>
  <c r="AW153" i="9"/>
  <c r="AP203" i="9"/>
  <c r="AX153" i="9"/>
  <c r="AQ203" i="9"/>
  <c r="AY153" i="9"/>
  <c r="AR203" i="9"/>
  <c r="AR154" i="9"/>
  <c r="AQ154" i="9"/>
  <c r="AP154" i="9"/>
  <c r="AS155" i="9"/>
  <c r="AR204" i="12" l="1"/>
  <c r="AY154" i="12"/>
  <c r="AX43" i="12"/>
  <c r="AV44" i="12" s="1"/>
  <c r="AW44" i="12" s="1"/>
  <c r="AQ204" i="12"/>
  <c r="AX154" i="12"/>
  <c r="AS205" i="12"/>
  <c r="AQ155" i="12"/>
  <c r="AR155" i="12"/>
  <c r="AZ155" i="12"/>
  <c r="AP155" i="12"/>
  <c r="AP204" i="12"/>
  <c r="AW154" i="12"/>
  <c r="AS156" i="12"/>
  <c r="AU157" i="12"/>
  <c r="AZ204" i="12"/>
  <c r="AS254" i="12"/>
  <c r="AZ254" i="12" s="1"/>
  <c r="AP253" i="12"/>
  <c r="AW253" i="12" s="1"/>
  <c r="AW203" i="12"/>
  <c r="AQ253" i="12"/>
  <c r="AX253" i="12" s="1"/>
  <c r="AX203" i="12"/>
  <c r="AS50" i="12"/>
  <c r="AT50" i="12" s="1"/>
  <c r="AR51" i="12" s="1"/>
  <c r="AR253" i="12"/>
  <c r="AY253" i="12" s="1"/>
  <c r="AY203" i="12"/>
  <c r="AU157" i="10"/>
  <c r="AS156" i="10"/>
  <c r="AW203" i="10"/>
  <c r="AP253" i="10"/>
  <c r="AW253" i="10" s="1"/>
  <c r="AR155" i="10"/>
  <c r="AQ155" i="10"/>
  <c r="AP155" i="10"/>
  <c r="AS205" i="10"/>
  <c r="AZ155" i="10"/>
  <c r="AR204" i="10"/>
  <c r="AY154" i="10"/>
  <c r="AR253" i="10"/>
  <c r="AY253" i="10" s="1"/>
  <c r="AY203" i="10"/>
  <c r="AS254" i="10"/>
  <c r="AZ254" i="10" s="1"/>
  <c r="AZ204" i="10"/>
  <c r="AQ204" i="10"/>
  <c r="AX154" i="10"/>
  <c r="AX203" i="10"/>
  <c r="AQ253" i="10"/>
  <c r="AX253" i="10" s="1"/>
  <c r="AP204" i="10"/>
  <c r="AW154" i="10"/>
  <c r="AS43" i="10"/>
  <c r="AW42" i="10"/>
  <c r="AX42" i="10" s="1"/>
  <c r="AV43" i="10" s="1"/>
  <c r="BA48" i="9"/>
  <c r="BB48" i="9" s="1"/>
  <c r="AZ49" i="9" s="1"/>
  <c r="AX48" i="9"/>
  <c r="AV49" i="9" s="1"/>
  <c r="AT49" i="9"/>
  <c r="AR50" i="9" s="1"/>
  <c r="AP253" i="9"/>
  <c r="AW253" i="9" s="1"/>
  <c r="AW203" i="9"/>
  <c r="AS254" i="9"/>
  <c r="AZ254" i="9" s="1"/>
  <c r="AZ204" i="9"/>
  <c r="AR253" i="9"/>
  <c r="AY253" i="9" s="1"/>
  <c r="AY203" i="9"/>
  <c r="AQ253" i="9"/>
  <c r="AX253" i="9" s="1"/>
  <c r="AX203" i="9"/>
  <c r="AZ155" i="9"/>
  <c r="AS205" i="9"/>
  <c r="AW154" i="9"/>
  <c r="AP204" i="9"/>
  <c r="AX154" i="9"/>
  <c r="AQ204" i="9"/>
  <c r="AY154" i="9"/>
  <c r="AR204" i="9"/>
  <c r="AQ155" i="9"/>
  <c r="AP155" i="9"/>
  <c r="AR155" i="9"/>
  <c r="AS156" i="9"/>
  <c r="AS51" i="12" l="1"/>
  <c r="AT51" i="12" s="1"/>
  <c r="AR52" i="12" s="1"/>
  <c r="AX155" i="12"/>
  <c r="AQ205" i="12"/>
  <c r="AZ156" i="12"/>
  <c r="AP156" i="12"/>
  <c r="AQ156" i="12"/>
  <c r="AR156" i="12"/>
  <c r="AS206" i="12"/>
  <c r="AQ254" i="12"/>
  <c r="AX254" i="12" s="1"/>
  <c r="AX204" i="12"/>
  <c r="AS157" i="12"/>
  <c r="AU158" i="12"/>
  <c r="AP254" i="12"/>
  <c r="AW254" i="12" s="1"/>
  <c r="AW204" i="12"/>
  <c r="AS255" i="12"/>
  <c r="AZ255" i="12" s="1"/>
  <c r="AZ205" i="12"/>
  <c r="AP205" i="12"/>
  <c r="AW155" i="12"/>
  <c r="AX44" i="12"/>
  <c r="AV45" i="12" s="1"/>
  <c r="AW45" i="12" s="1"/>
  <c r="BA44" i="12"/>
  <c r="BB44" i="12" s="1"/>
  <c r="AZ45" i="12" s="1"/>
  <c r="AR205" i="12"/>
  <c r="AY155" i="12"/>
  <c r="AY204" i="12"/>
  <c r="AR254" i="12"/>
  <c r="AY254" i="12" s="1"/>
  <c r="AP205" i="10"/>
  <c r="AW155" i="10"/>
  <c r="AR205" i="10"/>
  <c r="AY155" i="10"/>
  <c r="AP254" i="10"/>
  <c r="AW254" i="10" s="1"/>
  <c r="AW204" i="10"/>
  <c r="AQ254" i="10"/>
  <c r="AX254" i="10" s="1"/>
  <c r="AX204" i="10"/>
  <c r="AQ205" i="10"/>
  <c r="AX155" i="10"/>
  <c r="AZ205" i="10"/>
  <c r="AS255" i="10"/>
  <c r="AZ255" i="10" s="1"/>
  <c r="AY204" i="10"/>
  <c r="AR254" i="10"/>
  <c r="AY254" i="10" s="1"/>
  <c r="AS206" i="10"/>
  <c r="AR156" i="10"/>
  <c r="AZ156" i="10"/>
  <c r="AQ156" i="10"/>
  <c r="AP156" i="10"/>
  <c r="AU158" i="10"/>
  <c r="AS157" i="10"/>
  <c r="BA42" i="10"/>
  <c r="BB42" i="10" s="1"/>
  <c r="AZ43" i="10" s="1"/>
  <c r="AW43" i="10"/>
  <c r="AT43" i="10"/>
  <c r="AR44" i="10" s="1"/>
  <c r="AW49" i="9"/>
  <c r="BA49" i="9" s="1"/>
  <c r="BB49" i="9" s="1"/>
  <c r="AZ50" i="9" s="1"/>
  <c r="AS50" i="9"/>
  <c r="AT50" i="9" s="1"/>
  <c r="AR51" i="9" s="1"/>
  <c r="AR254" i="9"/>
  <c r="AY254" i="9" s="1"/>
  <c r="AY204" i="9"/>
  <c r="AQ254" i="9"/>
  <c r="AX254" i="9" s="1"/>
  <c r="AX204" i="9"/>
  <c r="AP254" i="9"/>
  <c r="AW254" i="9" s="1"/>
  <c r="AW204" i="9"/>
  <c r="AS255" i="9"/>
  <c r="AZ255" i="9" s="1"/>
  <c r="AZ205" i="9"/>
  <c r="AY155" i="9"/>
  <c r="AR205" i="9"/>
  <c r="AW155" i="9"/>
  <c r="AP205" i="9"/>
  <c r="AZ156" i="9"/>
  <c r="AS206" i="9"/>
  <c r="AX155" i="9"/>
  <c r="AQ205" i="9"/>
  <c r="AQ156" i="9"/>
  <c r="AR156" i="9"/>
  <c r="AP156" i="9"/>
  <c r="AS157" i="9"/>
  <c r="AR206" i="12" l="1"/>
  <c r="AY156" i="12"/>
  <c r="AP206" i="12"/>
  <c r="AW156" i="12"/>
  <c r="AQ206" i="12"/>
  <c r="AX156" i="12"/>
  <c r="AS158" i="12"/>
  <c r="AU159" i="12"/>
  <c r="AR255" i="12"/>
  <c r="AY255" i="12" s="1"/>
  <c r="AY205" i="12"/>
  <c r="AX45" i="12"/>
  <c r="AV46" i="12" s="1"/>
  <c r="AW46" i="12" s="1"/>
  <c r="BA45" i="12"/>
  <c r="BB45" i="12" s="1"/>
  <c r="AZ46" i="12" s="1"/>
  <c r="AP157" i="12"/>
  <c r="AZ157" i="12"/>
  <c r="AS207" i="12"/>
  <c r="AR157" i="12"/>
  <c r="AQ157" i="12"/>
  <c r="AQ255" i="12"/>
  <c r="AX255" i="12" s="1"/>
  <c r="AX205" i="12"/>
  <c r="AP255" i="12"/>
  <c r="AW255" i="12" s="1"/>
  <c r="AW205" i="12"/>
  <c r="AS52" i="12"/>
  <c r="AT52" i="12" s="1"/>
  <c r="AR53" i="12" s="1"/>
  <c r="AS53" i="12" s="1"/>
  <c r="AS256" i="12"/>
  <c r="AZ256" i="12" s="1"/>
  <c r="AZ206" i="12"/>
  <c r="AQ255" i="10"/>
  <c r="AX255" i="10" s="1"/>
  <c r="AX205" i="10"/>
  <c r="AS256" i="10"/>
  <c r="AZ256" i="10" s="1"/>
  <c r="AZ206" i="10"/>
  <c r="AR206" i="10"/>
  <c r="AY156" i="10"/>
  <c r="AZ157" i="10"/>
  <c r="AS207" i="10"/>
  <c r="AP157" i="10"/>
  <c r="AR157" i="10"/>
  <c r="AQ157" i="10"/>
  <c r="AS158" i="10"/>
  <c r="AU159" i="10"/>
  <c r="AW156" i="10"/>
  <c r="AP206" i="10"/>
  <c r="AY205" i="10"/>
  <c r="AR255" i="10"/>
  <c r="AY255" i="10" s="1"/>
  <c r="AQ206" i="10"/>
  <c r="AX156" i="10"/>
  <c r="AP255" i="10"/>
  <c r="AW255" i="10" s="1"/>
  <c r="AW205" i="10"/>
  <c r="BA43" i="10"/>
  <c r="BB43" i="10" s="1"/>
  <c r="AZ44" i="10" s="1"/>
  <c r="AX43" i="10"/>
  <c r="AV44" i="10" s="1"/>
  <c r="AS44" i="10"/>
  <c r="AS51" i="9"/>
  <c r="AX49" i="9"/>
  <c r="AV50" i="9" s="1"/>
  <c r="AS256" i="9"/>
  <c r="AZ256" i="9" s="1"/>
  <c r="AZ206" i="9"/>
  <c r="AP255" i="9"/>
  <c r="AW255" i="9" s="1"/>
  <c r="AW205" i="9"/>
  <c r="AR255" i="9"/>
  <c r="AY255" i="9" s="1"/>
  <c r="AY205" i="9"/>
  <c r="AQ255" i="9"/>
  <c r="AX255" i="9" s="1"/>
  <c r="AX205" i="9"/>
  <c r="AY156" i="9"/>
  <c r="AR206" i="9"/>
  <c r="AZ157" i="9"/>
  <c r="AS207" i="9"/>
  <c r="AW156" i="9"/>
  <c r="AP206" i="9"/>
  <c r="AX156" i="9"/>
  <c r="AQ206" i="9"/>
  <c r="AR157" i="9"/>
  <c r="AQ157" i="9"/>
  <c r="AP157" i="9"/>
  <c r="AS158" i="9"/>
  <c r="AT53" i="12" l="1"/>
  <c r="AR54" i="12" s="1"/>
  <c r="AS159" i="12"/>
  <c r="AU160" i="12"/>
  <c r="AQ207" i="12"/>
  <c r="AX157" i="12"/>
  <c r="AP158" i="12"/>
  <c r="AQ158" i="12"/>
  <c r="AS208" i="12"/>
  <c r="AR158" i="12"/>
  <c r="AZ158" i="12"/>
  <c r="AR256" i="12"/>
  <c r="AY256" i="12" s="1"/>
  <c r="AY206" i="12"/>
  <c r="AY157" i="12"/>
  <c r="AR207" i="12"/>
  <c r="AX46" i="12"/>
  <c r="AV47" i="12" s="1"/>
  <c r="BA46" i="12"/>
  <c r="BB46" i="12" s="1"/>
  <c r="AZ47" i="12" s="1"/>
  <c r="AS257" i="12"/>
  <c r="AZ257" i="12" s="1"/>
  <c r="AZ207" i="12"/>
  <c r="AQ256" i="12"/>
  <c r="AX256" i="12" s="1"/>
  <c r="AX206" i="12"/>
  <c r="AW157" i="12"/>
  <c r="AP207" i="12"/>
  <c r="AP256" i="12"/>
  <c r="AW256" i="12" s="1"/>
  <c r="AW206" i="12"/>
  <c r="AS257" i="10"/>
  <c r="AZ257" i="10" s="1"/>
  <c r="AZ207" i="10"/>
  <c r="AP256" i="10"/>
  <c r="AW256" i="10" s="1"/>
  <c r="AW206" i="10"/>
  <c r="AU160" i="10"/>
  <c r="AS159" i="10"/>
  <c r="AR256" i="10"/>
  <c r="AY256" i="10" s="1"/>
  <c r="AY206" i="10"/>
  <c r="AS208" i="10"/>
  <c r="AQ158" i="10"/>
  <c r="AZ158" i="10"/>
  <c r="AR158" i="10"/>
  <c r="AP158" i="10"/>
  <c r="AX157" i="10"/>
  <c r="AQ207" i="10"/>
  <c r="AQ256" i="10"/>
  <c r="AX256" i="10" s="1"/>
  <c r="AX206" i="10"/>
  <c r="AR207" i="10"/>
  <c r="AY157" i="10"/>
  <c r="AP207" i="10"/>
  <c r="AW157" i="10"/>
  <c r="AW44" i="10"/>
  <c r="AX44" i="10" s="1"/>
  <c r="AV45" i="10" s="1"/>
  <c r="AT44" i="10"/>
  <c r="AR45" i="10" s="1"/>
  <c r="AW50" i="9"/>
  <c r="BA50" i="9" s="1"/>
  <c r="BB50" i="9" s="1"/>
  <c r="AZ51" i="9" s="1"/>
  <c r="AT51" i="9"/>
  <c r="AR52" i="9" s="1"/>
  <c r="AS257" i="9"/>
  <c r="AZ257" i="9" s="1"/>
  <c r="AZ207" i="9"/>
  <c r="AQ256" i="9"/>
  <c r="AX256" i="9" s="1"/>
  <c r="AX206" i="9"/>
  <c r="AP256" i="9"/>
  <c r="AW256" i="9" s="1"/>
  <c r="AW206" i="9"/>
  <c r="AR256" i="9"/>
  <c r="AY256" i="9" s="1"/>
  <c r="AY206" i="9"/>
  <c r="AX157" i="9"/>
  <c r="AQ207" i="9"/>
  <c r="AZ158" i="9"/>
  <c r="AS208" i="9"/>
  <c r="AW157" i="9"/>
  <c r="AP207" i="9"/>
  <c r="AY157" i="9"/>
  <c r="AR207" i="9"/>
  <c r="AP158" i="9"/>
  <c r="AR158" i="9"/>
  <c r="AQ158" i="9"/>
  <c r="AS159" i="9"/>
  <c r="AW47" i="12" l="1"/>
  <c r="BA47" i="12" s="1"/>
  <c r="BB47" i="12" s="1"/>
  <c r="AZ48" i="12" s="1"/>
  <c r="AR257" i="12"/>
  <c r="AY257" i="12" s="1"/>
  <c r="AY207" i="12"/>
  <c r="AQ257" i="12"/>
  <c r="AX257" i="12" s="1"/>
  <c r="AX207" i="12"/>
  <c r="AU161" i="12"/>
  <c r="AS160" i="12"/>
  <c r="AS209" i="12"/>
  <c r="AR159" i="12"/>
  <c r="AQ159" i="12"/>
  <c r="AZ159" i="12"/>
  <c r="AP159" i="12"/>
  <c r="AW207" i="12"/>
  <c r="AP257" i="12"/>
  <c r="AW257" i="12" s="1"/>
  <c r="AR208" i="12"/>
  <c r="AY158" i="12"/>
  <c r="AP208" i="12"/>
  <c r="AW158" i="12"/>
  <c r="AZ208" i="12"/>
  <c r="AS258" i="12"/>
  <c r="AZ258" i="12" s="1"/>
  <c r="AQ208" i="12"/>
  <c r="AX158" i="12"/>
  <c r="AS54" i="12"/>
  <c r="AT54" i="12" s="1"/>
  <c r="AR55" i="12" s="1"/>
  <c r="AS55" i="12" s="1"/>
  <c r="AQ257" i="10"/>
  <c r="AX257" i="10" s="1"/>
  <c r="AX207" i="10"/>
  <c r="AQ159" i="10"/>
  <c r="AP159" i="10"/>
  <c r="AS209" i="10"/>
  <c r="AR159" i="10"/>
  <c r="AZ159" i="10"/>
  <c r="AS160" i="10"/>
  <c r="AU161" i="10"/>
  <c r="AW207" i="10"/>
  <c r="AP257" i="10"/>
  <c r="AW257" i="10" s="1"/>
  <c r="AY158" i="10"/>
  <c r="AR208" i="10"/>
  <c r="AP208" i="10"/>
  <c r="AW158" i="10"/>
  <c r="AR257" i="10"/>
  <c r="AY257" i="10" s="1"/>
  <c r="AY207" i="10"/>
  <c r="AX158" i="10"/>
  <c r="AQ208" i="10"/>
  <c r="AZ208" i="10"/>
  <c r="AS258" i="10"/>
  <c r="AZ258" i="10" s="1"/>
  <c r="BA44" i="10"/>
  <c r="BB44" i="10" s="1"/>
  <c r="AZ45" i="10" s="1"/>
  <c r="AS45" i="10"/>
  <c r="AX50" i="9"/>
  <c r="AV51" i="9" s="1"/>
  <c r="AW51" i="9" s="1"/>
  <c r="BA51" i="9" s="1"/>
  <c r="BB51" i="9" s="1"/>
  <c r="AZ52" i="9" s="1"/>
  <c r="AS52" i="9"/>
  <c r="AT52" i="9" s="1"/>
  <c r="AR53" i="9" s="1"/>
  <c r="AS258" i="9"/>
  <c r="AZ258" i="9" s="1"/>
  <c r="AZ208" i="9"/>
  <c r="AP257" i="9"/>
  <c r="AW257" i="9" s="1"/>
  <c r="AW207" i="9"/>
  <c r="AR257" i="9"/>
  <c r="AY257" i="9" s="1"/>
  <c r="AY207" i="9"/>
  <c r="AQ257" i="9"/>
  <c r="AX257" i="9" s="1"/>
  <c r="AX207" i="9"/>
  <c r="AZ159" i="9"/>
  <c r="AS209" i="9"/>
  <c r="AX158" i="9"/>
  <c r="AQ208" i="9"/>
  <c r="AY158" i="9"/>
  <c r="AR208" i="9"/>
  <c r="AW158" i="9"/>
  <c r="AP208" i="9"/>
  <c r="AP159" i="9"/>
  <c r="AR159" i="9"/>
  <c r="AQ159" i="9"/>
  <c r="AS160" i="9"/>
  <c r="AP258" i="12" l="1"/>
  <c r="AW258" i="12" s="1"/>
  <c r="AW208" i="12"/>
  <c r="AR209" i="12"/>
  <c r="AY159" i="12"/>
  <c r="AS259" i="12"/>
  <c r="AZ259" i="12" s="1"/>
  <c r="AZ209" i="12"/>
  <c r="AR258" i="12"/>
  <c r="AY258" i="12" s="1"/>
  <c r="AY208" i="12"/>
  <c r="AX47" i="12"/>
  <c r="AV48" i="12" s="1"/>
  <c r="AW48" i="12" s="1"/>
  <c r="AQ258" i="12"/>
  <c r="AX258" i="12" s="1"/>
  <c r="AX208" i="12"/>
  <c r="AP209" i="12"/>
  <c r="AW159" i="12"/>
  <c r="AQ160" i="12"/>
  <c r="AZ160" i="12"/>
  <c r="AR160" i="12"/>
  <c r="AP160" i="12"/>
  <c r="AS210" i="12"/>
  <c r="AT55" i="12"/>
  <c r="AR56" i="12" s="1"/>
  <c r="AQ209" i="12"/>
  <c r="AX159" i="12"/>
  <c r="AU162" i="12"/>
  <c r="AS161" i="12"/>
  <c r="AS210" i="10"/>
  <c r="AQ160" i="10"/>
  <c r="AR160" i="10"/>
  <c r="AZ160" i="10"/>
  <c r="AP160" i="10"/>
  <c r="AR258" i="10"/>
  <c r="AY258" i="10" s="1"/>
  <c r="AY208" i="10"/>
  <c r="AS259" i="10"/>
  <c r="AZ259" i="10" s="1"/>
  <c r="AZ209" i="10"/>
  <c r="AS161" i="10"/>
  <c r="AU162" i="10"/>
  <c r="AP258" i="10"/>
  <c r="AW258" i="10" s="1"/>
  <c r="AW208" i="10"/>
  <c r="AP209" i="10"/>
  <c r="AW159" i="10"/>
  <c r="AY159" i="10"/>
  <c r="AR209" i="10"/>
  <c r="AX208" i="10"/>
  <c r="AQ258" i="10"/>
  <c r="AX258" i="10" s="1"/>
  <c r="AQ209" i="10"/>
  <c r="AX159" i="10"/>
  <c r="AW45" i="10"/>
  <c r="AX45" i="10" s="1"/>
  <c r="AV46" i="10" s="1"/>
  <c r="AT45" i="10"/>
  <c r="AR46" i="10" s="1"/>
  <c r="AS53" i="9"/>
  <c r="AX51" i="9"/>
  <c r="AV52" i="9" s="1"/>
  <c r="AP258" i="9"/>
  <c r="AW258" i="9" s="1"/>
  <c r="AW208" i="9"/>
  <c r="AQ258" i="9"/>
  <c r="AX258" i="9" s="1"/>
  <c r="AX208" i="9"/>
  <c r="AR258" i="9"/>
  <c r="AY258" i="9" s="1"/>
  <c r="AY208" i="9"/>
  <c r="AS259" i="9"/>
  <c r="AZ259" i="9" s="1"/>
  <c r="AZ209" i="9"/>
  <c r="AZ160" i="9"/>
  <c r="AS210" i="9"/>
  <c r="AX159" i="9"/>
  <c r="AQ209" i="9"/>
  <c r="AY159" i="9"/>
  <c r="AR209" i="9"/>
  <c r="AW159" i="9"/>
  <c r="AP209" i="9"/>
  <c r="AR160" i="9"/>
  <c r="AQ160" i="9"/>
  <c r="AP160" i="9"/>
  <c r="AS161" i="9"/>
  <c r="AS260" i="12" l="1"/>
  <c r="AZ260" i="12" s="1"/>
  <c r="AZ210" i="12"/>
  <c r="AR161" i="12"/>
  <c r="AP161" i="12"/>
  <c r="AS211" i="12"/>
  <c r="AQ161" i="12"/>
  <c r="AZ161" i="12"/>
  <c r="AP210" i="12"/>
  <c r="AW160" i="12"/>
  <c r="AU163" i="12"/>
  <c r="AS162" i="12"/>
  <c r="AR210" i="12"/>
  <c r="AY160" i="12"/>
  <c r="AS56" i="12"/>
  <c r="AT56" i="12" s="1"/>
  <c r="AR57" i="12" s="1"/>
  <c r="AS57" i="12" s="1"/>
  <c r="AY209" i="12"/>
  <c r="AR259" i="12"/>
  <c r="AY259" i="12" s="1"/>
  <c r="AQ259" i="12"/>
  <c r="AX259" i="12" s="1"/>
  <c r="AX209" i="12"/>
  <c r="AX160" i="12"/>
  <c r="AQ210" i="12"/>
  <c r="AX48" i="12"/>
  <c r="AV49" i="12" s="1"/>
  <c r="BA48" i="12"/>
  <c r="BB48" i="12" s="1"/>
  <c r="AZ49" i="12" s="1"/>
  <c r="AP259" i="12"/>
  <c r="AW259" i="12" s="1"/>
  <c r="AW209" i="12"/>
  <c r="AP259" i="10"/>
  <c r="AW259" i="10" s="1"/>
  <c r="AW209" i="10"/>
  <c r="AP210" i="10"/>
  <c r="AW160" i="10"/>
  <c r="AR259" i="10"/>
  <c r="AY259" i="10" s="1"/>
  <c r="AY209" i="10"/>
  <c r="AX209" i="10"/>
  <c r="AQ259" i="10"/>
  <c r="AX259" i="10" s="1"/>
  <c r="AS162" i="10"/>
  <c r="AU163" i="10"/>
  <c r="AR210" i="10"/>
  <c r="AY160" i="10"/>
  <c r="AP161" i="10"/>
  <c r="AQ161" i="10"/>
  <c r="AR161" i="10"/>
  <c r="AS211" i="10"/>
  <c r="AZ161" i="10"/>
  <c r="AQ210" i="10"/>
  <c r="AX160" i="10"/>
  <c r="AS260" i="10"/>
  <c r="AZ260" i="10" s="1"/>
  <c r="AZ210" i="10"/>
  <c r="AS46" i="10"/>
  <c r="AT46" i="10" s="1"/>
  <c r="AR47" i="10" s="1"/>
  <c r="BA45" i="10"/>
  <c r="BB45" i="10" s="1"/>
  <c r="AZ46" i="10" s="1"/>
  <c r="AW52" i="9"/>
  <c r="BA52" i="9" s="1"/>
  <c r="BB52" i="9" s="1"/>
  <c r="AZ53" i="9" s="1"/>
  <c r="AT53" i="9"/>
  <c r="AR54" i="9" s="1"/>
  <c r="AP259" i="9"/>
  <c r="AW259" i="9" s="1"/>
  <c r="AW209" i="9"/>
  <c r="AR259" i="9"/>
  <c r="AY259" i="9" s="1"/>
  <c r="AY209" i="9"/>
  <c r="AQ259" i="9"/>
  <c r="AX259" i="9" s="1"/>
  <c r="AX209" i="9"/>
  <c r="AS260" i="9"/>
  <c r="AZ260" i="9" s="1"/>
  <c r="AZ210" i="9"/>
  <c r="AX160" i="9"/>
  <c r="AQ210" i="9"/>
  <c r="AZ161" i="9"/>
  <c r="AS211" i="9"/>
  <c r="AW160" i="9"/>
  <c r="AP210" i="9"/>
  <c r="AY160" i="9"/>
  <c r="AR210" i="9"/>
  <c r="AR161" i="9"/>
  <c r="AQ161" i="9"/>
  <c r="AP161" i="9"/>
  <c r="AS162" i="9"/>
  <c r="AP211" i="12" l="1"/>
  <c r="AW161" i="12"/>
  <c r="AW49" i="12"/>
  <c r="BA49" i="12" s="1"/>
  <c r="BB49" i="12" s="1"/>
  <c r="AZ50" i="12" s="1"/>
  <c r="AR211" i="12"/>
  <c r="AY161" i="12"/>
  <c r="AS261" i="12"/>
  <c r="AZ261" i="12" s="1"/>
  <c r="AZ211" i="12"/>
  <c r="AQ260" i="12"/>
  <c r="AX260" i="12" s="1"/>
  <c r="AX210" i="12"/>
  <c r="AT57" i="12"/>
  <c r="AR58" i="12" s="1"/>
  <c r="AS58" i="12" s="1"/>
  <c r="AP260" i="12"/>
  <c r="AW260" i="12" s="1"/>
  <c r="AW210" i="12"/>
  <c r="AR260" i="12"/>
  <c r="AY260" i="12" s="1"/>
  <c r="AY210" i="12"/>
  <c r="AU164" i="12"/>
  <c r="AS163" i="12"/>
  <c r="AR162" i="12"/>
  <c r="AQ162" i="12"/>
  <c r="AP162" i="12"/>
  <c r="AS212" i="12"/>
  <c r="AZ162" i="12"/>
  <c r="AX161" i="12"/>
  <c r="AQ211" i="12"/>
  <c r="AY161" i="10"/>
  <c r="AR211" i="10"/>
  <c r="AQ211" i="10"/>
  <c r="AX161" i="10"/>
  <c r="AP211" i="10"/>
  <c r="AW161" i="10"/>
  <c r="AZ211" i="10"/>
  <c r="AS261" i="10"/>
  <c r="AZ261" i="10" s="1"/>
  <c r="AR260" i="10"/>
  <c r="AY260" i="10" s="1"/>
  <c r="AY210" i="10"/>
  <c r="AP260" i="10"/>
  <c r="AW260" i="10" s="1"/>
  <c r="AW210" i="10"/>
  <c r="AX210" i="10"/>
  <c r="AQ260" i="10"/>
  <c r="AX260" i="10" s="1"/>
  <c r="AU164" i="10"/>
  <c r="AS163" i="10"/>
  <c r="AS212" i="10"/>
  <c r="AZ162" i="10"/>
  <c r="AP162" i="10"/>
  <c r="AR162" i="10"/>
  <c r="AQ162" i="10"/>
  <c r="AW46" i="10"/>
  <c r="AX46" i="10" s="1"/>
  <c r="AV47" i="10" s="1"/>
  <c r="AS47" i="10"/>
  <c r="AX52" i="9"/>
  <c r="AV53" i="9" s="1"/>
  <c r="AW53" i="9" s="1"/>
  <c r="BA53" i="9" s="1"/>
  <c r="BB53" i="9" s="1"/>
  <c r="AZ54" i="9" s="1"/>
  <c r="AS54" i="9"/>
  <c r="AR260" i="9"/>
  <c r="AY260" i="9" s="1"/>
  <c r="AY210" i="9"/>
  <c r="AP260" i="9"/>
  <c r="AW260" i="9" s="1"/>
  <c r="AW210" i="9"/>
  <c r="AS261" i="9"/>
  <c r="AZ261" i="9" s="1"/>
  <c r="AZ211" i="9"/>
  <c r="AQ260" i="9"/>
  <c r="AX260" i="9" s="1"/>
  <c r="AX210" i="9"/>
  <c r="AX161" i="9"/>
  <c r="AQ211" i="9"/>
  <c r="AZ162" i="9"/>
  <c r="AS212" i="9"/>
  <c r="AW161" i="9"/>
  <c r="AP211" i="9"/>
  <c r="AY161" i="9"/>
  <c r="AR211" i="9"/>
  <c r="AR162" i="9"/>
  <c r="AQ162" i="9"/>
  <c r="AP162" i="9"/>
  <c r="AS163" i="9"/>
  <c r="AQ261" i="12" l="1"/>
  <c r="AX261" i="12" s="1"/>
  <c r="AX211" i="12"/>
  <c r="AU165" i="12"/>
  <c r="AS164" i="12"/>
  <c r="AS213" i="12"/>
  <c r="AQ163" i="12"/>
  <c r="AP163" i="12"/>
  <c r="AZ163" i="12"/>
  <c r="AR163" i="12"/>
  <c r="AY211" i="12"/>
  <c r="AR261" i="12"/>
  <c r="AY261" i="12" s="1"/>
  <c r="AS262" i="12"/>
  <c r="AZ262" i="12" s="1"/>
  <c r="AZ212" i="12"/>
  <c r="AP212" i="12"/>
  <c r="AW162" i="12"/>
  <c r="AT58" i="12"/>
  <c r="AR59" i="12" s="1"/>
  <c r="AX49" i="12"/>
  <c r="AV50" i="12" s="1"/>
  <c r="AW50" i="12" s="1"/>
  <c r="AX162" i="12"/>
  <c r="AQ212" i="12"/>
  <c r="AY162" i="12"/>
  <c r="AR212" i="12"/>
  <c r="AW211" i="12"/>
  <c r="AP261" i="12"/>
  <c r="AW261" i="12" s="1"/>
  <c r="AU165" i="10"/>
  <c r="AS164" i="10"/>
  <c r="AX162" i="10"/>
  <c r="AQ212" i="10"/>
  <c r="AP261" i="10"/>
  <c r="AW261" i="10" s="1"/>
  <c r="AW211" i="10"/>
  <c r="AR212" i="10"/>
  <c r="AY162" i="10"/>
  <c r="AP212" i="10"/>
  <c r="AW162" i="10"/>
  <c r="AQ261" i="10"/>
  <c r="AX261" i="10" s="1"/>
  <c r="AX211" i="10"/>
  <c r="AR163" i="10"/>
  <c r="AS213" i="10"/>
  <c r="AP163" i="10"/>
  <c r="AZ163" i="10"/>
  <c r="AQ163" i="10"/>
  <c r="AY211" i="10"/>
  <c r="AR261" i="10"/>
  <c r="AY261" i="10" s="1"/>
  <c r="AS262" i="10"/>
  <c r="AZ262" i="10" s="1"/>
  <c r="AZ212" i="10"/>
  <c r="AW47" i="10"/>
  <c r="AT47" i="10"/>
  <c r="AR48" i="10" s="1"/>
  <c r="BA46" i="10"/>
  <c r="BB46" i="10" s="1"/>
  <c r="AZ47" i="10" s="1"/>
  <c r="AX53" i="9"/>
  <c r="AV54" i="9" s="1"/>
  <c r="AT54" i="9"/>
  <c r="AR55" i="9" s="1"/>
  <c r="AS262" i="9"/>
  <c r="AZ262" i="9" s="1"/>
  <c r="AZ212" i="9"/>
  <c r="AR261" i="9"/>
  <c r="AY261" i="9" s="1"/>
  <c r="AY211" i="9"/>
  <c r="AP261" i="9"/>
  <c r="AW261" i="9" s="1"/>
  <c r="AW211" i="9"/>
  <c r="AQ261" i="9"/>
  <c r="AX261" i="9" s="1"/>
  <c r="AX211" i="9"/>
  <c r="AZ163" i="9"/>
  <c r="AS213" i="9"/>
  <c r="AX162" i="9"/>
  <c r="AQ212" i="9"/>
  <c r="AW162" i="9"/>
  <c r="AP212" i="9"/>
  <c r="AY162" i="9"/>
  <c r="AR212" i="9"/>
  <c r="AQ163" i="9"/>
  <c r="AP163" i="9"/>
  <c r="AR163" i="9"/>
  <c r="AS164" i="9"/>
  <c r="AP262" i="12" l="1"/>
  <c r="AW262" i="12" s="1"/>
  <c r="AW212" i="12"/>
  <c r="AP213" i="12"/>
  <c r="AW163" i="12"/>
  <c r="AQ262" i="12"/>
  <c r="AX262" i="12" s="1"/>
  <c r="AX212" i="12"/>
  <c r="AS263" i="12"/>
  <c r="AZ263" i="12" s="1"/>
  <c r="AZ213" i="12"/>
  <c r="AX50" i="12"/>
  <c r="AV51" i="12" s="1"/>
  <c r="AW51" i="12" s="1"/>
  <c r="BA50" i="12"/>
  <c r="BB50" i="12" s="1"/>
  <c r="AZ51" i="12" s="1"/>
  <c r="AQ213" i="12"/>
  <c r="AX163" i="12"/>
  <c r="AQ164" i="12"/>
  <c r="AZ164" i="12"/>
  <c r="AS214" i="12"/>
  <c r="AR164" i="12"/>
  <c r="AP164" i="12"/>
  <c r="AU166" i="12"/>
  <c r="AS165" i="12"/>
  <c r="AS59" i="12"/>
  <c r="AT59" i="12" s="1"/>
  <c r="AR60" i="12" s="1"/>
  <c r="AR213" i="12"/>
  <c r="AY163" i="12"/>
  <c r="AR262" i="12"/>
  <c r="AY262" i="12" s="1"/>
  <c r="AY212" i="12"/>
  <c r="AQ213" i="10"/>
  <c r="AX163" i="10"/>
  <c r="AP213" i="10"/>
  <c r="AW163" i="10"/>
  <c r="AR262" i="10"/>
  <c r="AY262" i="10" s="1"/>
  <c r="AY212" i="10"/>
  <c r="AR213" i="10"/>
  <c r="AY163" i="10"/>
  <c r="AQ262" i="10"/>
  <c r="AX262" i="10" s="1"/>
  <c r="AX212" i="10"/>
  <c r="AP262" i="10"/>
  <c r="AW262" i="10" s="1"/>
  <c r="AW212" i="10"/>
  <c r="AS263" i="10"/>
  <c r="AZ263" i="10" s="1"/>
  <c r="AZ213" i="10"/>
  <c r="AS214" i="10"/>
  <c r="AR164" i="10"/>
  <c r="AQ164" i="10"/>
  <c r="AZ164" i="10"/>
  <c r="AP164" i="10"/>
  <c r="AS165" i="10"/>
  <c r="AU166" i="10"/>
  <c r="BA47" i="10"/>
  <c r="BB47" i="10" s="1"/>
  <c r="AZ48" i="10" s="1"/>
  <c r="AX47" i="10"/>
  <c r="AV48" i="10" s="1"/>
  <c r="AS48" i="10"/>
  <c r="AS55" i="9"/>
  <c r="AW54" i="9"/>
  <c r="BA54" i="9" s="1"/>
  <c r="BB54" i="9" s="1"/>
  <c r="AZ55" i="9" s="1"/>
  <c r="AQ262" i="9"/>
  <c r="AX262" i="9" s="1"/>
  <c r="AX212" i="9"/>
  <c r="AR262" i="9"/>
  <c r="AY262" i="9" s="1"/>
  <c r="AY212" i="9"/>
  <c r="AP262" i="9"/>
  <c r="AW262" i="9" s="1"/>
  <c r="AW212" i="9"/>
  <c r="AS263" i="9"/>
  <c r="AZ263" i="9" s="1"/>
  <c r="AZ213" i="9"/>
  <c r="AY163" i="9"/>
  <c r="AR213" i="9"/>
  <c r="AZ164" i="9"/>
  <c r="AS214" i="9"/>
  <c r="AW163" i="9"/>
  <c r="AP213" i="9"/>
  <c r="AX163" i="9"/>
  <c r="AQ213" i="9"/>
  <c r="AQ164" i="9"/>
  <c r="AR164" i="9"/>
  <c r="AP164" i="9"/>
  <c r="AS165" i="9"/>
  <c r="AR214" i="12" l="1"/>
  <c r="AY164" i="12"/>
  <c r="AR263" i="12"/>
  <c r="AY263" i="12" s="1"/>
  <c r="AY213" i="12"/>
  <c r="AS60" i="12"/>
  <c r="AT60" i="12" s="1"/>
  <c r="AR61" i="12" s="1"/>
  <c r="AQ214" i="12"/>
  <c r="AX164" i="12"/>
  <c r="AS215" i="12"/>
  <c r="AR165" i="12"/>
  <c r="AQ165" i="12"/>
  <c r="AZ165" i="12"/>
  <c r="AP165" i="12"/>
  <c r="AX213" i="12"/>
  <c r="AQ263" i="12"/>
  <c r="AX263" i="12" s="1"/>
  <c r="AP263" i="12"/>
  <c r="AW263" i="12" s="1"/>
  <c r="AW213" i="12"/>
  <c r="AZ214" i="12"/>
  <c r="AS264" i="12"/>
  <c r="AZ264" i="12" s="1"/>
  <c r="AS166" i="12"/>
  <c r="AU167" i="12"/>
  <c r="AP214" i="12"/>
  <c r="AW164" i="12"/>
  <c r="AX51" i="12"/>
  <c r="AV52" i="12" s="1"/>
  <c r="AW52" i="12" s="1"/>
  <c r="BA51" i="12"/>
  <c r="BB51" i="12" s="1"/>
  <c r="AZ52" i="12" s="1"/>
  <c r="AY164" i="10"/>
  <c r="AR214" i="10"/>
  <c r="AS264" i="10"/>
  <c r="AZ264" i="10" s="1"/>
  <c r="AZ214" i="10"/>
  <c r="AR263" i="10"/>
  <c r="AY263" i="10" s="1"/>
  <c r="AY213" i="10"/>
  <c r="AQ214" i="10"/>
  <c r="AX164" i="10"/>
  <c r="AS215" i="10"/>
  <c r="AR165" i="10"/>
  <c r="AQ165" i="10"/>
  <c r="AZ165" i="10"/>
  <c r="AP165" i="10"/>
  <c r="AQ263" i="10"/>
  <c r="AX263" i="10" s="1"/>
  <c r="AX213" i="10"/>
  <c r="AU167" i="10"/>
  <c r="AS166" i="10"/>
  <c r="AP214" i="10"/>
  <c r="AW164" i="10"/>
  <c r="AW213" i="10"/>
  <c r="AP263" i="10"/>
  <c r="AW263" i="10" s="1"/>
  <c r="AW48" i="10"/>
  <c r="BA48" i="10" s="1"/>
  <c r="BB48" i="10" s="1"/>
  <c r="AZ49" i="10" s="1"/>
  <c r="AT48" i="10"/>
  <c r="AR49" i="10" s="1"/>
  <c r="AX54" i="9"/>
  <c r="AV55" i="9" s="1"/>
  <c r="AT55" i="9"/>
  <c r="AR56" i="9" s="1"/>
  <c r="AS264" i="9"/>
  <c r="AZ264" i="9" s="1"/>
  <c r="AZ214" i="9"/>
  <c r="AP263" i="9"/>
  <c r="AW263" i="9" s="1"/>
  <c r="AW213" i="9"/>
  <c r="AR263" i="9"/>
  <c r="AY263" i="9" s="1"/>
  <c r="AY213" i="9"/>
  <c r="AQ263" i="9"/>
  <c r="AX263" i="9" s="1"/>
  <c r="AX213" i="9"/>
  <c r="AZ165" i="9"/>
  <c r="AS215" i="9"/>
  <c r="AY164" i="9"/>
  <c r="AR214" i="9"/>
  <c r="AW164" i="9"/>
  <c r="AP214" i="9"/>
  <c r="AX164" i="9"/>
  <c r="AQ214" i="9"/>
  <c r="AR165" i="9"/>
  <c r="AQ165" i="9"/>
  <c r="AP165" i="9"/>
  <c r="AS166" i="9"/>
  <c r="AR215" i="12" l="1"/>
  <c r="AY165" i="12"/>
  <c r="AX52" i="12"/>
  <c r="AV53" i="12" s="1"/>
  <c r="AW53" i="12" s="1"/>
  <c r="BA52" i="12"/>
  <c r="BB52" i="12" s="1"/>
  <c r="AZ53" i="12" s="1"/>
  <c r="AP264" i="12"/>
  <c r="AW264" i="12" s="1"/>
  <c r="AW214" i="12"/>
  <c r="AX214" i="12"/>
  <c r="AQ264" i="12"/>
  <c r="AX264" i="12" s="1"/>
  <c r="AS167" i="12"/>
  <c r="AU168" i="12"/>
  <c r="AP215" i="12"/>
  <c r="AW165" i="12"/>
  <c r="AS61" i="12"/>
  <c r="AT61" i="12" s="1"/>
  <c r="AR62" i="12" s="1"/>
  <c r="AZ215" i="12"/>
  <c r="AS265" i="12"/>
  <c r="AZ265" i="12" s="1"/>
  <c r="AS216" i="12"/>
  <c r="AR166" i="12"/>
  <c r="AQ166" i="12"/>
  <c r="AZ166" i="12"/>
  <c r="AP166" i="12"/>
  <c r="AQ215" i="12"/>
  <c r="AX165" i="12"/>
  <c r="AY214" i="12"/>
  <c r="AR264" i="12"/>
  <c r="AY264" i="12" s="1"/>
  <c r="AX214" i="10"/>
  <c r="AQ264" i="10"/>
  <c r="AX264" i="10" s="1"/>
  <c r="AS265" i="10"/>
  <c r="AZ265" i="10" s="1"/>
  <c r="AZ215" i="10"/>
  <c r="AP215" i="10"/>
  <c r="AW165" i="10"/>
  <c r="AS216" i="10"/>
  <c r="AR166" i="10"/>
  <c r="AQ166" i="10"/>
  <c r="AZ166" i="10"/>
  <c r="AP166" i="10"/>
  <c r="AQ215" i="10"/>
  <c r="AX165" i="10"/>
  <c r="AS167" i="10"/>
  <c r="AU168" i="10"/>
  <c r="AP264" i="10"/>
  <c r="AW264" i="10" s="1"/>
  <c r="AW214" i="10"/>
  <c r="AR215" i="10"/>
  <c r="AY165" i="10"/>
  <c r="AR264" i="10"/>
  <c r="AY264" i="10" s="1"/>
  <c r="AY214" i="10"/>
  <c r="AX48" i="10"/>
  <c r="AV49" i="10" s="1"/>
  <c r="AS49" i="10"/>
  <c r="AS56" i="9"/>
  <c r="AW55" i="9"/>
  <c r="BA55" i="9" s="1"/>
  <c r="BB55" i="9" s="1"/>
  <c r="AZ56" i="9" s="1"/>
  <c r="AR264" i="9"/>
  <c r="AY264" i="9" s="1"/>
  <c r="AY214" i="9"/>
  <c r="AP264" i="9"/>
  <c r="AW264" i="9" s="1"/>
  <c r="AW214" i="9"/>
  <c r="AS265" i="9"/>
  <c r="AZ265" i="9" s="1"/>
  <c r="AZ215" i="9"/>
  <c r="AQ264" i="9"/>
  <c r="AX264" i="9" s="1"/>
  <c r="AX214" i="9"/>
  <c r="AX165" i="9"/>
  <c r="AQ215" i="9"/>
  <c r="AZ166" i="9"/>
  <c r="AS216" i="9"/>
  <c r="AW165" i="9"/>
  <c r="AP215" i="9"/>
  <c r="AY165" i="9"/>
  <c r="AR215" i="9"/>
  <c r="AP166" i="9"/>
  <c r="AR166" i="9"/>
  <c r="AQ166" i="9"/>
  <c r="AS167" i="9"/>
  <c r="AR216" i="12" l="1"/>
  <c r="AY166" i="12"/>
  <c r="AS266" i="12"/>
  <c r="AZ266" i="12" s="1"/>
  <c r="AZ216" i="12"/>
  <c r="AS217" i="12"/>
  <c r="AR167" i="12"/>
  <c r="AQ167" i="12"/>
  <c r="AZ167" i="12"/>
  <c r="AP167" i="12"/>
  <c r="AR265" i="12"/>
  <c r="AY265" i="12" s="1"/>
  <c r="AY215" i="12"/>
  <c r="AS168" i="12"/>
  <c r="AU169" i="12"/>
  <c r="AS62" i="12"/>
  <c r="AP216" i="12"/>
  <c r="AW166" i="12"/>
  <c r="AX215" i="12"/>
  <c r="AQ265" i="12"/>
  <c r="AX265" i="12" s="1"/>
  <c r="AQ216" i="12"/>
  <c r="AX166" i="12"/>
  <c r="AP265" i="12"/>
  <c r="AW265" i="12" s="1"/>
  <c r="AW215" i="12"/>
  <c r="AX53" i="12"/>
  <c r="AV54" i="12" s="1"/>
  <c r="BA53" i="12"/>
  <c r="BB53" i="12" s="1"/>
  <c r="AZ54" i="12" s="1"/>
  <c r="AU169" i="10"/>
  <c r="AS168" i="10"/>
  <c r="AS266" i="10"/>
  <c r="AZ266" i="10" s="1"/>
  <c r="AZ216" i="10"/>
  <c r="AZ167" i="10"/>
  <c r="AP167" i="10"/>
  <c r="AQ167" i="10"/>
  <c r="AS217" i="10"/>
  <c r="AR167" i="10"/>
  <c r="AR216" i="10"/>
  <c r="AY166" i="10"/>
  <c r="AW215" i="10"/>
  <c r="AP265" i="10"/>
  <c r="AW265" i="10" s="1"/>
  <c r="AQ265" i="10"/>
  <c r="AX265" i="10" s="1"/>
  <c r="AX215" i="10"/>
  <c r="AP216" i="10"/>
  <c r="AW166" i="10"/>
  <c r="AR265" i="10"/>
  <c r="AY265" i="10" s="1"/>
  <c r="AY215" i="10"/>
  <c r="AQ216" i="10"/>
  <c r="AX166" i="10"/>
  <c r="AW49" i="10"/>
  <c r="AX49" i="10" s="1"/>
  <c r="AV50" i="10" s="1"/>
  <c r="AT49" i="10"/>
  <c r="AR50" i="10" s="1"/>
  <c r="AX55" i="9"/>
  <c r="AV56" i="9" s="1"/>
  <c r="AT56" i="9"/>
  <c r="AR57" i="9" s="1"/>
  <c r="AR265" i="9"/>
  <c r="AY265" i="9" s="1"/>
  <c r="AY215" i="9"/>
  <c r="AS266" i="9"/>
  <c r="AZ266" i="9" s="1"/>
  <c r="AZ216" i="9"/>
  <c r="AP265" i="9"/>
  <c r="AW265" i="9" s="1"/>
  <c r="AW215" i="9"/>
  <c r="AQ265" i="9"/>
  <c r="AX265" i="9" s="1"/>
  <c r="AX215" i="9"/>
  <c r="AZ167" i="9"/>
  <c r="AS217" i="9"/>
  <c r="AX166" i="9"/>
  <c r="AQ216" i="9"/>
  <c r="AY166" i="9"/>
  <c r="AR216" i="9"/>
  <c r="AW166" i="9"/>
  <c r="AP216" i="9"/>
  <c r="AP167" i="9"/>
  <c r="AR167" i="9"/>
  <c r="AQ167" i="9"/>
  <c r="AS168" i="9"/>
  <c r="AW54" i="12" l="1"/>
  <c r="BA54" i="12" s="1"/>
  <c r="BB54" i="12" s="1"/>
  <c r="AZ55" i="12" s="1"/>
  <c r="AS218" i="12"/>
  <c r="AR168" i="12"/>
  <c r="AQ168" i="12"/>
  <c r="AZ168" i="12"/>
  <c r="AP168" i="12"/>
  <c r="AR217" i="12"/>
  <c r="AY167" i="12"/>
  <c r="AS267" i="12"/>
  <c r="AZ267" i="12" s="1"/>
  <c r="AZ217" i="12"/>
  <c r="AQ217" i="12"/>
  <c r="AX167" i="12"/>
  <c r="AX216" i="12"/>
  <c r="AQ266" i="12"/>
  <c r="AX266" i="12" s="1"/>
  <c r="AS169" i="12"/>
  <c r="AU170" i="12"/>
  <c r="AU171" i="12" s="1"/>
  <c r="AP266" i="12"/>
  <c r="AW266" i="12" s="1"/>
  <c r="AW216" i="12"/>
  <c r="AT62" i="12"/>
  <c r="AR63" i="12" s="1"/>
  <c r="AW167" i="12"/>
  <c r="AP217" i="12"/>
  <c r="AR266" i="12"/>
  <c r="AY266" i="12" s="1"/>
  <c r="AY216" i="12"/>
  <c r="AQ217" i="10"/>
  <c r="AX167" i="10"/>
  <c r="AP217" i="10"/>
  <c r="AW167" i="10"/>
  <c r="AQ266" i="10"/>
  <c r="AX266" i="10" s="1"/>
  <c r="AX216" i="10"/>
  <c r="AP266" i="10"/>
  <c r="AW266" i="10" s="1"/>
  <c r="AW216" i="10"/>
  <c r="AR266" i="10"/>
  <c r="AY266" i="10" s="1"/>
  <c r="AY216" i="10"/>
  <c r="AZ168" i="10"/>
  <c r="AP168" i="10"/>
  <c r="AR168" i="10"/>
  <c r="AQ168" i="10"/>
  <c r="AS218" i="10"/>
  <c r="AS267" i="10"/>
  <c r="AZ267" i="10" s="1"/>
  <c r="AZ217" i="10"/>
  <c r="AR217" i="10"/>
  <c r="AY167" i="10"/>
  <c r="AS169" i="10"/>
  <c r="AU170" i="10"/>
  <c r="AU171" i="10" s="1"/>
  <c r="BA49" i="10"/>
  <c r="BB49" i="10" s="1"/>
  <c r="AZ50" i="10" s="1"/>
  <c r="AS50" i="10"/>
  <c r="AS57" i="9"/>
  <c r="AW56" i="9"/>
  <c r="BA56" i="9" s="1"/>
  <c r="BB56" i="9" s="1"/>
  <c r="AZ57" i="9" s="1"/>
  <c r="AP266" i="9"/>
  <c r="AW266" i="9" s="1"/>
  <c r="AW216" i="9"/>
  <c r="AQ266" i="9"/>
  <c r="AX266" i="9" s="1"/>
  <c r="AX216" i="9"/>
  <c r="AR266" i="9"/>
  <c r="AY266" i="9" s="1"/>
  <c r="AY216" i="9"/>
  <c r="AS267" i="9"/>
  <c r="AZ267" i="9" s="1"/>
  <c r="AZ217" i="9"/>
  <c r="AZ168" i="9"/>
  <c r="AS218" i="9"/>
  <c r="AX167" i="9"/>
  <c r="AQ217" i="9"/>
  <c r="AY167" i="9"/>
  <c r="AR217" i="9"/>
  <c r="AW167" i="9"/>
  <c r="AP217" i="9"/>
  <c r="AR168" i="9"/>
  <c r="AQ168" i="9"/>
  <c r="AP168" i="9"/>
  <c r="AS169" i="9"/>
  <c r="AU170" i="9"/>
  <c r="AU171" i="9" s="1"/>
  <c r="AZ218" i="12" l="1"/>
  <c r="AS268" i="12"/>
  <c r="AZ268" i="12" s="1"/>
  <c r="AS219" i="12"/>
  <c r="AQ169" i="12"/>
  <c r="AZ169" i="12"/>
  <c r="AP169" i="12"/>
  <c r="AR169" i="12"/>
  <c r="AS170" i="12"/>
  <c r="AS171" i="12" s="1"/>
  <c r="AR267" i="12"/>
  <c r="AY267" i="12" s="1"/>
  <c r="AY217" i="12"/>
  <c r="AP218" i="12"/>
  <c r="AW168" i="12"/>
  <c r="AP267" i="12"/>
  <c r="AW267" i="12" s="1"/>
  <c r="AW217" i="12"/>
  <c r="AX168" i="12"/>
  <c r="AQ218" i="12"/>
  <c r="AS63" i="12"/>
  <c r="AT63" i="12" s="1"/>
  <c r="AR64" i="12" s="1"/>
  <c r="AQ267" i="12"/>
  <c r="AX267" i="12" s="1"/>
  <c r="AX217" i="12"/>
  <c r="AR218" i="12"/>
  <c r="AY168" i="12"/>
  <c r="AX54" i="12"/>
  <c r="AV55" i="12" s="1"/>
  <c r="AW55" i="12" s="1"/>
  <c r="AS268" i="10"/>
  <c r="AZ268" i="10" s="1"/>
  <c r="AZ218" i="10"/>
  <c r="AR218" i="10"/>
  <c r="AY168" i="10"/>
  <c r="AX168" i="10"/>
  <c r="AQ218" i="10"/>
  <c r="AS170" i="10"/>
  <c r="AS171" i="10" s="1"/>
  <c r="AS219" i="10"/>
  <c r="AR169" i="10"/>
  <c r="AQ169" i="10"/>
  <c r="AP169" i="10"/>
  <c r="AZ169" i="10"/>
  <c r="AZ170" i="10" s="1"/>
  <c r="AZ171" i="10" s="1"/>
  <c r="AP218" i="10"/>
  <c r="AW168" i="10"/>
  <c r="AP267" i="10"/>
  <c r="AW267" i="10" s="1"/>
  <c r="AW217" i="10"/>
  <c r="AR267" i="10"/>
  <c r="AY267" i="10" s="1"/>
  <c r="AY217" i="10"/>
  <c r="AX217" i="10"/>
  <c r="AQ267" i="10"/>
  <c r="AX267" i="10" s="1"/>
  <c r="AW50" i="10"/>
  <c r="AX50" i="10" s="1"/>
  <c r="AV51" i="10" s="1"/>
  <c r="AT50" i="10"/>
  <c r="AR51" i="10" s="1"/>
  <c r="AX56" i="9"/>
  <c r="AV57" i="9" s="1"/>
  <c r="AT57" i="9"/>
  <c r="AR58" i="9" s="1"/>
  <c r="AP267" i="9"/>
  <c r="AW267" i="9" s="1"/>
  <c r="AW217" i="9"/>
  <c r="AQ267" i="9"/>
  <c r="AX267" i="9" s="1"/>
  <c r="AX217" i="9"/>
  <c r="AR267" i="9"/>
  <c r="AY267" i="9" s="1"/>
  <c r="AY217" i="9"/>
  <c r="AS268" i="9"/>
  <c r="AZ268" i="9" s="1"/>
  <c r="AZ218" i="9"/>
  <c r="AX168" i="9"/>
  <c r="AQ218" i="9"/>
  <c r="AZ169" i="9"/>
  <c r="AS219" i="9"/>
  <c r="AZ219" i="9" s="1"/>
  <c r="AW168" i="9"/>
  <c r="AP218" i="9"/>
  <c r="AY168" i="9"/>
  <c r="AR218" i="9"/>
  <c r="AS170" i="9"/>
  <c r="AS171" i="9" s="1"/>
  <c r="AR169" i="9"/>
  <c r="AQ169" i="9"/>
  <c r="AP169" i="9"/>
  <c r="AX55" i="12" l="1"/>
  <c r="AV56" i="12" s="1"/>
  <c r="AW56" i="12" s="1"/>
  <c r="BA55" i="12"/>
  <c r="BB55" i="12" s="1"/>
  <c r="AZ56" i="12" s="1"/>
  <c r="AQ268" i="12"/>
  <c r="AX268" i="12" s="1"/>
  <c r="AX270" i="12" s="1"/>
  <c r="AX271" i="12" s="1"/>
  <c r="AX218" i="12"/>
  <c r="AR268" i="12"/>
  <c r="AY268" i="12" s="1"/>
  <c r="AY270" i="12" s="1"/>
  <c r="AY271" i="12" s="1"/>
  <c r="AY218" i="12"/>
  <c r="AR219" i="12"/>
  <c r="AY169" i="12"/>
  <c r="AY170" i="12" s="1"/>
  <c r="AY171" i="12" s="1"/>
  <c r="AR170" i="12"/>
  <c r="AR171" i="12" s="1"/>
  <c r="AW169" i="12"/>
  <c r="AW170" i="12" s="1"/>
  <c r="AW171" i="12" s="1"/>
  <c r="AP219" i="12"/>
  <c r="AP170" i="12"/>
  <c r="AP171" i="12" s="1"/>
  <c r="AZ170" i="12"/>
  <c r="AZ171" i="12" s="1"/>
  <c r="AZ270" i="12"/>
  <c r="AZ271" i="12" s="1"/>
  <c r="AS64" i="12"/>
  <c r="AT64" i="12" s="1"/>
  <c r="AR65" i="12" s="1"/>
  <c r="AQ219" i="12"/>
  <c r="AX169" i="12"/>
  <c r="AX170" i="12" s="1"/>
  <c r="AX171" i="12" s="1"/>
  <c r="AQ170" i="12"/>
  <c r="AQ171" i="12" s="1"/>
  <c r="AW218" i="12"/>
  <c r="AP268" i="12"/>
  <c r="AW268" i="12" s="1"/>
  <c r="AW270" i="12" s="1"/>
  <c r="AW271" i="12" s="1"/>
  <c r="AS269" i="12"/>
  <c r="AZ219" i="12"/>
  <c r="AS220" i="12"/>
  <c r="AS221" i="12" s="1"/>
  <c r="AR170" i="10"/>
  <c r="AR171" i="10" s="1"/>
  <c r="AY169" i="10"/>
  <c r="AY170" i="10" s="1"/>
  <c r="AY171" i="10" s="1"/>
  <c r="AR219" i="10"/>
  <c r="AP268" i="10"/>
  <c r="AW268" i="10" s="1"/>
  <c r="AW218" i="10"/>
  <c r="AQ268" i="10"/>
  <c r="AX268" i="10" s="1"/>
  <c r="AX218" i="10"/>
  <c r="AP170" i="10"/>
  <c r="AP171" i="10" s="1"/>
  <c r="AP219" i="10"/>
  <c r="AW169" i="10"/>
  <c r="AW170" i="10" s="1"/>
  <c r="AW171" i="10" s="1"/>
  <c r="AY218" i="10"/>
  <c r="AR268" i="10"/>
  <c r="AY268" i="10" s="1"/>
  <c r="AS269" i="10"/>
  <c r="AZ219" i="10"/>
  <c r="AZ220" i="10" s="1"/>
  <c r="AZ221" i="10" s="1"/>
  <c r="AS220" i="10"/>
  <c r="AS221" i="10" s="1"/>
  <c r="AQ170" i="10"/>
  <c r="AQ171" i="10" s="1"/>
  <c r="AQ219" i="10"/>
  <c r="AX169" i="10"/>
  <c r="AX170" i="10" s="1"/>
  <c r="AX171" i="10" s="1"/>
  <c r="AS51" i="10"/>
  <c r="AT51" i="10" s="1"/>
  <c r="AR52" i="10" s="1"/>
  <c r="BA50" i="10"/>
  <c r="BB50" i="10" s="1"/>
  <c r="AZ51" i="10" s="1"/>
  <c r="AS58" i="9"/>
  <c r="AW57" i="9"/>
  <c r="BA57" i="9" s="1"/>
  <c r="BB57" i="9" s="1"/>
  <c r="AZ58" i="9" s="1"/>
  <c r="AZ220" i="9"/>
  <c r="AZ221" i="9" s="1"/>
  <c r="AZ170" i="9"/>
  <c r="AZ171" i="9" s="1"/>
  <c r="AP268" i="9"/>
  <c r="AW268" i="9" s="1"/>
  <c r="AW218" i="9"/>
  <c r="AR268" i="9"/>
  <c r="AY268" i="9" s="1"/>
  <c r="AY218" i="9"/>
  <c r="AQ268" i="9"/>
  <c r="AX268" i="9" s="1"/>
  <c r="AX218" i="9"/>
  <c r="AS220" i="9"/>
  <c r="AS221" i="9" s="1"/>
  <c r="AS269" i="9"/>
  <c r="AW169" i="9"/>
  <c r="AW170" i="9" s="1"/>
  <c r="AW171" i="9" s="1"/>
  <c r="AP219" i="9"/>
  <c r="AW219" i="9" s="1"/>
  <c r="AW220" i="9" s="1"/>
  <c r="AW221" i="9" s="1"/>
  <c r="AX169" i="9"/>
  <c r="AX170" i="9" s="1"/>
  <c r="AX171" i="9" s="1"/>
  <c r="AQ219" i="9"/>
  <c r="AX219" i="9" s="1"/>
  <c r="AY169" i="9"/>
  <c r="AY170" i="9" s="1"/>
  <c r="AY171" i="9" s="1"/>
  <c r="AR219" i="9"/>
  <c r="AY219" i="9" s="1"/>
  <c r="AP170" i="9"/>
  <c r="AP171" i="9" s="1"/>
  <c r="AQ170" i="9"/>
  <c r="AQ171" i="9" s="1"/>
  <c r="AR170" i="9"/>
  <c r="AR171" i="9" s="1"/>
  <c r="AZ220" i="12" l="1"/>
  <c r="AZ221" i="12" s="1"/>
  <c r="AQ269" i="12"/>
  <c r="AX219" i="12"/>
  <c r="AX220" i="12" s="1"/>
  <c r="AX221" i="12" s="1"/>
  <c r="AQ220" i="12"/>
  <c r="AQ221" i="12" s="1"/>
  <c r="AZ269" i="12"/>
  <c r="AS270" i="12"/>
  <c r="AS271" i="12" s="1"/>
  <c r="AS65" i="12"/>
  <c r="AW219" i="12"/>
  <c r="AW220" i="12" s="1"/>
  <c r="AW221" i="12" s="1"/>
  <c r="AP269" i="12"/>
  <c r="AP220" i="12"/>
  <c r="AP221" i="12" s="1"/>
  <c r="AR269" i="12"/>
  <c r="AY219" i="12"/>
  <c r="AY220" i="12" s="1"/>
  <c r="AY221" i="12" s="1"/>
  <c r="AR220" i="12"/>
  <c r="AR221" i="12" s="1"/>
  <c r="AX56" i="12"/>
  <c r="AV57" i="12" s="1"/>
  <c r="AW57" i="12" s="1"/>
  <c r="BA56" i="12"/>
  <c r="BB56" i="12" s="1"/>
  <c r="AZ57" i="12" s="1"/>
  <c r="AZ269" i="10"/>
  <c r="AZ270" i="10" s="1"/>
  <c r="AZ271" i="10" s="1"/>
  <c r="AS270" i="10"/>
  <c r="AS271" i="10" s="1"/>
  <c r="AR220" i="10"/>
  <c r="AR221" i="10" s="1"/>
  <c r="AY219" i="10"/>
  <c r="AY220" i="10" s="1"/>
  <c r="AY221" i="10" s="1"/>
  <c r="AR269" i="10"/>
  <c r="AQ220" i="10"/>
  <c r="AQ221" i="10" s="1"/>
  <c r="AQ269" i="10"/>
  <c r="AX219" i="10"/>
  <c r="AX220" i="10" s="1"/>
  <c r="AX221" i="10" s="1"/>
  <c r="AP220" i="10"/>
  <c r="AP221" i="10" s="1"/>
  <c r="AP269" i="10"/>
  <c r="AW219" i="10"/>
  <c r="AW220" i="10" s="1"/>
  <c r="AW221" i="10" s="1"/>
  <c r="AS52" i="10"/>
  <c r="AT52" i="10" s="1"/>
  <c r="AR53" i="10" s="1"/>
  <c r="AW51" i="10"/>
  <c r="AX51" i="10" s="1"/>
  <c r="AV52" i="10" s="1"/>
  <c r="AX57" i="9"/>
  <c r="AV58" i="9" s="1"/>
  <c r="AW58" i="9" s="1"/>
  <c r="BA58" i="9" s="1"/>
  <c r="BB58" i="9" s="1"/>
  <c r="AZ59" i="9" s="1"/>
  <c r="AT58" i="9"/>
  <c r="AR59" i="9" s="1"/>
  <c r="AY220" i="9"/>
  <c r="AY221" i="9" s="1"/>
  <c r="AS270" i="9"/>
  <c r="AS271" i="9" s="1"/>
  <c r="AZ269" i="9"/>
  <c r="AX220" i="9"/>
  <c r="AX221" i="9" s="1"/>
  <c r="AQ220" i="9"/>
  <c r="AQ221" i="9" s="1"/>
  <c r="AQ269" i="9"/>
  <c r="AP220" i="9"/>
  <c r="AP221" i="9" s="1"/>
  <c r="AP269" i="9"/>
  <c r="AR220" i="9"/>
  <c r="AR221" i="9" s="1"/>
  <c r="AR269" i="9"/>
  <c r="AY269" i="12" l="1"/>
  <c r="AR270" i="12"/>
  <c r="AR271" i="12" s="1"/>
  <c r="AW269" i="12"/>
  <c r="AP270" i="12"/>
  <c r="AP271" i="12" s="1"/>
  <c r="AX269" i="12"/>
  <c r="AQ270" i="12"/>
  <c r="AQ271" i="12" s="1"/>
  <c r="AX57" i="12"/>
  <c r="AV58" i="12" s="1"/>
  <c r="BA57" i="12"/>
  <c r="BB57" i="12" s="1"/>
  <c r="AZ58" i="12" s="1"/>
  <c r="AT65" i="12"/>
  <c r="AR66" i="12" s="1"/>
  <c r="AX269" i="10"/>
  <c r="AX270" i="10" s="1"/>
  <c r="AX271" i="10" s="1"/>
  <c r="AQ270" i="10"/>
  <c r="AQ271" i="10" s="1"/>
  <c r="AY269" i="10"/>
  <c r="AY270" i="10" s="1"/>
  <c r="AY271" i="10" s="1"/>
  <c r="AR270" i="10"/>
  <c r="AR271" i="10" s="1"/>
  <c r="AW269" i="10"/>
  <c r="AW270" i="10" s="1"/>
  <c r="AW271" i="10" s="1"/>
  <c r="AP270" i="10"/>
  <c r="AP271" i="10" s="1"/>
  <c r="AS53" i="10"/>
  <c r="AW52" i="10"/>
  <c r="AX52" i="10" s="1"/>
  <c r="AV53" i="10" s="1"/>
  <c r="BA51" i="10"/>
  <c r="BB51" i="10" s="1"/>
  <c r="AZ52" i="10" s="1"/>
  <c r="AX58" i="9"/>
  <c r="AV59" i="9" s="1"/>
  <c r="AS59" i="9"/>
  <c r="AZ270" i="9"/>
  <c r="AZ271" i="9" s="1"/>
  <c r="AP270" i="9"/>
  <c r="AP271" i="9" s="1"/>
  <c r="AW269" i="9"/>
  <c r="AW270" i="9" s="1"/>
  <c r="AW271" i="9" s="1"/>
  <c r="AQ270" i="9"/>
  <c r="AQ271" i="9" s="1"/>
  <c r="AX269" i="9"/>
  <c r="AX270" i="9" s="1"/>
  <c r="AX271" i="9" s="1"/>
  <c r="AR270" i="9"/>
  <c r="AR271" i="9" s="1"/>
  <c r="AY269" i="9"/>
  <c r="AY270" i="9" s="1"/>
  <c r="AY271" i="9" s="1"/>
  <c r="AS66" i="12" l="1"/>
  <c r="AT66" i="12" s="1"/>
  <c r="AR67" i="12" s="1"/>
  <c r="AS67" i="12" s="1"/>
  <c r="AW58" i="12"/>
  <c r="BA58" i="12" s="1"/>
  <c r="BB58" i="12" s="1"/>
  <c r="AZ59" i="12" s="1"/>
  <c r="BA52" i="10"/>
  <c r="BB52" i="10" s="1"/>
  <c r="AZ53" i="10" s="1"/>
  <c r="AW53" i="10"/>
  <c r="AT53" i="10"/>
  <c r="AR54" i="10" s="1"/>
  <c r="AW59" i="9"/>
  <c r="AX59" i="9" s="1"/>
  <c r="AV60" i="9" s="1"/>
  <c r="AT59" i="9"/>
  <c r="AR60" i="9" s="1"/>
  <c r="AX58" i="12" l="1"/>
  <c r="AV59" i="12" s="1"/>
  <c r="AT67" i="12"/>
  <c r="AR68" i="12" s="1"/>
  <c r="BA53" i="10"/>
  <c r="BB53" i="10" s="1"/>
  <c r="AZ54" i="10" s="1"/>
  <c r="AX53" i="10"/>
  <c r="AV54" i="10" s="1"/>
  <c r="AS54" i="10"/>
  <c r="BA59" i="9"/>
  <c r="BB59" i="9" s="1"/>
  <c r="AZ60" i="9" s="1"/>
  <c r="AS60" i="9"/>
  <c r="AT60" i="9" s="1"/>
  <c r="AR61" i="9" s="1"/>
  <c r="AS68" i="12" l="1"/>
  <c r="AT68" i="12" s="1"/>
  <c r="AR69" i="12" s="1"/>
  <c r="AS69" i="12" s="1"/>
  <c r="AW59" i="12"/>
  <c r="BA59" i="12" s="1"/>
  <c r="BB59" i="12" s="1"/>
  <c r="AZ60" i="12" s="1"/>
  <c r="AW54" i="10"/>
  <c r="BA54" i="10" s="1"/>
  <c r="BB54" i="10" s="1"/>
  <c r="AZ55" i="10" s="1"/>
  <c r="AT54" i="10"/>
  <c r="AR55" i="10" s="1"/>
  <c r="AW60" i="9"/>
  <c r="AX60" i="9" s="1"/>
  <c r="AV61" i="9" s="1"/>
  <c r="AS61" i="9"/>
  <c r="AT61" i="9" s="1"/>
  <c r="AR62" i="9" s="1"/>
  <c r="AT69" i="12" l="1"/>
  <c r="AS70" i="12"/>
  <c r="AS71" i="12" s="1"/>
  <c r="BB126" i="12" s="1" a="1"/>
  <c r="AX59" i="12"/>
  <c r="AV60" i="12" s="1"/>
  <c r="AW60" i="12" s="1"/>
  <c r="AX54" i="10"/>
  <c r="AV55" i="10" s="1"/>
  <c r="AS55" i="10"/>
  <c r="BA60" i="9"/>
  <c r="BB60" i="9" s="1"/>
  <c r="AZ61" i="9" s="1"/>
  <c r="AS62" i="9"/>
  <c r="AT62" i="9" s="1"/>
  <c r="AR63" i="9" s="1"/>
  <c r="AW61" i="9"/>
  <c r="AX61" i="9" s="1"/>
  <c r="AV62" i="9" s="1"/>
  <c r="BP126" i="12" l="1"/>
  <c r="CC126" i="12"/>
  <c r="BJ126" i="12"/>
  <c r="BD126" i="12"/>
  <c r="BO126" i="12"/>
  <c r="BH126" i="12"/>
  <c r="BU126" i="12"/>
  <c r="BB126" i="12"/>
  <c r="CI126" i="12"/>
  <c r="CB126" i="12"/>
  <c r="CL126" i="12"/>
  <c r="BM126" i="12"/>
  <c r="CM126" i="12"/>
  <c r="BS126" i="12"/>
  <c r="CQ126" i="12"/>
  <c r="CD126" i="12"/>
  <c r="BE126" i="12"/>
  <c r="BW126" i="12"/>
  <c r="BC126" i="12"/>
  <c r="CA126" i="12"/>
  <c r="BN126" i="12"/>
  <c r="CH126" i="12"/>
  <c r="CR126" i="12"/>
  <c r="CO126" i="12"/>
  <c r="BV126" i="12"/>
  <c r="CP126" i="12"/>
  <c r="BG126" i="12"/>
  <c r="CG126" i="12"/>
  <c r="BK126" i="12"/>
  <c r="CN126" i="12"/>
  <c r="BQ126" i="12"/>
  <c r="CF126" i="12"/>
  <c r="BF126" i="12"/>
  <c r="BZ126" i="12"/>
  <c r="CJ126" i="12"/>
  <c r="BL126" i="12"/>
  <c r="BY126" i="12"/>
  <c r="BX126" i="12"/>
  <c r="CK126" i="12"/>
  <c r="BR126" i="12"/>
  <c r="BT126" i="12"/>
  <c r="CE126" i="12"/>
  <c r="BI126" i="12"/>
  <c r="AX60" i="12"/>
  <c r="AV61" i="12" s="1"/>
  <c r="AW61" i="12" s="1"/>
  <c r="BA60" i="12"/>
  <c r="BB60" i="12" s="1"/>
  <c r="AZ61" i="12" s="1"/>
  <c r="AW55" i="10"/>
  <c r="AX55" i="10" s="1"/>
  <c r="AV56" i="10" s="1"/>
  <c r="AT55" i="10"/>
  <c r="AR56" i="10" s="1"/>
  <c r="AW62" i="9"/>
  <c r="AX62" i="9" s="1"/>
  <c r="AV63" i="9" s="1"/>
  <c r="BA61" i="9"/>
  <c r="AS63" i="9"/>
  <c r="AT63" i="9" s="1"/>
  <c r="AR64" i="9" s="1"/>
  <c r="CR172" i="12" l="1"/>
  <c r="CR171" i="12" s="1"/>
  <c r="CS126" i="12"/>
  <c r="CS172" i="12" s="1"/>
  <c r="CQ172" i="12"/>
  <c r="BU148" i="12"/>
  <c r="BU172" i="12"/>
  <c r="BU149" i="12"/>
  <c r="BU150" i="12"/>
  <c r="BU151" i="12"/>
  <c r="BU152" i="12"/>
  <c r="BU153" i="12"/>
  <c r="BU154" i="12"/>
  <c r="BU155" i="12"/>
  <c r="BU156" i="12"/>
  <c r="BU157" i="12"/>
  <c r="BU158" i="12"/>
  <c r="BU159" i="12"/>
  <c r="BU160" i="12"/>
  <c r="BU161" i="12"/>
  <c r="BU162" i="12"/>
  <c r="BU163" i="12"/>
  <c r="BU164" i="12"/>
  <c r="BU165" i="12"/>
  <c r="BU166" i="12"/>
  <c r="BU167" i="12"/>
  <c r="BU168" i="12"/>
  <c r="BU169" i="12"/>
  <c r="CN172" i="12"/>
  <c r="CN167" i="12"/>
  <c r="CN168" i="12"/>
  <c r="CN169" i="12"/>
  <c r="BH135" i="12"/>
  <c r="BH172" i="12"/>
  <c r="BH136" i="12"/>
  <c r="BH137" i="12"/>
  <c r="BH138" i="12"/>
  <c r="BH139" i="12"/>
  <c r="BH140" i="12"/>
  <c r="BH141" i="12"/>
  <c r="BH142" i="12"/>
  <c r="BH143" i="12"/>
  <c r="BH144" i="12"/>
  <c r="BH145" i="12"/>
  <c r="BH146" i="12"/>
  <c r="BH147" i="12"/>
  <c r="BH148" i="12"/>
  <c r="BH149" i="12"/>
  <c r="BH150" i="12"/>
  <c r="BH151" i="12"/>
  <c r="BH152" i="12"/>
  <c r="BH153" i="12"/>
  <c r="BH154" i="12"/>
  <c r="BH155" i="12"/>
  <c r="BH156" i="12"/>
  <c r="BH157" i="12"/>
  <c r="BH158" i="12"/>
  <c r="BH159" i="12"/>
  <c r="BH160" i="12"/>
  <c r="BH161" i="12"/>
  <c r="BH162" i="12"/>
  <c r="BH163" i="12"/>
  <c r="BH164" i="12"/>
  <c r="BH165" i="12"/>
  <c r="BH166" i="12"/>
  <c r="BH167" i="12"/>
  <c r="BH168" i="12"/>
  <c r="BH169" i="12"/>
  <c r="BM140" i="12"/>
  <c r="BM172" i="12"/>
  <c r="BM141" i="12"/>
  <c r="BM142" i="12"/>
  <c r="BM143" i="12"/>
  <c r="BM144" i="12"/>
  <c r="BM145" i="12"/>
  <c r="BM146" i="12"/>
  <c r="BM147" i="12"/>
  <c r="BM148" i="12"/>
  <c r="BM149" i="12"/>
  <c r="BM150" i="12"/>
  <c r="BM151" i="12"/>
  <c r="BM152" i="12"/>
  <c r="BM153" i="12"/>
  <c r="BM154" i="12"/>
  <c r="BM155" i="12"/>
  <c r="BM156" i="12"/>
  <c r="BM157" i="12"/>
  <c r="BM158" i="12"/>
  <c r="BM159" i="12"/>
  <c r="BM160" i="12"/>
  <c r="BM161" i="12"/>
  <c r="BM162" i="12"/>
  <c r="BM163" i="12"/>
  <c r="BM164" i="12"/>
  <c r="BM165" i="12"/>
  <c r="BM166" i="12"/>
  <c r="BM167" i="12"/>
  <c r="BM168" i="12"/>
  <c r="BM169" i="12"/>
  <c r="CF159" i="12"/>
  <c r="CF172" i="12"/>
  <c r="CF160" i="12"/>
  <c r="CF161" i="12"/>
  <c r="CF162" i="12"/>
  <c r="CF163" i="12"/>
  <c r="CF164" i="12"/>
  <c r="CF165" i="12"/>
  <c r="CF166" i="12"/>
  <c r="CF167" i="12"/>
  <c r="CF168" i="12"/>
  <c r="CF169" i="12"/>
  <c r="BK172" i="12"/>
  <c r="BK138" i="12"/>
  <c r="BK139" i="12"/>
  <c r="BK140" i="12"/>
  <c r="BK141" i="12"/>
  <c r="BK142" i="12"/>
  <c r="BK143" i="12"/>
  <c r="BK144" i="12"/>
  <c r="BK145" i="12"/>
  <c r="BK146" i="12"/>
  <c r="BK147" i="12"/>
  <c r="BK148" i="12"/>
  <c r="BK149" i="12"/>
  <c r="BK150" i="12"/>
  <c r="BK151" i="12"/>
  <c r="BK152" i="12"/>
  <c r="BK153" i="12"/>
  <c r="BK154" i="12"/>
  <c r="BK155" i="12"/>
  <c r="BK156" i="12"/>
  <c r="BK157" i="12"/>
  <c r="BK158" i="12"/>
  <c r="BK159" i="12"/>
  <c r="BK160" i="12"/>
  <c r="BK161" i="12"/>
  <c r="BK162" i="12"/>
  <c r="BK163" i="12"/>
  <c r="BK164" i="12"/>
  <c r="BK165" i="12"/>
  <c r="BK166" i="12"/>
  <c r="BK167" i="12"/>
  <c r="BK168" i="12"/>
  <c r="BK169" i="12"/>
  <c r="CM172" i="12"/>
  <c r="CM166" i="12"/>
  <c r="CM167" i="12"/>
  <c r="CM168" i="12"/>
  <c r="CM169" i="12"/>
  <c r="CG172" i="12"/>
  <c r="CG160" i="12"/>
  <c r="CG161" i="12"/>
  <c r="CG162" i="12"/>
  <c r="CG163" i="12"/>
  <c r="CG164" i="12"/>
  <c r="CG165" i="12"/>
  <c r="CG166" i="12"/>
  <c r="CG167" i="12"/>
  <c r="CG168" i="12"/>
  <c r="CG169" i="12"/>
  <c r="BI136" i="12"/>
  <c r="BI172" i="12"/>
  <c r="BI137" i="12"/>
  <c r="BI138" i="12"/>
  <c r="BI139" i="12"/>
  <c r="BI140" i="12"/>
  <c r="BI141" i="12"/>
  <c r="BI142" i="12"/>
  <c r="BI143" i="12"/>
  <c r="BI144" i="12"/>
  <c r="BI145" i="12"/>
  <c r="BI146" i="12"/>
  <c r="BI147" i="12"/>
  <c r="BI148" i="12"/>
  <c r="BI149" i="12"/>
  <c r="BI150" i="12"/>
  <c r="BI151" i="12"/>
  <c r="BI152" i="12"/>
  <c r="BI153" i="12"/>
  <c r="BI154" i="12"/>
  <c r="BI155" i="12"/>
  <c r="BI156" i="12"/>
  <c r="BI157" i="12"/>
  <c r="BI158" i="12"/>
  <c r="BI159" i="12"/>
  <c r="BI160" i="12"/>
  <c r="BI161" i="12"/>
  <c r="BI162" i="12"/>
  <c r="BI163" i="12"/>
  <c r="BI164" i="12"/>
  <c r="BI165" i="12"/>
  <c r="BI166" i="12"/>
  <c r="BI167" i="12"/>
  <c r="BI168" i="12"/>
  <c r="BI169" i="12"/>
  <c r="BG172" i="12"/>
  <c r="BG134" i="12"/>
  <c r="BG135" i="12"/>
  <c r="BG136" i="12"/>
  <c r="BG137" i="12"/>
  <c r="BG138" i="12"/>
  <c r="BG139" i="12"/>
  <c r="BG140" i="12"/>
  <c r="BG141" i="12"/>
  <c r="BG142" i="12"/>
  <c r="BG143" i="12"/>
  <c r="BG144" i="12"/>
  <c r="BG145" i="12"/>
  <c r="BG146" i="12"/>
  <c r="BG147" i="12"/>
  <c r="BG148" i="12"/>
  <c r="BG149" i="12"/>
  <c r="BG150" i="12"/>
  <c r="BG151" i="12"/>
  <c r="BG152" i="12"/>
  <c r="BG153" i="12"/>
  <c r="BG154" i="12"/>
  <c r="BG155" i="12"/>
  <c r="BG156" i="12"/>
  <c r="BG157" i="12"/>
  <c r="BG158" i="12"/>
  <c r="BG159" i="12"/>
  <c r="BG160" i="12"/>
  <c r="BG161" i="12"/>
  <c r="BG162" i="12"/>
  <c r="BG163" i="12"/>
  <c r="BG164" i="12"/>
  <c r="BG165" i="12"/>
  <c r="BG166" i="12"/>
  <c r="BG167" i="12"/>
  <c r="BG168" i="12"/>
  <c r="BG169" i="12"/>
  <c r="BC130" i="12"/>
  <c r="BC172" i="12"/>
  <c r="BC131" i="12"/>
  <c r="BC132" i="12"/>
  <c r="BC133" i="12"/>
  <c r="BC134" i="12"/>
  <c r="BC135" i="12"/>
  <c r="BC136" i="12"/>
  <c r="BC137" i="12"/>
  <c r="BC138" i="12"/>
  <c r="BC139" i="12"/>
  <c r="BC140" i="12"/>
  <c r="BC141" i="12"/>
  <c r="BC142" i="12"/>
  <c r="BC143" i="12"/>
  <c r="BC144" i="12"/>
  <c r="BC145" i="12"/>
  <c r="BC146" i="12"/>
  <c r="BC147" i="12"/>
  <c r="BC148" i="12"/>
  <c r="BC149" i="12"/>
  <c r="BC150" i="12"/>
  <c r="BC151" i="12"/>
  <c r="BC152" i="12"/>
  <c r="BC153" i="12"/>
  <c r="BC154" i="12"/>
  <c r="BC155" i="12"/>
  <c r="BC156" i="12"/>
  <c r="BC157" i="12"/>
  <c r="BC158" i="12"/>
  <c r="BC159" i="12"/>
  <c r="BC160" i="12"/>
  <c r="BC161" i="12"/>
  <c r="BC162" i="12"/>
  <c r="BC163" i="12"/>
  <c r="BC164" i="12"/>
  <c r="BC165" i="12"/>
  <c r="BC166" i="12"/>
  <c r="BC167" i="12"/>
  <c r="BC168" i="12"/>
  <c r="BC169" i="12"/>
  <c r="CL172" i="12"/>
  <c r="CL165" i="12"/>
  <c r="CL166" i="12"/>
  <c r="CL167" i="12"/>
  <c r="CL168" i="12"/>
  <c r="CL169" i="12"/>
  <c r="BJ137" i="12"/>
  <c r="BJ172" i="12"/>
  <c r="BJ138" i="12"/>
  <c r="BJ139" i="12"/>
  <c r="BJ140" i="12"/>
  <c r="BJ141" i="12"/>
  <c r="BJ142" i="12"/>
  <c r="BJ143" i="12"/>
  <c r="BJ144" i="12"/>
  <c r="BJ145" i="12"/>
  <c r="BJ146" i="12"/>
  <c r="BJ147" i="12"/>
  <c r="BJ148" i="12"/>
  <c r="BJ149" i="12"/>
  <c r="BJ150" i="12"/>
  <c r="BJ151" i="12"/>
  <c r="BJ152" i="12"/>
  <c r="BJ153" i="12"/>
  <c r="BJ154" i="12"/>
  <c r="BJ155" i="12"/>
  <c r="BJ156" i="12"/>
  <c r="BJ157" i="12"/>
  <c r="BJ158" i="12"/>
  <c r="BJ159" i="12"/>
  <c r="BJ160" i="12"/>
  <c r="BJ161" i="12"/>
  <c r="BJ162" i="12"/>
  <c r="BJ163" i="12"/>
  <c r="BJ164" i="12"/>
  <c r="BJ165" i="12"/>
  <c r="BJ166" i="12"/>
  <c r="BJ167" i="12"/>
  <c r="BJ168" i="12"/>
  <c r="BJ169" i="12"/>
  <c r="BR172" i="12"/>
  <c r="BR145" i="12"/>
  <c r="BR146" i="12"/>
  <c r="BR147" i="12"/>
  <c r="BR148" i="12"/>
  <c r="BR149" i="12"/>
  <c r="BR150" i="12"/>
  <c r="BR151" i="12"/>
  <c r="BR152" i="12"/>
  <c r="BR153" i="12"/>
  <c r="BR154" i="12"/>
  <c r="BR155" i="12"/>
  <c r="BR156" i="12"/>
  <c r="BR157" i="12"/>
  <c r="BR158" i="12"/>
  <c r="BR159" i="12"/>
  <c r="BR160" i="12"/>
  <c r="BR161" i="12"/>
  <c r="BR162" i="12"/>
  <c r="BR163" i="12"/>
  <c r="BR164" i="12"/>
  <c r="BR165" i="12"/>
  <c r="BR166" i="12"/>
  <c r="BR167" i="12"/>
  <c r="BR168" i="12"/>
  <c r="BR169" i="12"/>
  <c r="CO168" i="12"/>
  <c r="CO172" i="12"/>
  <c r="CO169" i="12"/>
  <c r="CD172" i="12"/>
  <c r="CD157" i="12"/>
  <c r="CD158" i="12"/>
  <c r="CD159" i="12"/>
  <c r="CD160" i="12"/>
  <c r="CD161" i="12"/>
  <c r="CD162" i="12"/>
  <c r="CD163" i="12"/>
  <c r="CD164" i="12"/>
  <c r="CD165" i="12"/>
  <c r="CD166" i="12"/>
  <c r="CD167" i="12"/>
  <c r="CD168" i="12"/>
  <c r="CD169" i="12"/>
  <c r="BB129" i="12"/>
  <c r="BB172" i="12"/>
  <c r="BB130" i="12"/>
  <c r="BB131" i="12"/>
  <c r="BB132" i="12"/>
  <c r="BB133" i="12"/>
  <c r="BB134" i="12"/>
  <c r="BB135" i="12"/>
  <c r="BB136" i="12"/>
  <c r="BB137" i="12"/>
  <c r="BB138" i="12"/>
  <c r="BB139" i="12"/>
  <c r="BB140" i="12"/>
  <c r="BB141" i="12"/>
  <c r="BB142" i="12"/>
  <c r="BB143" i="12"/>
  <c r="BB144" i="12"/>
  <c r="BB145" i="12"/>
  <c r="BB146" i="12"/>
  <c r="BB147" i="12"/>
  <c r="BB148" i="12"/>
  <c r="BB149" i="12"/>
  <c r="BB150" i="12"/>
  <c r="BB151" i="12"/>
  <c r="BB152" i="12"/>
  <c r="BB153" i="12"/>
  <c r="BB154" i="12"/>
  <c r="BB155" i="12"/>
  <c r="BB156" i="12"/>
  <c r="BB157" i="12"/>
  <c r="BB158" i="12"/>
  <c r="BB159" i="12"/>
  <c r="BB160" i="12"/>
  <c r="BB161" i="12"/>
  <c r="BB162" i="12"/>
  <c r="BB163" i="12"/>
  <c r="BB164" i="12"/>
  <c r="BB165" i="12"/>
  <c r="BB166" i="12"/>
  <c r="BB167" i="12"/>
  <c r="BB168" i="12"/>
  <c r="BB169" i="12"/>
  <c r="CK164" i="12"/>
  <c r="CK172" i="12"/>
  <c r="CK165" i="12"/>
  <c r="CK166" i="12"/>
  <c r="CK167" i="12"/>
  <c r="CK168" i="12"/>
  <c r="CK169" i="12"/>
  <c r="BQ144" i="12"/>
  <c r="BQ172" i="12"/>
  <c r="BQ145" i="12"/>
  <c r="BQ146" i="12"/>
  <c r="BQ147" i="12"/>
  <c r="BQ148" i="12"/>
  <c r="BQ149" i="12"/>
  <c r="BQ150" i="12"/>
  <c r="BQ151" i="12"/>
  <c r="BQ152" i="12"/>
  <c r="BQ153" i="12"/>
  <c r="BQ154" i="12"/>
  <c r="BQ155" i="12"/>
  <c r="BQ156" i="12"/>
  <c r="BQ157" i="12"/>
  <c r="BQ158" i="12"/>
  <c r="BQ159" i="12"/>
  <c r="BQ160" i="12"/>
  <c r="BQ161" i="12"/>
  <c r="BQ162" i="12"/>
  <c r="BQ163" i="12"/>
  <c r="BQ164" i="12"/>
  <c r="BQ165" i="12"/>
  <c r="BQ166" i="12"/>
  <c r="BQ167" i="12"/>
  <c r="BQ168" i="12"/>
  <c r="BQ169" i="12"/>
  <c r="BX151" i="12"/>
  <c r="BX172" i="12"/>
  <c r="BX152" i="12"/>
  <c r="BX153" i="12"/>
  <c r="BX154" i="12"/>
  <c r="BX155" i="12"/>
  <c r="BX156" i="12"/>
  <c r="BX157" i="12"/>
  <c r="BX158" i="12"/>
  <c r="BX159" i="12"/>
  <c r="BX160" i="12"/>
  <c r="BX161" i="12"/>
  <c r="BX162" i="12"/>
  <c r="BX163" i="12"/>
  <c r="BX164" i="12"/>
  <c r="BX165" i="12"/>
  <c r="BX166" i="12"/>
  <c r="BX167" i="12"/>
  <c r="BX168" i="12"/>
  <c r="BX169" i="12"/>
  <c r="BS172" i="12"/>
  <c r="BS146" i="12"/>
  <c r="BS147" i="12"/>
  <c r="BS148" i="12"/>
  <c r="BS149" i="12"/>
  <c r="BS150" i="12"/>
  <c r="BS151" i="12"/>
  <c r="BS152" i="12"/>
  <c r="BS153" i="12"/>
  <c r="BS154" i="12"/>
  <c r="BS155" i="12"/>
  <c r="BS156" i="12"/>
  <c r="BS157" i="12"/>
  <c r="BS158" i="12"/>
  <c r="BS159" i="12"/>
  <c r="BS160" i="12"/>
  <c r="BS161" i="12"/>
  <c r="BS162" i="12"/>
  <c r="BS163" i="12"/>
  <c r="BS164" i="12"/>
  <c r="BS165" i="12"/>
  <c r="BS166" i="12"/>
  <c r="BS167" i="12"/>
  <c r="BS168" i="12"/>
  <c r="BS169" i="12"/>
  <c r="BY152" i="12"/>
  <c r="BY172" i="12"/>
  <c r="BY153" i="12"/>
  <c r="BY154" i="12"/>
  <c r="BY155" i="12"/>
  <c r="BY156" i="12"/>
  <c r="BY157" i="12"/>
  <c r="BY158" i="12"/>
  <c r="BY159" i="12"/>
  <c r="BY160" i="12"/>
  <c r="BY161" i="12"/>
  <c r="BY162" i="12"/>
  <c r="BY163" i="12"/>
  <c r="BY164" i="12"/>
  <c r="BY165" i="12"/>
  <c r="BY166" i="12"/>
  <c r="BY167" i="12"/>
  <c r="BY168" i="12"/>
  <c r="BY169" i="12"/>
  <c r="BN172" i="12"/>
  <c r="BN141" i="12"/>
  <c r="BN142" i="12"/>
  <c r="BN143" i="12"/>
  <c r="BN144" i="12"/>
  <c r="BN145" i="12"/>
  <c r="BN146" i="12"/>
  <c r="BN147" i="12"/>
  <c r="BN148" i="12"/>
  <c r="BN149" i="12"/>
  <c r="BN150" i="12"/>
  <c r="BN151" i="12"/>
  <c r="BN152" i="12"/>
  <c r="BN153" i="12"/>
  <c r="BN154" i="12"/>
  <c r="BN155" i="12"/>
  <c r="BN156" i="12"/>
  <c r="BN157" i="12"/>
  <c r="BN158" i="12"/>
  <c r="BN159" i="12"/>
  <c r="BN160" i="12"/>
  <c r="BN161" i="12"/>
  <c r="BN162" i="12"/>
  <c r="BN163" i="12"/>
  <c r="BN164" i="12"/>
  <c r="BN165" i="12"/>
  <c r="BN166" i="12"/>
  <c r="BN167" i="12"/>
  <c r="BN168" i="12"/>
  <c r="BN169" i="12"/>
  <c r="BO142" i="12"/>
  <c r="BO172" i="12"/>
  <c r="BO143" i="12"/>
  <c r="BO144" i="12"/>
  <c r="BO145" i="12"/>
  <c r="BO146" i="12"/>
  <c r="BO147" i="12"/>
  <c r="BO148" i="12"/>
  <c r="BO149" i="12"/>
  <c r="BO150" i="12"/>
  <c r="BO151" i="12"/>
  <c r="BO152" i="12"/>
  <c r="BO153" i="12"/>
  <c r="BO154" i="12"/>
  <c r="BO155" i="12"/>
  <c r="BO156" i="12"/>
  <c r="BO157" i="12"/>
  <c r="BO158" i="12"/>
  <c r="BO159" i="12"/>
  <c r="BO160" i="12"/>
  <c r="BO161" i="12"/>
  <c r="BO162" i="12"/>
  <c r="BO163" i="12"/>
  <c r="BO164" i="12"/>
  <c r="BO165" i="12"/>
  <c r="BO166" i="12"/>
  <c r="BO167" i="12"/>
  <c r="BO168" i="12"/>
  <c r="BO169" i="12"/>
  <c r="BL172" i="12"/>
  <c r="BL139" i="12"/>
  <c r="BL140" i="12"/>
  <c r="BL141" i="12"/>
  <c r="BL142" i="12"/>
  <c r="BL143" i="12"/>
  <c r="BL144" i="12"/>
  <c r="BL145" i="12"/>
  <c r="BL146" i="12"/>
  <c r="BL147" i="12"/>
  <c r="BL148" i="12"/>
  <c r="BL149" i="12"/>
  <c r="BL150" i="12"/>
  <c r="BL151" i="12"/>
  <c r="BL152" i="12"/>
  <c r="BL153" i="12"/>
  <c r="BL154" i="12"/>
  <c r="BL155" i="12"/>
  <c r="BL156" i="12"/>
  <c r="BL157" i="12"/>
  <c r="BL158" i="12"/>
  <c r="BL159" i="12"/>
  <c r="BL160" i="12"/>
  <c r="BL161" i="12"/>
  <c r="BL162" i="12"/>
  <c r="BL163" i="12"/>
  <c r="BL164" i="12"/>
  <c r="BL165" i="12"/>
  <c r="BL166" i="12"/>
  <c r="BL167" i="12"/>
  <c r="BL168" i="12"/>
  <c r="BL169" i="12"/>
  <c r="CA172" i="12"/>
  <c r="CA154" i="12"/>
  <c r="CA155" i="12"/>
  <c r="CA156" i="12"/>
  <c r="CA157" i="12"/>
  <c r="CA158" i="12"/>
  <c r="CA159" i="12"/>
  <c r="CA160" i="12"/>
  <c r="CA161" i="12"/>
  <c r="CA162" i="12"/>
  <c r="CA163" i="12"/>
  <c r="CA164" i="12"/>
  <c r="CA165" i="12"/>
  <c r="CA166" i="12"/>
  <c r="CA167" i="12"/>
  <c r="CA168" i="12"/>
  <c r="CA169" i="12"/>
  <c r="CJ172" i="12"/>
  <c r="CJ163" i="12"/>
  <c r="CJ164" i="12"/>
  <c r="CJ165" i="12"/>
  <c r="CJ166" i="12"/>
  <c r="CJ167" i="12"/>
  <c r="CJ168" i="12"/>
  <c r="CJ169" i="12"/>
  <c r="CE172" i="12"/>
  <c r="CE158" i="12"/>
  <c r="CE159" i="12"/>
  <c r="CE160" i="12"/>
  <c r="CE161" i="12"/>
  <c r="CE162" i="12"/>
  <c r="CE163" i="12"/>
  <c r="CE164" i="12"/>
  <c r="CE165" i="12"/>
  <c r="CE166" i="12"/>
  <c r="CE167" i="12"/>
  <c r="CE168" i="12"/>
  <c r="CE169" i="12"/>
  <c r="CB172" i="12"/>
  <c r="CB155" i="12"/>
  <c r="CB156" i="12"/>
  <c r="CB157" i="12"/>
  <c r="CB158" i="12"/>
  <c r="CB159" i="12"/>
  <c r="CB160" i="12"/>
  <c r="CB161" i="12"/>
  <c r="CB162" i="12"/>
  <c r="CB163" i="12"/>
  <c r="CB164" i="12"/>
  <c r="CB165" i="12"/>
  <c r="CB166" i="12"/>
  <c r="CB167" i="12"/>
  <c r="CB168" i="12"/>
  <c r="CB169" i="12"/>
  <c r="CC156" i="12"/>
  <c r="CC172" i="12"/>
  <c r="CC157" i="12"/>
  <c r="CC158" i="12"/>
  <c r="CC159" i="12"/>
  <c r="CC160" i="12"/>
  <c r="CC161" i="12"/>
  <c r="CC162" i="12"/>
  <c r="CC163" i="12"/>
  <c r="CC164" i="12"/>
  <c r="CC165" i="12"/>
  <c r="CC166" i="12"/>
  <c r="CC167" i="12"/>
  <c r="CC168" i="12"/>
  <c r="CC169" i="12"/>
  <c r="CH172" i="12"/>
  <c r="CH161" i="12"/>
  <c r="CH162" i="12"/>
  <c r="CH163" i="12"/>
  <c r="CH164" i="12"/>
  <c r="CH165" i="12"/>
  <c r="CH166" i="12"/>
  <c r="CH167" i="12"/>
  <c r="CH168" i="12"/>
  <c r="CH169" i="12"/>
  <c r="AX61" i="12"/>
  <c r="AV62" i="12" s="1"/>
  <c r="AW62" i="12" s="1"/>
  <c r="BA61" i="12"/>
  <c r="BB61" i="12" s="1"/>
  <c r="AZ62" i="12" s="1"/>
  <c r="BD131" i="12"/>
  <c r="BD172"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166" i="12"/>
  <c r="BD167" i="12"/>
  <c r="BD168" i="12"/>
  <c r="BD169" i="12"/>
  <c r="BZ172" i="12"/>
  <c r="BZ153" i="12"/>
  <c r="BZ154" i="12"/>
  <c r="BZ155" i="12"/>
  <c r="BZ156" i="12"/>
  <c r="BZ157" i="12"/>
  <c r="BZ158" i="12"/>
  <c r="BZ159" i="12"/>
  <c r="BZ160" i="12"/>
  <c r="BZ161" i="12"/>
  <c r="BZ162" i="12"/>
  <c r="BZ163" i="12"/>
  <c r="BZ164" i="12"/>
  <c r="BZ165" i="12"/>
  <c r="BZ166" i="12"/>
  <c r="BZ167" i="12"/>
  <c r="BZ168" i="12"/>
  <c r="BZ169" i="12"/>
  <c r="CP172" i="12"/>
  <c r="CP169" i="12"/>
  <c r="CP170" i="12" s="1"/>
  <c r="BW150" i="12"/>
  <c r="BW172" i="12"/>
  <c r="BW151" i="12"/>
  <c r="BW152" i="12"/>
  <c r="BW153" i="12"/>
  <c r="BW154" i="12"/>
  <c r="BW155" i="12"/>
  <c r="BW156" i="12"/>
  <c r="BW157" i="12"/>
  <c r="BW158" i="12"/>
  <c r="BW159" i="12"/>
  <c r="BW160" i="12"/>
  <c r="BW161" i="12"/>
  <c r="BW162" i="12"/>
  <c r="BW163" i="12"/>
  <c r="BW164" i="12"/>
  <c r="BW165" i="12"/>
  <c r="BW166" i="12"/>
  <c r="BW167" i="12"/>
  <c r="BW168" i="12"/>
  <c r="BW169" i="12"/>
  <c r="BT172" i="12"/>
  <c r="BT147" i="12"/>
  <c r="BT148" i="12"/>
  <c r="BT149" i="12"/>
  <c r="BT150" i="12"/>
  <c r="BT151" i="12"/>
  <c r="BT152" i="12"/>
  <c r="BT153" i="12"/>
  <c r="BT154" i="12"/>
  <c r="BT155" i="12"/>
  <c r="BT156" i="12"/>
  <c r="BT157" i="12"/>
  <c r="BT158" i="12"/>
  <c r="BT159" i="12"/>
  <c r="BT160" i="12"/>
  <c r="BT161" i="12"/>
  <c r="BT162" i="12"/>
  <c r="BT163" i="12"/>
  <c r="BT164" i="12"/>
  <c r="BT165" i="12"/>
  <c r="BT166" i="12"/>
  <c r="BT167" i="12"/>
  <c r="BT168" i="12"/>
  <c r="BT169" i="12"/>
  <c r="BF133" i="12"/>
  <c r="BF172" i="12"/>
  <c r="BF134" i="12"/>
  <c r="BF135" i="12"/>
  <c r="BF136" i="12"/>
  <c r="BF137" i="12"/>
  <c r="BF138" i="12"/>
  <c r="BF139" i="12"/>
  <c r="BF140" i="12"/>
  <c r="BF141" i="12"/>
  <c r="BF142" i="12"/>
  <c r="BF143" i="12"/>
  <c r="BF144" i="12"/>
  <c r="BF145" i="12"/>
  <c r="BF146" i="12"/>
  <c r="BF147" i="12"/>
  <c r="BF148" i="12"/>
  <c r="BF149" i="12"/>
  <c r="BF150" i="12"/>
  <c r="BF151" i="12"/>
  <c r="BF152" i="12"/>
  <c r="BF153" i="12"/>
  <c r="BF154" i="12"/>
  <c r="BF155" i="12"/>
  <c r="BF156" i="12"/>
  <c r="BF157" i="12"/>
  <c r="BF158" i="12"/>
  <c r="BF159" i="12"/>
  <c r="BF160" i="12"/>
  <c r="BF161" i="12"/>
  <c r="BF162" i="12"/>
  <c r="BF163" i="12"/>
  <c r="BF164" i="12"/>
  <c r="BF165" i="12"/>
  <c r="BF166" i="12"/>
  <c r="BF167" i="12"/>
  <c r="BF168" i="12"/>
  <c r="BF169" i="12"/>
  <c r="BV172" i="12"/>
  <c r="BV149" i="12"/>
  <c r="BV150" i="12"/>
  <c r="BV151" i="12"/>
  <c r="BV152" i="12"/>
  <c r="BV153" i="12"/>
  <c r="BV154" i="12"/>
  <c r="BV155" i="12"/>
  <c r="BV156" i="12"/>
  <c r="BV157" i="12"/>
  <c r="BV158" i="12"/>
  <c r="BV159" i="12"/>
  <c r="BV160" i="12"/>
  <c r="BV161" i="12"/>
  <c r="BV162" i="12"/>
  <c r="BV163" i="12"/>
  <c r="BV164" i="12"/>
  <c r="BV165" i="12"/>
  <c r="BV166" i="12"/>
  <c r="BV167" i="12"/>
  <c r="BV168" i="12"/>
  <c r="BV169" i="12"/>
  <c r="BE132" i="12"/>
  <c r="BE172" i="12"/>
  <c r="BE133" i="12"/>
  <c r="BE134" i="12"/>
  <c r="BE135" i="12"/>
  <c r="BE136" i="12"/>
  <c r="BE137" i="12"/>
  <c r="BE138" i="12"/>
  <c r="BE139" i="12"/>
  <c r="BE140" i="12"/>
  <c r="BE141" i="12"/>
  <c r="BE142" i="12"/>
  <c r="BE143" i="12"/>
  <c r="BE144" i="12"/>
  <c r="BE145" i="12"/>
  <c r="BE146" i="12"/>
  <c r="BE147" i="12"/>
  <c r="BE148" i="12"/>
  <c r="BE149" i="12"/>
  <c r="BE150" i="12"/>
  <c r="BE151" i="12"/>
  <c r="BE152" i="12"/>
  <c r="BE153" i="12"/>
  <c r="BE154" i="12"/>
  <c r="BE155" i="12"/>
  <c r="BE156" i="12"/>
  <c r="BE157" i="12"/>
  <c r="BE158" i="12"/>
  <c r="BE159" i="12"/>
  <c r="BE160" i="12"/>
  <c r="BE161" i="12"/>
  <c r="BE162" i="12"/>
  <c r="BE163" i="12"/>
  <c r="BE164" i="12"/>
  <c r="BE165" i="12"/>
  <c r="BE166" i="12"/>
  <c r="BE167" i="12"/>
  <c r="BE168" i="12"/>
  <c r="BE169" i="12"/>
  <c r="CI172" i="12"/>
  <c r="CI162" i="12"/>
  <c r="CI163" i="12"/>
  <c r="CI164" i="12"/>
  <c r="CI165" i="12"/>
  <c r="CI166" i="12"/>
  <c r="CI167" i="12"/>
  <c r="CI168" i="12"/>
  <c r="CI169" i="12"/>
  <c r="BP143" i="12"/>
  <c r="BP172" i="12"/>
  <c r="BP144" i="12"/>
  <c r="BP145" i="12"/>
  <c r="BP146" i="12"/>
  <c r="BP147" i="12"/>
  <c r="BP148" i="12"/>
  <c r="BP149" i="12"/>
  <c r="BP150" i="12"/>
  <c r="BP151" i="12"/>
  <c r="BP152" i="12"/>
  <c r="BP153" i="12"/>
  <c r="BP154" i="12"/>
  <c r="BP155" i="12"/>
  <c r="BP156" i="12"/>
  <c r="BP157" i="12"/>
  <c r="BP158" i="12"/>
  <c r="BP159" i="12"/>
  <c r="BP160" i="12"/>
  <c r="BP161" i="12"/>
  <c r="BP162" i="12"/>
  <c r="BP163" i="12"/>
  <c r="BP164" i="12"/>
  <c r="BP165" i="12"/>
  <c r="BP166" i="12"/>
  <c r="BP167" i="12"/>
  <c r="BP168" i="12"/>
  <c r="BP169" i="12"/>
  <c r="BA55" i="10"/>
  <c r="BB55" i="10" s="1"/>
  <c r="AZ56" i="10" s="1"/>
  <c r="AS56" i="10"/>
  <c r="AT56" i="10" s="1"/>
  <c r="AR57" i="10" s="1"/>
  <c r="AS64" i="9"/>
  <c r="AT64" i="9" s="1"/>
  <c r="AR65" i="9" s="1"/>
  <c r="BB61" i="9"/>
  <c r="AZ62" i="9" s="1"/>
  <c r="BA62" i="9" s="1"/>
  <c r="BB62" i="9" s="1"/>
  <c r="AZ63" i="9" s="1"/>
  <c r="AW63" i="9"/>
  <c r="AX63" i="9" s="1"/>
  <c r="AV64" i="9" s="1"/>
  <c r="CL170" i="12" l="1"/>
  <c r="CL171" i="12" s="1"/>
  <c r="CB170" i="12"/>
  <c r="CB171" i="12" s="1"/>
  <c r="BX170" i="12"/>
  <c r="BX171" i="12" s="1"/>
  <c r="CQ132" i="12"/>
  <c r="CS132" i="12" s="1"/>
  <c r="BC170" i="12"/>
  <c r="BC171" i="12" s="1"/>
  <c r="BK170" i="12"/>
  <c r="BK171" i="12" s="1"/>
  <c r="BH170" i="12"/>
  <c r="BH171" i="12" s="1"/>
  <c r="CQ166" i="12"/>
  <c r="CS166" i="12" s="1"/>
  <c r="CQ158" i="12"/>
  <c r="CS158" i="12" s="1"/>
  <c r="CQ150" i="12"/>
  <c r="CS150" i="12" s="1"/>
  <c r="CQ142" i="12"/>
  <c r="CS142" i="12" s="1"/>
  <c r="CQ134" i="12"/>
  <c r="CS134" i="12" s="1"/>
  <c r="BR170" i="12"/>
  <c r="BR171" i="12" s="1"/>
  <c r="BP170" i="12"/>
  <c r="BP171" i="12" s="1"/>
  <c r="CI170" i="12"/>
  <c r="CI171" i="12" s="1"/>
  <c r="BE170" i="12"/>
  <c r="BE171" i="12" s="1"/>
  <c r="CH170" i="12"/>
  <c r="CH171" i="12" s="1"/>
  <c r="CC170" i="12"/>
  <c r="CC171" i="12" s="1"/>
  <c r="BN170" i="12"/>
  <c r="BN171" i="12" s="1"/>
  <c r="CQ165" i="12"/>
  <c r="CS165" i="12" s="1"/>
  <c r="CQ157" i="12"/>
  <c r="CS157" i="12" s="1"/>
  <c r="CQ149" i="12"/>
  <c r="CS149" i="12" s="1"/>
  <c r="CQ141" i="12"/>
  <c r="CS141" i="12" s="1"/>
  <c r="CQ133" i="12"/>
  <c r="CS133" i="12" s="1"/>
  <c r="CM170" i="12"/>
  <c r="CM171" i="12" s="1"/>
  <c r="AX62" i="12"/>
  <c r="AV63" i="12" s="1"/>
  <c r="AW63" i="12" s="1"/>
  <c r="BA62" i="12"/>
  <c r="BB62" i="12" s="1"/>
  <c r="AZ63" i="12" s="1"/>
  <c r="BW170" i="12"/>
  <c r="BW171" i="12" s="1"/>
  <c r="CQ164" i="12"/>
  <c r="CS164" i="12" s="1"/>
  <c r="CQ140" i="12"/>
  <c r="CS140" i="12" s="1"/>
  <c r="CQ147" i="12"/>
  <c r="CS147" i="12" s="1"/>
  <c r="BT170" i="12"/>
  <c r="BT171" i="12" s="1"/>
  <c r="CP171" i="12"/>
  <c r="BO170" i="12"/>
  <c r="BO171" i="12" s="1"/>
  <c r="CK170" i="12"/>
  <c r="CK171" i="12" s="1"/>
  <c r="CQ162" i="12"/>
  <c r="CS162" i="12" s="1"/>
  <c r="CQ154" i="12"/>
  <c r="CS154" i="12" s="1"/>
  <c r="CQ146" i="12"/>
  <c r="CS146" i="12" s="1"/>
  <c r="CQ138" i="12"/>
  <c r="CS138" i="12" s="1"/>
  <c r="CQ130" i="12"/>
  <c r="CS130" i="12" s="1"/>
  <c r="CG170" i="12"/>
  <c r="CG171" i="12" s="1"/>
  <c r="CQ148" i="12"/>
  <c r="CS148" i="12" s="1"/>
  <c r="CQ163" i="12"/>
  <c r="CS163" i="12" s="1"/>
  <c r="CD170" i="12"/>
  <c r="CD171" i="12" s="1"/>
  <c r="BF170" i="12"/>
  <c r="BF171" i="12" s="1"/>
  <c r="BZ170" i="12"/>
  <c r="BZ171" i="12" s="1"/>
  <c r="CE170" i="12"/>
  <c r="CE171" i="12" s="1"/>
  <c r="CJ170" i="12"/>
  <c r="CJ171" i="12" s="1"/>
  <c r="BY170" i="12"/>
  <c r="BY171" i="12" s="1"/>
  <c r="BS170" i="12"/>
  <c r="BS171" i="12" s="1"/>
  <c r="BQ170" i="12"/>
  <c r="BQ171" i="12" s="1"/>
  <c r="CQ169" i="12"/>
  <c r="CS169" i="12" s="1"/>
  <c r="CQ161" i="12"/>
  <c r="CS161" i="12" s="1"/>
  <c r="CQ153" i="12"/>
  <c r="CS153" i="12" s="1"/>
  <c r="CQ145" i="12"/>
  <c r="CS145" i="12" s="1"/>
  <c r="CQ137" i="12"/>
  <c r="CS137" i="12" s="1"/>
  <c r="CN170" i="12"/>
  <c r="CN171" i="12" s="1"/>
  <c r="BU170" i="12"/>
  <c r="BU171" i="12" s="1"/>
  <c r="CQ156" i="12"/>
  <c r="CS156" i="12" s="1"/>
  <c r="BI170" i="12"/>
  <c r="BI171" i="12" s="1"/>
  <c r="CQ139" i="12"/>
  <c r="CS139" i="12" s="1"/>
  <c r="BJ170" i="12"/>
  <c r="BJ171" i="12" s="1"/>
  <c r="BD170" i="12"/>
  <c r="BD171" i="12" s="1"/>
  <c r="CA170" i="12"/>
  <c r="CA171" i="12" s="1"/>
  <c r="BL170" i="12"/>
  <c r="BL171" i="12" s="1"/>
  <c r="CQ168" i="12"/>
  <c r="CS168" i="12" s="1"/>
  <c r="CQ160" i="12"/>
  <c r="CS160" i="12" s="1"/>
  <c r="CQ152" i="12"/>
  <c r="CS152" i="12" s="1"/>
  <c r="CQ144" i="12"/>
  <c r="CS144" i="12" s="1"/>
  <c r="CQ136" i="12"/>
  <c r="CS136" i="12" s="1"/>
  <c r="CQ129" i="12"/>
  <c r="BB170" i="12"/>
  <c r="BB171" i="12" s="1"/>
  <c r="BG170" i="12"/>
  <c r="BG171" i="12" s="1"/>
  <c r="BM170" i="12"/>
  <c r="BM171" i="12" s="1"/>
  <c r="CQ155" i="12"/>
  <c r="CS155" i="12" s="1"/>
  <c r="CQ131" i="12"/>
  <c r="CS131" i="12" s="1"/>
  <c r="BV170" i="12"/>
  <c r="BV171" i="12" s="1"/>
  <c r="CQ167" i="12"/>
  <c r="CS167" i="12" s="1"/>
  <c r="CQ159" i="12"/>
  <c r="CS159" i="12" s="1"/>
  <c r="CQ151" i="12"/>
  <c r="CS151" i="12" s="1"/>
  <c r="CQ143" i="12"/>
  <c r="CS143" i="12" s="1"/>
  <c r="CQ135" i="12"/>
  <c r="CS135" i="12" s="1"/>
  <c r="CO170" i="12"/>
  <c r="CO171" i="12" s="1"/>
  <c r="CF170" i="12"/>
  <c r="CF171" i="12" s="1"/>
  <c r="AS57" i="10"/>
  <c r="AT57" i="10" s="1"/>
  <c r="AR58" i="10" s="1"/>
  <c r="AW56" i="10"/>
  <c r="AX56" i="10" s="1"/>
  <c r="AV57" i="10" s="1"/>
  <c r="BA63" i="9"/>
  <c r="BB63" i="9" s="1"/>
  <c r="AZ64" i="9" s="1"/>
  <c r="AW64" i="9"/>
  <c r="AX64" i="9" s="1"/>
  <c r="AV65" i="9" s="1"/>
  <c r="AS65" i="9"/>
  <c r="AT65" i="9" s="1"/>
  <c r="AR66" i="9" s="1"/>
  <c r="CQ171" i="12" l="1"/>
  <c r="CS171" i="12" s="1"/>
  <c r="AX63" i="12"/>
  <c r="AV64" i="12" s="1"/>
  <c r="AW64" i="12" s="1"/>
  <c r="BA63" i="12"/>
  <c r="BB63" i="12" s="1"/>
  <c r="AZ64" i="12" s="1"/>
  <c r="CS129" i="12"/>
  <c r="CQ170" i="12"/>
  <c r="AS58" i="10"/>
  <c r="AT58" i="10" s="1"/>
  <c r="AR59" i="10" s="1"/>
  <c r="BA56" i="10"/>
  <c r="BB56" i="10" s="1"/>
  <c r="AZ57" i="10" s="1"/>
  <c r="AW57" i="10"/>
  <c r="AX57" i="10" s="1"/>
  <c r="AV58" i="10" s="1"/>
  <c r="BA64" i="9"/>
  <c r="BB64" i="9" s="1"/>
  <c r="AZ65" i="9" s="1"/>
  <c r="AS66" i="9"/>
  <c r="AT66" i="9" s="1"/>
  <c r="AR67" i="9" s="1"/>
  <c r="AW65" i="9"/>
  <c r="AX65" i="9" s="1"/>
  <c r="AV66" i="9" s="1"/>
  <c r="CS170" i="12" l="1"/>
  <c r="AX64" i="12"/>
  <c r="AV65" i="12" s="1"/>
  <c r="AW65" i="12" s="1"/>
  <c r="BA64" i="12"/>
  <c r="BB64" i="12" s="1"/>
  <c r="AZ65" i="12" s="1"/>
  <c r="BA57" i="10"/>
  <c r="BB57" i="10" s="1"/>
  <c r="AZ58" i="10" s="1"/>
  <c r="AS59" i="10"/>
  <c r="AW58" i="10"/>
  <c r="AX58" i="10" s="1"/>
  <c r="AV59" i="10" s="1"/>
  <c r="AW66" i="9"/>
  <c r="AX66" i="9" s="1"/>
  <c r="AV67" i="9" s="1"/>
  <c r="BA65" i="9"/>
  <c r="AS67" i="9"/>
  <c r="AT67" i="9" s="1"/>
  <c r="AR68" i="9" s="1"/>
  <c r="AX65" i="12" l="1"/>
  <c r="AV66" i="12" s="1"/>
  <c r="AW66" i="12" s="1"/>
  <c r="BA65" i="12"/>
  <c r="BB65" i="12" s="1"/>
  <c r="AZ66" i="12" s="1"/>
  <c r="AW59" i="10"/>
  <c r="AT59" i="10"/>
  <c r="AR60" i="10" s="1"/>
  <c r="BA58" i="10"/>
  <c r="BB58" i="10" s="1"/>
  <c r="AZ59" i="10" s="1"/>
  <c r="AS68" i="9"/>
  <c r="AT68" i="9" s="1"/>
  <c r="AR69" i="9" s="1"/>
  <c r="BB65" i="9"/>
  <c r="AZ66" i="9" s="1"/>
  <c r="BA66" i="9" s="1"/>
  <c r="BB66" i="9" s="1"/>
  <c r="AZ67" i="9" s="1"/>
  <c r="AW67" i="9"/>
  <c r="AX66" i="12" l="1"/>
  <c r="AV67" i="12" s="1"/>
  <c r="AW67" i="12" s="1"/>
  <c r="BA66" i="12"/>
  <c r="BB66" i="12" s="1"/>
  <c r="AZ67" i="12" s="1"/>
  <c r="BA59" i="10"/>
  <c r="BB59" i="10" s="1"/>
  <c r="AZ60" i="10" s="1"/>
  <c r="AX59" i="10"/>
  <c r="AV60" i="10" s="1"/>
  <c r="AS60" i="10"/>
  <c r="AT60" i="10" s="1"/>
  <c r="AR61" i="10" s="1"/>
  <c r="BA67" i="9"/>
  <c r="BB67" i="9" s="1"/>
  <c r="AZ68" i="9" s="1"/>
  <c r="AX67" i="9"/>
  <c r="AV68" i="9" s="1"/>
  <c r="AW68" i="9" s="1"/>
  <c r="AS69" i="9"/>
  <c r="AT69" i="9" s="1"/>
  <c r="AX67" i="12" l="1"/>
  <c r="AV68" i="12" s="1"/>
  <c r="AW68" i="12" s="1"/>
  <c r="BA67" i="12"/>
  <c r="BB67" i="12" s="1"/>
  <c r="AZ68" i="12" s="1"/>
  <c r="AS61" i="10"/>
  <c r="AW60" i="10"/>
  <c r="AX60" i="10" s="1"/>
  <c r="AV61" i="10" s="1"/>
  <c r="AX68" i="9"/>
  <c r="AV69" i="9" s="1"/>
  <c r="AW69" i="9" s="1"/>
  <c r="AW70" i="9" s="1"/>
  <c r="AW71" i="9" s="1"/>
  <c r="BB176" i="9" s="1" a="1"/>
  <c r="BA68" i="9"/>
  <c r="BB68" i="9" s="1"/>
  <c r="AZ69" i="9" s="1"/>
  <c r="AS70" i="9"/>
  <c r="AS71" i="9" l="1"/>
  <c r="BB126" i="9" s="1" a="1"/>
  <c r="AX68" i="12"/>
  <c r="AV69" i="12" s="1"/>
  <c r="BA68" i="12"/>
  <c r="BB68" i="12" s="1"/>
  <c r="AZ69" i="12" s="1"/>
  <c r="BA60" i="10"/>
  <c r="BB60" i="10" s="1"/>
  <c r="AZ61" i="10" s="1"/>
  <c r="AW61" i="10"/>
  <c r="AT61" i="10"/>
  <c r="AR62" i="10" s="1"/>
  <c r="AX69" i="9"/>
  <c r="BA69" i="9"/>
  <c r="BK176" i="9"/>
  <c r="BC176" i="9"/>
  <c r="BT176" i="9"/>
  <c r="CK176" i="9"/>
  <c r="BG176" i="9"/>
  <c r="BY176" i="9"/>
  <c r="CL176" i="9"/>
  <c r="BP176" i="9"/>
  <c r="BS176" i="9"/>
  <c r="CB176" i="9"/>
  <c r="BH176" i="9"/>
  <c r="BO176" i="9"/>
  <c r="BM176" i="9"/>
  <c r="CC176" i="9"/>
  <c r="BB176" i="9"/>
  <c r="CA176" i="9"/>
  <c r="CJ176" i="9"/>
  <c r="CN176" i="9"/>
  <c r="BW176" i="9"/>
  <c r="CF176" i="9"/>
  <c r="CO176" i="9"/>
  <c r="BI176" i="9"/>
  <c r="BJ176" i="9"/>
  <c r="CI176" i="9"/>
  <c r="CR176" i="9"/>
  <c r="BF176" i="9"/>
  <c r="CE176" i="9"/>
  <c r="BZ176" i="9"/>
  <c r="BX176" i="9"/>
  <c r="BL176" i="9"/>
  <c r="BQ176" i="9"/>
  <c r="BR176" i="9"/>
  <c r="CQ176" i="9"/>
  <c r="BE176" i="9"/>
  <c r="BN176" i="9"/>
  <c r="CM176" i="9"/>
  <c r="BV176" i="9"/>
  <c r="CP176" i="9"/>
  <c r="CG176" i="9"/>
  <c r="CH176" i="9"/>
  <c r="BD176" i="9"/>
  <c r="BU176" i="9"/>
  <c r="CD176" i="9"/>
  <c r="CG126" i="9" l="1"/>
  <c r="CO126" i="9"/>
  <c r="CO168" i="9" s="1"/>
  <c r="BB126" i="9"/>
  <c r="BB132" i="9" s="1"/>
  <c r="CD126" i="9"/>
  <c r="CD164" i="9" s="1"/>
  <c r="BW126" i="9"/>
  <c r="BW168" i="9" s="1"/>
  <c r="CN126" i="9"/>
  <c r="CN167" i="9" s="1"/>
  <c r="CH126" i="9"/>
  <c r="CH164" i="9" s="1"/>
  <c r="BF126" i="9"/>
  <c r="BF141" i="9" s="1"/>
  <c r="BN126" i="9"/>
  <c r="BV126" i="9"/>
  <c r="BV155" i="9" s="1"/>
  <c r="BP126" i="9"/>
  <c r="BP144" i="9" s="1"/>
  <c r="CK126" i="9"/>
  <c r="CK165" i="9" s="1"/>
  <c r="BL126" i="9"/>
  <c r="BL141" i="9" s="1"/>
  <c r="BJ126" i="9"/>
  <c r="BJ162" i="9" s="1"/>
  <c r="CE126" i="9"/>
  <c r="CE162" i="9" s="1"/>
  <c r="CM126" i="9"/>
  <c r="CM168" i="9" s="1"/>
  <c r="BH126" i="9"/>
  <c r="CI126" i="9"/>
  <c r="CI164" i="9" s="1"/>
  <c r="CF126" i="9"/>
  <c r="CF164" i="9" s="1"/>
  <c r="CC126" i="9"/>
  <c r="CC164" i="9" s="1"/>
  <c r="CA126" i="9"/>
  <c r="CA157" i="9" s="1"/>
  <c r="CQ126" i="9"/>
  <c r="CQ172" i="9" s="1"/>
  <c r="BC126" i="9"/>
  <c r="BC148" i="9" s="1"/>
  <c r="BK126" i="9"/>
  <c r="BK157" i="9" s="1"/>
  <c r="BS126" i="9"/>
  <c r="BE126" i="9"/>
  <c r="BE148" i="9" s="1"/>
  <c r="BY126" i="9"/>
  <c r="BY162" i="9" s="1"/>
  <c r="BU126" i="9"/>
  <c r="BU164" i="9" s="1"/>
  <c r="BO126" i="9"/>
  <c r="BO142" i="9" s="1"/>
  <c r="CB126" i="9"/>
  <c r="CB167" i="9" s="1"/>
  <c r="CJ126" i="9"/>
  <c r="CJ167" i="9" s="1"/>
  <c r="CR126" i="9"/>
  <c r="AE171" i="9" s="1"/>
  <c r="BR126" i="9"/>
  <c r="BR149" i="9" s="1"/>
  <c r="BT126" i="9"/>
  <c r="BT149" i="9" s="1"/>
  <c r="BZ126" i="9"/>
  <c r="BZ167" i="9" s="1"/>
  <c r="CP126" i="9"/>
  <c r="CP172" i="9" s="1"/>
  <c r="BM126" i="9"/>
  <c r="BM165" i="9" s="1"/>
  <c r="BI126" i="9"/>
  <c r="BI164" i="9" s="1"/>
  <c r="BX126" i="9"/>
  <c r="BX172" i="9" s="1"/>
  <c r="CL126" i="9"/>
  <c r="CL172" i="9" s="1"/>
  <c r="BQ126" i="9"/>
  <c r="BQ155" i="9" s="1"/>
  <c r="BG126" i="9"/>
  <c r="BG167" i="9" s="1"/>
  <c r="BD126" i="9"/>
  <c r="BD142" i="9" s="1"/>
  <c r="AW69" i="12"/>
  <c r="BA61" i="10"/>
  <c r="BB61" i="10" s="1"/>
  <c r="AZ62" i="10" s="1"/>
  <c r="AX61" i="10"/>
  <c r="AV62" i="10" s="1"/>
  <c r="AS62" i="10"/>
  <c r="CM222" i="9"/>
  <c r="CM216" i="9"/>
  <c r="CM217" i="9"/>
  <c r="CM218" i="9"/>
  <c r="CM219" i="9"/>
  <c r="CF215" i="9"/>
  <c r="CF222" i="9"/>
  <c r="CF216" i="9"/>
  <c r="CF209" i="9"/>
  <c r="CF217" i="9"/>
  <c r="CF210" i="9"/>
  <c r="CF218" i="9"/>
  <c r="CF211" i="9"/>
  <c r="CF219" i="9"/>
  <c r="CF212" i="9"/>
  <c r="CF213" i="9"/>
  <c r="CF214" i="9"/>
  <c r="CN218" i="9"/>
  <c r="CN219" i="9"/>
  <c r="CN222" i="9"/>
  <c r="CN217" i="9"/>
  <c r="BC180" i="9"/>
  <c r="BC188" i="9"/>
  <c r="BC196" i="9"/>
  <c r="BC204" i="9"/>
  <c r="BC212" i="9"/>
  <c r="BC181" i="9"/>
  <c r="BC189" i="9"/>
  <c r="BC197" i="9"/>
  <c r="BC205" i="9"/>
  <c r="BC213" i="9"/>
  <c r="BC182" i="9"/>
  <c r="BC190" i="9"/>
  <c r="BC198" i="9"/>
  <c r="BC206" i="9"/>
  <c r="BC214" i="9"/>
  <c r="BC183" i="9"/>
  <c r="BC191" i="9"/>
  <c r="BC199" i="9"/>
  <c r="BC207" i="9"/>
  <c r="BC215" i="9"/>
  <c r="BC184" i="9"/>
  <c r="BC192" i="9"/>
  <c r="BC200" i="9"/>
  <c r="BC208" i="9"/>
  <c r="BC216" i="9"/>
  <c r="BC185" i="9"/>
  <c r="BC193" i="9"/>
  <c r="BC201" i="9"/>
  <c r="BC209" i="9"/>
  <c r="BC217" i="9"/>
  <c r="BC186" i="9"/>
  <c r="BC194" i="9"/>
  <c r="BC202" i="9"/>
  <c r="BC210" i="9"/>
  <c r="BC218" i="9"/>
  <c r="BC222" i="9"/>
  <c r="BC187" i="9"/>
  <c r="BC195" i="9"/>
  <c r="BC203" i="9"/>
  <c r="BC211" i="9"/>
  <c r="BC219" i="9"/>
  <c r="BO194" i="9"/>
  <c r="BO202" i="9"/>
  <c r="BO210" i="9"/>
  <c r="BO218" i="9"/>
  <c r="BO195" i="9"/>
  <c r="BO203" i="9"/>
  <c r="BO211" i="9"/>
  <c r="BO219" i="9"/>
  <c r="BO196" i="9"/>
  <c r="BO204" i="9"/>
  <c r="BO212" i="9"/>
  <c r="BO197" i="9"/>
  <c r="BO205" i="9"/>
  <c r="BO213" i="9"/>
  <c r="BO198" i="9"/>
  <c r="BO206" i="9"/>
  <c r="BO214" i="9"/>
  <c r="BO222" i="9"/>
  <c r="BO199" i="9"/>
  <c r="BO207" i="9"/>
  <c r="BO215" i="9"/>
  <c r="BO192" i="9"/>
  <c r="BO200" i="9"/>
  <c r="BO208" i="9"/>
  <c r="BO216" i="9"/>
  <c r="BO193" i="9"/>
  <c r="BO201" i="9"/>
  <c r="BO209" i="9"/>
  <c r="BO217" i="9"/>
  <c r="CK222" i="9"/>
  <c r="CK214" i="9"/>
  <c r="CK215" i="9"/>
  <c r="CK216" i="9"/>
  <c r="CK217" i="9"/>
  <c r="CK218" i="9"/>
  <c r="CK219" i="9"/>
  <c r="BN191" i="9"/>
  <c r="BN199" i="9"/>
  <c r="BN207" i="9"/>
  <c r="BN215" i="9"/>
  <c r="BN192" i="9"/>
  <c r="BN200" i="9"/>
  <c r="BN208" i="9"/>
  <c r="BN216" i="9"/>
  <c r="BN193" i="9"/>
  <c r="BN201" i="9"/>
  <c r="BN209" i="9"/>
  <c r="BN217" i="9"/>
  <c r="BN194" i="9"/>
  <c r="BN202" i="9"/>
  <c r="BN210" i="9"/>
  <c r="BN218" i="9"/>
  <c r="BN195" i="9"/>
  <c r="BN203" i="9"/>
  <c r="BN211" i="9"/>
  <c r="BN219" i="9"/>
  <c r="BN196" i="9"/>
  <c r="BN204" i="9"/>
  <c r="BN212" i="9"/>
  <c r="BN197" i="9"/>
  <c r="BN205" i="9"/>
  <c r="BN213" i="9"/>
  <c r="BN222" i="9"/>
  <c r="BN198" i="9"/>
  <c r="BN206" i="9"/>
  <c r="BN214" i="9"/>
  <c r="BH190" i="9"/>
  <c r="BH198" i="9"/>
  <c r="BH206" i="9"/>
  <c r="BH214" i="9"/>
  <c r="BH191" i="9"/>
  <c r="BH199" i="9"/>
  <c r="BH207" i="9"/>
  <c r="BH215" i="9"/>
  <c r="BH222" i="9"/>
  <c r="BH192" i="9"/>
  <c r="BH200" i="9"/>
  <c r="BH208" i="9"/>
  <c r="BH216" i="9"/>
  <c r="BH185" i="9"/>
  <c r="BH193" i="9"/>
  <c r="BH201" i="9"/>
  <c r="BH209" i="9"/>
  <c r="BH217" i="9"/>
  <c r="BH186" i="9"/>
  <c r="BH194" i="9"/>
  <c r="BH202" i="9"/>
  <c r="BH210" i="9"/>
  <c r="BH218" i="9"/>
  <c r="BH187" i="9"/>
  <c r="BH195" i="9"/>
  <c r="BH203" i="9"/>
  <c r="BH211" i="9"/>
  <c r="BH219" i="9"/>
  <c r="BH188" i="9"/>
  <c r="BH196" i="9"/>
  <c r="BH204" i="9"/>
  <c r="BH212" i="9"/>
  <c r="BH189" i="9"/>
  <c r="BH197" i="9"/>
  <c r="BH205" i="9"/>
  <c r="BH213" i="9"/>
  <c r="BE184" i="9"/>
  <c r="BE192" i="9"/>
  <c r="BE200" i="9"/>
  <c r="BE208" i="9"/>
  <c r="BE216" i="9"/>
  <c r="BE185" i="9"/>
  <c r="BE193" i="9"/>
  <c r="BE201" i="9"/>
  <c r="BE209" i="9"/>
  <c r="BE217" i="9"/>
  <c r="BE186" i="9"/>
  <c r="BE194" i="9"/>
  <c r="BE202" i="9"/>
  <c r="BE210" i="9"/>
  <c r="BE218" i="9"/>
  <c r="BE187" i="9"/>
  <c r="BE195" i="9"/>
  <c r="BE203" i="9"/>
  <c r="BE211" i="9"/>
  <c r="BE219" i="9"/>
  <c r="BE188" i="9"/>
  <c r="BE196" i="9"/>
  <c r="BE204" i="9"/>
  <c r="BE212" i="9"/>
  <c r="BE222" i="9"/>
  <c r="BE189" i="9"/>
  <c r="BE197" i="9"/>
  <c r="BE205" i="9"/>
  <c r="BE213" i="9"/>
  <c r="BE182" i="9"/>
  <c r="BE190" i="9"/>
  <c r="BE198" i="9"/>
  <c r="BE206" i="9"/>
  <c r="BE214" i="9"/>
  <c r="BE183" i="9"/>
  <c r="BE191" i="9"/>
  <c r="BE199" i="9"/>
  <c r="BE207" i="9"/>
  <c r="BE215" i="9"/>
  <c r="BD184" i="9"/>
  <c r="BD192" i="9"/>
  <c r="BD200" i="9"/>
  <c r="BD208" i="9"/>
  <c r="BD216" i="9"/>
  <c r="BD185" i="9"/>
  <c r="BD193" i="9"/>
  <c r="BD201" i="9"/>
  <c r="BD209" i="9"/>
  <c r="BD217" i="9"/>
  <c r="BD186" i="9"/>
  <c r="BD194" i="9"/>
  <c r="BD202" i="9"/>
  <c r="BD210" i="9"/>
  <c r="BD218" i="9"/>
  <c r="BD187" i="9"/>
  <c r="BD195" i="9"/>
  <c r="BD203" i="9"/>
  <c r="BD211" i="9"/>
  <c r="BD219" i="9"/>
  <c r="BD222" i="9"/>
  <c r="BD188" i="9"/>
  <c r="BD196" i="9"/>
  <c r="BD204" i="9"/>
  <c r="BD212" i="9"/>
  <c r="BD181" i="9"/>
  <c r="BD189" i="9"/>
  <c r="BD197" i="9"/>
  <c r="BD205" i="9"/>
  <c r="BD213" i="9"/>
  <c r="BD182" i="9"/>
  <c r="BD190" i="9"/>
  <c r="BD198" i="9"/>
  <c r="BD206" i="9"/>
  <c r="BD214" i="9"/>
  <c r="BD183" i="9"/>
  <c r="BD191" i="9"/>
  <c r="BD199" i="9"/>
  <c r="BD207" i="9"/>
  <c r="BD215" i="9"/>
  <c r="AE221" i="9"/>
  <c r="CR222" i="9"/>
  <c r="CR221" i="9" s="1"/>
  <c r="CJ218" i="9"/>
  <c r="CJ219" i="9"/>
  <c r="CJ222" i="9"/>
  <c r="CJ213" i="9"/>
  <c r="CJ214" i="9"/>
  <c r="CJ215" i="9"/>
  <c r="CJ216" i="9"/>
  <c r="CJ217" i="9"/>
  <c r="BS197" i="9"/>
  <c r="BS205" i="9"/>
  <c r="BS213" i="9"/>
  <c r="BS198" i="9"/>
  <c r="BS206" i="9"/>
  <c r="BS214" i="9"/>
  <c r="BS199" i="9"/>
  <c r="BS207" i="9"/>
  <c r="BS215" i="9"/>
  <c r="BS200" i="9"/>
  <c r="BS208" i="9"/>
  <c r="BS216" i="9"/>
  <c r="BS201" i="9"/>
  <c r="BS209" i="9"/>
  <c r="BS217" i="9"/>
  <c r="BS202" i="9"/>
  <c r="BS210" i="9"/>
  <c r="BS218" i="9"/>
  <c r="BS222" i="9"/>
  <c r="BS203" i="9"/>
  <c r="BS211" i="9"/>
  <c r="BS219" i="9"/>
  <c r="BS196" i="9"/>
  <c r="BS204" i="9"/>
  <c r="BS212" i="9"/>
  <c r="BK222" i="9"/>
  <c r="BK195" i="9"/>
  <c r="BK203" i="9"/>
  <c r="BK211" i="9"/>
  <c r="BK219" i="9"/>
  <c r="BK188" i="9"/>
  <c r="BK196" i="9"/>
  <c r="BK204" i="9"/>
  <c r="BK212" i="9"/>
  <c r="BK189" i="9"/>
  <c r="BK197" i="9"/>
  <c r="BK205" i="9"/>
  <c r="BK213" i="9"/>
  <c r="BK190" i="9"/>
  <c r="BK198" i="9"/>
  <c r="BK206" i="9"/>
  <c r="BK214" i="9"/>
  <c r="BK191" i="9"/>
  <c r="BK199" i="9"/>
  <c r="BK207" i="9"/>
  <c r="BK215" i="9"/>
  <c r="BK192" i="9"/>
  <c r="BK200" i="9"/>
  <c r="BK208" i="9"/>
  <c r="BK216" i="9"/>
  <c r="BK193" i="9"/>
  <c r="BK201" i="9"/>
  <c r="BK209" i="9"/>
  <c r="BK217" i="9"/>
  <c r="BK194" i="9"/>
  <c r="BK202" i="9"/>
  <c r="BK210" i="9"/>
  <c r="BK218" i="9"/>
  <c r="BR164" i="9"/>
  <c r="BR159" i="9"/>
  <c r="BR161" i="9"/>
  <c r="BW206" i="9"/>
  <c r="BW214" i="9"/>
  <c r="BW222" i="9"/>
  <c r="BW207" i="9"/>
  <c r="BW215" i="9"/>
  <c r="BW200" i="9"/>
  <c r="BW208" i="9"/>
  <c r="BW216" i="9"/>
  <c r="BW201" i="9"/>
  <c r="BW209" i="9"/>
  <c r="BW217" i="9"/>
  <c r="BW202" i="9"/>
  <c r="BW210" i="9"/>
  <c r="BW218" i="9"/>
  <c r="BW203" i="9"/>
  <c r="BW211" i="9"/>
  <c r="BW219" i="9"/>
  <c r="BW204" i="9"/>
  <c r="BW212" i="9"/>
  <c r="BW205" i="9"/>
  <c r="BW213" i="9"/>
  <c r="BT197" i="9"/>
  <c r="BT205" i="9"/>
  <c r="BT213" i="9"/>
  <c r="BT198" i="9"/>
  <c r="BT206" i="9"/>
  <c r="BT214" i="9"/>
  <c r="BT199" i="9"/>
  <c r="BT207" i="9"/>
  <c r="BT215" i="9"/>
  <c r="BT200" i="9"/>
  <c r="BT208" i="9"/>
  <c r="BT216" i="9"/>
  <c r="BT201" i="9"/>
  <c r="BT209" i="9"/>
  <c r="BT217" i="9"/>
  <c r="BT202" i="9"/>
  <c r="BT210" i="9"/>
  <c r="BT218" i="9"/>
  <c r="BT203" i="9"/>
  <c r="BT211" i="9"/>
  <c r="BT219" i="9"/>
  <c r="BT222" i="9"/>
  <c r="BT204" i="9"/>
  <c r="BT212" i="9"/>
  <c r="BF186" i="9"/>
  <c r="BF194" i="9"/>
  <c r="BF202" i="9"/>
  <c r="BF210" i="9"/>
  <c r="BF218" i="9"/>
  <c r="BF187" i="9"/>
  <c r="BF195" i="9"/>
  <c r="BF203" i="9"/>
  <c r="BF211" i="9"/>
  <c r="BF219" i="9"/>
  <c r="BF188" i="9"/>
  <c r="BF196" i="9"/>
  <c r="BF204" i="9"/>
  <c r="BF212" i="9"/>
  <c r="BF189" i="9"/>
  <c r="BF197" i="9"/>
  <c r="BF205" i="9"/>
  <c r="BF213" i="9"/>
  <c r="BF222" i="9"/>
  <c r="BF190" i="9"/>
  <c r="BF198" i="9"/>
  <c r="BF206" i="9"/>
  <c r="BF214" i="9"/>
  <c r="BF183" i="9"/>
  <c r="BF191" i="9"/>
  <c r="BF199" i="9"/>
  <c r="BF207" i="9"/>
  <c r="BF215" i="9"/>
  <c r="BF184" i="9"/>
  <c r="BF192" i="9"/>
  <c r="BF200" i="9"/>
  <c r="BF208" i="9"/>
  <c r="BF216" i="9"/>
  <c r="BF185" i="9"/>
  <c r="BF193" i="9"/>
  <c r="BF201" i="9"/>
  <c r="BF209" i="9"/>
  <c r="BF217" i="9"/>
  <c r="CS176" i="9"/>
  <c r="CS222" i="9" s="1"/>
  <c r="G222" i="9" s="1"/>
  <c r="CQ222" i="9"/>
  <c r="CH212" i="9"/>
  <c r="CH213" i="9"/>
  <c r="CH214" i="9"/>
  <c r="CH215" i="9"/>
  <c r="CH216" i="9"/>
  <c r="CH217" i="9"/>
  <c r="CH222" i="9"/>
  <c r="CH218" i="9"/>
  <c r="CH211" i="9"/>
  <c r="CH219" i="9"/>
  <c r="BR196" i="9"/>
  <c r="BR197" i="9"/>
  <c r="BR205" i="9"/>
  <c r="BR213" i="9"/>
  <c r="BR198" i="9"/>
  <c r="BR206" i="9"/>
  <c r="BR214" i="9"/>
  <c r="BR199" i="9"/>
  <c r="BR207" i="9"/>
  <c r="BR215" i="9"/>
  <c r="BR200" i="9"/>
  <c r="BR208" i="9"/>
  <c r="BR216" i="9"/>
  <c r="BR201" i="9"/>
  <c r="BR209" i="9"/>
  <c r="BR217" i="9"/>
  <c r="BR222" i="9"/>
  <c r="BR202" i="9"/>
  <c r="BR195" i="9"/>
  <c r="BR203" i="9"/>
  <c r="BR211" i="9"/>
  <c r="BR219" i="9"/>
  <c r="BR204" i="9"/>
  <c r="BR210" i="9"/>
  <c r="BR212" i="9"/>
  <c r="BR218" i="9"/>
  <c r="CI217" i="9"/>
  <c r="CI218" i="9"/>
  <c r="CI222" i="9"/>
  <c r="CI219" i="9"/>
  <c r="CI212" i="9"/>
  <c r="CI213" i="9"/>
  <c r="CI214" i="9"/>
  <c r="CI215" i="9"/>
  <c r="CI216" i="9"/>
  <c r="CA209" i="9"/>
  <c r="CA217" i="9"/>
  <c r="CA210" i="9"/>
  <c r="CA218" i="9"/>
  <c r="CA222" i="9"/>
  <c r="CA211" i="9"/>
  <c r="CA219" i="9"/>
  <c r="CA204" i="9"/>
  <c r="CA212" i="9"/>
  <c r="CA205" i="9"/>
  <c r="CA213" i="9"/>
  <c r="CA206" i="9"/>
  <c r="CA214" i="9"/>
  <c r="CA207" i="9"/>
  <c r="CA215" i="9"/>
  <c r="CA208" i="9"/>
  <c r="CA216" i="9"/>
  <c r="BE169" i="9"/>
  <c r="BB183" i="9"/>
  <c r="BB191" i="9"/>
  <c r="BB199" i="9"/>
  <c r="BB207" i="9"/>
  <c r="BB215" i="9"/>
  <c r="BB184" i="9"/>
  <c r="BB192" i="9"/>
  <c r="BB200" i="9"/>
  <c r="BB208" i="9"/>
  <c r="BB216" i="9"/>
  <c r="BB185" i="9"/>
  <c r="BB193" i="9"/>
  <c r="BB201" i="9"/>
  <c r="BB209" i="9"/>
  <c r="BB217" i="9"/>
  <c r="BB222" i="9"/>
  <c r="BB186" i="9"/>
  <c r="BB194" i="9"/>
  <c r="BB202" i="9"/>
  <c r="BB210" i="9"/>
  <c r="BB219" i="9"/>
  <c r="AE179" i="9" a="1"/>
  <c r="BB179" i="9"/>
  <c r="BB187" i="9"/>
  <c r="BB195" i="9"/>
  <c r="BB203" i="9"/>
  <c r="BB211" i="9"/>
  <c r="BB218" i="9"/>
  <c r="BB180" i="9"/>
  <c r="BB188" i="9"/>
  <c r="BB196" i="9"/>
  <c r="BB204" i="9"/>
  <c r="BB212" i="9"/>
  <c r="BB181" i="9"/>
  <c r="BB189" i="9"/>
  <c r="BB197" i="9"/>
  <c r="BB205" i="9"/>
  <c r="BB213" i="9"/>
  <c r="BB182" i="9"/>
  <c r="BB190" i="9"/>
  <c r="BB198" i="9"/>
  <c r="BB206" i="9"/>
  <c r="BB214" i="9"/>
  <c r="BH136" i="9"/>
  <c r="BH144" i="9"/>
  <c r="BH152" i="9"/>
  <c r="BH160" i="9"/>
  <c r="BH168" i="9"/>
  <c r="BH137" i="9"/>
  <c r="BH145" i="9"/>
  <c r="BH153" i="9"/>
  <c r="BH161" i="9"/>
  <c r="BH169" i="9"/>
  <c r="BH138" i="9"/>
  <c r="BH146" i="9"/>
  <c r="BH154" i="9"/>
  <c r="BH162" i="9"/>
  <c r="BH139" i="9"/>
  <c r="BH147" i="9"/>
  <c r="BH155" i="9"/>
  <c r="BH163" i="9"/>
  <c r="BH140" i="9"/>
  <c r="BH148" i="9"/>
  <c r="BH156" i="9"/>
  <c r="BH164" i="9"/>
  <c r="BH141" i="9"/>
  <c r="BH149" i="9"/>
  <c r="BH157" i="9"/>
  <c r="BH165" i="9"/>
  <c r="BH142" i="9"/>
  <c r="BH150" i="9"/>
  <c r="BH158" i="9"/>
  <c r="BH166" i="9"/>
  <c r="BH172" i="9"/>
  <c r="BH135" i="9"/>
  <c r="BH143" i="9"/>
  <c r="BH151" i="9"/>
  <c r="BH159" i="9"/>
  <c r="BH167" i="9"/>
  <c r="CE208" i="9"/>
  <c r="CE216" i="9"/>
  <c r="CE209" i="9"/>
  <c r="CE217" i="9"/>
  <c r="CE210" i="9"/>
  <c r="CE218" i="9"/>
  <c r="CE211" i="9"/>
  <c r="CE219" i="9"/>
  <c r="CE212" i="9"/>
  <c r="CE213" i="9"/>
  <c r="CE214" i="9"/>
  <c r="CE222" i="9"/>
  <c r="CE215" i="9"/>
  <c r="BU198" i="9"/>
  <c r="BU206" i="9"/>
  <c r="BU214" i="9"/>
  <c r="BU199" i="9"/>
  <c r="BU207" i="9"/>
  <c r="BU215" i="9"/>
  <c r="BU200" i="9"/>
  <c r="BU208" i="9"/>
  <c r="BU216" i="9"/>
  <c r="BU201" i="9"/>
  <c r="BU209" i="9"/>
  <c r="BU217" i="9"/>
  <c r="BU202" i="9"/>
  <c r="BU210" i="9"/>
  <c r="BU218" i="9"/>
  <c r="BU203" i="9"/>
  <c r="BU211" i="9"/>
  <c r="BU219" i="9"/>
  <c r="BU204" i="9"/>
  <c r="BU212" i="9"/>
  <c r="BU222" i="9"/>
  <c r="BU205" i="9"/>
  <c r="BU213" i="9"/>
  <c r="CB206" i="9"/>
  <c r="CB214" i="9"/>
  <c r="CB207" i="9"/>
  <c r="CB215" i="9"/>
  <c r="CB208" i="9"/>
  <c r="CB216" i="9"/>
  <c r="CB209" i="9"/>
  <c r="CB217" i="9"/>
  <c r="CB210" i="9"/>
  <c r="CB218" i="9"/>
  <c r="CB211" i="9"/>
  <c r="CB219" i="9"/>
  <c r="CB222" i="9"/>
  <c r="CB212" i="9"/>
  <c r="CB205" i="9"/>
  <c r="CB213" i="9"/>
  <c r="BP193" i="9"/>
  <c r="BP201" i="9"/>
  <c r="BP209" i="9"/>
  <c r="BP217" i="9"/>
  <c r="BP194" i="9"/>
  <c r="BP202" i="9"/>
  <c r="BP210" i="9"/>
  <c r="BP218" i="9"/>
  <c r="BP195" i="9"/>
  <c r="BP203" i="9"/>
  <c r="BP211" i="9"/>
  <c r="BP219" i="9"/>
  <c r="BP196" i="9"/>
  <c r="BP204" i="9"/>
  <c r="BP212" i="9"/>
  <c r="BP197" i="9"/>
  <c r="BP205" i="9"/>
  <c r="BP213" i="9"/>
  <c r="BP198" i="9"/>
  <c r="BP206" i="9"/>
  <c r="BP214" i="9"/>
  <c r="BP199" i="9"/>
  <c r="BP207" i="9"/>
  <c r="BP215" i="9"/>
  <c r="BP222" i="9"/>
  <c r="BP200" i="9"/>
  <c r="BP208" i="9"/>
  <c r="BP216" i="9"/>
  <c r="BS172" i="9"/>
  <c r="BS150" i="9"/>
  <c r="BS158" i="9"/>
  <c r="BS166" i="9"/>
  <c r="BS151" i="9"/>
  <c r="BS159" i="9"/>
  <c r="BS167" i="9"/>
  <c r="BS152" i="9"/>
  <c r="BS160" i="9"/>
  <c r="BS168" i="9"/>
  <c r="BS153" i="9"/>
  <c r="BS161" i="9"/>
  <c r="BS169" i="9"/>
  <c r="BS146" i="9"/>
  <c r="BS154" i="9"/>
  <c r="BS162" i="9"/>
  <c r="BS147" i="9"/>
  <c r="BS155" i="9"/>
  <c r="BS163" i="9"/>
  <c r="BS148" i="9"/>
  <c r="BS156" i="9"/>
  <c r="BS164" i="9"/>
  <c r="BS149" i="9"/>
  <c r="BS157" i="9"/>
  <c r="BS165" i="9"/>
  <c r="BQ194" i="9"/>
  <c r="BQ202" i="9"/>
  <c r="BQ210" i="9"/>
  <c r="BQ218" i="9"/>
  <c r="BQ195" i="9"/>
  <c r="BQ203" i="9"/>
  <c r="BQ211" i="9"/>
  <c r="BQ219" i="9"/>
  <c r="BQ196" i="9"/>
  <c r="BQ204" i="9"/>
  <c r="BQ212" i="9"/>
  <c r="BQ197" i="9"/>
  <c r="BQ205" i="9"/>
  <c r="BQ213" i="9"/>
  <c r="BQ198" i="9"/>
  <c r="BQ206" i="9"/>
  <c r="BQ214" i="9"/>
  <c r="BQ200" i="9"/>
  <c r="BQ208" i="9"/>
  <c r="BQ216" i="9"/>
  <c r="BQ199" i="9"/>
  <c r="BQ201" i="9"/>
  <c r="BQ207" i="9"/>
  <c r="BQ209" i="9"/>
  <c r="BQ215" i="9"/>
  <c r="BQ217" i="9"/>
  <c r="BQ222" i="9"/>
  <c r="BN172" i="9"/>
  <c r="BN141" i="9"/>
  <c r="BN149" i="9"/>
  <c r="BN157" i="9"/>
  <c r="BN165" i="9"/>
  <c r="BN142" i="9"/>
  <c r="BN150" i="9"/>
  <c r="BN158" i="9"/>
  <c r="BN166" i="9"/>
  <c r="BN143" i="9"/>
  <c r="BN151" i="9"/>
  <c r="BN159" i="9"/>
  <c r="BN167" i="9"/>
  <c r="BN144" i="9"/>
  <c r="BN152" i="9"/>
  <c r="BN160" i="9"/>
  <c r="BN168" i="9"/>
  <c r="BN145" i="9"/>
  <c r="BN153" i="9"/>
  <c r="BN161" i="9"/>
  <c r="BN169" i="9"/>
  <c r="BN146" i="9"/>
  <c r="BN154" i="9"/>
  <c r="BN162" i="9"/>
  <c r="BN147" i="9"/>
  <c r="BN155" i="9"/>
  <c r="BN163" i="9"/>
  <c r="BN148" i="9"/>
  <c r="BN156" i="9"/>
  <c r="BN164" i="9"/>
  <c r="BZ205" i="9"/>
  <c r="BZ213" i="9"/>
  <c r="BZ206" i="9"/>
  <c r="BZ214" i="9"/>
  <c r="BZ207" i="9"/>
  <c r="BZ215" i="9"/>
  <c r="BZ208" i="9"/>
  <c r="BZ216" i="9"/>
  <c r="BZ209" i="9"/>
  <c r="BZ217" i="9"/>
  <c r="BZ222" i="9"/>
  <c r="BZ210" i="9"/>
  <c r="BZ218" i="9"/>
  <c r="BZ203" i="9"/>
  <c r="BZ211" i="9"/>
  <c r="BZ219" i="9"/>
  <c r="BZ204" i="9"/>
  <c r="BZ212" i="9"/>
  <c r="CD208" i="9"/>
  <c r="CD216" i="9"/>
  <c r="CD209" i="9"/>
  <c r="CD217" i="9"/>
  <c r="CD210" i="9"/>
  <c r="CD218" i="9"/>
  <c r="CD211" i="9"/>
  <c r="CD219" i="9"/>
  <c r="CD212" i="9"/>
  <c r="CD213" i="9"/>
  <c r="CD222" i="9"/>
  <c r="CD214" i="9"/>
  <c r="CD207" i="9"/>
  <c r="CD215" i="9"/>
  <c r="BA70" i="9"/>
  <c r="BA71" i="9" s="1"/>
  <c r="BB226" i="9" s="1" a="1"/>
  <c r="BB69" i="9"/>
  <c r="CG213" i="9"/>
  <c r="CG214" i="9"/>
  <c r="CG215" i="9"/>
  <c r="CG216" i="9"/>
  <c r="CG222" i="9"/>
  <c r="CG217" i="9"/>
  <c r="CG210" i="9"/>
  <c r="CG218" i="9"/>
  <c r="CG211" i="9"/>
  <c r="CG219" i="9"/>
  <c r="CG212" i="9"/>
  <c r="BJ191" i="9"/>
  <c r="BJ199" i="9"/>
  <c r="BJ207" i="9"/>
  <c r="BJ215" i="9"/>
  <c r="BJ192" i="9"/>
  <c r="BJ200" i="9"/>
  <c r="BJ208" i="9"/>
  <c r="BJ216" i="9"/>
  <c r="BJ193" i="9"/>
  <c r="BJ201" i="9"/>
  <c r="BJ209" i="9"/>
  <c r="BJ217" i="9"/>
  <c r="BJ222" i="9"/>
  <c r="BJ194" i="9"/>
  <c r="BJ202" i="9"/>
  <c r="BJ210" i="9"/>
  <c r="BJ218" i="9"/>
  <c r="BJ187" i="9"/>
  <c r="BJ195" i="9"/>
  <c r="BJ203" i="9"/>
  <c r="BJ211" i="9"/>
  <c r="BJ219" i="9"/>
  <c r="BJ188" i="9"/>
  <c r="BJ196" i="9"/>
  <c r="BJ204" i="9"/>
  <c r="BJ212" i="9"/>
  <c r="BJ189" i="9"/>
  <c r="BJ197" i="9"/>
  <c r="BJ205" i="9"/>
  <c r="BJ213" i="9"/>
  <c r="BJ190" i="9"/>
  <c r="BJ198" i="9"/>
  <c r="BJ206" i="9"/>
  <c r="BJ214" i="9"/>
  <c r="CL222" i="9"/>
  <c r="CL215" i="9"/>
  <c r="CL216" i="9"/>
  <c r="CL217" i="9"/>
  <c r="CL218" i="9"/>
  <c r="CL219" i="9"/>
  <c r="CI162" i="9"/>
  <c r="CP222" i="9"/>
  <c r="CP219" i="9"/>
  <c r="CP220" i="9" s="1"/>
  <c r="BL222" i="9"/>
  <c r="BL189" i="9"/>
  <c r="BL195" i="9"/>
  <c r="BL203" i="9"/>
  <c r="BL211" i="9"/>
  <c r="BL219" i="9"/>
  <c r="BL196" i="9"/>
  <c r="BL204" i="9"/>
  <c r="BL212" i="9"/>
  <c r="BL197" i="9"/>
  <c r="BL205" i="9"/>
  <c r="BL213" i="9"/>
  <c r="BL190" i="9"/>
  <c r="BL198" i="9"/>
  <c r="BL206" i="9"/>
  <c r="BL214" i="9"/>
  <c r="BL191" i="9"/>
  <c r="BL199" i="9"/>
  <c r="BL207" i="9"/>
  <c r="BL215" i="9"/>
  <c r="BL192" i="9"/>
  <c r="BL200" i="9"/>
  <c r="BL208" i="9"/>
  <c r="BL216" i="9"/>
  <c r="BL193" i="9"/>
  <c r="BL201" i="9"/>
  <c r="BL209" i="9"/>
  <c r="BL217" i="9"/>
  <c r="BL194" i="9"/>
  <c r="BL202" i="9"/>
  <c r="BL210" i="9"/>
  <c r="BL218" i="9"/>
  <c r="BI188" i="9"/>
  <c r="BI196" i="9"/>
  <c r="BI204" i="9"/>
  <c r="BI212" i="9"/>
  <c r="BI189" i="9"/>
  <c r="BI197" i="9"/>
  <c r="BI205" i="9"/>
  <c r="BI213" i="9"/>
  <c r="BI190" i="9"/>
  <c r="BI198" i="9"/>
  <c r="BI206" i="9"/>
  <c r="BI214" i="9"/>
  <c r="BI191" i="9"/>
  <c r="BI199" i="9"/>
  <c r="BI207" i="9"/>
  <c r="BI215" i="9"/>
  <c r="BI192" i="9"/>
  <c r="BI200" i="9"/>
  <c r="BI208" i="9"/>
  <c r="BI216" i="9"/>
  <c r="BI222" i="9"/>
  <c r="BI193" i="9"/>
  <c r="BI201" i="9"/>
  <c r="BI209" i="9"/>
  <c r="BI217" i="9"/>
  <c r="BI186" i="9"/>
  <c r="BI194" i="9"/>
  <c r="BI202" i="9"/>
  <c r="BI210" i="9"/>
  <c r="BI218" i="9"/>
  <c r="BI187" i="9"/>
  <c r="BI195" i="9"/>
  <c r="BI203" i="9"/>
  <c r="BI211" i="9"/>
  <c r="BI219" i="9"/>
  <c r="CC211" i="9"/>
  <c r="CC212" i="9"/>
  <c r="CC222" i="9"/>
  <c r="CC213" i="9"/>
  <c r="CC206" i="9"/>
  <c r="CC214" i="9"/>
  <c r="CC207" i="9"/>
  <c r="CC215" i="9"/>
  <c r="CC209" i="9"/>
  <c r="CC217" i="9"/>
  <c r="CC216" i="9"/>
  <c r="CC218" i="9"/>
  <c r="CC219" i="9"/>
  <c r="CC208" i="9"/>
  <c r="CC210" i="9"/>
  <c r="BY202" i="9"/>
  <c r="BY210" i="9"/>
  <c r="BY218" i="9"/>
  <c r="BY203" i="9"/>
  <c r="BY211" i="9"/>
  <c r="BY219" i="9"/>
  <c r="BY204" i="9"/>
  <c r="BY212" i="9"/>
  <c r="BY205" i="9"/>
  <c r="BY213" i="9"/>
  <c r="BY206" i="9"/>
  <c r="BY214" i="9"/>
  <c r="BY207" i="9"/>
  <c r="BY215" i="9"/>
  <c r="BY208" i="9"/>
  <c r="BY216" i="9"/>
  <c r="BY222" i="9"/>
  <c r="BY209" i="9"/>
  <c r="BY217" i="9"/>
  <c r="BV172" i="9"/>
  <c r="BV150" i="9"/>
  <c r="BV202" i="9"/>
  <c r="BV210" i="9"/>
  <c r="BV218" i="9"/>
  <c r="BV203" i="9"/>
  <c r="BV211" i="9"/>
  <c r="BV219" i="9"/>
  <c r="BV204" i="9"/>
  <c r="BV212" i="9"/>
  <c r="BV205" i="9"/>
  <c r="BV213" i="9"/>
  <c r="BV222" i="9"/>
  <c r="BV206" i="9"/>
  <c r="BV214" i="9"/>
  <c r="BV199" i="9"/>
  <c r="BV207" i="9"/>
  <c r="BV215" i="9"/>
  <c r="BV200" i="9"/>
  <c r="BV208" i="9"/>
  <c r="BV216" i="9"/>
  <c r="BV201" i="9"/>
  <c r="BV209" i="9"/>
  <c r="BV217" i="9"/>
  <c r="BX222" i="9"/>
  <c r="BX208" i="9"/>
  <c r="BX216" i="9"/>
  <c r="BX201" i="9"/>
  <c r="BX209" i="9"/>
  <c r="BX217" i="9"/>
  <c r="BX202" i="9"/>
  <c r="BX210" i="9"/>
  <c r="BX218" i="9"/>
  <c r="BX203" i="9"/>
  <c r="BX211" i="9"/>
  <c r="BX219" i="9"/>
  <c r="BX204" i="9"/>
  <c r="BX212" i="9"/>
  <c r="BX205" i="9"/>
  <c r="BX213" i="9"/>
  <c r="BX206" i="9"/>
  <c r="BX214" i="9"/>
  <c r="BX207" i="9"/>
  <c r="BX215" i="9"/>
  <c r="CO222" i="9"/>
  <c r="CO218" i="9"/>
  <c r="CO219" i="9"/>
  <c r="BM195" i="9"/>
  <c r="BM203" i="9"/>
  <c r="BM211" i="9"/>
  <c r="BM219" i="9"/>
  <c r="BM196" i="9"/>
  <c r="BM204" i="9"/>
  <c r="BM212" i="9"/>
  <c r="BM222" i="9"/>
  <c r="BM197" i="9"/>
  <c r="BM205" i="9"/>
  <c r="BM213" i="9"/>
  <c r="BM190" i="9"/>
  <c r="BM198" i="9"/>
  <c r="BM206" i="9"/>
  <c r="BM214" i="9"/>
  <c r="BM191" i="9"/>
  <c r="BM199" i="9"/>
  <c r="BM207" i="9"/>
  <c r="BM215" i="9"/>
  <c r="BM192" i="9"/>
  <c r="BM200" i="9"/>
  <c r="BM208" i="9"/>
  <c r="BM216" i="9"/>
  <c r="BM193" i="9"/>
  <c r="BM201" i="9"/>
  <c r="BM209" i="9"/>
  <c r="BM217" i="9"/>
  <c r="BM194" i="9"/>
  <c r="BM202" i="9"/>
  <c r="BM210" i="9"/>
  <c r="BM218" i="9"/>
  <c r="BG188" i="9"/>
  <c r="BG196" i="9"/>
  <c r="BG204" i="9"/>
  <c r="BG212" i="9"/>
  <c r="BG189" i="9"/>
  <c r="BG197" i="9"/>
  <c r="BG205" i="9"/>
  <c r="BG213" i="9"/>
  <c r="BG190" i="9"/>
  <c r="BG198" i="9"/>
  <c r="BG206" i="9"/>
  <c r="BG214" i="9"/>
  <c r="BG222" i="9"/>
  <c r="BG191" i="9"/>
  <c r="BG199" i="9"/>
  <c r="BG207" i="9"/>
  <c r="BG215" i="9"/>
  <c r="BG184" i="9"/>
  <c r="BG192" i="9"/>
  <c r="BG200" i="9"/>
  <c r="BG208" i="9"/>
  <c r="BG216" i="9"/>
  <c r="BG185" i="9"/>
  <c r="BG193" i="9"/>
  <c r="BG201" i="9"/>
  <c r="BG209" i="9"/>
  <c r="BG217" i="9"/>
  <c r="BG186" i="9"/>
  <c r="BG194" i="9"/>
  <c r="BG202" i="9"/>
  <c r="BG210" i="9"/>
  <c r="BG218" i="9"/>
  <c r="BG187" i="9"/>
  <c r="BG195" i="9"/>
  <c r="BG203" i="9"/>
  <c r="BG211" i="9"/>
  <c r="BG219" i="9"/>
  <c r="CO169" i="9"/>
  <c r="CG172" i="9"/>
  <c r="CG160" i="9"/>
  <c r="CG161" i="9"/>
  <c r="CG169" i="9"/>
  <c r="CG162" i="9"/>
  <c r="CG163" i="9"/>
  <c r="CG164" i="9"/>
  <c r="CG165" i="9"/>
  <c r="CG166" i="9"/>
  <c r="CG167" i="9"/>
  <c r="CG168" i="9"/>
  <c r="BE133" i="9" l="1"/>
  <c r="BT152" i="9"/>
  <c r="BT172" i="9"/>
  <c r="BE149" i="9"/>
  <c r="BT154" i="9"/>
  <c r="BQ152" i="9"/>
  <c r="BQ165" i="9"/>
  <c r="BQ147" i="9"/>
  <c r="CI172" i="9"/>
  <c r="BE167" i="9"/>
  <c r="BE142" i="9"/>
  <c r="BV162" i="9"/>
  <c r="BV167" i="9"/>
  <c r="BT166" i="9"/>
  <c r="BV157" i="9"/>
  <c r="BE154" i="9"/>
  <c r="BT157" i="9"/>
  <c r="BE160" i="9"/>
  <c r="BV166" i="9"/>
  <c r="BE145" i="9"/>
  <c r="BE155" i="9"/>
  <c r="BT153" i="9"/>
  <c r="BV149" i="9"/>
  <c r="BE166" i="9"/>
  <c r="BT150" i="9"/>
  <c r="BV161" i="9"/>
  <c r="CI163" i="9"/>
  <c r="BE138" i="9"/>
  <c r="BE141" i="9"/>
  <c r="BV154" i="9"/>
  <c r="BV164" i="9"/>
  <c r="BE144" i="9"/>
  <c r="BE140" i="9"/>
  <c r="BT163" i="9"/>
  <c r="BT164" i="9"/>
  <c r="BV168" i="9"/>
  <c r="CI167" i="9"/>
  <c r="BE151" i="9"/>
  <c r="BT161" i="9"/>
  <c r="CI166" i="9"/>
  <c r="BE152" i="9"/>
  <c r="BE165" i="9"/>
  <c r="BE147" i="9"/>
  <c r="BT147" i="9"/>
  <c r="BT158" i="9"/>
  <c r="BV152" i="9"/>
  <c r="BV163" i="9"/>
  <c r="BE161" i="9"/>
  <c r="BE135" i="9"/>
  <c r="BE156" i="9"/>
  <c r="BT168" i="9"/>
  <c r="BT148" i="9"/>
  <c r="CO172" i="9"/>
  <c r="BV159" i="9"/>
  <c r="CI168" i="9"/>
  <c r="BE172" i="9"/>
  <c r="BE158" i="9"/>
  <c r="BE163" i="9"/>
  <c r="BT159" i="9"/>
  <c r="BB166" i="9"/>
  <c r="BJ146" i="9"/>
  <c r="BO169" i="9"/>
  <c r="BV160" i="9"/>
  <c r="BV165" i="9"/>
  <c r="CI169" i="9"/>
  <c r="BE146" i="9"/>
  <c r="BE168" i="9"/>
  <c r="BE143" i="9"/>
  <c r="BE157" i="9"/>
  <c r="BE132" i="9"/>
  <c r="BT169" i="9"/>
  <c r="BT151" i="9"/>
  <c r="BT156" i="9"/>
  <c r="BG156" i="9"/>
  <c r="BV169" i="9"/>
  <c r="BV151" i="9"/>
  <c r="BV156" i="9"/>
  <c r="CI165" i="9"/>
  <c r="BE153" i="9"/>
  <c r="BE136" i="9"/>
  <c r="BE150" i="9"/>
  <c r="BE164" i="9"/>
  <c r="BE139" i="9"/>
  <c r="BT155" i="9"/>
  <c r="BT160" i="9"/>
  <c r="BT165" i="9"/>
  <c r="BV153" i="9"/>
  <c r="BV158" i="9"/>
  <c r="BE162" i="9"/>
  <c r="BE137" i="9"/>
  <c r="BE159" i="9"/>
  <c r="BE134" i="9"/>
  <c r="BT162" i="9"/>
  <c r="BT167" i="9"/>
  <c r="BZ172" i="9"/>
  <c r="BB172" i="9"/>
  <c r="CF172" i="9"/>
  <c r="BD155" i="9"/>
  <c r="BY164" i="9"/>
  <c r="BD159" i="9"/>
  <c r="BP165" i="9"/>
  <c r="BD134" i="9"/>
  <c r="BB133" i="9"/>
  <c r="BP166" i="9"/>
  <c r="BD165" i="9"/>
  <c r="CC158" i="9"/>
  <c r="BP149" i="9"/>
  <c r="BD161" i="9"/>
  <c r="BZ153" i="9"/>
  <c r="BB152" i="9"/>
  <c r="BD149" i="9"/>
  <c r="BB136" i="9"/>
  <c r="BY167" i="9"/>
  <c r="BB129" i="9"/>
  <c r="CQ129" i="9" s="1"/>
  <c r="BU156" i="9"/>
  <c r="BP150" i="9"/>
  <c r="BD158" i="9"/>
  <c r="BZ158" i="9"/>
  <c r="BB138" i="9"/>
  <c r="BB139" i="9"/>
  <c r="BY158" i="9"/>
  <c r="BP153" i="9"/>
  <c r="BD140" i="9"/>
  <c r="BB137" i="9"/>
  <c r="BB131" i="9"/>
  <c r="CF159" i="9"/>
  <c r="BY157" i="9"/>
  <c r="BP160" i="9"/>
  <c r="BD154" i="9"/>
  <c r="BU172" i="9"/>
  <c r="CC166" i="9"/>
  <c r="BB130" i="9"/>
  <c r="BB149" i="9"/>
  <c r="CF163" i="9"/>
  <c r="BY168" i="9"/>
  <c r="BU168" i="9"/>
  <c r="BP145" i="9"/>
  <c r="BD156" i="9"/>
  <c r="BD135" i="9"/>
  <c r="BZ156" i="9"/>
  <c r="CC156" i="9"/>
  <c r="BB169" i="9"/>
  <c r="BB150" i="9"/>
  <c r="CD167" i="9"/>
  <c r="BY161" i="9"/>
  <c r="BP147" i="9"/>
  <c r="BD137" i="9"/>
  <c r="BB154" i="9"/>
  <c r="BB142" i="9"/>
  <c r="CD172" i="9"/>
  <c r="CK168" i="9"/>
  <c r="BP169" i="9"/>
  <c r="BD168" i="9"/>
  <c r="BU150" i="9"/>
  <c r="BL146" i="9"/>
  <c r="BL144" i="9"/>
  <c r="BU169" i="9"/>
  <c r="CD169" i="9"/>
  <c r="CC160" i="9"/>
  <c r="BU153" i="9"/>
  <c r="CD162" i="9"/>
  <c r="CK164" i="9"/>
  <c r="CC159" i="9"/>
  <c r="BU163" i="9"/>
  <c r="BU165" i="9"/>
  <c r="CD166" i="9"/>
  <c r="CC172" i="9"/>
  <c r="BU160" i="9"/>
  <c r="CD158" i="9"/>
  <c r="BU151" i="9"/>
  <c r="CD163" i="9"/>
  <c r="CK169" i="9"/>
  <c r="CC162" i="9"/>
  <c r="BU158" i="9"/>
  <c r="BW150" i="9"/>
  <c r="BW154" i="9"/>
  <c r="CD159" i="9"/>
  <c r="BW166" i="9"/>
  <c r="CK172" i="9"/>
  <c r="CF165" i="9"/>
  <c r="CC167" i="9"/>
  <c r="CC163" i="9"/>
  <c r="BY160" i="9"/>
  <c r="BY153" i="9"/>
  <c r="BU161" i="9"/>
  <c r="BU166" i="9"/>
  <c r="BU148" i="9"/>
  <c r="BP159" i="9"/>
  <c r="BP162" i="9"/>
  <c r="BD138" i="9"/>
  <c r="BD143" i="9"/>
  <c r="BZ159" i="9"/>
  <c r="CP169" i="9"/>
  <c r="CP170" i="9" s="1"/>
  <c r="CP171" i="9" s="1"/>
  <c r="BL158" i="9"/>
  <c r="CD161" i="9"/>
  <c r="BL156" i="9"/>
  <c r="CC169" i="9"/>
  <c r="BU157" i="9"/>
  <c r="BB163" i="9"/>
  <c r="BB167" i="9"/>
  <c r="BB164" i="9"/>
  <c r="CD168" i="9"/>
  <c r="CD157" i="9"/>
  <c r="CK166" i="9"/>
  <c r="CF161" i="9"/>
  <c r="CC161" i="9"/>
  <c r="CC157" i="9"/>
  <c r="CA162" i="9"/>
  <c r="BY163" i="9"/>
  <c r="BU162" i="9"/>
  <c r="BU167" i="9"/>
  <c r="BU149" i="9"/>
  <c r="BP148" i="9"/>
  <c r="BD132" i="9"/>
  <c r="BD160" i="9"/>
  <c r="BD133" i="9"/>
  <c r="BM162" i="9"/>
  <c r="BZ154" i="9"/>
  <c r="CD165" i="9"/>
  <c r="CK167" i="9"/>
  <c r="CC165" i="9"/>
  <c r="BU155" i="9"/>
  <c r="BU152" i="9"/>
  <c r="BB155" i="9"/>
  <c r="BB151" i="9"/>
  <c r="BB148" i="9"/>
  <c r="CD160" i="9"/>
  <c r="CF167" i="9"/>
  <c r="CC168" i="9"/>
  <c r="CA156" i="9"/>
  <c r="BY154" i="9"/>
  <c r="BU154" i="9"/>
  <c r="BU159" i="9"/>
  <c r="BP155" i="9"/>
  <c r="BD139" i="9"/>
  <c r="BD144" i="9"/>
  <c r="BM164" i="9"/>
  <c r="BZ169" i="9"/>
  <c r="CN172" i="9"/>
  <c r="BB146" i="9"/>
  <c r="BB144" i="9"/>
  <c r="BB158" i="9"/>
  <c r="BB141" i="9"/>
  <c r="BB147" i="9"/>
  <c r="BL160" i="9"/>
  <c r="CF168" i="9"/>
  <c r="CF162" i="9"/>
  <c r="CA155" i="9"/>
  <c r="BY165" i="9"/>
  <c r="BY169" i="9"/>
  <c r="BP158" i="9"/>
  <c r="BP163" i="9"/>
  <c r="BP161" i="9"/>
  <c r="BD148" i="9"/>
  <c r="BD146" i="9"/>
  <c r="BD147" i="9"/>
  <c r="BD151" i="9"/>
  <c r="BD157" i="9"/>
  <c r="BZ162" i="9"/>
  <c r="BZ166" i="9"/>
  <c r="BB161" i="9"/>
  <c r="BB145" i="9"/>
  <c r="BB159" i="9"/>
  <c r="BB134" i="9"/>
  <c r="BB156" i="9"/>
  <c r="BW155" i="9"/>
  <c r="BL142" i="9"/>
  <c r="CF166" i="9"/>
  <c r="BY152" i="9"/>
  <c r="BY156" i="9"/>
  <c r="BY172" i="9"/>
  <c r="BP167" i="9"/>
  <c r="BP157" i="9"/>
  <c r="BP172" i="9"/>
  <c r="BP168" i="9"/>
  <c r="BD163" i="9"/>
  <c r="BD169" i="9"/>
  <c r="BD152" i="9"/>
  <c r="BD166" i="9"/>
  <c r="BD172" i="9"/>
  <c r="BZ161" i="9"/>
  <c r="CB158" i="9"/>
  <c r="BB153" i="9"/>
  <c r="BB165" i="9"/>
  <c r="BW152" i="9"/>
  <c r="BL140" i="9"/>
  <c r="CF160" i="9"/>
  <c r="CA160" i="9"/>
  <c r="BY159" i="9"/>
  <c r="BY155" i="9"/>
  <c r="BP151" i="9"/>
  <c r="BP164" i="9"/>
  <c r="BP154" i="9"/>
  <c r="BP152" i="9"/>
  <c r="BD141" i="9"/>
  <c r="BD131" i="9"/>
  <c r="BD153" i="9"/>
  <c r="BD136" i="9"/>
  <c r="BD150" i="9"/>
  <c r="BM160" i="9"/>
  <c r="BZ157" i="9"/>
  <c r="BZ163" i="9"/>
  <c r="BB168" i="9"/>
  <c r="BB143" i="9"/>
  <c r="BB140" i="9"/>
  <c r="BB162" i="9"/>
  <c r="BB160" i="9"/>
  <c r="BB135" i="9"/>
  <c r="BB157" i="9"/>
  <c r="CN169" i="9"/>
  <c r="BL162" i="9"/>
  <c r="CF169" i="9"/>
  <c r="CA159" i="9"/>
  <c r="BY166" i="9"/>
  <c r="BP143" i="9"/>
  <c r="BP156" i="9"/>
  <c r="BP146" i="9"/>
  <c r="BD164" i="9"/>
  <c r="BD162" i="9"/>
  <c r="BD145" i="9"/>
  <c r="BD167" i="9"/>
  <c r="BM166" i="9"/>
  <c r="BZ164" i="9"/>
  <c r="BZ160" i="9"/>
  <c r="CN168" i="9"/>
  <c r="CB172" i="9"/>
  <c r="BX162" i="9"/>
  <c r="CB159" i="9"/>
  <c r="CJ172" i="9"/>
  <c r="CB163" i="9"/>
  <c r="BI138" i="9"/>
  <c r="BG158" i="9"/>
  <c r="BI143" i="9"/>
  <c r="BI158" i="9"/>
  <c r="BI156" i="9"/>
  <c r="BG139" i="9"/>
  <c r="BG163" i="9"/>
  <c r="BG147" i="9"/>
  <c r="BG152" i="9"/>
  <c r="BG169" i="9"/>
  <c r="BG144" i="9"/>
  <c r="BJ168" i="9"/>
  <c r="BZ168" i="9"/>
  <c r="BZ155" i="9"/>
  <c r="BZ165" i="9"/>
  <c r="CB155" i="9"/>
  <c r="CB166" i="9"/>
  <c r="BI162" i="9"/>
  <c r="BI163" i="9"/>
  <c r="BI148" i="9"/>
  <c r="BJ154" i="9"/>
  <c r="CB169" i="9"/>
  <c r="CB165" i="9"/>
  <c r="BI153" i="9"/>
  <c r="BI150" i="9"/>
  <c r="CB161" i="9"/>
  <c r="CB157" i="9"/>
  <c r="BI168" i="9"/>
  <c r="BI169" i="9"/>
  <c r="CB164" i="9"/>
  <c r="CB168" i="9"/>
  <c r="BI160" i="9"/>
  <c r="BI165" i="9"/>
  <c r="CB162" i="9"/>
  <c r="CB160" i="9"/>
  <c r="BI136" i="9"/>
  <c r="BI141" i="9"/>
  <c r="CB156" i="9"/>
  <c r="BI161" i="9"/>
  <c r="BI147" i="9"/>
  <c r="BG134" i="9"/>
  <c r="BG143" i="9"/>
  <c r="BG138" i="9"/>
  <c r="BG172" i="9"/>
  <c r="BG150" i="9"/>
  <c r="BG148" i="9"/>
  <c r="BG165" i="9"/>
  <c r="BG168" i="9"/>
  <c r="BJ137" i="9"/>
  <c r="BF169" i="9"/>
  <c r="BW151" i="9"/>
  <c r="BW163" i="9"/>
  <c r="BW160" i="9"/>
  <c r="BL139" i="9"/>
  <c r="BL168" i="9"/>
  <c r="BL166" i="9"/>
  <c r="BL164" i="9"/>
  <c r="CA168" i="9"/>
  <c r="CA164" i="9"/>
  <c r="BM163" i="9"/>
  <c r="BM153" i="9"/>
  <c r="BM151" i="9"/>
  <c r="BM157" i="9"/>
  <c r="BI154" i="9"/>
  <c r="BI152" i="9"/>
  <c r="BI167" i="9"/>
  <c r="BI157" i="9"/>
  <c r="BI140" i="9"/>
  <c r="BJ169" i="9"/>
  <c r="BJ142" i="9"/>
  <c r="BO155" i="9"/>
  <c r="BO150" i="9"/>
  <c r="BM155" i="9"/>
  <c r="BM145" i="9"/>
  <c r="BM143" i="9"/>
  <c r="BM149" i="9"/>
  <c r="BI146" i="9"/>
  <c r="BI144" i="9"/>
  <c r="BI166" i="9"/>
  <c r="BI149" i="9"/>
  <c r="BI172" i="9"/>
  <c r="BJ161" i="9"/>
  <c r="BJ148" i="9"/>
  <c r="BO147" i="9"/>
  <c r="BO165" i="9"/>
  <c r="BW158" i="9"/>
  <c r="BW162" i="9"/>
  <c r="BW172" i="9"/>
  <c r="BL154" i="9"/>
  <c r="BL152" i="9"/>
  <c r="BL150" i="9"/>
  <c r="BL148" i="9"/>
  <c r="CA167" i="9"/>
  <c r="CA163" i="9"/>
  <c r="BM147" i="9"/>
  <c r="BM168" i="9"/>
  <c r="BM172" i="9"/>
  <c r="BM141" i="9"/>
  <c r="BO154" i="9"/>
  <c r="BO157" i="9"/>
  <c r="BO172" i="9"/>
  <c r="BW165" i="9"/>
  <c r="BW169" i="9"/>
  <c r="BL169" i="9"/>
  <c r="BL167" i="9"/>
  <c r="BL165" i="9"/>
  <c r="BL172" i="9"/>
  <c r="CA154" i="9"/>
  <c r="CA166" i="9"/>
  <c r="BM154" i="9"/>
  <c r="BM152" i="9"/>
  <c r="BM158" i="9"/>
  <c r="BM156" i="9"/>
  <c r="BI139" i="9"/>
  <c r="BI159" i="9"/>
  <c r="BI142" i="9"/>
  <c r="BI145" i="9"/>
  <c r="BJ152" i="9"/>
  <c r="BJ138" i="9"/>
  <c r="BO161" i="9"/>
  <c r="BW161" i="9"/>
  <c r="BL163" i="9"/>
  <c r="BL161" i="9"/>
  <c r="BL159" i="9"/>
  <c r="BL157" i="9"/>
  <c r="CA169" i="9"/>
  <c r="CA158" i="9"/>
  <c r="BM146" i="9"/>
  <c r="BM144" i="9"/>
  <c r="BM150" i="9"/>
  <c r="BM148" i="9"/>
  <c r="BI137" i="9"/>
  <c r="BI151" i="9"/>
  <c r="BI155" i="9"/>
  <c r="BJ159" i="9"/>
  <c r="BO156" i="9"/>
  <c r="BO145" i="9"/>
  <c r="BW157" i="9"/>
  <c r="BW167" i="9"/>
  <c r="BW164" i="9"/>
  <c r="BW153" i="9"/>
  <c r="BL155" i="9"/>
  <c r="BL153" i="9"/>
  <c r="BL151" i="9"/>
  <c r="BL149" i="9"/>
  <c r="CA161" i="9"/>
  <c r="CA165" i="9"/>
  <c r="BM169" i="9"/>
  <c r="BM167" i="9"/>
  <c r="BM142" i="9"/>
  <c r="BM140" i="9"/>
  <c r="BJ158" i="9"/>
  <c r="BO148" i="9"/>
  <c r="BO168" i="9"/>
  <c r="BW159" i="9"/>
  <c r="BW156" i="9"/>
  <c r="BL147" i="9"/>
  <c r="BL145" i="9"/>
  <c r="BL143" i="9"/>
  <c r="CA172" i="9"/>
  <c r="BM161" i="9"/>
  <c r="BM159" i="9"/>
  <c r="BJ150" i="9"/>
  <c r="BO163" i="9"/>
  <c r="BO152" i="9"/>
  <c r="BO167" i="9"/>
  <c r="BO159" i="9"/>
  <c r="BG157" i="9"/>
  <c r="BG164" i="9"/>
  <c r="BG161" i="9"/>
  <c r="BG136" i="9"/>
  <c r="BC151" i="9"/>
  <c r="BG149" i="9"/>
  <c r="BG162" i="9"/>
  <c r="BG153" i="9"/>
  <c r="BG140" i="9"/>
  <c r="BC143" i="9"/>
  <c r="BG141" i="9"/>
  <c r="BG154" i="9"/>
  <c r="BG145" i="9"/>
  <c r="BG159" i="9"/>
  <c r="BG146" i="9"/>
  <c r="BG137" i="9"/>
  <c r="BG151" i="9"/>
  <c r="BG155" i="9"/>
  <c r="BG166" i="9"/>
  <c r="BG160" i="9"/>
  <c r="BG135" i="9"/>
  <c r="BJ144" i="9"/>
  <c r="BJ141" i="9"/>
  <c r="BJ167" i="9"/>
  <c r="BJ156" i="9"/>
  <c r="BJ153" i="9"/>
  <c r="BJ151" i="9"/>
  <c r="BJ140" i="9"/>
  <c r="BJ145" i="9"/>
  <c r="BJ172" i="9"/>
  <c r="BJ139" i="9"/>
  <c r="BG142" i="9"/>
  <c r="BJ165" i="9"/>
  <c r="BJ163" i="9"/>
  <c r="BJ157" i="9"/>
  <c r="BJ155" i="9"/>
  <c r="BJ143" i="9"/>
  <c r="BJ149" i="9"/>
  <c r="BJ147" i="9"/>
  <c r="BJ160" i="9"/>
  <c r="BJ166" i="9"/>
  <c r="BJ164" i="9"/>
  <c r="BR153" i="9"/>
  <c r="BR151" i="9"/>
  <c r="BR156" i="9"/>
  <c r="BQ144" i="9"/>
  <c r="BQ157" i="9"/>
  <c r="BQ162" i="9"/>
  <c r="BR145" i="9"/>
  <c r="BR166" i="9"/>
  <c r="BR148" i="9"/>
  <c r="BQ169" i="9"/>
  <c r="BQ167" i="9"/>
  <c r="BQ149" i="9"/>
  <c r="BQ154" i="9"/>
  <c r="BR168" i="9"/>
  <c r="BR158" i="9"/>
  <c r="BR163" i="9"/>
  <c r="BQ161" i="9"/>
  <c r="BQ159" i="9"/>
  <c r="BQ164" i="9"/>
  <c r="BQ146" i="9"/>
  <c r="BR162" i="9"/>
  <c r="BR160" i="9"/>
  <c r="BR150" i="9"/>
  <c r="BR155" i="9"/>
  <c r="BQ153" i="9"/>
  <c r="BQ151" i="9"/>
  <c r="BQ156" i="9"/>
  <c r="BQ172" i="9"/>
  <c r="BR154" i="9"/>
  <c r="BR152" i="9"/>
  <c r="BR165" i="9"/>
  <c r="BR147" i="9"/>
  <c r="BQ145" i="9"/>
  <c r="BQ166" i="9"/>
  <c r="BQ148" i="9"/>
  <c r="BR146" i="9"/>
  <c r="BR172" i="9"/>
  <c r="BR157" i="9"/>
  <c r="BQ168" i="9"/>
  <c r="BQ158" i="9"/>
  <c r="BQ163" i="9"/>
  <c r="BR169" i="9"/>
  <c r="BR167" i="9"/>
  <c r="BQ160" i="9"/>
  <c r="BQ150" i="9"/>
  <c r="BK153" i="9"/>
  <c r="CH162" i="9"/>
  <c r="CE160" i="9"/>
  <c r="BX167" i="9"/>
  <c r="BC165" i="9"/>
  <c r="CH169" i="9"/>
  <c r="CE158" i="9"/>
  <c r="BC157" i="9"/>
  <c r="CH172" i="9"/>
  <c r="CE169" i="9"/>
  <c r="BC154" i="9"/>
  <c r="BC140" i="9"/>
  <c r="CE161" i="9"/>
  <c r="BC146" i="9"/>
  <c r="BC132" i="9"/>
  <c r="BC137" i="9"/>
  <c r="CJ166" i="9"/>
  <c r="BC168" i="9"/>
  <c r="BO143" i="9"/>
  <c r="BK151" i="9"/>
  <c r="BF139" i="9"/>
  <c r="BK149" i="9"/>
  <c r="BF144" i="9"/>
  <c r="BO153" i="9"/>
  <c r="BO151" i="9"/>
  <c r="BO149" i="9"/>
  <c r="BF158" i="9"/>
  <c r="BF133" i="9"/>
  <c r="BO166" i="9"/>
  <c r="BO162" i="9"/>
  <c r="BO160" i="9"/>
  <c r="BO158" i="9"/>
  <c r="CM167" i="9"/>
  <c r="BK162" i="9"/>
  <c r="CS126" i="9"/>
  <c r="CS172" i="9" s="1"/>
  <c r="G172" i="9" s="1"/>
  <c r="E172" i="9" s="1"/>
  <c r="BO164" i="9"/>
  <c r="BO146" i="9"/>
  <c r="BO144" i="9"/>
  <c r="CM166" i="9"/>
  <c r="BF136" i="9"/>
  <c r="BF172" i="9"/>
  <c r="CM172" i="9"/>
  <c r="BK154" i="9"/>
  <c r="BK163" i="9"/>
  <c r="BK168" i="9"/>
  <c r="BK166" i="9"/>
  <c r="BK172" i="9"/>
  <c r="BF163" i="9"/>
  <c r="BF154" i="9"/>
  <c r="BF167" i="9"/>
  <c r="BF142" i="9"/>
  <c r="BF164" i="9"/>
  <c r="CH161" i="9"/>
  <c r="CE167" i="9"/>
  <c r="CE172" i="9"/>
  <c r="CL167" i="9"/>
  <c r="CJ165" i="9"/>
  <c r="CR172" i="9"/>
  <c r="CR171" i="9" s="1"/>
  <c r="BX169" i="9"/>
  <c r="BX151" i="9"/>
  <c r="BC163" i="9"/>
  <c r="BC138" i="9"/>
  <c r="BC160" i="9"/>
  <c r="BC135" i="9"/>
  <c r="BC149" i="9"/>
  <c r="BC172" i="9"/>
  <c r="BF137" i="9"/>
  <c r="BK148" i="9"/>
  <c r="BK155" i="9"/>
  <c r="BK160" i="9"/>
  <c r="BK158" i="9"/>
  <c r="BF161" i="9"/>
  <c r="BF146" i="9"/>
  <c r="BF159" i="9"/>
  <c r="BF134" i="9"/>
  <c r="BF156" i="9"/>
  <c r="CH168" i="9"/>
  <c r="CE159" i="9"/>
  <c r="CL166" i="9"/>
  <c r="CJ164" i="9"/>
  <c r="BX161" i="9"/>
  <c r="BX166" i="9"/>
  <c r="BC155" i="9"/>
  <c r="BC130" i="9"/>
  <c r="CQ130" i="9" s="1"/>
  <c r="CS130" i="9" s="1"/>
  <c r="G130" i="9" s="1"/>
  <c r="BC152" i="9"/>
  <c r="BC166" i="9"/>
  <c r="BC141" i="9"/>
  <c r="AE129" i="9" a="1"/>
  <c r="AE155" i="9" s="1"/>
  <c r="BK141" i="9"/>
  <c r="BF150" i="9"/>
  <c r="BK146" i="9"/>
  <c r="BK147" i="9"/>
  <c r="BK152" i="9"/>
  <c r="BK150" i="9"/>
  <c r="BF155" i="9"/>
  <c r="BF138" i="9"/>
  <c r="BF151" i="9"/>
  <c r="BF165" i="9"/>
  <c r="BF148" i="9"/>
  <c r="CH167" i="9"/>
  <c r="CE165" i="9"/>
  <c r="CL165" i="9"/>
  <c r="CJ163" i="9"/>
  <c r="BX164" i="9"/>
  <c r="BX153" i="9"/>
  <c r="BX158" i="9"/>
  <c r="BC147" i="9"/>
  <c r="BC169" i="9"/>
  <c r="BC144" i="9"/>
  <c r="BC158" i="9"/>
  <c r="BC133" i="9"/>
  <c r="BK145" i="9"/>
  <c r="CL168" i="9"/>
  <c r="BK140" i="9"/>
  <c r="BK139" i="9"/>
  <c r="BK144" i="9"/>
  <c r="BK142" i="9"/>
  <c r="BF153" i="9"/>
  <c r="BF168" i="9"/>
  <c r="BF143" i="9"/>
  <c r="BF157" i="9"/>
  <c r="BF140" i="9"/>
  <c r="CH166" i="9"/>
  <c r="CE164" i="9"/>
  <c r="CL169" i="9"/>
  <c r="CJ169" i="9"/>
  <c r="BX156" i="9"/>
  <c r="BX168" i="9"/>
  <c r="BX165" i="9"/>
  <c r="BC139" i="9"/>
  <c r="BC161" i="9"/>
  <c r="BC136" i="9"/>
  <c r="BC150" i="9"/>
  <c r="BC164" i="9"/>
  <c r="BK143" i="9"/>
  <c r="BX154" i="9"/>
  <c r="CM169" i="9"/>
  <c r="BK138" i="9"/>
  <c r="BK169" i="9"/>
  <c r="BK167" i="9"/>
  <c r="BK165" i="9"/>
  <c r="BF147" i="9"/>
  <c r="BF160" i="9"/>
  <c r="BF135" i="9"/>
  <c r="BF149" i="9"/>
  <c r="CH165" i="9"/>
  <c r="CE168" i="9"/>
  <c r="CE163" i="9"/>
  <c r="CJ168" i="9"/>
  <c r="BX163" i="9"/>
  <c r="BX160" i="9"/>
  <c r="BX157" i="9"/>
  <c r="BC131" i="9"/>
  <c r="BC153" i="9"/>
  <c r="BC167" i="9"/>
  <c r="BC142" i="9"/>
  <c r="BC156" i="9"/>
  <c r="BK156" i="9"/>
  <c r="BF162" i="9"/>
  <c r="BX159" i="9"/>
  <c r="BK164" i="9"/>
  <c r="BK161" i="9"/>
  <c r="BK159" i="9"/>
  <c r="BF145" i="9"/>
  <c r="BF152" i="9"/>
  <c r="BF166" i="9"/>
  <c r="CH163" i="9"/>
  <c r="CE166" i="9"/>
  <c r="BX155" i="9"/>
  <c r="BX152" i="9"/>
  <c r="BC162" i="9"/>
  <c r="BC145" i="9"/>
  <c r="BC159" i="9"/>
  <c r="BC134" i="9"/>
  <c r="BA69" i="12"/>
  <c r="AW70" i="12"/>
  <c r="AW71" i="12" s="1"/>
  <c r="BB176" i="12" s="1" a="1"/>
  <c r="AX69" i="12"/>
  <c r="CQ180" i="9"/>
  <c r="CS180" i="9" s="1"/>
  <c r="G180" i="9" s="1"/>
  <c r="E180" i="9" s="1"/>
  <c r="CQ182" i="9"/>
  <c r="CS182" i="9" s="1"/>
  <c r="G182" i="9" s="1"/>
  <c r="AW62" i="10"/>
  <c r="BA62" i="10" s="1"/>
  <c r="BB62" i="10" s="1"/>
  <c r="AZ63" i="10" s="1"/>
  <c r="AT62" i="10"/>
  <c r="AR63" i="10" s="1"/>
  <c r="CQ183" i="9"/>
  <c r="CS183" i="9" s="1"/>
  <c r="G183" i="9" s="1"/>
  <c r="CQ181" i="9"/>
  <c r="CS181" i="9" s="1"/>
  <c r="G181" i="9" s="1"/>
  <c r="CO220" i="9"/>
  <c r="CO221" i="9" s="1"/>
  <c r="BZ220" i="9"/>
  <c r="BZ221" i="9" s="1"/>
  <c r="CI220" i="9"/>
  <c r="CI221" i="9" s="1"/>
  <c r="CH220" i="9"/>
  <c r="CH221" i="9" s="1"/>
  <c r="BM220" i="9"/>
  <c r="BM221" i="9" s="1"/>
  <c r="BY220" i="9"/>
  <c r="BY221" i="9" s="1"/>
  <c r="CD220" i="9"/>
  <c r="CD221" i="9" s="1"/>
  <c r="CB220" i="9"/>
  <c r="CB221" i="9" s="1"/>
  <c r="CQ198" i="9"/>
  <c r="CS198" i="9" s="1"/>
  <c r="G198" i="9" s="1"/>
  <c r="CQ212" i="9"/>
  <c r="CS212" i="9" s="1"/>
  <c r="G212" i="9" s="1"/>
  <c r="CQ195" i="9"/>
  <c r="CS195" i="9" s="1"/>
  <c r="G195" i="9" s="1"/>
  <c r="CQ186" i="9"/>
  <c r="CS186" i="9" s="1"/>
  <c r="G186" i="9" s="1"/>
  <c r="CQ208" i="9"/>
  <c r="CS208" i="9" s="1"/>
  <c r="G208" i="9" s="1"/>
  <c r="BK220" i="9"/>
  <c r="BK221" i="9" s="1"/>
  <c r="BS220" i="9"/>
  <c r="BS221" i="9" s="1"/>
  <c r="CN220" i="9"/>
  <c r="CN221" i="9" s="1"/>
  <c r="CG170" i="9"/>
  <c r="CG171" i="9" s="1"/>
  <c r="BI220" i="9"/>
  <c r="BI221" i="9" s="1"/>
  <c r="BL220" i="9"/>
  <c r="BL221" i="9" s="1"/>
  <c r="BN170" i="9"/>
  <c r="BN171" i="9" s="1"/>
  <c r="BQ220" i="9"/>
  <c r="BQ221" i="9" s="1"/>
  <c r="CQ190" i="9"/>
  <c r="CS190" i="9" s="1"/>
  <c r="G190" i="9" s="1"/>
  <c r="CQ204" i="9"/>
  <c r="CS204" i="9" s="1"/>
  <c r="G204" i="9" s="1"/>
  <c r="CQ187" i="9"/>
  <c r="CS187" i="9" s="1"/>
  <c r="G187" i="9" s="1"/>
  <c r="CQ200" i="9"/>
  <c r="CS200" i="9" s="1"/>
  <c r="G200" i="9" s="1"/>
  <c r="CA220" i="9"/>
  <c r="CA221" i="9" s="1"/>
  <c r="BR220" i="9"/>
  <c r="BR221" i="9" s="1"/>
  <c r="BH220" i="9"/>
  <c r="BH221" i="9" s="1"/>
  <c r="CL220" i="9"/>
  <c r="CL221" i="9" s="1"/>
  <c r="CG220" i="9"/>
  <c r="CG221" i="9" s="1"/>
  <c r="CQ196" i="9"/>
  <c r="CS196" i="9" s="1"/>
  <c r="G196" i="9" s="1"/>
  <c r="BB220" i="9"/>
  <c r="BB221" i="9" s="1"/>
  <c r="CQ179" i="9"/>
  <c r="CQ217" i="9"/>
  <c r="CS217" i="9" s="1"/>
  <c r="G217" i="9" s="1"/>
  <c r="CQ192" i="9"/>
  <c r="CS192" i="9" s="1"/>
  <c r="G192" i="9" s="1"/>
  <c r="CK220" i="9"/>
  <c r="CK221" i="9" s="1"/>
  <c r="BG220" i="9"/>
  <c r="BG221" i="9" s="1"/>
  <c r="BV220" i="9"/>
  <c r="BV221" i="9" s="1"/>
  <c r="CC220" i="9"/>
  <c r="CC221" i="9" s="1"/>
  <c r="CQ213" i="9"/>
  <c r="CS213" i="9" s="1"/>
  <c r="G213" i="9" s="1"/>
  <c r="CQ188" i="9"/>
  <c r="CS188" i="9" s="1"/>
  <c r="G188" i="9" s="1"/>
  <c r="AE218" i="9"/>
  <c r="AE212" i="9"/>
  <c r="AE198" i="9"/>
  <c r="AE184" i="9"/>
  <c r="AE209" i="9"/>
  <c r="AE204" i="9"/>
  <c r="AE181" i="9"/>
  <c r="AE206" i="9"/>
  <c r="AE192" i="9"/>
  <c r="AE217" i="9"/>
  <c r="AE179" i="9"/>
  <c r="AE189" i="9"/>
  <c r="AE214" i="9"/>
  <c r="AE200" i="9"/>
  <c r="AE180" i="9"/>
  <c r="AE187" i="9"/>
  <c r="AE197" i="9"/>
  <c r="AE183" i="9"/>
  <c r="AE208" i="9"/>
  <c r="AE188" i="9"/>
  <c r="AE186" i="9"/>
  <c r="AE195" i="9"/>
  <c r="AE205" i="9"/>
  <c r="AE191" i="9"/>
  <c r="AE216" i="9"/>
  <c r="AE196" i="9"/>
  <c r="AE194" i="9"/>
  <c r="AE203" i="9"/>
  <c r="AE213" i="9"/>
  <c r="AE199" i="9"/>
  <c r="AE185" i="9"/>
  <c r="AE202" i="9"/>
  <c r="AE211" i="9"/>
  <c r="AE182" i="9"/>
  <c r="AE207" i="9"/>
  <c r="AE193" i="9"/>
  <c r="AE210" i="9"/>
  <c r="AE219" i="9"/>
  <c r="AE190" i="9"/>
  <c r="AE215" i="9"/>
  <c r="AE201" i="9"/>
  <c r="CQ209" i="9"/>
  <c r="CS209" i="9" s="1"/>
  <c r="G209" i="9" s="1"/>
  <c r="CQ184" i="9"/>
  <c r="CS184" i="9" s="1"/>
  <c r="G184" i="9" s="1"/>
  <c r="BT220" i="9"/>
  <c r="BT221" i="9" s="1"/>
  <c r="BW220" i="9"/>
  <c r="BW221" i="9" s="1"/>
  <c r="CJ220" i="9"/>
  <c r="CJ221" i="9" s="1"/>
  <c r="BO220" i="9"/>
  <c r="BO221" i="9" s="1"/>
  <c r="CO170" i="9"/>
  <c r="CP221" i="9"/>
  <c r="BJ220" i="9"/>
  <c r="BJ221" i="9" s="1"/>
  <c r="CE220" i="9"/>
  <c r="CE221" i="9" s="1"/>
  <c r="CQ205" i="9"/>
  <c r="CS205" i="9" s="1"/>
  <c r="G205" i="9" s="1"/>
  <c r="CQ219" i="9"/>
  <c r="CS219" i="9" s="1"/>
  <c r="G219" i="9" s="1"/>
  <c r="CQ201" i="9"/>
  <c r="CS201" i="9" s="1"/>
  <c r="G201" i="9" s="1"/>
  <c r="CQ215" i="9"/>
  <c r="CS215" i="9" s="1"/>
  <c r="G215" i="9" s="1"/>
  <c r="BF220" i="9"/>
  <c r="BF221" i="9" s="1"/>
  <c r="BN220" i="9"/>
  <c r="BN221" i="9" s="1"/>
  <c r="BS170" i="9"/>
  <c r="BS171" i="9" s="1"/>
  <c r="BU220" i="9"/>
  <c r="BU221" i="9" s="1"/>
  <c r="CQ197" i="9"/>
  <c r="CS197" i="9" s="1"/>
  <c r="G197" i="9" s="1"/>
  <c r="CQ218" i="9"/>
  <c r="CS218" i="9" s="1"/>
  <c r="G218" i="9" s="1"/>
  <c r="CQ210" i="9"/>
  <c r="CS210" i="9" s="1"/>
  <c r="G210" i="9" s="1"/>
  <c r="CQ193" i="9"/>
  <c r="CS193" i="9" s="1"/>
  <c r="G193" i="9" s="1"/>
  <c r="CQ207" i="9"/>
  <c r="CS207" i="9" s="1"/>
  <c r="G207" i="9" s="1"/>
  <c r="BE220" i="9"/>
  <c r="BE221" i="9" s="1"/>
  <c r="BP220" i="9"/>
  <c r="BP221" i="9" s="1"/>
  <c r="BH170" i="9"/>
  <c r="BH171" i="9" s="1"/>
  <c r="CQ214" i="9"/>
  <c r="CS214" i="9" s="1"/>
  <c r="G214" i="9" s="1"/>
  <c r="CQ189" i="9"/>
  <c r="CS189" i="9" s="1"/>
  <c r="G189" i="9" s="1"/>
  <c r="CQ211" i="9"/>
  <c r="CS211" i="9" s="1"/>
  <c r="G211" i="9" s="1"/>
  <c r="CQ202" i="9"/>
  <c r="CS202" i="9" s="1"/>
  <c r="G202" i="9" s="1"/>
  <c r="CQ185" i="9"/>
  <c r="CS185" i="9" s="1"/>
  <c r="G185" i="9" s="1"/>
  <c r="CQ199" i="9"/>
  <c r="CS199" i="9" s="1"/>
  <c r="G199" i="9" s="1"/>
  <c r="CF220" i="9"/>
  <c r="CF221" i="9" s="1"/>
  <c r="CM220" i="9"/>
  <c r="CM221" i="9" s="1"/>
  <c r="BX220" i="9"/>
  <c r="BX221" i="9" s="1"/>
  <c r="BI226" i="9"/>
  <c r="BG226" i="9"/>
  <c r="BO226" i="9"/>
  <c r="CG226" i="9"/>
  <c r="BH226" i="9"/>
  <c r="BQ226" i="9"/>
  <c r="CF226" i="9"/>
  <c r="CL226" i="9"/>
  <c r="CM226" i="9"/>
  <c r="BE226" i="9"/>
  <c r="CE226" i="9"/>
  <c r="CK226" i="9"/>
  <c r="CI226" i="9"/>
  <c r="BT226" i="9"/>
  <c r="CQ226" i="9"/>
  <c r="BM226" i="9"/>
  <c r="BN226" i="9"/>
  <c r="CO226" i="9"/>
  <c r="BZ226" i="9"/>
  <c r="BB226" i="9"/>
  <c r="BP226" i="9"/>
  <c r="BW226" i="9"/>
  <c r="CC226" i="9"/>
  <c r="BF226" i="9"/>
  <c r="BU226" i="9"/>
  <c r="CD226" i="9"/>
  <c r="CP226" i="9"/>
  <c r="BD226" i="9"/>
  <c r="BK226" i="9"/>
  <c r="BS226" i="9"/>
  <c r="BV226" i="9"/>
  <c r="CB226" i="9"/>
  <c r="BX226" i="9"/>
  <c r="BC226" i="9"/>
  <c r="CR226" i="9"/>
  <c r="CJ226" i="9"/>
  <c r="BJ226" i="9"/>
  <c r="CA226" i="9"/>
  <c r="BR226" i="9"/>
  <c r="BL226" i="9"/>
  <c r="CH226" i="9"/>
  <c r="BY226" i="9"/>
  <c r="CN226" i="9"/>
  <c r="CQ206" i="9"/>
  <c r="CS206" i="9" s="1"/>
  <c r="G206" i="9" s="1"/>
  <c r="CQ203" i="9"/>
  <c r="CS203" i="9" s="1"/>
  <c r="G203" i="9" s="1"/>
  <c r="CQ194" i="9"/>
  <c r="CS194" i="9" s="1"/>
  <c r="G194" i="9" s="1"/>
  <c r="CQ216" i="9"/>
  <c r="CS216" i="9" s="1"/>
  <c r="G216" i="9" s="1"/>
  <c r="CQ191" i="9"/>
  <c r="CS191" i="9" s="1"/>
  <c r="G191" i="9" s="1"/>
  <c r="F222" i="9"/>
  <c r="E222" i="9"/>
  <c r="D222" i="9"/>
  <c r="BD220" i="9"/>
  <c r="BD221" i="9" s="1"/>
  <c r="BC220" i="9"/>
  <c r="BC221" i="9" s="1"/>
  <c r="CO171" i="9" l="1"/>
  <c r="BV170" i="9"/>
  <c r="BV171" i="9" s="1"/>
  <c r="BE170" i="9"/>
  <c r="BE171" i="9" s="1"/>
  <c r="BT170" i="9"/>
  <c r="BT171" i="9" s="1"/>
  <c r="CI170" i="9"/>
  <c r="CI171" i="9" s="1"/>
  <c r="CD170" i="9"/>
  <c r="CD171" i="9" s="1"/>
  <c r="CK170" i="9"/>
  <c r="CK171" i="9" s="1"/>
  <c r="BU170" i="9"/>
  <c r="BU171" i="9" s="1"/>
  <c r="CQ132" i="9"/>
  <c r="CS132" i="9" s="1"/>
  <c r="G132" i="9" s="1"/>
  <c r="AA132" i="9" s="1"/>
  <c r="CC170" i="9"/>
  <c r="CC171" i="9" s="1"/>
  <c r="CN170" i="9"/>
  <c r="CN171" i="9" s="1"/>
  <c r="BP170" i="9"/>
  <c r="BP171" i="9" s="1"/>
  <c r="BY170" i="9"/>
  <c r="BY171" i="9" s="1"/>
  <c r="BB170" i="9"/>
  <c r="BB171" i="9" s="1"/>
  <c r="CF170" i="9"/>
  <c r="CF171" i="9" s="1"/>
  <c r="BD170" i="9"/>
  <c r="BD171" i="9" s="1"/>
  <c r="CQ131" i="9"/>
  <c r="CS131" i="9" s="1"/>
  <c r="G131" i="9" s="1"/>
  <c r="AA131" i="9" s="1"/>
  <c r="CQ135" i="9"/>
  <c r="CS135" i="9" s="1"/>
  <c r="G135" i="9" s="1"/>
  <c r="F135" i="9" s="1"/>
  <c r="BZ170" i="9"/>
  <c r="BZ171" i="9" s="1"/>
  <c r="CQ136" i="9"/>
  <c r="CS136" i="9" s="1"/>
  <c r="G136" i="9" s="1"/>
  <c r="W136" i="9" s="1"/>
  <c r="CB170" i="9"/>
  <c r="CB171" i="9" s="1"/>
  <c r="CQ133" i="9"/>
  <c r="CS133" i="9" s="1"/>
  <c r="G133" i="9" s="1"/>
  <c r="Y133" i="9" s="1"/>
  <c r="CA170" i="9"/>
  <c r="CA171" i="9" s="1"/>
  <c r="CQ151" i="9"/>
  <c r="CS151" i="9" s="1"/>
  <c r="G151" i="9" s="1"/>
  <c r="W151" i="9" s="1"/>
  <c r="CQ141" i="9"/>
  <c r="CS141" i="9" s="1"/>
  <c r="G141" i="9" s="1"/>
  <c r="F141" i="9" s="1"/>
  <c r="BM170" i="9"/>
  <c r="BM171" i="9" s="1"/>
  <c r="BO170" i="9"/>
  <c r="BO171" i="9" s="1"/>
  <c r="BQ170" i="9"/>
  <c r="BQ171" i="9" s="1"/>
  <c r="BR170" i="9"/>
  <c r="BR171" i="9" s="1"/>
  <c r="BG170" i="9"/>
  <c r="BG171" i="9" s="1"/>
  <c r="BL170" i="9"/>
  <c r="BL171" i="9" s="1"/>
  <c r="BW170" i="9"/>
  <c r="BW171" i="9" s="1"/>
  <c r="BI170" i="9"/>
  <c r="BI171" i="9" s="1"/>
  <c r="CQ140" i="9"/>
  <c r="CS140" i="9" s="1"/>
  <c r="G140" i="9" s="1"/>
  <c r="Y140" i="9" s="1"/>
  <c r="BJ170" i="9"/>
  <c r="BJ171" i="9" s="1"/>
  <c r="CQ143" i="9"/>
  <c r="CS143" i="9" s="1"/>
  <c r="G143" i="9" s="1"/>
  <c r="E143" i="9" s="1"/>
  <c r="CQ149" i="9"/>
  <c r="CS149" i="9" s="1"/>
  <c r="G149" i="9" s="1"/>
  <c r="W149" i="9" s="1"/>
  <c r="F172" i="9"/>
  <c r="D172" i="9"/>
  <c r="CQ148" i="9"/>
  <c r="CS148" i="9" s="1"/>
  <c r="G148" i="9" s="1"/>
  <c r="W148" i="9" s="1"/>
  <c r="CQ146" i="9"/>
  <c r="CS146" i="9" s="1"/>
  <c r="G146" i="9" s="1"/>
  <c r="Y146" i="9" s="1"/>
  <c r="CQ145" i="9"/>
  <c r="CS145" i="9" s="1"/>
  <c r="G145" i="9" s="1"/>
  <c r="F145" i="9" s="1"/>
  <c r="CQ139" i="9"/>
  <c r="CS139" i="9" s="1"/>
  <c r="G139" i="9" s="1"/>
  <c r="AA139" i="9" s="1"/>
  <c r="CQ150" i="9"/>
  <c r="CS150" i="9" s="1"/>
  <c r="G150" i="9" s="1"/>
  <c r="W150" i="9" s="1"/>
  <c r="CQ157" i="9"/>
  <c r="CS157" i="9" s="1"/>
  <c r="G157" i="9" s="1"/>
  <c r="D157" i="9" s="1"/>
  <c r="CQ162" i="9"/>
  <c r="CS162" i="9" s="1"/>
  <c r="G162" i="9" s="1"/>
  <c r="D162" i="9" s="1"/>
  <c r="CM170" i="9"/>
  <c r="CM171" i="9" s="1"/>
  <c r="AE153" i="9"/>
  <c r="AE151" i="9"/>
  <c r="AE134" i="9"/>
  <c r="AE152" i="9"/>
  <c r="AE142" i="9"/>
  <c r="CQ153" i="9"/>
  <c r="CS153" i="9" s="1"/>
  <c r="G153" i="9" s="1"/>
  <c r="Y153" i="9" s="1"/>
  <c r="AE164" i="9"/>
  <c r="AE147" i="9"/>
  <c r="AE136" i="9"/>
  <c r="AE161" i="9"/>
  <c r="AE143" i="9"/>
  <c r="CQ159" i="9"/>
  <c r="CS159" i="9" s="1"/>
  <c r="G159" i="9" s="1"/>
  <c r="D159" i="9" s="1"/>
  <c r="CQ156" i="9"/>
  <c r="CS156" i="9" s="1"/>
  <c r="G156" i="9" s="1"/>
  <c r="AA156" i="9" s="1"/>
  <c r="CJ170" i="9"/>
  <c r="CJ171" i="9" s="1"/>
  <c r="CQ165" i="9"/>
  <c r="CS165" i="9" s="1"/>
  <c r="G165" i="9" s="1"/>
  <c r="Y165" i="9" s="1"/>
  <c r="CQ144" i="9"/>
  <c r="CS144" i="9" s="1"/>
  <c r="G144" i="9" s="1"/>
  <c r="D144" i="9" s="1"/>
  <c r="AE165" i="9"/>
  <c r="AE132" i="9"/>
  <c r="AE129" i="9"/>
  <c r="AE150" i="9"/>
  <c r="AE166" i="9"/>
  <c r="AE159" i="9"/>
  <c r="AE130" i="9"/>
  <c r="AE167" i="9"/>
  <c r="CQ161" i="9"/>
  <c r="CS161" i="9" s="1"/>
  <c r="G161" i="9" s="1"/>
  <c r="Y161" i="9" s="1"/>
  <c r="CQ137" i="9"/>
  <c r="CS137" i="9" s="1"/>
  <c r="G137" i="9" s="1"/>
  <c r="D137" i="9" s="1"/>
  <c r="AE139" i="9"/>
  <c r="AE141" i="9"/>
  <c r="AE140" i="9"/>
  <c r="AE148" i="9"/>
  <c r="AE133" i="9"/>
  <c r="AE144" i="9"/>
  <c r="AE169" i="9"/>
  <c r="AE160" i="9"/>
  <c r="BK170" i="9"/>
  <c r="BK171" i="9" s="1"/>
  <c r="AE168" i="9"/>
  <c r="AE146" i="9"/>
  <c r="AE157" i="9"/>
  <c r="AE162" i="9"/>
  <c r="AE138" i="9"/>
  <c r="CQ154" i="9"/>
  <c r="CS154" i="9" s="1"/>
  <c r="G154" i="9" s="1"/>
  <c r="Y154" i="9" s="1"/>
  <c r="AE154" i="9"/>
  <c r="AE137" i="9"/>
  <c r="AE158" i="9"/>
  <c r="AE156" i="9"/>
  <c r="AE145" i="9"/>
  <c r="CQ134" i="9"/>
  <c r="CS134" i="9" s="1"/>
  <c r="G134" i="9" s="1"/>
  <c r="D134" i="9" s="1"/>
  <c r="BX170" i="9"/>
  <c r="BX171" i="9" s="1"/>
  <c r="CQ147" i="9"/>
  <c r="CS147" i="9" s="1"/>
  <c r="G147" i="9" s="1"/>
  <c r="AA147" i="9" s="1"/>
  <c r="CQ164" i="9"/>
  <c r="CS164" i="9" s="1"/>
  <c r="G164" i="9" s="1"/>
  <c r="Y164" i="9" s="1"/>
  <c r="CQ169" i="9"/>
  <c r="CS169" i="9" s="1"/>
  <c r="G169" i="9" s="1"/>
  <c r="W169" i="9" s="1"/>
  <c r="CQ158" i="9"/>
  <c r="CS158" i="9" s="1"/>
  <c r="G158" i="9" s="1"/>
  <c r="D158" i="9" s="1"/>
  <c r="CL170" i="9"/>
  <c r="CL171" i="9" s="1"/>
  <c r="CQ166" i="9"/>
  <c r="CS166" i="9" s="1"/>
  <c r="G166" i="9" s="1"/>
  <c r="E166" i="9" s="1"/>
  <c r="CE170" i="9"/>
  <c r="CE171" i="9" s="1"/>
  <c r="CQ160" i="9"/>
  <c r="CS160" i="9" s="1"/>
  <c r="G160" i="9" s="1"/>
  <c r="Y160" i="9" s="1"/>
  <c r="CQ138" i="9"/>
  <c r="CS138" i="9" s="1"/>
  <c r="G138" i="9" s="1"/>
  <c r="W138" i="9" s="1"/>
  <c r="CQ167" i="9"/>
  <c r="CS167" i="9" s="1"/>
  <c r="G167" i="9" s="1"/>
  <c r="W167" i="9" s="1"/>
  <c r="CQ142" i="9"/>
  <c r="CS142" i="9" s="1"/>
  <c r="G142" i="9" s="1"/>
  <c r="Y142" i="9" s="1"/>
  <c r="CQ152" i="9"/>
  <c r="CS152" i="9" s="1"/>
  <c r="G152" i="9" s="1"/>
  <c r="E152" i="9" s="1"/>
  <c r="CQ155" i="9"/>
  <c r="CS155" i="9" s="1"/>
  <c r="G155" i="9" s="1"/>
  <c r="D155" i="9" s="1"/>
  <c r="CQ163" i="9"/>
  <c r="CS163" i="9" s="1"/>
  <c r="G163" i="9" s="1"/>
  <c r="F163" i="9" s="1"/>
  <c r="CH170" i="9"/>
  <c r="CH171" i="9" s="1"/>
  <c r="CQ168" i="9"/>
  <c r="CS168" i="9" s="1"/>
  <c r="G168" i="9" s="1"/>
  <c r="F168" i="9" s="1"/>
  <c r="AE135" i="9"/>
  <c r="AE163" i="9"/>
  <c r="AE131" i="9"/>
  <c r="AE149" i="9"/>
  <c r="BC170" i="9"/>
  <c r="BC171" i="9" s="1"/>
  <c r="BF170" i="9"/>
  <c r="BF171" i="9" s="1"/>
  <c r="AA180" i="9"/>
  <c r="W180" i="9"/>
  <c r="CN176" i="12"/>
  <c r="BO176" i="12"/>
  <c r="CC176" i="12"/>
  <c r="BL176" i="12"/>
  <c r="BY176" i="12"/>
  <c r="CA176" i="12"/>
  <c r="CF176" i="12"/>
  <c r="BG176" i="12"/>
  <c r="BU176" i="12"/>
  <c r="BD176" i="12"/>
  <c r="BS176" i="12"/>
  <c r="BC176" i="12"/>
  <c r="BX176" i="12"/>
  <c r="CL176" i="12"/>
  <c r="BP176" i="12"/>
  <c r="CD176" i="12"/>
  <c r="BE176" i="12"/>
  <c r="CH176" i="12"/>
  <c r="CQ176" i="12"/>
  <c r="BH176" i="12"/>
  <c r="BV176" i="12"/>
  <c r="CR176" i="12"/>
  <c r="BZ176" i="12"/>
  <c r="BK176" i="12"/>
  <c r="BM176" i="12"/>
  <c r="BQ176" i="12"/>
  <c r="CJ176" i="12"/>
  <c r="CO176" i="12"/>
  <c r="BB176" i="12"/>
  <c r="CM176" i="12"/>
  <c r="CB176" i="12"/>
  <c r="BI176" i="12"/>
  <c r="CK176" i="12"/>
  <c r="CE176" i="12"/>
  <c r="BT176" i="12"/>
  <c r="CG176" i="12"/>
  <c r="BN176" i="12"/>
  <c r="BW176" i="12"/>
  <c r="CP176" i="12"/>
  <c r="CI176" i="12"/>
  <c r="BR176" i="12"/>
  <c r="BF176" i="12"/>
  <c r="BJ176" i="12"/>
  <c r="BA70" i="12"/>
  <c r="BA71" i="12" s="1"/>
  <c r="BB226" i="12" s="1" a="1"/>
  <c r="BB69" i="12"/>
  <c r="F180" i="9"/>
  <c r="S180" i="9" s="1"/>
  <c r="D180" i="9"/>
  <c r="Q180" i="9" s="1"/>
  <c r="Y180" i="9"/>
  <c r="E183" i="9"/>
  <c r="R183" i="9" s="1"/>
  <c r="E182" i="9"/>
  <c r="R182" i="9" s="1"/>
  <c r="W130" i="9"/>
  <c r="F182" i="9"/>
  <c r="S182" i="9" s="1"/>
  <c r="AA182" i="9"/>
  <c r="D182" i="9"/>
  <c r="W182" i="9"/>
  <c r="Y182" i="9"/>
  <c r="D183" i="9"/>
  <c r="AA183" i="9"/>
  <c r="F183" i="9"/>
  <c r="AA181" i="9"/>
  <c r="R180" i="9"/>
  <c r="D130" i="9"/>
  <c r="Y183" i="9"/>
  <c r="W183" i="9"/>
  <c r="E181" i="9"/>
  <c r="Y181" i="9"/>
  <c r="W181" i="9"/>
  <c r="F181" i="9"/>
  <c r="D181" i="9"/>
  <c r="AX62" i="10"/>
  <c r="AV63" i="10" s="1"/>
  <c r="Y130" i="9"/>
  <c r="AA130" i="9"/>
  <c r="E130" i="9"/>
  <c r="F130" i="9"/>
  <c r="AS63" i="10"/>
  <c r="Y203" i="9"/>
  <c r="AA203" i="9"/>
  <c r="W203" i="9"/>
  <c r="D203" i="9"/>
  <c r="F203" i="9"/>
  <c r="E203" i="9"/>
  <c r="CK265" i="9"/>
  <c r="CK272" i="9"/>
  <c r="CK268" i="9"/>
  <c r="CK264" i="9"/>
  <c r="CK266" i="9"/>
  <c r="CK267" i="9"/>
  <c r="CK269" i="9"/>
  <c r="Y213" i="9"/>
  <c r="AA213" i="9"/>
  <c r="W213" i="9"/>
  <c r="F213" i="9"/>
  <c r="E213" i="9"/>
  <c r="D213" i="9"/>
  <c r="Y192" i="9"/>
  <c r="F192" i="9"/>
  <c r="W192" i="9"/>
  <c r="E192" i="9"/>
  <c r="AA192" i="9"/>
  <c r="D192" i="9"/>
  <c r="CS129" i="9"/>
  <c r="E186" i="9"/>
  <c r="D186" i="9"/>
  <c r="F186" i="9"/>
  <c r="W186" i="9"/>
  <c r="AA186" i="9"/>
  <c r="Y186" i="9"/>
  <c r="BD246" i="9"/>
  <c r="BD255" i="9"/>
  <c r="BD262" i="9"/>
  <c r="BD237" i="9"/>
  <c r="BD247" i="9"/>
  <c r="BD245" i="9"/>
  <c r="BD238" i="9"/>
  <c r="BD231" i="9"/>
  <c r="BD260" i="9"/>
  <c r="BD248" i="9"/>
  <c r="BD252" i="9"/>
  <c r="BD259" i="9"/>
  <c r="BD265" i="9"/>
  <c r="BD263" i="9"/>
  <c r="BD261" i="9"/>
  <c r="BD253" i="9"/>
  <c r="BD258" i="9"/>
  <c r="BD240" i="9"/>
  <c r="BD256" i="9"/>
  <c r="BD268" i="9"/>
  <c r="BD244" i="9"/>
  <c r="BD235" i="9"/>
  <c r="BD272" i="9"/>
  <c r="BD269" i="9"/>
  <c r="BD236" i="9"/>
  <c r="BD243" i="9"/>
  <c r="BD250" i="9"/>
  <c r="BD233" i="9"/>
  <c r="BD267" i="9"/>
  <c r="BD251" i="9"/>
  <c r="BD264" i="9"/>
  <c r="BD239" i="9"/>
  <c r="BD241" i="9"/>
  <c r="BD266" i="9"/>
  <c r="BD234" i="9"/>
  <c r="BD254" i="9"/>
  <c r="BD249" i="9"/>
  <c r="BD242" i="9"/>
  <c r="BD257" i="9"/>
  <c r="BD232" i="9"/>
  <c r="BB237" i="9"/>
  <c r="BB248" i="9"/>
  <c r="AE229" i="9" a="1"/>
  <c r="BB255" i="9"/>
  <c r="BB236" i="9"/>
  <c r="BB256" i="9"/>
  <c r="BB268" i="9"/>
  <c r="BB235" i="9"/>
  <c r="BB269" i="9"/>
  <c r="BB261" i="9"/>
  <c r="BB232" i="9"/>
  <c r="BB263" i="9"/>
  <c r="BB242" i="9"/>
  <c r="BB266" i="9"/>
  <c r="BB239" i="9"/>
  <c r="BB247" i="9"/>
  <c r="BB240" i="9"/>
  <c r="BB234" i="9"/>
  <c r="BB229" i="9"/>
  <c r="BB230" i="9"/>
  <c r="BB241" i="9"/>
  <c r="BB250" i="9"/>
  <c r="BB272" i="9"/>
  <c r="BB251" i="9"/>
  <c r="BB253" i="9"/>
  <c r="BB258" i="9"/>
  <c r="BB267" i="9"/>
  <c r="BB260" i="9"/>
  <c r="BB249" i="9"/>
  <c r="BB259" i="9"/>
  <c r="BB246" i="9"/>
  <c r="BB233" i="9"/>
  <c r="BB265" i="9"/>
  <c r="BB262" i="9"/>
  <c r="BB254" i="9"/>
  <c r="BB238" i="9"/>
  <c r="BB231" i="9"/>
  <c r="BB252" i="9"/>
  <c r="BB257" i="9"/>
  <c r="BB243" i="9"/>
  <c r="BB245" i="9"/>
  <c r="BB244" i="9"/>
  <c r="BB264" i="9"/>
  <c r="BO259" i="9"/>
  <c r="BO256" i="9"/>
  <c r="BO248" i="9"/>
  <c r="BO272" i="9"/>
  <c r="BO264" i="9"/>
  <c r="BO244" i="9"/>
  <c r="BO268" i="9"/>
  <c r="BO255" i="9"/>
  <c r="BO262" i="9"/>
  <c r="BO260" i="9"/>
  <c r="BO254" i="9"/>
  <c r="BO269" i="9"/>
  <c r="BO245" i="9"/>
  <c r="BO251" i="9"/>
  <c r="BO253" i="9"/>
  <c r="BO257" i="9"/>
  <c r="BO242" i="9"/>
  <c r="BO266" i="9"/>
  <c r="BO252" i="9"/>
  <c r="BO247" i="9"/>
  <c r="BO243" i="9"/>
  <c r="BO265" i="9"/>
  <c r="BO250" i="9"/>
  <c r="BO258" i="9"/>
  <c r="BO267" i="9"/>
  <c r="BO263" i="9"/>
  <c r="BO261" i="9"/>
  <c r="BO249" i="9"/>
  <c r="BO246" i="9"/>
  <c r="D199" i="9"/>
  <c r="W199" i="9"/>
  <c r="F199" i="9"/>
  <c r="Y199" i="9"/>
  <c r="E199" i="9"/>
  <c r="AA199" i="9"/>
  <c r="AA207" i="9"/>
  <c r="D207" i="9"/>
  <c r="F207" i="9"/>
  <c r="E207" i="9"/>
  <c r="W207" i="9"/>
  <c r="Y207" i="9"/>
  <c r="F217" i="9"/>
  <c r="E217" i="9"/>
  <c r="D217" i="9"/>
  <c r="Y217" i="9"/>
  <c r="W217" i="9"/>
  <c r="AA217" i="9"/>
  <c r="Y195" i="9"/>
  <c r="D195" i="9"/>
  <c r="AA195" i="9"/>
  <c r="F195" i="9"/>
  <c r="W195" i="9"/>
  <c r="E195" i="9"/>
  <c r="CJ268" i="9"/>
  <c r="CJ272" i="9"/>
  <c r="CJ269" i="9"/>
  <c r="CJ264" i="9"/>
  <c r="CJ265" i="9"/>
  <c r="CJ267" i="9"/>
  <c r="CJ266" i="9"/>
  <c r="CJ263" i="9"/>
  <c r="CG260" i="9"/>
  <c r="CG263" i="9"/>
  <c r="CG264" i="9"/>
  <c r="CG262" i="9"/>
  <c r="CG272" i="9"/>
  <c r="CG267" i="9"/>
  <c r="CG268" i="9"/>
  <c r="CG261" i="9"/>
  <c r="CG269" i="9"/>
  <c r="CG265" i="9"/>
  <c r="CG266" i="9"/>
  <c r="CN269" i="9"/>
  <c r="CN268" i="9"/>
  <c r="CN272" i="9"/>
  <c r="CN267" i="9"/>
  <c r="AE271" i="9"/>
  <c r="CR272" i="9"/>
  <c r="CR271" i="9" s="1"/>
  <c r="CP269" i="9"/>
  <c r="CP270" i="9" s="1"/>
  <c r="CP272" i="9"/>
  <c r="BZ255" i="9"/>
  <c r="BZ268" i="9"/>
  <c r="BZ272" i="9"/>
  <c r="BZ261" i="9"/>
  <c r="BZ257" i="9"/>
  <c r="BZ266" i="9"/>
  <c r="BZ254" i="9"/>
  <c r="BZ256" i="9"/>
  <c r="BZ263" i="9"/>
  <c r="BZ267" i="9"/>
  <c r="BZ259" i="9"/>
  <c r="BZ253" i="9"/>
  <c r="BZ265" i="9"/>
  <c r="BZ264" i="9"/>
  <c r="BZ260" i="9"/>
  <c r="BZ258" i="9"/>
  <c r="BZ269" i="9"/>
  <c r="BZ262" i="9"/>
  <c r="CE269" i="9"/>
  <c r="CE259" i="9"/>
  <c r="CE260" i="9"/>
  <c r="CE258" i="9"/>
  <c r="CE261" i="9"/>
  <c r="CE267" i="9"/>
  <c r="CE263" i="9"/>
  <c r="CE268" i="9"/>
  <c r="CE265" i="9"/>
  <c r="CE262" i="9"/>
  <c r="CE264" i="9"/>
  <c r="CE272" i="9"/>
  <c r="CE266" i="9"/>
  <c r="BY266" i="9"/>
  <c r="BY259" i="9"/>
  <c r="BY264" i="9"/>
  <c r="BY254" i="9"/>
  <c r="BY261" i="9"/>
  <c r="BY255" i="9"/>
  <c r="BY268" i="9"/>
  <c r="BY258" i="9"/>
  <c r="BY265" i="9"/>
  <c r="BY260" i="9"/>
  <c r="BY267" i="9"/>
  <c r="BY262" i="9"/>
  <c r="BY257" i="9"/>
  <c r="BY256" i="9"/>
  <c r="BY272" i="9"/>
  <c r="BY269" i="9"/>
  <c r="BY252" i="9"/>
  <c r="BY263" i="9"/>
  <c r="BY253" i="9"/>
  <c r="BC255" i="9"/>
  <c r="BC232" i="9"/>
  <c r="BC245" i="9"/>
  <c r="BC253" i="9"/>
  <c r="BC234" i="9"/>
  <c r="BC261" i="9"/>
  <c r="BC239" i="9"/>
  <c r="BC236" i="9"/>
  <c r="BC269" i="9"/>
  <c r="BC265" i="9"/>
  <c r="BC237" i="9"/>
  <c r="BC246" i="9"/>
  <c r="BC243" i="9"/>
  <c r="BC230" i="9"/>
  <c r="BC238" i="9"/>
  <c r="BC260" i="9"/>
  <c r="BC266" i="9"/>
  <c r="BC267" i="9"/>
  <c r="BC254" i="9"/>
  <c r="BC259" i="9"/>
  <c r="BC258" i="9"/>
  <c r="BC249" i="9"/>
  <c r="BC248" i="9"/>
  <c r="BC240" i="9"/>
  <c r="BC241" i="9"/>
  <c r="BC251" i="9"/>
  <c r="BC262" i="9"/>
  <c r="BC252" i="9"/>
  <c r="BC257" i="9"/>
  <c r="BC250" i="9"/>
  <c r="BC268" i="9"/>
  <c r="BC244" i="9"/>
  <c r="BC247" i="9"/>
  <c r="BC231" i="9"/>
  <c r="BC233" i="9"/>
  <c r="BC256" i="9"/>
  <c r="BC263" i="9"/>
  <c r="BC242" i="9"/>
  <c r="BC264" i="9"/>
  <c r="BC235" i="9"/>
  <c r="BC272" i="9"/>
  <c r="CD261" i="9"/>
  <c r="CD263" i="9"/>
  <c r="CD259" i="9"/>
  <c r="CD266" i="9"/>
  <c r="CD268" i="9"/>
  <c r="CD265" i="9"/>
  <c r="CD267" i="9"/>
  <c r="CD264" i="9"/>
  <c r="CD269" i="9"/>
  <c r="CD258" i="9"/>
  <c r="CD260" i="9"/>
  <c r="CD272" i="9"/>
  <c r="CD262" i="9"/>
  <c r="CD257" i="9"/>
  <c r="CO268" i="9"/>
  <c r="CO269" i="9"/>
  <c r="CO272" i="9"/>
  <c r="BE254" i="9"/>
  <c r="BE249" i="9"/>
  <c r="BE257" i="9"/>
  <c r="BE245" i="9"/>
  <c r="BE255" i="9"/>
  <c r="BE238" i="9"/>
  <c r="BE258" i="9"/>
  <c r="BE248" i="9"/>
  <c r="BE234" i="9"/>
  <c r="BE233" i="9"/>
  <c r="BE246" i="9"/>
  <c r="BE253" i="9"/>
  <c r="BE239" i="9"/>
  <c r="BE264" i="9"/>
  <c r="BE267" i="9"/>
  <c r="BE244" i="9"/>
  <c r="BE265" i="9"/>
  <c r="BE259" i="9"/>
  <c r="BE266" i="9"/>
  <c r="BE256" i="9"/>
  <c r="BE269" i="9"/>
  <c r="BE235" i="9"/>
  <c r="BE242" i="9"/>
  <c r="BE272" i="9"/>
  <c r="BE260" i="9"/>
  <c r="BE252" i="9"/>
  <c r="BE250" i="9"/>
  <c r="BE237" i="9"/>
  <c r="BE232" i="9"/>
  <c r="BE247" i="9"/>
  <c r="BE261" i="9"/>
  <c r="BE236" i="9"/>
  <c r="BE263" i="9"/>
  <c r="BE251" i="9"/>
  <c r="BE241" i="9"/>
  <c r="BE243" i="9"/>
  <c r="BE262" i="9"/>
  <c r="BE240" i="9"/>
  <c r="BE268" i="9"/>
  <c r="BG238" i="9"/>
  <c r="BG252" i="9"/>
  <c r="BG256" i="9"/>
  <c r="BG253" i="9"/>
  <c r="BG251" i="9"/>
  <c r="BG264" i="9"/>
  <c r="BG235" i="9"/>
  <c r="BG239" i="9"/>
  <c r="BG262" i="9"/>
  <c r="BG243" i="9"/>
  <c r="BG263" i="9"/>
  <c r="BG250" i="9"/>
  <c r="BG257" i="9"/>
  <c r="BG248" i="9"/>
  <c r="BG242" i="9"/>
  <c r="BG268" i="9"/>
  <c r="BG240" i="9"/>
  <c r="BG267" i="9"/>
  <c r="BG236" i="9"/>
  <c r="BG255" i="9"/>
  <c r="BG241" i="9"/>
  <c r="BG237" i="9"/>
  <c r="BG266" i="9"/>
  <c r="BG246" i="9"/>
  <c r="BG234" i="9"/>
  <c r="BG265" i="9"/>
  <c r="BG254" i="9"/>
  <c r="BG259" i="9"/>
  <c r="BG258" i="9"/>
  <c r="BG261" i="9"/>
  <c r="BG269" i="9"/>
  <c r="BG272" i="9"/>
  <c r="BG244" i="9"/>
  <c r="BG247" i="9"/>
  <c r="BG245" i="9"/>
  <c r="BG260" i="9"/>
  <c r="BG249" i="9"/>
  <c r="W185" i="9"/>
  <c r="F185" i="9"/>
  <c r="E185" i="9"/>
  <c r="D185" i="9"/>
  <c r="AA185" i="9"/>
  <c r="Y185" i="9"/>
  <c r="F193" i="9"/>
  <c r="AA193" i="9"/>
  <c r="E193" i="9"/>
  <c r="Y193" i="9"/>
  <c r="D193" i="9"/>
  <c r="W193" i="9"/>
  <c r="CQ220" i="9"/>
  <c r="CQ221" i="9" s="1"/>
  <c r="CS179" i="9"/>
  <c r="W212" i="9"/>
  <c r="E212" i="9"/>
  <c r="Y212" i="9"/>
  <c r="D212" i="9"/>
  <c r="AA212" i="9"/>
  <c r="F212" i="9"/>
  <c r="CH265" i="9"/>
  <c r="CH268" i="9"/>
  <c r="CH264" i="9"/>
  <c r="CH269" i="9"/>
  <c r="CH267" i="9"/>
  <c r="CH261" i="9"/>
  <c r="CH272" i="9"/>
  <c r="CH263" i="9"/>
  <c r="CH266" i="9"/>
  <c r="CH262" i="9"/>
  <c r="BX260" i="9"/>
  <c r="BX265" i="9"/>
  <c r="BX264" i="9"/>
  <c r="BX255" i="9"/>
  <c r="BX268" i="9"/>
  <c r="BX272" i="9"/>
  <c r="BX251" i="9"/>
  <c r="BX257" i="9"/>
  <c r="BX254" i="9"/>
  <c r="BX261" i="9"/>
  <c r="BX258" i="9"/>
  <c r="BX267" i="9"/>
  <c r="BX269" i="9"/>
  <c r="BX252" i="9"/>
  <c r="BX253" i="9"/>
  <c r="BX259" i="9"/>
  <c r="BX262" i="9"/>
  <c r="BX263" i="9"/>
  <c r="BX256" i="9"/>
  <c r="BX266" i="9"/>
  <c r="BU252" i="9"/>
  <c r="BU264" i="9"/>
  <c r="BU250" i="9"/>
  <c r="BU256" i="9"/>
  <c r="BU248" i="9"/>
  <c r="BU251" i="9"/>
  <c r="BU255" i="9"/>
  <c r="BU267" i="9"/>
  <c r="BU257" i="9"/>
  <c r="BU259" i="9"/>
  <c r="BU268" i="9"/>
  <c r="BU249" i="9"/>
  <c r="BU265" i="9"/>
  <c r="BU266" i="9"/>
  <c r="BU269" i="9"/>
  <c r="BU253" i="9"/>
  <c r="BU272" i="9"/>
  <c r="BU261" i="9"/>
  <c r="BU254" i="9"/>
  <c r="BU260" i="9"/>
  <c r="BU258" i="9"/>
  <c r="BU262" i="9"/>
  <c r="BU263" i="9"/>
  <c r="BN260" i="9"/>
  <c r="BN248" i="9"/>
  <c r="BN269" i="9"/>
  <c r="BN259" i="9"/>
  <c r="BN243" i="9"/>
  <c r="BN244" i="9"/>
  <c r="BN249" i="9"/>
  <c r="BN266" i="9"/>
  <c r="BN255" i="9"/>
  <c r="BN258" i="9"/>
  <c r="BN250" i="9"/>
  <c r="BN256" i="9"/>
  <c r="BN262" i="9"/>
  <c r="BN257" i="9"/>
  <c r="BN272" i="9"/>
  <c r="BN265" i="9"/>
  <c r="BN252" i="9"/>
  <c r="BN253" i="9"/>
  <c r="BN268" i="9"/>
  <c r="BN241" i="9"/>
  <c r="BN247" i="9"/>
  <c r="BN264" i="9"/>
  <c r="BN267" i="9"/>
  <c r="BN254" i="9"/>
  <c r="BN242" i="9"/>
  <c r="BN251" i="9"/>
  <c r="BN261" i="9"/>
  <c r="BN245" i="9"/>
  <c r="BN263" i="9"/>
  <c r="BN246" i="9"/>
  <c r="CM268" i="9"/>
  <c r="CM272" i="9"/>
  <c r="CM267" i="9"/>
  <c r="CM269" i="9"/>
  <c r="CM266" i="9"/>
  <c r="BI240" i="9"/>
  <c r="BI237" i="9"/>
  <c r="BI251" i="9"/>
  <c r="BI247" i="9"/>
  <c r="BI255" i="9"/>
  <c r="BI248" i="9"/>
  <c r="BI245" i="9"/>
  <c r="BI252" i="9"/>
  <c r="BI260" i="9"/>
  <c r="BI267" i="9"/>
  <c r="BI256" i="9"/>
  <c r="BI253" i="9"/>
  <c r="BI246" i="9"/>
  <c r="BI250" i="9"/>
  <c r="BI268" i="9"/>
  <c r="BI264" i="9"/>
  <c r="BI261" i="9"/>
  <c r="BI259" i="9"/>
  <c r="BI263" i="9"/>
  <c r="BI241" i="9"/>
  <c r="BI269" i="9"/>
  <c r="BI262" i="9"/>
  <c r="BI239" i="9"/>
  <c r="BI249" i="9"/>
  <c r="BI244" i="9"/>
  <c r="BI238" i="9"/>
  <c r="BI242" i="9"/>
  <c r="BI257" i="9"/>
  <c r="BI258" i="9"/>
  <c r="BI266" i="9"/>
  <c r="BI243" i="9"/>
  <c r="BI265" i="9"/>
  <c r="BI236" i="9"/>
  <c r="BI272" i="9"/>
  <c r="BI254" i="9"/>
  <c r="W202" i="9"/>
  <c r="D202" i="9"/>
  <c r="Y202" i="9"/>
  <c r="F202" i="9"/>
  <c r="AA202" i="9"/>
  <c r="E202" i="9"/>
  <c r="F210" i="9"/>
  <c r="W210" i="9"/>
  <c r="E210" i="9"/>
  <c r="AA210" i="9"/>
  <c r="D210" i="9"/>
  <c r="Y210" i="9"/>
  <c r="W215" i="9"/>
  <c r="Y215" i="9"/>
  <c r="AA215" i="9"/>
  <c r="D215" i="9"/>
  <c r="F215" i="9"/>
  <c r="E215" i="9"/>
  <c r="AA200" i="9"/>
  <c r="D200" i="9"/>
  <c r="W200" i="9"/>
  <c r="E200" i="9"/>
  <c r="Y200" i="9"/>
  <c r="F200" i="9"/>
  <c r="E198" i="9"/>
  <c r="AA198" i="9"/>
  <c r="D198" i="9"/>
  <c r="W198" i="9"/>
  <c r="F198" i="9"/>
  <c r="Y198" i="9"/>
  <c r="BL247" i="9"/>
  <c r="BL249" i="9"/>
  <c r="BL266" i="9"/>
  <c r="BL245" i="9"/>
  <c r="BL254" i="9"/>
  <c r="BL258" i="9"/>
  <c r="BL244" i="9"/>
  <c r="BL261" i="9"/>
  <c r="BL248" i="9"/>
  <c r="BL240" i="9"/>
  <c r="BL239" i="9"/>
  <c r="BL267" i="9"/>
  <c r="BL259" i="9"/>
  <c r="BL269" i="9"/>
  <c r="BL242" i="9"/>
  <c r="BL250" i="9"/>
  <c r="BL253" i="9"/>
  <c r="BL260" i="9"/>
  <c r="BL257" i="9"/>
  <c r="BL262" i="9"/>
  <c r="BL241" i="9"/>
  <c r="BL263" i="9"/>
  <c r="BL252" i="9"/>
  <c r="BL246" i="9"/>
  <c r="BL272" i="9"/>
  <c r="BL243" i="9"/>
  <c r="BL255" i="9"/>
  <c r="BL251" i="9"/>
  <c r="BL264" i="9"/>
  <c r="BL256" i="9"/>
  <c r="BL268" i="9"/>
  <c r="BL265" i="9"/>
  <c r="CB266" i="9"/>
  <c r="CB265" i="9"/>
  <c r="CB259" i="9"/>
  <c r="CB258" i="9"/>
  <c r="CB268" i="9"/>
  <c r="CB262" i="9"/>
  <c r="CB256" i="9"/>
  <c r="CB263" i="9"/>
  <c r="CB257" i="9"/>
  <c r="CB272" i="9"/>
  <c r="CB269" i="9"/>
  <c r="CB267" i="9"/>
  <c r="CB255" i="9"/>
  <c r="CB261" i="9"/>
  <c r="CB260" i="9"/>
  <c r="CB264" i="9"/>
  <c r="BF261" i="9"/>
  <c r="BF237" i="9"/>
  <c r="BF250" i="9"/>
  <c r="BF268" i="9"/>
  <c r="BF240" i="9"/>
  <c r="BF252" i="9"/>
  <c r="BF266" i="9"/>
  <c r="BF272" i="9"/>
  <c r="BF258" i="9"/>
  <c r="BF259" i="9"/>
  <c r="BF253" i="9"/>
  <c r="BF245" i="9"/>
  <c r="BF249" i="9"/>
  <c r="BF233" i="9"/>
  <c r="BF260" i="9"/>
  <c r="BF262" i="9"/>
  <c r="BF264" i="9"/>
  <c r="BF263" i="9"/>
  <c r="BF242" i="9"/>
  <c r="BF238" i="9"/>
  <c r="BF265" i="9"/>
  <c r="BF257" i="9"/>
  <c r="BF236" i="9"/>
  <c r="BF239" i="9"/>
  <c r="BF243" i="9"/>
  <c r="BF235" i="9"/>
  <c r="BF267" i="9"/>
  <c r="BF247" i="9"/>
  <c r="BF248" i="9"/>
  <c r="BF255" i="9"/>
  <c r="BF254" i="9"/>
  <c r="BF246" i="9"/>
  <c r="BF244" i="9"/>
  <c r="BF256" i="9"/>
  <c r="BF251" i="9"/>
  <c r="BF269" i="9"/>
  <c r="BF234" i="9"/>
  <c r="BF241" i="9"/>
  <c r="CL266" i="9"/>
  <c r="CL272" i="9"/>
  <c r="CL265" i="9"/>
  <c r="CL267" i="9"/>
  <c r="CL269" i="9"/>
  <c r="CL268" i="9"/>
  <c r="AA211" i="9"/>
  <c r="Y211" i="9"/>
  <c r="W211" i="9"/>
  <c r="D211" i="9"/>
  <c r="F211" i="9"/>
  <c r="E211" i="9"/>
  <c r="E218" i="9"/>
  <c r="W218" i="9"/>
  <c r="D218" i="9"/>
  <c r="Y218" i="9"/>
  <c r="F218" i="9"/>
  <c r="AA218" i="9"/>
  <c r="W201" i="9"/>
  <c r="F201" i="9"/>
  <c r="AA201" i="9"/>
  <c r="E201" i="9"/>
  <c r="Y201" i="9"/>
  <c r="D201" i="9"/>
  <c r="W205" i="9"/>
  <c r="AA205" i="9"/>
  <c r="F205" i="9"/>
  <c r="E205" i="9"/>
  <c r="D205" i="9"/>
  <c r="Y205" i="9"/>
  <c r="W184" i="9"/>
  <c r="F184" i="9"/>
  <c r="AA184" i="9"/>
  <c r="E184" i="9"/>
  <c r="Y184" i="9"/>
  <c r="D184" i="9"/>
  <c r="AE220" i="9"/>
  <c r="AE222" i="9" s="1"/>
  <c r="W196" i="9"/>
  <c r="Y196" i="9"/>
  <c r="AA196" i="9"/>
  <c r="E196" i="9"/>
  <c r="F196" i="9"/>
  <c r="D196" i="9"/>
  <c r="E187" i="9"/>
  <c r="Y187" i="9"/>
  <c r="AA187" i="9"/>
  <c r="W187" i="9"/>
  <c r="D187" i="9"/>
  <c r="F187" i="9"/>
  <c r="BM245" i="9"/>
  <c r="BM240" i="9"/>
  <c r="BM260" i="9"/>
  <c r="BM259" i="9"/>
  <c r="BM272" i="9"/>
  <c r="BM256" i="9"/>
  <c r="BM243" i="9"/>
  <c r="BM254" i="9"/>
  <c r="BM253" i="9"/>
  <c r="BM244" i="9"/>
  <c r="BM250" i="9"/>
  <c r="BM262" i="9"/>
  <c r="BM241" i="9"/>
  <c r="BM268" i="9"/>
  <c r="BM267" i="9"/>
  <c r="BM269" i="9"/>
  <c r="BM252" i="9"/>
  <c r="BM258" i="9"/>
  <c r="BM263" i="9"/>
  <c r="BM247" i="9"/>
  <c r="BM255" i="9"/>
  <c r="BM265" i="9"/>
  <c r="BM257" i="9"/>
  <c r="BM242" i="9"/>
  <c r="BM248" i="9"/>
  <c r="BM246" i="9"/>
  <c r="BM264" i="9"/>
  <c r="BM251" i="9"/>
  <c r="BM266" i="9"/>
  <c r="BM261" i="9"/>
  <c r="BM249" i="9"/>
  <c r="BR257" i="9"/>
  <c r="BR264" i="9"/>
  <c r="BR261" i="9"/>
  <c r="BR267" i="9"/>
  <c r="BR268" i="9"/>
  <c r="BR265" i="9"/>
  <c r="BR256" i="9"/>
  <c r="BR252" i="9"/>
  <c r="BR251" i="9"/>
  <c r="BR253" i="9"/>
  <c r="BR262" i="9"/>
  <c r="BR246" i="9"/>
  <c r="BR258" i="9"/>
  <c r="BR248" i="9"/>
  <c r="BR269" i="9"/>
  <c r="BR254" i="9"/>
  <c r="BR245" i="9"/>
  <c r="BR259" i="9"/>
  <c r="BR272" i="9"/>
  <c r="BR255" i="9"/>
  <c r="BR247" i="9"/>
  <c r="BR266" i="9"/>
  <c r="BR260" i="9"/>
  <c r="BR250" i="9"/>
  <c r="BR249" i="9"/>
  <c r="BR263" i="9"/>
  <c r="CC258" i="9"/>
  <c r="CC262" i="9"/>
  <c r="CC256" i="9"/>
  <c r="CC272" i="9"/>
  <c r="CC267" i="9"/>
  <c r="CC266" i="9"/>
  <c r="CC265" i="9"/>
  <c r="CC269" i="9"/>
  <c r="CC257" i="9"/>
  <c r="CC264" i="9"/>
  <c r="CC263" i="9"/>
  <c r="CC261" i="9"/>
  <c r="CC268" i="9"/>
  <c r="CC259" i="9"/>
  <c r="CC260" i="9"/>
  <c r="CQ272" i="9"/>
  <c r="CS226" i="9"/>
  <c r="CS272" i="9" s="1"/>
  <c r="G272" i="9" s="1"/>
  <c r="CF260" i="9"/>
  <c r="CF266" i="9"/>
  <c r="CF264" i="9"/>
  <c r="CF262" i="9"/>
  <c r="CF263" i="9"/>
  <c r="CF267" i="9"/>
  <c r="CF261" i="9"/>
  <c r="CF268" i="9"/>
  <c r="CF259" i="9"/>
  <c r="CF265" i="9"/>
  <c r="CF269" i="9"/>
  <c r="CF272" i="9"/>
  <c r="F189" i="9"/>
  <c r="E189" i="9"/>
  <c r="D189" i="9"/>
  <c r="W189" i="9"/>
  <c r="AA189" i="9"/>
  <c r="Y189" i="9"/>
  <c r="F197" i="9"/>
  <c r="W197" i="9"/>
  <c r="E197" i="9"/>
  <c r="Y197" i="9"/>
  <c r="D197" i="9"/>
  <c r="AA197" i="9"/>
  <c r="F219" i="9"/>
  <c r="E219" i="9"/>
  <c r="AA219" i="9"/>
  <c r="W219" i="9"/>
  <c r="Y219" i="9"/>
  <c r="D219" i="9"/>
  <c r="Y209" i="9"/>
  <c r="E209" i="9"/>
  <c r="AA209" i="9"/>
  <c r="D209" i="9"/>
  <c r="W209" i="9"/>
  <c r="F209" i="9"/>
  <c r="Y204" i="9"/>
  <c r="AA204" i="9"/>
  <c r="W204" i="9"/>
  <c r="E204" i="9"/>
  <c r="F204" i="9"/>
  <c r="D204" i="9"/>
  <c r="Y191" i="9"/>
  <c r="E191" i="9"/>
  <c r="AA191" i="9"/>
  <c r="D191" i="9"/>
  <c r="W191" i="9"/>
  <c r="F191" i="9"/>
  <c r="BV250" i="9"/>
  <c r="BV252" i="9"/>
  <c r="BV254" i="9"/>
  <c r="BV251" i="9"/>
  <c r="BV265" i="9"/>
  <c r="BV267" i="9"/>
  <c r="BV260" i="9"/>
  <c r="BV257" i="9"/>
  <c r="BV264" i="9"/>
  <c r="BV268" i="9"/>
  <c r="BV259" i="9"/>
  <c r="BV253" i="9"/>
  <c r="BV249" i="9"/>
  <c r="BV255" i="9"/>
  <c r="BV256" i="9"/>
  <c r="BV261" i="9"/>
  <c r="BV272" i="9"/>
  <c r="BV262" i="9"/>
  <c r="BV263" i="9"/>
  <c r="BV258" i="9"/>
  <c r="BV269" i="9"/>
  <c r="BV266" i="9"/>
  <c r="Y216" i="9"/>
  <c r="W216" i="9"/>
  <c r="AA216" i="9"/>
  <c r="E216" i="9"/>
  <c r="D216" i="9"/>
  <c r="F216" i="9"/>
  <c r="CA257" i="9"/>
  <c r="CA266" i="9"/>
  <c r="CA264" i="9"/>
  <c r="CA256" i="9"/>
  <c r="CA269" i="9"/>
  <c r="CA260" i="9"/>
  <c r="CA267" i="9"/>
  <c r="CA259" i="9"/>
  <c r="CA272" i="9"/>
  <c r="CA263" i="9"/>
  <c r="CA262" i="9"/>
  <c r="CA258" i="9"/>
  <c r="CA255" i="9"/>
  <c r="CA268" i="9"/>
  <c r="CA254" i="9"/>
  <c r="CA261" i="9"/>
  <c r="CA265" i="9"/>
  <c r="BS269" i="9"/>
  <c r="BS261" i="9"/>
  <c r="BS265" i="9"/>
  <c r="BS246" i="9"/>
  <c r="BS254" i="9"/>
  <c r="BS253" i="9"/>
  <c r="BS251" i="9"/>
  <c r="BS268" i="9"/>
  <c r="BS266" i="9"/>
  <c r="BS260" i="9"/>
  <c r="BS250" i="9"/>
  <c r="BS248" i="9"/>
  <c r="BS259" i="9"/>
  <c r="BS258" i="9"/>
  <c r="BS272" i="9"/>
  <c r="BS267" i="9"/>
  <c r="BS247" i="9"/>
  <c r="BS262" i="9"/>
  <c r="BS264" i="9"/>
  <c r="BS257" i="9"/>
  <c r="BS256" i="9"/>
  <c r="BS255" i="9"/>
  <c r="BS252" i="9"/>
  <c r="BS249" i="9"/>
  <c r="BS263" i="9"/>
  <c r="BW256" i="9"/>
  <c r="BW258" i="9"/>
  <c r="BW264" i="9"/>
  <c r="BW263" i="9"/>
  <c r="BW257" i="9"/>
  <c r="BW250" i="9"/>
  <c r="BW255" i="9"/>
  <c r="BW254" i="9"/>
  <c r="BW261" i="9"/>
  <c r="BW262" i="9"/>
  <c r="BW251" i="9"/>
  <c r="BW268" i="9"/>
  <c r="BW272" i="9"/>
  <c r="BW252" i="9"/>
  <c r="BW267" i="9"/>
  <c r="BW265" i="9"/>
  <c r="BW259" i="9"/>
  <c r="BW269" i="9"/>
  <c r="BW253" i="9"/>
  <c r="BW266" i="9"/>
  <c r="BW260" i="9"/>
  <c r="BT259" i="9"/>
  <c r="BT263" i="9"/>
  <c r="BT250" i="9"/>
  <c r="BT247" i="9"/>
  <c r="BT257" i="9"/>
  <c r="BT253" i="9"/>
  <c r="BT248" i="9"/>
  <c r="BT255" i="9"/>
  <c r="BT256" i="9"/>
  <c r="BT261" i="9"/>
  <c r="BT252" i="9"/>
  <c r="BT262" i="9"/>
  <c r="BT264" i="9"/>
  <c r="BT269" i="9"/>
  <c r="BT254" i="9"/>
  <c r="BT251" i="9"/>
  <c r="BT258" i="9"/>
  <c r="BT249" i="9"/>
  <c r="BT266" i="9"/>
  <c r="BT268" i="9"/>
  <c r="BT265" i="9"/>
  <c r="BT272" i="9"/>
  <c r="BT260" i="9"/>
  <c r="BT267" i="9"/>
  <c r="BQ272" i="9"/>
  <c r="BQ257" i="9"/>
  <c r="BQ252" i="9"/>
  <c r="BQ262" i="9"/>
  <c r="BQ258" i="9"/>
  <c r="BQ269" i="9"/>
  <c r="BQ267" i="9"/>
  <c r="BQ259" i="9"/>
  <c r="BQ263" i="9"/>
  <c r="BQ247" i="9"/>
  <c r="BQ255" i="9"/>
  <c r="BQ244" i="9"/>
  <c r="BQ254" i="9"/>
  <c r="BQ246" i="9"/>
  <c r="BQ253" i="9"/>
  <c r="BQ250" i="9"/>
  <c r="BQ251" i="9"/>
  <c r="BQ261" i="9"/>
  <c r="BQ245" i="9"/>
  <c r="BQ264" i="9"/>
  <c r="BQ268" i="9"/>
  <c r="BQ260" i="9"/>
  <c r="BQ248" i="9"/>
  <c r="BQ256" i="9"/>
  <c r="BQ266" i="9"/>
  <c r="BQ265" i="9"/>
  <c r="BQ249" i="9"/>
  <c r="AA214" i="9"/>
  <c r="Y214" i="9"/>
  <c r="W214" i="9"/>
  <c r="E214" i="9"/>
  <c r="F214" i="9"/>
  <c r="D214" i="9"/>
  <c r="E190" i="9"/>
  <c r="AA190" i="9"/>
  <c r="F190" i="9"/>
  <c r="Y190" i="9"/>
  <c r="D190" i="9"/>
  <c r="W190" i="9"/>
  <c r="D194" i="9"/>
  <c r="F194" i="9"/>
  <c r="W194" i="9"/>
  <c r="Y194" i="9"/>
  <c r="AA194" i="9"/>
  <c r="E194" i="9"/>
  <c r="E206" i="9"/>
  <c r="D206" i="9"/>
  <c r="F206" i="9"/>
  <c r="AA206" i="9"/>
  <c r="W206" i="9"/>
  <c r="Y206" i="9"/>
  <c r="BJ250" i="9"/>
  <c r="BJ242" i="9"/>
  <c r="BJ248" i="9"/>
  <c r="BJ263" i="9"/>
  <c r="BJ237" i="9"/>
  <c r="BJ246" i="9"/>
  <c r="BJ247" i="9"/>
  <c r="BJ244" i="9"/>
  <c r="BJ269" i="9"/>
  <c r="BJ261" i="9"/>
  <c r="BJ256" i="9"/>
  <c r="BJ245" i="9"/>
  <c r="BJ266" i="9"/>
  <c r="BJ267" i="9"/>
  <c r="BJ239" i="9"/>
  <c r="BJ254" i="9"/>
  <c r="BJ240" i="9"/>
  <c r="BJ259" i="9"/>
  <c r="BJ268" i="9"/>
  <c r="BJ264" i="9"/>
  <c r="BJ272" i="9"/>
  <c r="BJ260" i="9"/>
  <c r="BJ255" i="9"/>
  <c r="BJ251" i="9"/>
  <c r="BJ243" i="9"/>
  <c r="BJ253" i="9"/>
  <c r="BJ252" i="9"/>
  <c r="BJ249" i="9"/>
  <c r="BJ241" i="9"/>
  <c r="BJ258" i="9"/>
  <c r="BJ265" i="9"/>
  <c r="BJ238" i="9"/>
  <c r="BJ262" i="9"/>
  <c r="BJ257" i="9"/>
  <c r="BK269" i="9"/>
  <c r="BK261" i="9"/>
  <c r="BK250" i="9"/>
  <c r="BK262" i="9"/>
  <c r="BK243" i="9"/>
  <c r="BK247" i="9"/>
  <c r="BK258" i="9"/>
  <c r="BK255" i="9"/>
  <c r="BK239" i="9"/>
  <c r="BK260" i="9"/>
  <c r="BK268" i="9"/>
  <c r="BK240" i="9"/>
  <c r="BK266" i="9"/>
  <c r="BK259" i="9"/>
  <c r="BK264" i="9"/>
  <c r="BK248" i="9"/>
  <c r="BK272" i="9"/>
  <c r="BK265" i="9"/>
  <c r="BK254" i="9"/>
  <c r="BK257" i="9"/>
  <c r="BK267" i="9"/>
  <c r="BK241" i="9"/>
  <c r="BK253" i="9"/>
  <c r="BK249" i="9"/>
  <c r="BK246" i="9"/>
  <c r="BK252" i="9"/>
  <c r="BK251" i="9"/>
  <c r="BK244" i="9"/>
  <c r="BK263" i="9"/>
  <c r="BK242" i="9"/>
  <c r="BK245" i="9"/>
  <c r="BK256" i="9"/>
  <c r="BK238" i="9"/>
  <c r="BP269" i="9"/>
  <c r="BP260" i="9"/>
  <c r="BP251" i="9"/>
  <c r="BP252" i="9"/>
  <c r="BP246" i="9"/>
  <c r="BP250" i="9"/>
  <c r="BP272" i="9"/>
  <c r="BP267" i="9"/>
  <c r="BP245" i="9"/>
  <c r="BP266" i="9"/>
  <c r="BP265" i="9"/>
  <c r="BP243" i="9"/>
  <c r="BP254" i="9"/>
  <c r="BP263" i="9"/>
  <c r="BP256" i="9"/>
  <c r="BP261" i="9"/>
  <c r="BP253" i="9"/>
  <c r="BP248" i="9"/>
  <c r="BP262" i="9"/>
  <c r="BP249" i="9"/>
  <c r="BP259" i="9"/>
  <c r="BP247" i="9"/>
  <c r="BP255" i="9"/>
  <c r="BP244" i="9"/>
  <c r="BP258" i="9"/>
  <c r="BP264" i="9"/>
  <c r="BP257" i="9"/>
  <c r="BP268" i="9"/>
  <c r="CI267" i="9"/>
  <c r="CI263" i="9"/>
  <c r="CI272" i="9"/>
  <c r="CI269" i="9"/>
  <c r="CI262" i="9"/>
  <c r="CI266" i="9"/>
  <c r="CI268" i="9"/>
  <c r="CI264" i="9"/>
  <c r="CI265" i="9"/>
  <c r="BH245" i="9"/>
  <c r="BH239" i="9"/>
  <c r="BH237" i="9"/>
  <c r="BH247" i="9"/>
  <c r="BH251" i="9"/>
  <c r="BH263" i="9"/>
  <c r="BH252" i="9"/>
  <c r="BH258" i="9"/>
  <c r="BH246" i="9"/>
  <c r="BH259" i="9"/>
  <c r="BH255" i="9"/>
  <c r="BH256" i="9"/>
  <c r="BH248" i="9"/>
  <c r="BH243" i="9"/>
  <c r="BH266" i="9"/>
  <c r="BH254" i="9"/>
  <c r="BH257" i="9"/>
  <c r="BH235" i="9"/>
  <c r="BH269" i="9"/>
  <c r="BH241" i="9"/>
  <c r="BH268" i="9"/>
  <c r="BH262" i="9"/>
  <c r="BH261" i="9"/>
  <c r="BH272" i="9"/>
  <c r="BH260" i="9"/>
  <c r="BH265" i="9"/>
  <c r="BH236" i="9"/>
  <c r="BH238" i="9"/>
  <c r="BH249" i="9"/>
  <c r="BH244" i="9"/>
  <c r="BH253" i="9"/>
  <c r="BH267" i="9"/>
  <c r="BH242" i="9"/>
  <c r="BH250" i="9"/>
  <c r="BH240" i="9"/>
  <c r="BH264" i="9"/>
  <c r="Y188" i="9"/>
  <c r="D188" i="9"/>
  <c r="AA188" i="9"/>
  <c r="F188" i="9"/>
  <c r="W188" i="9"/>
  <c r="E188" i="9"/>
  <c r="E208" i="9"/>
  <c r="Y208" i="9"/>
  <c r="F208" i="9"/>
  <c r="W208" i="9"/>
  <c r="D208" i="9"/>
  <c r="AA208" i="9"/>
  <c r="E148" i="9" l="1"/>
  <c r="R148" i="9" s="1"/>
  <c r="W161" i="9"/>
  <c r="W131" i="9"/>
  <c r="D132" i="9"/>
  <c r="Q132" i="9" s="1"/>
  <c r="F151" i="9"/>
  <c r="S151" i="9" s="1"/>
  <c r="F132" i="9"/>
  <c r="S132" i="9" s="1"/>
  <c r="D161" i="9"/>
  <c r="Q161" i="9" s="1"/>
  <c r="Y151" i="9"/>
  <c r="D151" i="9"/>
  <c r="Q151" i="9" s="1"/>
  <c r="Y132" i="9"/>
  <c r="W132" i="9"/>
  <c r="E161" i="9"/>
  <c r="R161" i="9" s="1"/>
  <c r="AA148" i="9"/>
  <c r="E132" i="9"/>
  <c r="R132" i="9" s="1"/>
  <c r="F131" i="9"/>
  <c r="S131" i="9" s="1"/>
  <c r="Y141" i="9"/>
  <c r="W162" i="9"/>
  <c r="W135" i="9"/>
  <c r="D166" i="9"/>
  <c r="Q166" i="9" s="1"/>
  <c r="W133" i="9"/>
  <c r="D135" i="9"/>
  <c r="Q135" i="9" s="1"/>
  <c r="Y166" i="9"/>
  <c r="D153" i="9"/>
  <c r="Q153" i="9" s="1"/>
  <c r="E134" i="9"/>
  <c r="R134" i="9" s="1"/>
  <c r="E133" i="9"/>
  <c r="R133" i="9" s="1"/>
  <c r="D163" i="9"/>
  <c r="Q163" i="9" s="1"/>
  <c r="AA133" i="9"/>
  <c r="F149" i="9"/>
  <c r="S149" i="9" s="1"/>
  <c r="E162" i="9"/>
  <c r="R162" i="9" s="1"/>
  <c r="F156" i="9"/>
  <c r="S156" i="9" s="1"/>
  <c r="E136" i="9"/>
  <c r="R136" i="9" s="1"/>
  <c r="Y162" i="9"/>
  <c r="Y156" i="9"/>
  <c r="AA150" i="9"/>
  <c r="F165" i="9"/>
  <c r="S165" i="9" s="1"/>
  <c r="F134" i="9"/>
  <c r="S134" i="9" s="1"/>
  <c r="F136" i="9"/>
  <c r="S136" i="9" s="1"/>
  <c r="E135" i="9"/>
  <c r="R135" i="9" s="1"/>
  <c r="AA161" i="9"/>
  <c r="AA167" i="9"/>
  <c r="AA151" i="9"/>
  <c r="AA141" i="9"/>
  <c r="Y148" i="9"/>
  <c r="D141" i="9"/>
  <c r="Q141" i="9" s="1"/>
  <c r="F161" i="9"/>
  <c r="S161" i="9" s="1"/>
  <c r="W164" i="9"/>
  <c r="D149" i="9"/>
  <c r="Q149" i="9" s="1"/>
  <c r="E151" i="9"/>
  <c r="R151" i="9" s="1"/>
  <c r="Y155" i="9"/>
  <c r="F146" i="9"/>
  <c r="S146" i="9" s="1"/>
  <c r="AA135" i="9"/>
  <c r="D148" i="9"/>
  <c r="Q148" i="9" s="1"/>
  <c r="E131" i="9"/>
  <c r="R131" i="9" s="1"/>
  <c r="W137" i="9"/>
  <c r="Y135" i="9"/>
  <c r="F148" i="9"/>
  <c r="S148" i="9" s="1"/>
  <c r="D131" i="9"/>
  <c r="Q131" i="9" s="1"/>
  <c r="Y131" i="9"/>
  <c r="Y157" i="9"/>
  <c r="W165" i="9"/>
  <c r="AA162" i="9"/>
  <c r="AA136" i="9"/>
  <c r="F150" i="9"/>
  <c r="S150" i="9" s="1"/>
  <c r="F155" i="9"/>
  <c r="S155" i="9" s="1"/>
  <c r="E156" i="9"/>
  <c r="R156" i="9" s="1"/>
  <c r="E141" i="9"/>
  <c r="R141" i="9" s="1"/>
  <c r="AA137" i="9"/>
  <c r="E167" i="9"/>
  <c r="R167" i="9" s="1"/>
  <c r="F162" i="9"/>
  <c r="S162" i="9" s="1"/>
  <c r="D136" i="9"/>
  <c r="Q136" i="9" s="1"/>
  <c r="W144" i="9"/>
  <c r="D146" i="9"/>
  <c r="Q146" i="9" s="1"/>
  <c r="E164" i="9"/>
  <c r="R164" i="9" s="1"/>
  <c r="Y136" i="9"/>
  <c r="W134" i="9"/>
  <c r="D133" i="9"/>
  <c r="Q133" i="9" s="1"/>
  <c r="F133" i="9"/>
  <c r="S133" i="9" s="1"/>
  <c r="D164" i="9"/>
  <c r="Q164" i="9" s="1"/>
  <c r="D150" i="9"/>
  <c r="Q150" i="9" s="1"/>
  <c r="W155" i="9"/>
  <c r="F167" i="9"/>
  <c r="S167" i="9" s="1"/>
  <c r="F164" i="9"/>
  <c r="S164" i="9" s="1"/>
  <c r="E137" i="9"/>
  <c r="R137" i="9" s="1"/>
  <c r="D167" i="9"/>
  <c r="Q167" i="9" s="1"/>
  <c r="AA164" i="9"/>
  <c r="F137" i="9"/>
  <c r="S137" i="9" s="1"/>
  <c r="W141" i="9"/>
  <c r="Y167" i="9"/>
  <c r="AA146" i="9"/>
  <c r="Y137" i="9"/>
  <c r="W160" i="9"/>
  <c r="W146" i="9"/>
  <c r="E146" i="9"/>
  <c r="R146" i="9" s="1"/>
  <c r="AA160" i="9"/>
  <c r="E142" i="9"/>
  <c r="R142" i="9" s="1"/>
  <c r="E145" i="9"/>
  <c r="R145" i="9" s="1"/>
  <c r="E140" i="9"/>
  <c r="R140" i="9" s="1"/>
  <c r="AA140" i="9"/>
  <c r="D143" i="9"/>
  <c r="Q143" i="9" s="1"/>
  <c r="F143" i="9"/>
  <c r="S143" i="9" s="1"/>
  <c r="D156" i="9"/>
  <c r="Q156" i="9" s="1"/>
  <c r="Y150" i="9"/>
  <c r="AA134" i="9"/>
  <c r="W156" i="9"/>
  <c r="AA155" i="9"/>
  <c r="Y143" i="9"/>
  <c r="E150" i="9"/>
  <c r="R150" i="9" s="1"/>
  <c r="AA143" i="9"/>
  <c r="W143" i="9"/>
  <c r="E155" i="9"/>
  <c r="R155" i="9" s="1"/>
  <c r="W153" i="9"/>
  <c r="Y163" i="9"/>
  <c r="AA166" i="9"/>
  <c r="E149" i="9"/>
  <c r="R149" i="9" s="1"/>
  <c r="W157" i="9"/>
  <c r="AA157" i="9"/>
  <c r="F157" i="9"/>
  <c r="S157" i="9" s="1"/>
  <c r="F153" i="9"/>
  <c r="S153" i="9" s="1"/>
  <c r="W163" i="9"/>
  <c r="AA153" i="9"/>
  <c r="AA163" i="9"/>
  <c r="F166" i="9"/>
  <c r="S166" i="9" s="1"/>
  <c r="Y149" i="9"/>
  <c r="W159" i="9"/>
  <c r="E153" i="9"/>
  <c r="R153" i="9" s="1"/>
  <c r="E163" i="9"/>
  <c r="R163" i="9" s="1"/>
  <c r="W166" i="9"/>
  <c r="AA149" i="9"/>
  <c r="E157" i="9"/>
  <c r="R157" i="9" s="1"/>
  <c r="D140" i="9"/>
  <c r="Q140" i="9" s="1"/>
  <c r="D142" i="9"/>
  <c r="Q142" i="9" s="1"/>
  <c r="E169" i="9"/>
  <c r="R169" i="9" s="1"/>
  <c r="AA145" i="9"/>
  <c r="Y145" i="9"/>
  <c r="W140" i="9"/>
  <c r="F169" i="9"/>
  <c r="S169" i="9" s="1"/>
  <c r="Y169" i="9"/>
  <c r="D145" i="9"/>
  <c r="Q145" i="9" s="1"/>
  <c r="F142" i="9"/>
  <c r="S142" i="9" s="1"/>
  <c r="D169" i="9"/>
  <c r="Q169" i="9" s="1"/>
  <c r="F140" i="9"/>
  <c r="S140" i="9" s="1"/>
  <c r="W145" i="9"/>
  <c r="AA169" i="9"/>
  <c r="F158" i="9"/>
  <c r="S158" i="9" s="1"/>
  <c r="F159" i="9"/>
  <c r="S159" i="9" s="1"/>
  <c r="AA152" i="9"/>
  <c r="E139" i="9"/>
  <c r="R139" i="9" s="1"/>
  <c r="AA159" i="9"/>
  <c r="Y159" i="9"/>
  <c r="E158" i="9"/>
  <c r="R158" i="9" s="1"/>
  <c r="F139" i="9"/>
  <c r="S139" i="9" s="1"/>
  <c r="AA158" i="9"/>
  <c r="D152" i="9"/>
  <c r="Q152" i="9" s="1"/>
  <c r="D139" i="9"/>
  <c r="Q139" i="9" s="1"/>
  <c r="E159" i="9"/>
  <c r="R159" i="9" s="1"/>
  <c r="W152" i="9"/>
  <c r="Y139" i="9"/>
  <c r="W158" i="9"/>
  <c r="F152" i="9"/>
  <c r="S152" i="9" s="1"/>
  <c r="Y152" i="9"/>
  <c r="W139" i="9"/>
  <c r="Y158" i="9"/>
  <c r="AA142" i="9"/>
  <c r="W142" i="9"/>
  <c r="D168" i="9"/>
  <c r="Q168" i="9" s="1"/>
  <c r="AA165" i="9"/>
  <c r="F160" i="9"/>
  <c r="S160" i="9" s="1"/>
  <c r="E144" i="9"/>
  <c r="R144" i="9" s="1"/>
  <c r="W168" i="9"/>
  <c r="E165" i="9"/>
  <c r="R165" i="9" s="1"/>
  <c r="Y134" i="9"/>
  <c r="AA168" i="9"/>
  <c r="D165" i="9"/>
  <c r="Q165" i="9" s="1"/>
  <c r="F144" i="9"/>
  <c r="S144" i="9" s="1"/>
  <c r="AA144" i="9"/>
  <c r="E168" i="9"/>
  <c r="R168" i="9" s="1"/>
  <c r="E160" i="9"/>
  <c r="R160" i="9" s="1"/>
  <c r="Y168" i="9"/>
  <c r="D160" i="9"/>
  <c r="Q160" i="9" s="1"/>
  <c r="Y144" i="9"/>
  <c r="AE170" i="9"/>
  <c r="AE172" i="9" s="1"/>
  <c r="D138" i="9"/>
  <c r="Q138" i="9" s="1"/>
  <c r="D147" i="9"/>
  <c r="Q147" i="9" s="1"/>
  <c r="W147" i="9"/>
  <c r="Y147" i="9"/>
  <c r="E138" i="9"/>
  <c r="R138" i="9" s="1"/>
  <c r="F147" i="9"/>
  <c r="S147" i="9" s="1"/>
  <c r="F154" i="9"/>
  <c r="S154" i="9" s="1"/>
  <c r="F138" i="9"/>
  <c r="S138" i="9" s="1"/>
  <c r="E147" i="9"/>
  <c r="R147" i="9" s="1"/>
  <c r="AA138" i="9"/>
  <c r="W154" i="9"/>
  <c r="AA154" i="9"/>
  <c r="Y138" i="9"/>
  <c r="E154" i="9"/>
  <c r="R154" i="9" s="1"/>
  <c r="D154" i="9"/>
  <c r="Q154" i="9" s="1"/>
  <c r="CQ170" i="9"/>
  <c r="CQ171" i="9" s="1"/>
  <c r="CR222" i="12"/>
  <c r="CR221" i="12" s="1"/>
  <c r="AB180" i="9"/>
  <c r="CI222" i="12"/>
  <c r="CI212" i="12"/>
  <c r="CI213" i="12"/>
  <c r="CI214" i="12"/>
  <c r="CI215" i="12"/>
  <c r="CI216" i="12"/>
  <c r="CI217" i="12"/>
  <c r="CI218" i="12"/>
  <c r="CI219" i="12"/>
  <c r="BI222" i="12"/>
  <c r="BI186" i="12"/>
  <c r="BI187" i="12"/>
  <c r="BI188" i="12"/>
  <c r="BI189" i="12"/>
  <c r="BI190" i="12"/>
  <c r="BI191" i="12"/>
  <c r="BI192" i="12"/>
  <c r="BI193" i="12"/>
  <c r="BI194" i="12"/>
  <c r="BI195" i="12"/>
  <c r="BI196" i="12"/>
  <c r="BI197" i="12"/>
  <c r="BI198" i="12"/>
  <c r="BI199" i="12"/>
  <c r="BI200" i="12"/>
  <c r="BI201" i="12"/>
  <c r="BI202" i="12"/>
  <c r="BI203" i="12"/>
  <c r="BI204" i="12"/>
  <c r="BI205" i="12"/>
  <c r="BI206" i="12"/>
  <c r="BI207" i="12"/>
  <c r="BI208" i="12"/>
  <c r="BI209" i="12"/>
  <c r="BI210" i="12"/>
  <c r="BI211" i="12"/>
  <c r="BI212" i="12"/>
  <c r="BI213" i="12"/>
  <c r="BI214" i="12"/>
  <c r="BI215" i="12"/>
  <c r="BI216" i="12"/>
  <c r="BI217" i="12"/>
  <c r="BI218" i="12"/>
  <c r="BI219" i="12"/>
  <c r="BK222" i="12"/>
  <c r="BK188" i="12"/>
  <c r="BK189" i="12"/>
  <c r="BK190" i="12"/>
  <c r="BK191" i="12"/>
  <c r="BK192" i="12"/>
  <c r="BK193" i="12"/>
  <c r="BK194" i="12"/>
  <c r="BK195" i="12"/>
  <c r="BK196" i="12"/>
  <c r="BK197" i="12"/>
  <c r="BK198" i="12"/>
  <c r="BK199" i="12"/>
  <c r="BK200" i="12"/>
  <c r="BK201" i="12"/>
  <c r="BK202" i="12"/>
  <c r="BK203" i="12"/>
  <c r="BK204" i="12"/>
  <c r="BK205" i="12"/>
  <c r="BK206" i="12"/>
  <c r="BK207" i="12"/>
  <c r="BK208" i="12"/>
  <c r="BK209" i="12"/>
  <c r="BK210" i="12"/>
  <c r="BK211" i="12"/>
  <c r="BK212" i="12"/>
  <c r="BK213" i="12"/>
  <c r="BK214" i="12"/>
  <c r="BK215" i="12"/>
  <c r="BK216" i="12"/>
  <c r="BK217" i="12"/>
  <c r="BK218" i="12"/>
  <c r="BK219" i="12"/>
  <c r="CD222" i="12"/>
  <c r="CD207" i="12"/>
  <c r="CD208" i="12"/>
  <c r="CD209" i="12"/>
  <c r="CD210" i="12"/>
  <c r="CD211" i="12"/>
  <c r="CD212" i="12"/>
  <c r="CD213" i="12"/>
  <c r="CD214" i="12"/>
  <c r="CD215" i="12"/>
  <c r="CD216" i="12"/>
  <c r="CD217" i="12"/>
  <c r="CD218" i="12"/>
  <c r="CD219" i="12"/>
  <c r="BG222" i="12"/>
  <c r="BG184" i="12"/>
  <c r="BG185" i="12"/>
  <c r="BG186" i="12"/>
  <c r="BG187" i="12"/>
  <c r="BG188" i="12"/>
  <c r="BG189" i="12"/>
  <c r="BG190" i="12"/>
  <c r="BG191" i="12"/>
  <c r="BG192" i="12"/>
  <c r="BG193" i="12"/>
  <c r="BG194" i="12"/>
  <c r="BG195" i="12"/>
  <c r="BG196" i="12"/>
  <c r="BG197" i="12"/>
  <c r="BG198" i="12"/>
  <c r="BG199" i="12"/>
  <c r="BG200" i="12"/>
  <c r="BG201" i="12"/>
  <c r="BG202" i="12"/>
  <c r="BG203" i="12"/>
  <c r="BG204" i="12"/>
  <c r="BG205" i="12"/>
  <c r="BG206" i="12"/>
  <c r="BG207" i="12"/>
  <c r="BG208" i="12"/>
  <c r="BG209" i="12"/>
  <c r="BG210" i="12"/>
  <c r="BG211" i="12"/>
  <c r="BG212" i="12"/>
  <c r="BG213" i="12"/>
  <c r="BG214" i="12"/>
  <c r="BG215" i="12"/>
  <c r="BG216" i="12"/>
  <c r="BG217" i="12"/>
  <c r="BG218" i="12"/>
  <c r="BG219" i="12"/>
  <c r="CP222" i="12"/>
  <c r="CP219" i="12"/>
  <c r="CP220" i="12" s="1"/>
  <c r="CB222" i="12"/>
  <c r="CB205" i="12"/>
  <c r="CB206" i="12"/>
  <c r="CB207" i="12"/>
  <c r="CB208" i="12"/>
  <c r="CB209" i="12"/>
  <c r="CB210" i="12"/>
  <c r="CB211" i="12"/>
  <c r="CB212" i="12"/>
  <c r="CB213" i="12"/>
  <c r="CB214" i="12"/>
  <c r="CB215" i="12"/>
  <c r="CB216" i="12"/>
  <c r="CB217" i="12"/>
  <c r="CB218" i="12"/>
  <c r="CB219" i="12"/>
  <c r="BZ222" i="12"/>
  <c r="BZ203" i="12"/>
  <c r="BZ204" i="12"/>
  <c r="BZ205" i="12"/>
  <c r="BZ206" i="12"/>
  <c r="BZ207" i="12"/>
  <c r="BZ208" i="12"/>
  <c r="BZ209" i="12"/>
  <c r="BZ210" i="12"/>
  <c r="BZ211" i="12"/>
  <c r="BZ212" i="12"/>
  <c r="BZ213" i="12"/>
  <c r="BZ214" i="12"/>
  <c r="BZ215" i="12"/>
  <c r="BZ216" i="12"/>
  <c r="BZ217" i="12"/>
  <c r="BZ218" i="12"/>
  <c r="BZ219" i="12"/>
  <c r="BP222" i="12"/>
  <c r="BP193" i="12"/>
  <c r="BP194" i="12"/>
  <c r="BP195" i="12"/>
  <c r="BP196" i="12"/>
  <c r="BP197" i="12"/>
  <c r="BP198" i="12"/>
  <c r="BP199" i="12"/>
  <c r="BP200" i="12"/>
  <c r="BP201" i="12"/>
  <c r="BP202" i="12"/>
  <c r="BP203" i="12"/>
  <c r="BP204" i="12"/>
  <c r="BP205" i="12"/>
  <c r="BP206" i="12"/>
  <c r="BP207" i="12"/>
  <c r="BP208" i="12"/>
  <c r="BP209" i="12"/>
  <c r="BP210" i="12"/>
  <c r="BP211" i="12"/>
  <c r="BP212" i="12"/>
  <c r="BP213" i="12"/>
  <c r="BP214" i="12"/>
  <c r="BP215" i="12"/>
  <c r="BP216" i="12"/>
  <c r="BP217" i="12"/>
  <c r="BP218" i="12"/>
  <c r="BP219" i="12"/>
  <c r="CF222" i="12"/>
  <c r="CF209" i="12"/>
  <c r="CF210" i="12"/>
  <c r="CF211" i="12"/>
  <c r="CF212" i="12"/>
  <c r="CF213" i="12"/>
  <c r="CF214" i="12"/>
  <c r="CF215" i="12"/>
  <c r="CF216" i="12"/>
  <c r="CF217" i="12"/>
  <c r="CF218" i="12"/>
  <c r="CF219" i="12"/>
  <c r="CL222" i="12"/>
  <c r="CL215" i="12"/>
  <c r="CL216" i="12"/>
  <c r="CL217" i="12"/>
  <c r="CL218" i="12"/>
  <c r="CL219" i="12"/>
  <c r="BN222" i="12"/>
  <c r="BN191" i="12"/>
  <c r="BN192" i="12"/>
  <c r="BN193" i="12"/>
  <c r="BN194" i="12"/>
  <c r="BN195" i="12"/>
  <c r="BN196" i="12"/>
  <c r="BN197" i="12"/>
  <c r="BN198" i="12"/>
  <c r="BN199" i="12"/>
  <c r="BN200" i="12"/>
  <c r="BN201" i="12"/>
  <c r="BN202" i="12"/>
  <c r="BN203" i="12"/>
  <c r="BN204" i="12"/>
  <c r="BN205" i="12"/>
  <c r="BN206" i="12"/>
  <c r="BN207" i="12"/>
  <c r="BN208" i="12"/>
  <c r="BN209" i="12"/>
  <c r="BN210" i="12"/>
  <c r="BN211" i="12"/>
  <c r="BN212" i="12"/>
  <c r="BN213" i="12"/>
  <c r="BN214" i="12"/>
  <c r="BN215" i="12"/>
  <c r="BN216" i="12"/>
  <c r="BN217" i="12"/>
  <c r="BN218" i="12"/>
  <c r="BN219" i="12"/>
  <c r="BB222" i="12"/>
  <c r="BB179" i="12"/>
  <c r="BB180" i="12"/>
  <c r="BB181" i="12"/>
  <c r="BB182" i="12"/>
  <c r="BB183" i="12"/>
  <c r="BB184" i="12"/>
  <c r="BB185" i="12"/>
  <c r="BB186" i="12"/>
  <c r="BB187" i="12"/>
  <c r="BB188" i="12"/>
  <c r="BB189" i="12"/>
  <c r="BB190" i="12"/>
  <c r="BB191" i="12"/>
  <c r="BB192" i="12"/>
  <c r="BB193" i="12"/>
  <c r="BB194" i="12"/>
  <c r="BB195" i="12"/>
  <c r="BB196" i="12"/>
  <c r="BB197" i="12"/>
  <c r="BB198" i="12"/>
  <c r="BB199" i="12"/>
  <c r="BB200" i="12"/>
  <c r="BB201" i="12"/>
  <c r="BB202" i="12"/>
  <c r="BB203" i="12"/>
  <c r="BB204" i="12"/>
  <c r="BB205" i="12"/>
  <c r="BB206" i="12"/>
  <c r="BB207" i="12"/>
  <c r="BB208" i="12"/>
  <c r="BB209" i="12"/>
  <c r="BB210" i="12"/>
  <c r="BB211" i="12"/>
  <c r="BB212" i="12"/>
  <c r="BB213" i="12"/>
  <c r="BB214" i="12"/>
  <c r="BB215" i="12"/>
  <c r="BB216" i="12"/>
  <c r="BB217" i="12"/>
  <c r="BB218" i="12"/>
  <c r="BB219" i="12"/>
  <c r="BV222" i="12"/>
  <c r="BV199" i="12"/>
  <c r="BV200" i="12"/>
  <c r="BV201" i="12"/>
  <c r="BV202" i="12"/>
  <c r="BV203" i="12"/>
  <c r="BV204" i="12"/>
  <c r="BV205" i="12"/>
  <c r="BV206" i="12"/>
  <c r="BV207" i="12"/>
  <c r="BV208" i="12"/>
  <c r="BV209" i="12"/>
  <c r="BV210" i="12"/>
  <c r="BV211" i="12"/>
  <c r="BV212" i="12"/>
  <c r="BV213" i="12"/>
  <c r="BV214" i="12"/>
  <c r="BV215" i="12"/>
  <c r="BV216" i="12"/>
  <c r="BV217" i="12"/>
  <c r="BV218" i="12"/>
  <c r="BV219" i="12"/>
  <c r="BX222" i="12"/>
  <c r="BX201" i="12"/>
  <c r="BX202" i="12"/>
  <c r="BX203" i="12"/>
  <c r="BX204" i="12"/>
  <c r="BX205" i="12"/>
  <c r="BX206" i="12"/>
  <c r="BX207" i="12"/>
  <c r="BX208" i="12"/>
  <c r="BX209" i="12"/>
  <c r="BX210" i="12"/>
  <c r="BX211" i="12"/>
  <c r="BX212" i="12"/>
  <c r="BX213" i="12"/>
  <c r="BX214" i="12"/>
  <c r="BX215" i="12"/>
  <c r="BX216" i="12"/>
  <c r="BX217" i="12"/>
  <c r="BX218" i="12"/>
  <c r="BX219" i="12"/>
  <c r="BY222" i="12"/>
  <c r="BY202" i="12"/>
  <c r="BY203" i="12"/>
  <c r="BY204" i="12"/>
  <c r="BY205" i="12"/>
  <c r="BY206" i="12"/>
  <c r="BY207" i="12"/>
  <c r="BY208" i="12"/>
  <c r="BY209" i="12"/>
  <c r="BY210" i="12"/>
  <c r="BY211" i="12"/>
  <c r="BY212" i="12"/>
  <c r="BY213" i="12"/>
  <c r="BY214" i="12"/>
  <c r="BY215" i="12"/>
  <c r="BY216" i="12"/>
  <c r="BY217" i="12"/>
  <c r="BY218" i="12"/>
  <c r="BY219" i="12"/>
  <c r="CA222" i="12"/>
  <c r="CA204" i="12"/>
  <c r="CA205" i="12"/>
  <c r="CA206" i="12"/>
  <c r="CA207" i="12"/>
  <c r="CA208" i="12"/>
  <c r="CA209" i="12"/>
  <c r="CA210" i="12"/>
  <c r="CA211" i="12"/>
  <c r="CA212" i="12"/>
  <c r="CA213" i="12"/>
  <c r="CA214" i="12"/>
  <c r="CA215" i="12"/>
  <c r="CA216" i="12"/>
  <c r="CA217" i="12"/>
  <c r="CA218" i="12"/>
  <c r="CA219" i="12"/>
  <c r="CJ226" i="12"/>
  <c r="BS226" i="12"/>
  <c r="BB226" i="12"/>
  <c r="CN226" i="12"/>
  <c r="BX226" i="12"/>
  <c r="CB226" i="12"/>
  <c r="BK226" i="12"/>
  <c r="CL226" i="12"/>
  <c r="BQ226" i="12"/>
  <c r="CE226" i="12"/>
  <c r="CK226" i="12"/>
  <c r="BT226" i="12"/>
  <c r="BC226" i="12"/>
  <c r="CD226" i="12"/>
  <c r="CM226" i="12"/>
  <c r="BY226" i="12"/>
  <c r="CC226" i="12"/>
  <c r="BL226" i="12"/>
  <c r="CP226" i="12"/>
  <c r="BV226" i="12"/>
  <c r="BP226" i="12"/>
  <c r="BH226" i="12"/>
  <c r="CQ226" i="12"/>
  <c r="BZ226" i="12"/>
  <c r="BF226" i="12"/>
  <c r="BO226" i="12"/>
  <c r="BU226" i="12"/>
  <c r="BD226" i="12"/>
  <c r="CH226" i="12"/>
  <c r="BN226" i="12"/>
  <c r="CG226" i="12"/>
  <c r="BG226" i="12"/>
  <c r="BM226" i="12"/>
  <c r="BE226" i="12"/>
  <c r="CI226" i="12"/>
  <c r="BR226" i="12"/>
  <c r="CO226" i="12"/>
  <c r="CF226" i="12"/>
  <c r="CR226" i="12"/>
  <c r="CA226" i="12"/>
  <c r="BJ226" i="12"/>
  <c r="BW226" i="12"/>
  <c r="BI226" i="12"/>
  <c r="CG222" i="12"/>
  <c r="CG210" i="12"/>
  <c r="CG211" i="12"/>
  <c r="CG212" i="12"/>
  <c r="CG213" i="12"/>
  <c r="CG214" i="12"/>
  <c r="CG215" i="12"/>
  <c r="CG216" i="12"/>
  <c r="CG217" i="12"/>
  <c r="CG218" i="12"/>
  <c r="CG219" i="12"/>
  <c r="CO222" i="12"/>
  <c r="CO218" i="12"/>
  <c r="CO219" i="12"/>
  <c r="BH222" i="12"/>
  <c r="BH185" i="12"/>
  <c r="BH186" i="12"/>
  <c r="BH187" i="12"/>
  <c r="BH188" i="12"/>
  <c r="BH189" i="12"/>
  <c r="BH190" i="12"/>
  <c r="BH191" i="12"/>
  <c r="BH192" i="12"/>
  <c r="BH193" i="12"/>
  <c r="BH194" i="12"/>
  <c r="BH195" i="12"/>
  <c r="BH196" i="12"/>
  <c r="BH197" i="12"/>
  <c r="BH198" i="12"/>
  <c r="BH199" i="12"/>
  <c r="BH200" i="12"/>
  <c r="BH201" i="12"/>
  <c r="BH202" i="12"/>
  <c r="BH203" i="12"/>
  <c r="BH204" i="12"/>
  <c r="BH205" i="12"/>
  <c r="BH206" i="12"/>
  <c r="BH207" i="12"/>
  <c r="BH208" i="12"/>
  <c r="BH209" i="12"/>
  <c r="BH210" i="12"/>
  <c r="BH211" i="12"/>
  <c r="BH212" i="12"/>
  <c r="BH213" i="12"/>
  <c r="BH214" i="12"/>
  <c r="BH215" i="12"/>
  <c r="BH216" i="12"/>
  <c r="BH217" i="12"/>
  <c r="BH218" i="12"/>
  <c r="BH219" i="12"/>
  <c r="BC222" i="12"/>
  <c r="BC180" i="12"/>
  <c r="BC181" i="12"/>
  <c r="BC182" i="12"/>
  <c r="BC183" i="12"/>
  <c r="BC184" i="12"/>
  <c r="BC185" i="12"/>
  <c r="BC186" i="12"/>
  <c r="BC187" i="12"/>
  <c r="BC188" i="12"/>
  <c r="BC189" i="12"/>
  <c r="BC190" i="12"/>
  <c r="BC191" i="12"/>
  <c r="BC192" i="12"/>
  <c r="BC193" i="12"/>
  <c r="BC194" i="12"/>
  <c r="BC195" i="12"/>
  <c r="BC196" i="12"/>
  <c r="BC197" i="12"/>
  <c r="BC198" i="12"/>
  <c r="BC199" i="12"/>
  <c r="BC200" i="12"/>
  <c r="BC201" i="12"/>
  <c r="BC202" i="12"/>
  <c r="BC203" i="12"/>
  <c r="BC204" i="12"/>
  <c r="BC205" i="12"/>
  <c r="BC206" i="12"/>
  <c r="BC207" i="12"/>
  <c r="BC208" i="12"/>
  <c r="BC209" i="12"/>
  <c r="BC210" i="12"/>
  <c r="BC211" i="12"/>
  <c r="BC212" i="12"/>
  <c r="BC213" i="12"/>
  <c r="BC214" i="12"/>
  <c r="BC215" i="12"/>
  <c r="BC216" i="12"/>
  <c r="BC217" i="12"/>
  <c r="BC218" i="12"/>
  <c r="BC219" i="12"/>
  <c r="BL222" i="12"/>
  <c r="BL189" i="12"/>
  <c r="BL190" i="12"/>
  <c r="BL191" i="12"/>
  <c r="BL192" i="12"/>
  <c r="BL193" i="12"/>
  <c r="BL194" i="12"/>
  <c r="BL195" i="12"/>
  <c r="BL196" i="12"/>
  <c r="BL197" i="12"/>
  <c r="BL198" i="12"/>
  <c r="BL199" i="12"/>
  <c r="BL200" i="12"/>
  <c r="BL201" i="12"/>
  <c r="BL202" i="12"/>
  <c r="BL203" i="12"/>
  <c r="BL204" i="12"/>
  <c r="BL205" i="12"/>
  <c r="BL206" i="12"/>
  <c r="BL207" i="12"/>
  <c r="BL208" i="12"/>
  <c r="BL209" i="12"/>
  <c r="BL210" i="12"/>
  <c r="BL211" i="12"/>
  <c r="BL212" i="12"/>
  <c r="BL213" i="12"/>
  <c r="BL214" i="12"/>
  <c r="BL215" i="12"/>
  <c r="BL216" i="12"/>
  <c r="BL217" i="12"/>
  <c r="BL218" i="12"/>
  <c r="BL219" i="12"/>
  <c r="BW222" i="12"/>
  <c r="BW200" i="12"/>
  <c r="BW201" i="12"/>
  <c r="BW202" i="12"/>
  <c r="BW203" i="12"/>
  <c r="BW204" i="12"/>
  <c r="BW205" i="12"/>
  <c r="BW206" i="12"/>
  <c r="BW207" i="12"/>
  <c r="BW208" i="12"/>
  <c r="BW209" i="12"/>
  <c r="BW210" i="12"/>
  <c r="BW211" i="12"/>
  <c r="BW212" i="12"/>
  <c r="BW213" i="12"/>
  <c r="BW214" i="12"/>
  <c r="BW215" i="12"/>
  <c r="BW216" i="12"/>
  <c r="BW217" i="12"/>
  <c r="BW218" i="12"/>
  <c r="BW219" i="12"/>
  <c r="BJ222" i="12"/>
  <c r="BJ187" i="12"/>
  <c r="BJ188" i="12"/>
  <c r="BJ189" i="12"/>
  <c r="BJ190" i="12"/>
  <c r="BJ191" i="12"/>
  <c r="BJ192" i="12"/>
  <c r="BJ193" i="12"/>
  <c r="BJ194" i="12"/>
  <c r="BJ195" i="12"/>
  <c r="BJ196" i="12"/>
  <c r="BJ197" i="12"/>
  <c r="BJ198" i="12"/>
  <c r="BJ199" i="12"/>
  <c r="BJ200" i="12"/>
  <c r="BJ201" i="12"/>
  <c r="BJ202" i="12"/>
  <c r="BJ203" i="12"/>
  <c r="BJ204" i="12"/>
  <c r="BJ205" i="12"/>
  <c r="BJ206" i="12"/>
  <c r="BJ207" i="12"/>
  <c r="BJ208" i="12"/>
  <c r="BJ209" i="12"/>
  <c r="BJ210" i="12"/>
  <c r="BJ211" i="12"/>
  <c r="BJ212" i="12"/>
  <c r="BJ213" i="12"/>
  <c r="BJ214" i="12"/>
  <c r="BJ215" i="12"/>
  <c r="BJ216" i="12"/>
  <c r="BJ217" i="12"/>
  <c r="BJ218" i="12"/>
  <c r="BJ219" i="12"/>
  <c r="BT222" i="12"/>
  <c r="BT197" i="12"/>
  <c r="BT198" i="12"/>
  <c r="BT199" i="12"/>
  <c r="BT200" i="12"/>
  <c r="BT201" i="12"/>
  <c r="BT202" i="12"/>
  <c r="BT203" i="12"/>
  <c r="BT204" i="12"/>
  <c r="BT205" i="12"/>
  <c r="BT206" i="12"/>
  <c r="BT207" i="12"/>
  <c r="BT208" i="12"/>
  <c r="BT209" i="12"/>
  <c r="BT210" i="12"/>
  <c r="BT211" i="12"/>
  <c r="BT212" i="12"/>
  <c r="BT213" i="12"/>
  <c r="BT214" i="12"/>
  <c r="BT215" i="12"/>
  <c r="BT216" i="12"/>
  <c r="BT217" i="12"/>
  <c r="BT218" i="12"/>
  <c r="BT219" i="12"/>
  <c r="CJ222" i="12"/>
  <c r="CJ213" i="12"/>
  <c r="CJ214" i="12"/>
  <c r="CJ215" i="12"/>
  <c r="CJ216" i="12"/>
  <c r="CJ217" i="12"/>
  <c r="CJ218" i="12"/>
  <c r="CJ219" i="12"/>
  <c r="CS176" i="12"/>
  <c r="CS222" i="12" s="1"/>
  <c r="CQ222" i="12"/>
  <c r="BS222" i="12"/>
  <c r="BS196" i="12"/>
  <c r="BS197" i="12"/>
  <c r="BS198" i="12"/>
  <c r="BS199" i="12"/>
  <c r="BS200" i="12"/>
  <c r="BS201" i="12"/>
  <c r="BS202" i="12"/>
  <c r="BS203" i="12"/>
  <c r="BS204" i="12"/>
  <c r="BS205" i="12"/>
  <c r="BS206" i="12"/>
  <c r="BS207" i="12"/>
  <c r="BS208" i="12"/>
  <c r="BS209" i="12"/>
  <c r="BS210" i="12"/>
  <c r="BS211" i="12"/>
  <c r="BS212" i="12"/>
  <c r="BS213" i="12"/>
  <c r="BS214" i="12"/>
  <c r="BS215" i="12"/>
  <c r="BS216" i="12"/>
  <c r="BS217" i="12"/>
  <c r="BS218" i="12"/>
  <c r="BS219" i="12"/>
  <c r="CC222" i="12"/>
  <c r="CC206" i="12"/>
  <c r="CC207" i="12"/>
  <c r="CC208" i="12"/>
  <c r="CC209" i="12"/>
  <c r="CC210" i="12"/>
  <c r="CC211" i="12"/>
  <c r="CC212" i="12"/>
  <c r="CC213" i="12"/>
  <c r="CC214" i="12"/>
  <c r="CC215" i="12"/>
  <c r="CC216" i="12"/>
  <c r="CC217" i="12"/>
  <c r="CC218" i="12"/>
  <c r="CC219" i="12"/>
  <c r="BF222" i="12"/>
  <c r="BF183" i="12"/>
  <c r="BF184" i="12"/>
  <c r="BF185" i="12"/>
  <c r="BF186" i="12"/>
  <c r="BF187" i="12"/>
  <c r="BF188" i="12"/>
  <c r="BF189" i="12"/>
  <c r="BF190" i="12"/>
  <c r="BF191" i="12"/>
  <c r="BF192" i="12"/>
  <c r="BF193" i="12"/>
  <c r="BF194" i="12"/>
  <c r="BF195" i="12"/>
  <c r="BF196" i="12"/>
  <c r="BF197" i="12"/>
  <c r="BF198" i="12"/>
  <c r="BF199" i="12"/>
  <c r="BF200" i="12"/>
  <c r="BF201" i="12"/>
  <c r="BF202" i="12"/>
  <c r="BF203" i="12"/>
  <c r="BF204" i="12"/>
  <c r="BF205" i="12"/>
  <c r="BF206" i="12"/>
  <c r="BF207" i="12"/>
  <c r="BF208" i="12"/>
  <c r="BF209" i="12"/>
  <c r="BF210" i="12"/>
  <c r="BF211" i="12"/>
  <c r="BF212" i="12"/>
  <c r="BF213" i="12"/>
  <c r="BF214" i="12"/>
  <c r="BF215" i="12"/>
  <c r="BF216" i="12"/>
  <c r="BF217" i="12"/>
  <c r="BF218" i="12"/>
  <c r="BF219" i="12"/>
  <c r="CE222" i="12"/>
  <c r="CE208" i="12"/>
  <c r="CE209" i="12"/>
  <c r="CE210" i="12"/>
  <c r="CE211" i="12"/>
  <c r="CE212" i="12"/>
  <c r="CE213" i="12"/>
  <c r="CE214" i="12"/>
  <c r="CE215" i="12"/>
  <c r="CE216" i="12"/>
  <c r="CE217" i="12"/>
  <c r="CE218" i="12"/>
  <c r="CE219" i="12"/>
  <c r="BQ222" i="12"/>
  <c r="BQ194" i="12"/>
  <c r="BQ195" i="12"/>
  <c r="BQ196" i="12"/>
  <c r="BQ197" i="12"/>
  <c r="BQ198" i="12"/>
  <c r="BQ199" i="12"/>
  <c r="BQ200" i="12"/>
  <c r="BQ201" i="12"/>
  <c r="BQ202" i="12"/>
  <c r="BQ203" i="12"/>
  <c r="BQ204" i="12"/>
  <c r="BQ205" i="12"/>
  <c r="BQ206" i="12"/>
  <c r="BQ207" i="12"/>
  <c r="BQ208" i="12"/>
  <c r="BQ209" i="12"/>
  <c r="BQ210" i="12"/>
  <c r="BQ211" i="12"/>
  <c r="BQ212" i="12"/>
  <c r="BQ213" i="12"/>
  <c r="BQ214" i="12"/>
  <c r="BQ215" i="12"/>
  <c r="BQ216" i="12"/>
  <c r="BQ217" i="12"/>
  <c r="BQ218" i="12"/>
  <c r="BQ219" i="12"/>
  <c r="CH222" i="12"/>
  <c r="CH211" i="12"/>
  <c r="CH212" i="12"/>
  <c r="CH213" i="12"/>
  <c r="CH214" i="12"/>
  <c r="CH215" i="12"/>
  <c r="CH216" i="12"/>
  <c r="CH217" i="12"/>
  <c r="CH218" i="12"/>
  <c r="CH219" i="12"/>
  <c r="BD222" i="12"/>
  <c r="BD181" i="12"/>
  <c r="BD182" i="12"/>
  <c r="BD183" i="12"/>
  <c r="BD184" i="12"/>
  <c r="BD185" i="12"/>
  <c r="BD186" i="12"/>
  <c r="BD187" i="12"/>
  <c r="BD188" i="12"/>
  <c r="BD189" i="12"/>
  <c r="BD190" i="12"/>
  <c r="BD191" i="12"/>
  <c r="BD192" i="12"/>
  <c r="BD193" i="12"/>
  <c r="BD194" i="12"/>
  <c r="BD195" i="12"/>
  <c r="BD196" i="12"/>
  <c r="BD197" i="12"/>
  <c r="BD198" i="12"/>
  <c r="BD199" i="12"/>
  <c r="BD200" i="12"/>
  <c r="BD201" i="12"/>
  <c r="BD202" i="12"/>
  <c r="BD203" i="12"/>
  <c r="BD204" i="12"/>
  <c r="BD205" i="12"/>
  <c r="BD206" i="12"/>
  <c r="BD207" i="12"/>
  <c r="BD208" i="12"/>
  <c r="BD209" i="12"/>
  <c r="BD210" i="12"/>
  <c r="BD211" i="12"/>
  <c r="BD212" i="12"/>
  <c r="BD213" i="12"/>
  <c r="BD214" i="12"/>
  <c r="BD215" i="12"/>
  <c r="BD216" i="12"/>
  <c r="BD217" i="12"/>
  <c r="BD218" i="12"/>
  <c r="BD219" i="12"/>
  <c r="BO222" i="12"/>
  <c r="BO192" i="12"/>
  <c r="BO193" i="12"/>
  <c r="BO194" i="12"/>
  <c r="BO195" i="12"/>
  <c r="BO196" i="12"/>
  <c r="BO197" i="12"/>
  <c r="BO198" i="12"/>
  <c r="BO199" i="12"/>
  <c r="BO200" i="12"/>
  <c r="BO201" i="12"/>
  <c r="BO202" i="12"/>
  <c r="BO203" i="12"/>
  <c r="BO204" i="12"/>
  <c r="BO205" i="12"/>
  <c r="BO206" i="12"/>
  <c r="BO207" i="12"/>
  <c r="BO208" i="12"/>
  <c r="BO209" i="12"/>
  <c r="BO210" i="12"/>
  <c r="BO211" i="12"/>
  <c r="BO212" i="12"/>
  <c r="BO213" i="12"/>
  <c r="BO214" i="12"/>
  <c r="BO215" i="12"/>
  <c r="BO216" i="12"/>
  <c r="BO217" i="12"/>
  <c r="BO218" i="12"/>
  <c r="BO219" i="12"/>
  <c r="CM222" i="12"/>
  <c r="CM216" i="12"/>
  <c r="CM217" i="12"/>
  <c r="CM218" i="12"/>
  <c r="CM219" i="12"/>
  <c r="BR222" i="12"/>
  <c r="BR195" i="12"/>
  <c r="BR196" i="12"/>
  <c r="BR197" i="12"/>
  <c r="BR198" i="12"/>
  <c r="BR199" i="12"/>
  <c r="BR200" i="12"/>
  <c r="BR201" i="12"/>
  <c r="BR202" i="12"/>
  <c r="BR203" i="12"/>
  <c r="BR204" i="12"/>
  <c r="BR205" i="12"/>
  <c r="BR206" i="12"/>
  <c r="BR207" i="12"/>
  <c r="BR208" i="12"/>
  <c r="BR209" i="12"/>
  <c r="BR210" i="12"/>
  <c r="BR211" i="12"/>
  <c r="BR212" i="12"/>
  <c r="BR213" i="12"/>
  <c r="BR214" i="12"/>
  <c r="BR215" i="12"/>
  <c r="BR216" i="12"/>
  <c r="BR217" i="12"/>
  <c r="BR218" i="12"/>
  <c r="BR219" i="12"/>
  <c r="CK222" i="12"/>
  <c r="CK214" i="12"/>
  <c r="CK215" i="12"/>
  <c r="CK216" i="12"/>
  <c r="CK217" i="12"/>
  <c r="CK218" i="12"/>
  <c r="CK219" i="12"/>
  <c r="BM222" i="12"/>
  <c r="BM190" i="12"/>
  <c r="BM191" i="12"/>
  <c r="BM192" i="12"/>
  <c r="BM193" i="12"/>
  <c r="BM194" i="12"/>
  <c r="BM195" i="12"/>
  <c r="BM196" i="12"/>
  <c r="BM197" i="12"/>
  <c r="BM198" i="12"/>
  <c r="BM199" i="12"/>
  <c r="BM200" i="12"/>
  <c r="BM201" i="12"/>
  <c r="BM202" i="12"/>
  <c r="BM203" i="12"/>
  <c r="BM204" i="12"/>
  <c r="BM205" i="12"/>
  <c r="BM206" i="12"/>
  <c r="BM207" i="12"/>
  <c r="BM208" i="12"/>
  <c r="BM209" i="12"/>
  <c r="BM210" i="12"/>
  <c r="BM211" i="12"/>
  <c r="BM212" i="12"/>
  <c r="BM213" i="12"/>
  <c r="BM214" i="12"/>
  <c r="BM215" i="12"/>
  <c r="BM216" i="12"/>
  <c r="BM217" i="12"/>
  <c r="BM218" i="12"/>
  <c r="BM219" i="12"/>
  <c r="BE222" i="12"/>
  <c r="BE182" i="12"/>
  <c r="BE183" i="12"/>
  <c r="BE184" i="12"/>
  <c r="BE185" i="12"/>
  <c r="BE186" i="12"/>
  <c r="BE187" i="12"/>
  <c r="BE188" i="12"/>
  <c r="BE189" i="12"/>
  <c r="BE190" i="12"/>
  <c r="BE191" i="12"/>
  <c r="BE192" i="12"/>
  <c r="BE193" i="12"/>
  <c r="BE194" i="12"/>
  <c r="BE195" i="12"/>
  <c r="BE196" i="12"/>
  <c r="BE197" i="12"/>
  <c r="BE198" i="12"/>
  <c r="BE199" i="12"/>
  <c r="BE200" i="12"/>
  <c r="BE201" i="12"/>
  <c r="BE202" i="12"/>
  <c r="BE203" i="12"/>
  <c r="BE204" i="12"/>
  <c r="BE205" i="12"/>
  <c r="BE206" i="12"/>
  <c r="BE207" i="12"/>
  <c r="BE208" i="12"/>
  <c r="BE209" i="12"/>
  <c r="BE210" i="12"/>
  <c r="BE211" i="12"/>
  <c r="BE212" i="12"/>
  <c r="BE213" i="12"/>
  <c r="BE214" i="12"/>
  <c r="BE215" i="12"/>
  <c r="BE216" i="12"/>
  <c r="BE217" i="12"/>
  <c r="BE218" i="12"/>
  <c r="BE219" i="12"/>
  <c r="BU222" i="12"/>
  <c r="BU198" i="12"/>
  <c r="BU199" i="12"/>
  <c r="BU200" i="12"/>
  <c r="BU201" i="12"/>
  <c r="BU202" i="12"/>
  <c r="BU203" i="12"/>
  <c r="BU204" i="12"/>
  <c r="BU205" i="12"/>
  <c r="BU206" i="12"/>
  <c r="BU207" i="12"/>
  <c r="BU208" i="12"/>
  <c r="BU209" i="12"/>
  <c r="BU210" i="12"/>
  <c r="BU211" i="12"/>
  <c r="BU212" i="12"/>
  <c r="BU213" i="12"/>
  <c r="BU214" i="12"/>
  <c r="BU215" i="12"/>
  <c r="BU216" i="12"/>
  <c r="BU217" i="12"/>
  <c r="BU218" i="12"/>
  <c r="BU219" i="12"/>
  <c r="CN222" i="12"/>
  <c r="CN217" i="12"/>
  <c r="CN218" i="12"/>
  <c r="CN219" i="12"/>
  <c r="Q182" i="9"/>
  <c r="T182" i="9" s="1"/>
  <c r="Q183" i="9"/>
  <c r="Q130" i="9"/>
  <c r="Q157" i="9"/>
  <c r="Q144" i="9"/>
  <c r="AB182" i="9"/>
  <c r="AB183" i="9"/>
  <c r="T180" i="9"/>
  <c r="AB181" i="9"/>
  <c r="S216" i="9"/>
  <c r="R208" i="9"/>
  <c r="R194" i="9"/>
  <c r="S214" i="9"/>
  <c r="Q216" i="9"/>
  <c r="Q209" i="9"/>
  <c r="R219" i="9"/>
  <c r="Q187" i="9"/>
  <c r="S184" i="9"/>
  <c r="R205" i="9"/>
  <c r="S201" i="9"/>
  <c r="R198" i="9"/>
  <c r="Q212" i="9"/>
  <c r="Q185" i="9"/>
  <c r="S186" i="9"/>
  <c r="S145" i="9"/>
  <c r="Q155" i="9"/>
  <c r="Q214" i="9"/>
  <c r="R196" i="9"/>
  <c r="Q205" i="9"/>
  <c r="R188" i="9"/>
  <c r="Q190" i="9"/>
  <c r="R214" i="9"/>
  <c r="R216" i="9"/>
  <c r="S219" i="9"/>
  <c r="S205" i="9"/>
  <c r="R211" i="9"/>
  <c r="S210" i="9"/>
  <c r="Q193" i="9"/>
  <c r="R185" i="9"/>
  <c r="AE321" i="9"/>
  <c r="R195" i="9"/>
  <c r="S199" i="9"/>
  <c r="Q186" i="9"/>
  <c r="S192" i="9"/>
  <c r="R203" i="9"/>
  <c r="S141" i="9"/>
  <c r="Q134" i="9"/>
  <c r="R206" i="9"/>
  <c r="S187" i="9"/>
  <c r="Q204" i="9"/>
  <c r="R209" i="9"/>
  <c r="S211" i="9"/>
  <c r="S200" i="9"/>
  <c r="R212" i="9"/>
  <c r="S185" i="9"/>
  <c r="R207" i="9"/>
  <c r="R186" i="9"/>
  <c r="S203" i="9"/>
  <c r="R181" i="9"/>
  <c r="R210" i="9"/>
  <c r="R192" i="9"/>
  <c r="Q158" i="9"/>
  <c r="R152" i="9"/>
  <c r="S188" i="9"/>
  <c r="S190" i="9"/>
  <c r="S191" i="9"/>
  <c r="S204" i="9"/>
  <c r="Q197" i="9"/>
  <c r="S218" i="9"/>
  <c r="Q211" i="9"/>
  <c r="R202" i="9"/>
  <c r="R193" i="9"/>
  <c r="S195" i="9"/>
  <c r="Q217" i="9"/>
  <c r="S207" i="9"/>
  <c r="Q199" i="9"/>
  <c r="Q203" i="9"/>
  <c r="Q137" i="9"/>
  <c r="R143" i="9"/>
  <c r="Q208" i="9"/>
  <c r="S194" i="9"/>
  <c r="R204" i="9"/>
  <c r="Q219" i="9"/>
  <c r="Q189" i="9"/>
  <c r="R187" i="9"/>
  <c r="Q184" i="9"/>
  <c r="Q201" i="9"/>
  <c r="S198" i="9"/>
  <c r="R200" i="9"/>
  <c r="R217" i="9"/>
  <c r="Q207" i="9"/>
  <c r="Q213" i="9"/>
  <c r="S130" i="9"/>
  <c r="S135" i="9"/>
  <c r="Q181" i="9"/>
  <c r="S197" i="9"/>
  <c r="R218" i="9"/>
  <c r="Q202" i="9"/>
  <c r="R199" i="9"/>
  <c r="Q188" i="9"/>
  <c r="S206" i="9"/>
  <c r="Q194" i="9"/>
  <c r="R190" i="9"/>
  <c r="Q191" i="9"/>
  <c r="R197" i="9"/>
  <c r="R189" i="9"/>
  <c r="Q196" i="9"/>
  <c r="Q218" i="9"/>
  <c r="R215" i="9"/>
  <c r="Q210" i="9"/>
  <c r="S202" i="9"/>
  <c r="S193" i="9"/>
  <c r="Q195" i="9"/>
  <c r="S217" i="9"/>
  <c r="Q192" i="9"/>
  <c r="R213" i="9"/>
  <c r="S183" i="9"/>
  <c r="R191" i="9"/>
  <c r="Q215" i="9"/>
  <c r="Q159" i="9"/>
  <c r="S208" i="9"/>
  <c r="Q206" i="9"/>
  <c r="S209" i="9"/>
  <c r="S189" i="9"/>
  <c r="S196" i="9"/>
  <c r="R184" i="9"/>
  <c r="R201" i="9"/>
  <c r="Q198" i="9"/>
  <c r="Q200" i="9"/>
  <c r="S215" i="9"/>
  <c r="S212" i="9"/>
  <c r="S213" i="9"/>
  <c r="R130" i="9"/>
  <c r="S181" i="9"/>
  <c r="AB130" i="9"/>
  <c r="AW63" i="10"/>
  <c r="AX63" i="10" s="1"/>
  <c r="AV64" i="10" s="1"/>
  <c r="AT63" i="10"/>
  <c r="AR64" i="10" s="1"/>
  <c r="AB197" i="9"/>
  <c r="AB189" i="9"/>
  <c r="AB204" i="9"/>
  <c r="CF270" i="9"/>
  <c r="CF271" i="9" s="1"/>
  <c r="AB187" i="9"/>
  <c r="CP271" i="9"/>
  <c r="AB211" i="9"/>
  <c r="AB210" i="9"/>
  <c r="BI270" i="9"/>
  <c r="BI271" i="9" s="1"/>
  <c r="AB188" i="9"/>
  <c r="AB216" i="9"/>
  <c r="BZ270" i="9"/>
  <c r="BZ271" i="9" s="1"/>
  <c r="CN270" i="9"/>
  <c r="CN271" i="9" s="1"/>
  <c r="AB191" i="9"/>
  <c r="AB209" i="9"/>
  <c r="AB184" i="9"/>
  <c r="AB201" i="9"/>
  <c r="AB198" i="9"/>
  <c r="AB200" i="9"/>
  <c r="CD270" i="9"/>
  <c r="CD271" i="9" s="1"/>
  <c r="BH270" i="9"/>
  <c r="BH271" i="9" s="1"/>
  <c r="AB214" i="9"/>
  <c r="BS270" i="9"/>
  <c r="BS271" i="9" s="1"/>
  <c r="BR270" i="9"/>
  <c r="BR271" i="9" s="1"/>
  <c r="AB196" i="9"/>
  <c r="CH270" i="9"/>
  <c r="CH271" i="9" s="1"/>
  <c r="G179" i="9"/>
  <c r="CS220" i="9"/>
  <c r="CS221" i="9" s="1"/>
  <c r="CO270" i="9"/>
  <c r="CO271" i="9" s="1"/>
  <c r="CG270" i="9"/>
  <c r="CG271" i="9" s="1"/>
  <c r="CQ231" i="9"/>
  <c r="CS231" i="9" s="1"/>
  <c r="G231" i="9" s="1"/>
  <c r="CQ249" i="9"/>
  <c r="CS249" i="9" s="1"/>
  <c r="G249" i="9" s="1"/>
  <c r="CQ241" i="9"/>
  <c r="CS241" i="9" s="1"/>
  <c r="G241" i="9" s="1"/>
  <c r="CQ242" i="9"/>
  <c r="CS242" i="9" s="1"/>
  <c r="G242" i="9" s="1"/>
  <c r="CQ236" i="9"/>
  <c r="CS236" i="9" s="1"/>
  <c r="G236" i="9" s="1"/>
  <c r="S163" i="9"/>
  <c r="Q162" i="9"/>
  <c r="BL270" i="9"/>
  <c r="BL271" i="9" s="1"/>
  <c r="CJ270" i="9"/>
  <c r="CJ271" i="9" s="1"/>
  <c r="AB199" i="9"/>
  <c r="CQ238" i="9"/>
  <c r="CS238" i="9" s="1"/>
  <c r="G238" i="9" s="1"/>
  <c r="CQ260" i="9"/>
  <c r="CS260" i="9" s="1"/>
  <c r="G260" i="9" s="1"/>
  <c r="CQ230" i="9"/>
  <c r="CS230" i="9" s="1"/>
  <c r="G230" i="9" s="1"/>
  <c r="CQ263" i="9"/>
  <c r="CS263" i="9" s="1"/>
  <c r="G263" i="9" s="1"/>
  <c r="CQ255" i="9"/>
  <c r="CS255" i="9" s="1"/>
  <c r="G255" i="9" s="1"/>
  <c r="BQ270" i="9"/>
  <c r="BQ271" i="9" s="1"/>
  <c r="BT270" i="9"/>
  <c r="BT271" i="9" s="1"/>
  <c r="BE270" i="9"/>
  <c r="BE271" i="9" s="1"/>
  <c r="CQ264" i="9"/>
  <c r="CS264" i="9" s="1"/>
  <c r="G264" i="9" s="1"/>
  <c r="CQ254" i="9"/>
  <c r="CS254" i="9" s="1"/>
  <c r="G254" i="9" s="1"/>
  <c r="CQ267" i="9"/>
  <c r="CS267" i="9" s="1"/>
  <c r="G267" i="9" s="1"/>
  <c r="CQ229" i="9"/>
  <c r="BB270" i="9"/>
  <c r="BB271" i="9" s="1"/>
  <c r="CQ232" i="9"/>
  <c r="CS232" i="9" s="1"/>
  <c r="G232" i="9" s="1"/>
  <c r="AE253" i="9"/>
  <c r="AE256" i="9"/>
  <c r="AE259" i="9"/>
  <c r="AE255" i="9"/>
  <c r="AE250" i="9"/>
  <c r="AE236" i="9"/>
  <c r="AE269" i="9"/>
  <c r="AE241" i="9"/>
  <c r="AE267" i="9"/>
  <c r="AE232" i="9"/>
  <c r="AE266" i="9"/>
  <c r="AE244" i="9"/>
  <c r="AE238" i="9"/>
  <c r="AE257" i="9"/>
  <c r="AE229" i="9"/>
  <c r="AE248" i="9"/>
  <c r="AE252" i="9"/>
  <c r="AE254" i="9"/>
  <c r="AE242" i="9"/>
  <c r="AE261" i="9"/>
  <c r="AE264" i="9"/>
  <c r="AE260" i="9"/>
  <c r="AE231" i="9"/>
  <c r="AE258" i="9"/>
  <c r="AE230" i="9"/>
  <c r="AE233" i="9"/>
  <c r="AE268" i="9"/>
  <c r="AE247" i="9"/>
  <c r="AE235" i="9"/>
  <c r="AE246" i="9"/>
  <c r="AE249" i="9"/>
  <c r="AE237" i="9"/>
  <c r="AE263" i="9"/>
  <c r="AE243" i="9"/>
  <c r="AE262" i="9"/>
  <c r="AE265" i="9"/>
  <c r="AE245" i="9"/>
  <c r="AE240" i="9"/>
  <c r="AE251" i="9"/>
  <c r="AE239" i="9"/>
  <c r="AE234" i="9"/>
  <c r="BP270" i="9"/>
  <c r="BP271" i="9" s="1"/>
  <c r="AB206" i="9"/>
  <c r="AB194" i="9"/>
  <c r="AB219" i="9"/>
  <c r="CL270" i="9"/>
  <c r="CL271" i="9" s="1"/>
  <c r="BU270" i="9"/>
  <c r="BU271" i="9" s="1"/>
  <c r="BC270" i="9"/>
  <c r="BC271" i="9" s="1"/>
  <c r="BY270" i="9"/>
  <c r="BY271" i="9" s="1"/>
  <c r="CQ244" i="9"/>
  <c r="CS244" i="9" s="1"/>
  <c r="G244" i="9" s="1"/>
  <c r="CQ262" i="9"/>
  <c r="CS262" i="9" s="1"/>
  <c r="G262" i="9" s="1"/>
  <c r="CQ258" i="9"/>
  <c r="CS258" i="9" s="1"/>
  <c r="G258" i="9" s="1"/>
  <c r="CQ234" i="9"/>
  <c r="CS234" i="9" s="1"/>
  <c r="G234" i="9" s="1"/>
  <c r="CQ261" i="9"/>
  <c r="CS261" i="9" s="1"/>
  <c r="G261" i="9" s="1"/>
  <c r="CQ248" i="9"/>
  <c r="CS248" i="9" s="1"/>
  <c r="G248" i="9" s="1"/>
  <c r="AB192" i="9"/>
  <c r="BV270" i="9"/>
  <c r="BV271" i="9" s="1"/>
  <c r="CC270" i="9"/>
  <c r="CC271" i="9" s="1"/>
  <c r="AB218" i="9"/>
  <c r="AB202" i="9"/>
  <c r="AB195" i="9"/>
  <c r="AB207" i="9"/>
  <c r="CQ245" i="9"/>
  <c r="CS245" i="9" s="1"/>
  <c r="G245" i="9" s="1"/>
  <c r="CQ265" i="9"/>
  <c r="CS265" i="9" s="1"/>
  <c r="G265" i="9" s="1"/>
  <c r="CQ253" i="9"/>
  <c r="CS253" i="9" s="1"/>
  <c r="G253" i="9" s="1"/>
  <c r="CQ240" i="9"/>
  <c r="CS240" i="9" s="1"/>
  <c r="G240" i="9" s="1"/>
  <c r="CQ269" i="9"/>
  <c r="CS269" i="9" s="1"/>
  <c r="G269" i="9" s="1"/>
  <c r="CQ237" i="9"/>
  <c r="CS237" i="9" s="1"/>
  <c r="G237" i="9" s="1"/>
  <c r="BJ270" i="9"/>
  <c r="BJ271" i="9" s="1"/>
  <c r="BW270" i="9"/>
  <c r="BW271" i="9" s="1"/>
  <c r="BN270" i="9"/>
  <c r="BN271" i="9" s="1"/>
  <c r="BX270" i="9"/>
  <c r="BX271" i="9" s="1"/>
  <c r="AB212" i="9"/>
  <c r="CQ243" i="9"/>
  <c r="CS243" i="9" s="1"/>
  <c r="G243" i="9" s="1"/>
  <c r="CQ233" i="9"/>
  <c r="CS233" i="9" s="1"/>
  <c r="G233" i="9" s="1"/>
  <c r="CQ251" i="9"/>
  <c r="CS251" i="9" s="1"/>
  <c r="G251" i="9" s="1"/>
  <c r="CQ247" i="9"/>
  <c r="CS247" i="9" s="1"/>
  <c r="G247" i="9" s="1"/>
  <c r="CQ235" i="9"/>
  <c r="CS235" i="9" s="1"/>
  <c r="G235" i="9" s="1"/>
  <c r="BD270" i="9"/>
  <c r="BD271" i="9" s="1"/>
  <c r="CI270" i="9"/>
  <c r="CI271" i="9" s="1"/>
  <c r="CA270" i="9"/>
  <c r="CA271" i="9" s="1"/>
  <c r="E272" i="9"/>
  <c r="D272" i="9"/>
  <c r="F272" i="9"/>
  <c r="BM270" i="9"/>
  <c r="BM271" i="9" s="1"/>
  <c r="R166" i="9"/>
  <c r="BF270" i="9"/>
  <c r="BF271" i="9" s="1"/>
  <c r="AB215" i="9"/>
  <c r="CM270" i="9"/>
  <c r="CM271" i="9" s="1"/>
  <c r="AB193" i="9"/>
  <c r="AB185" i="9"/>
  <c r="CQ257" i="9"/>
  <c r="CS257" i="9" s="1"/>
  <c r="G257" i="9" s="1"/>
  <c r="CQ246" i="9"/>
  <c r="CS246" i="9" s="1"/>
  <c r="G246" i="9" s="1"/>
  <c r="CQ239" i="9"/>
  <c r="CS239" i="9" s="1"/>
  <c r="G239" i="9" s="1"/>
  <c r="CQ268" i="9"/>
  <c r="CS268" i="9" s="1"/>
  <c r="G268" i="9" s="1"/>
  <c r="G129" i="9"/>
  <c r="CS170" i="9"/>
  <c r="CS171" i="9" s="1"/>
  <c r="AB203" i="9"/>
  <c r="AB208" i="9"/>
  <c r="BK270" i="9"/>
  <c r="BK271" i="9" s="1"/>
  <c r="AB190" i="9"/>
  <c r="S168" i="9"/>
  <c r="AB205" i="9"/>
  <c r="CB270" i="9"/>
  <c r="CB271" i="9" s="1"/>
  <c r="BG270" i="9"/>
  <c r="BG271" i="9" s="1"/>
  <c r="CE270" i="9"/>
  <c r="CE271" i="9" s="1"/>
  <c r="AB217" i="9"/>
  <c r="BO270" i="9"/>
  <c r="BO271" i="9" s="1"/>
  <c r="CQ252" i="9"/>
  <c r="CS252" i="9" s="1"/>
  <c r="G252" i="9" s="1"/>
  <c r="CQ259" i="9"/>
  <c r="CS259" i="9" s="1"/>
  <c r="G259" i="9" s="1"/>
  <c r="CQ250" i="9"/>
  <c r="CS250" i="9" s="1"/>
  <c r="G250" i="9" s="1"/>
  <c r="CQ266" i="9"/>
  <c r="CS266" i="9" s="1"/>
  <c r="G266" i="9" s="1"/>
  <c r="CQ256" i="9"/>
  <c r="CS256" i="9" s="1"/>
  <c r="G256" i="9" s="1"/>
  <c r="AB186" i="9"/>
  <c r="AB213" i="9"/>
  <c r="CK270" i="9"/>
  <c r="CK271" i="9" s="1"/>
  <c r="AB167" i="9" l="1"/>
  <c r="AB161" i="9"/>
  <c r="AB131" i="9"/>
  <c r="AB148" i="9"/>
  <c r="AB132" i="9"/>
  <c r="AB164" i="9"/>
  <c r="AB151" i="9"/>
  <c r="AB162" i="9"/>
  <c r="AB160" i="9"/>
  <c r="AB135" i="9"/>
  <c r="AB133" i="9"/>
  <c r="AB136" i="9"/>
  <c r="AB155" i="9"/>
  <c r="AB159" i="9"/>
  <c r="AB165" i="9"/>
  <c r="AB156" i="9"/>
  <c r="AB157" i="9"/>
  <c r="AB139" i="9"/>
  <c r="AB146" i="9"/>
  <c r="AB142" i="9"/>
  <c r="AB143" i="9"/>
  <c r="AB150" i="9"/>
  <c r="AB137" i="9"/>
  <c r="AB141" i="9"/>
  <c r="AB152" i="9"/>
  <c r="AB149" i="9"/>
  <c r="AB140" i="9"/>
  <c r="AB166" i="9"/>
  <c r="AB163" i="9"/>
  <c r="AB153" i="9"/>
  <c r="AB145" i="9"/>
  <c r="AB158" i="9"/>
  <c r="AB134" i="9"/>
  <c r="AB138" i="9"/>
  <c r="AB144" i="9"/>
  <c r="AB154" i="9"/>
  <c r="AB147" i="9"/>
  <c r="AB168" i="9"/>
  <c r="AB169" i="9"/>
  <c r="CR272" i="12"/>
  <c r="CR271" i="12" s="1"/>
  <c r="T196" i="9"/>
  <c r="AD196" i="9" s="1"/>
  <c r="CO220" i="12"/>
  <c r="CO221" i="12" s="1"/>
  <c r="CL220" i="12"/>
  <c r="CL221" i="12" s="1"/>
  <c r="T133" i="9"/>
  <c r="CM220" i="12"/>
  <c r="CM221" i="12" s="1"/>
  <c r="BY220" i="12"/>
  <c r="BY221" i="12" s="1"/>
  <c r="CQ207" i="12"/>
  <c r="CS207" i="12" s="1"/>
  <c r="CQ199" i="12"/>
  <c r="CS199" i="12" s="1"/>
  <c r="CQ191" i="12"/>
  <c r="CS191" i="12" s="1"/>
  <c r="CQ183" i="12"/>
  <c r="CS183" i="12" s="1"/>
  <c r="BP220" i="12"/>
  <c r="BP221" i="12" s="1"/>
  <c r="BK220" i="12"/>
  <c r="BK221" i="12" s="1"/>
  <c r="CQ190" i="12"/>
  <c r="CS190" i="12" s="1"/>
  <c r="CQ182" i="12"/>
  <c r="CS182" i="12" s="1"/>
  <c r="CQ181" i="12"/>
  <c r="CS181" i="12" s="1"/>
  <c r="CN220" i="12"/>
  <c r="CN221" i="12" s="1"/>
  <c r="CD272" i="12"/>
  <c r="CD258" i="12"/>
  <c r="CD257" i="12"/>
  <c r="CD259" i="12"/>
  <c r="CD261" i="12"/>
  <c r="CD260" i="12"/>
  <c r="CD262" i="12"/>
  <c r="CD263" i="12"/>
  <c r="CD265" i="12"/>
  <c r="CD264" i="12"/>
  <c r="CD266" i="12"/>
  <c r="CD267" i="12"/>
  <c r="CD268" i="12"/>
  <c r="CD269" i="12"/>
  <c r="BM220" i="12"/>
  <c r="BM221" i="12" s="1"/>
  <c r="BQ220" i="12"/>
  <c r="BQ221" i="12" s="1"/>
  <c r="BD272" i="12"/>
  <c r="BD231" i="12"/>
  <c r="BD232" i="12"/>
  <c r="BD233" i="12"/>
  <c r="BD234" i="12"/>
  <c r="BD235" i="12"/>
  <c r="BD237" i="12"/>
  <c r="BD236" i="12"/>
  <c r="BD239" i="12"/>
  <c r="BD238" i="12"/>
  <c r="BD240" i="12"/>
  <c r="BD241" i="12"/>
  <c r="BD242" i="12"/>
  <c r="BD243" i="12"/>
  <c r="BD244" i="12"/>
  <c r="BD245" i="12"/>
  <c r="BD246" i="12"/>
  <c r="BD247" i="12"/>
  <c r="BD248" i="12"/>
  <c r="BD249" i="12"/>
  <c r="BD250" i="12"/>
  <c r="BD251" i="12"/>
  <c r="BD252" i="12"/>
  <c r="BD253" i="12"/>
  <c r="BD254" i="12"/>
  <c r="BD255" i="12"/>
  <c r="BD256" i="12"/>
  <c r="BD257" i="12"/>
  <c r="BD258" i="12"/>
  <c r="BD259" i="12"/>
  <c r="BD260" i="12"/>
  <c r="BD261" i="12"/>
  <c r="BD262" i="12"/>
  <c r="BD263" i="12"/>
  <c r="BD264" i="12"/>
  <c r="BD265" i="12"/>
  <c r="BD266" i="12"/>
  <c r="BD267" i="12"/>
  <c r="BD268" i="12"/>
  <c r="BD269" i="12"/>
  <c r="BT272" i="12"/>
  <c r="BT248" i="12"/>
  <c r="BT247" i="12"/>
  <c r="BT249" i="12"/>
  <c r="BT251" i="12"/>
  <c r="BT250" i="12"/>
  <c r="BT252" i="12"/>
  <c r="BT253" i="12"/>
  <c r="BT254" i="12"/>
  <c r="BT255" i="12"/>
  <c r="BT256" i="12"/>
  <c r="BT257" i="12"/>
  <c r="BT258" i="12"/>
  <c r="BT259" i="12"/>
  <c r="BT260" i="12"/>
  <c r="BT261" i="12"/>
  <c r="BT262" i="12"/>
  <c r="BT263" i="12"/>
  <c r="BT264" i="12"/>
  <c r="BT265" i="12"/>
  <c r="BT266" i="12"/>
  <c r="BT267" i="12"/>
  <c r="BT268" i="12"/>
  <c r="BT269" i="12"/>
  <c r="CN272" i="12"/>
  <c r="CN268" i="12"/>
  <c r="CN267" i="12"/>
  <c r="CN269" i="12"/>
  <c r="BN220" i="12"/>
  <c r="BN221" i="12" s="1"/>
  <c r="BW220" i="12"/>
  <c r="BW221" i="12" s="1"/>
  <c r="BL220" i="12"/>
  <c r="BL221" i="12" s="1"/>
  <c r="CA272" i="12"/>
  <c r="CA255" i="12"/>
  <c r="CA254" i="12"/>
  <c r="CA256" i="12"/>
  <c r="CA257" i="12"/>
  <c r="CA258" i="12"/>
  <c r="CA259" i="12"/>
  <c r="CA260" i="12"/>
  <c r="CA262" i="12"/>
  <c r="CA261" i="12"/>
  <c r="CA263" i="12"/>
  <c r="CA264" i="12"/>
  <c r="CA265" i="12"/>
  <c r="CA266" i="12"/>
  <c r="CA267" i="12"/>
  <c r="CA268" i="12"/>
  <c r="CA269" i="12"/>
  <c r="BG272" i="12"/>
  <c r="BG234" i="12"/>
  <c r="BG235" i="12"/>
  <c r="BG236" i="12"/>
  <c r="BG238" i="12"/>
  <c r="BG237" i="12"/>
  <c r="BG240" i="12"/>
  <c r="BG239" i="12"/>
  <c r="BG241" i="12"/>
  <c r="BG242" i="12"/>
  <c r="BG243" i="12"/>
  <c r="BG244" i="12"/>
  <c r="BG245" i="12"/>
  <c r="BG246" i="12"/>
  <c r="BG247" i="12"/>
  <c r="BG248" i="12"/>
  <c r="BG249" i="12"/>
  <c r="BG250" i="12"/>
  <c r="BG251" i="12"/>
  <c r="BG252" i="12"/>
  <c r="BG253" i="12"/>
  <c r="BG254" i="12"/>
  <c r="BG255" i="12"/>
  <c r="BG256" i="12"/>
  <c r="BG257" i="12"/>
  <c r="BG258" i="12"/>
  <c r="BG259" i="12"/>
  <c r="BG260" i="12"/>
  <c r="BG261" i="12"/>
  <c r="BG262" i="12"/>
  <c r="BG263" i="12"/>
  <c r="BG264" i="12"/>
  <c r="BG265" i="12"/>
  <c r="BG266" i="12"/>
  <c r="BG267" i="12"/>
  <c r="BG268" i="12"/>
  <c r="BG269" i="12"/>
  <c r="BZ272" i="12"/>
  <c r="BZ253" i="12"/>
  <c r="BZ254" i="12"/>
  <c r="BZ255" i="12"/>
  <c r="BZ256" i="12"/>
  <c r="BZ257" i="12"/>
  <c r="BZ259" i="12"/>
  <c r="BZ258" i="12"/>
  <c r="BZ260" i="12"/>
  <c r="BZ261" i="12"/>
  <c r="BZ262" i="12"/>
  <c r="BZ263" i="12"/>
  <c r="BZ264" i="12"/>
  <c r="BZ265" i="12"/>
  <c r="BZ266" i="12"/>
  <c r="BZ267" i="12"/>
  <c r="BZ268" i="12"/>
  <c r="BZ269" i="12"/>
  <c r="BY272" i="12"/>
  <c r="BY253" i="12"/>
  <c r="BY252" i="12"/>
  <c r="BY254" i="12"/>
  <c r="BY256" i="12"/>
  <c r="BY255" i="12"/>
  <c r="BY257" i="12"/>
  <c r="BY258" i="12"/>
  <c r="BY260" i="12"/>
  <c r="BY259" i="12"/>
  <c r="BY261" i="12"/>
  <c r="BY262" i="12"/>
  <c r="BY263" i="12"/>
  <c r="BY264" i="12"/>
  <c r="BY265" i="12"/>
  <c r="BY266" i="12"/>
  <c r="BY267" i="12"/>
  <c r="BY268" i="12"/>
  <c r="BY269" i="12"/>
  <c r="CL272" i="12"/>
  <c r="CL265" i="12"/>
  <c r="CL266" i="12"/>
  <c r="CL267" i="12"/>
  <c r="CL269" i="12"/>
  <c r="CL268" i="12"/>
  <c r="CQ217" i="12"/>
  <c r="CS217" i="12" s="1"/>
  <c r="CQ209" i="12"/>
  <c r="CS209" i="12" s="1"/>
  <c r="CQ201" i="12"/>
  <c r="CS201" i="12" s="1"/>
  <c r="CQ193" i="12"/>
  <c r="CS193" i="12" s="1"/>
  <c r="CQ185" i="12"/>
  <c r="CS185" i="12" s="1"/>
  <c r="BJ220" i="12"/>
  <c r="BJ221" i="12" s="1"/>
  <c r="CG220" i="12"/>
  <c r="CG221" i="12" s="1"/>
  <c r="CQ206" i="12"/>
  <c r="CS206" i="12" s="1"/>
  <c r="BG220" i="12"/>
  <c r="BG221" i="12" s="1"/>
  <c r="CH220" i="12"/>
  <c r="CH221" i="12" s="1"/>
  <c r="CE220" i="12"/>
  <c r="CE221" i="12" s="1"/>
  <c r="CJ220" i="12"/>
  <c r="CJ221" i="12" s="1"/>
  <c r="BT220" i="12"/>
  <c r="BT221" i="12" s="1"/>
  <c r="BC220" i="12"/>
  <c r="BC221" i="12" s="1"/>
  <c r="CG272" i="12"/>
  <c r="CG261" i="12"/>
  <c r="CG260" i="12"/>
  <c r="CG262" i="12"/>
  <c r="CG263" i="12"/>
  <c r="CG264" i="12"/>
  <c r="CG266" i="12"/>
  <c r="CG265" i="12"/>
  <c r="CG267" i="12"/>
  <c r="CG268" i="12"/>
  <c r="CG269" i="12"/>
  <c r="CS226" i="12"/>
  <c r="CS272" i="12" s="1"/>
  <c r="CQ272" i="12"/>
  <c r="CM272" i="12"/>
  <c r="CM266" i="12"/>
  <c r="CM267" i="12"/>
  <c r="CM268" i="12"/>
  <c r="CM269" i="12"/>
  <c r="BK272" i="12"/>
  <c r="BK238" i="12"/>
  <c r="BK239" i="12"/>
  <c r="BK240" i="12"/>
  <c r="BK241" i="12"/>
  <c r="BK242" i="12"/>
  <c r="BK243" i="12"/>
  <c r="BK244" i="12"/>
  <c r="BK246" i="12"/>
  <c r="BK245" i="12"/>
  <c r="BK247" i="12"/>
  <c r="BK248" i="12"/>
  <c r="BK249" i="12"/>
  <c r="BK250" i="12"/>
  <c r="BK251" i="12"/>
  <c r="BK252" i="12"/>
  <c r="BK253" i="12"/>
  <c r="BK254" i="12"/>
  <c r="BK255" i="12"/>
  <c r="BK256" i="12"/>
  <c r="BK257" i="12"/>
  <c r="BK258" i="12"/>
  <c r="BK259" i="12"/>
  <c r="BK260" i="12"/>
  <c r="BK261" i="12"/>
  <c r="BK262" i="12"/>
  <c r="BK263" i="12"/>
  <c r="BK264" i="12"/>
  <c r="BK265" i="12"/>
  <c r="BK266" i="12"/>
  <c r="BK267" i="12"/>
  <c r="BK268" i="12"/>
  <c r="BK269" i="12"/>
  <c r="CQ216" i="12"/>
  <c r="CS216" i="12" s="1"/>
  <c r="CQ208" i="12"/>
  <c r="CS208" i="12" s="1"/>
  <c r="CQ200" i="12"/>
  <c r="CS200" i="12" s="1"/>
  <c r="CQ192" i="12"/>
  <c r="CS192" i="12" s="1"/>
  <c r="CQ184" i="12"/>
  <c r="CS184" i="12" s="1"/>
  <c r="CD220" i="12"/>
  <c r="CD221" i="12" s="1"/>
  <c r="CQ215" i="12"/>
  <c r="CS215" i="12" s="1"/>
  <c r="CO272" i="12"/>
  <c r="CO268" i="12"/>
  <c r="CO269" i="12"/>
  <c r="CH272" i="12"/>
  <c r="CH261" i="12"/>
  <c r="CH262" i="12"/>
  <c r="CH263" i="12"/>
  <c r="CH264" i="12"/>
  <c r="CH265" i="12"/>
  <c r="CH266" i="12"/>
  <c r="CH267" i="12"/>
  <c r="CH269" i="12"/>
  <c r="CH268" i="12"/>
  <c r="BP272" i="12"/>
  <c r="BP244" i="12"/>
  <c r="BP243" i="12"/>
  <c r="BP245" i="12"/>
  <c r="BP247" i="12"/>
  <c r="BP246" i="12"/>
  <c r="BP248" i="12"/>
  <c r="BP249" i="12"/>
  <c r="BP251" i="12"/>
  <c r="BP250" i="12"/>
  <c r="BP252" i="12"/>
  <c r="BP253" i="12"/>
  <c r="BP254" i="12"/>
  <c r="BP255" i="12"/>
  <c r="BP256" i="12"/>
  <c r="BP257" i="12"/>
  <c r="BP258" i="12"/>
  <c r="BP259" i="12"/>
  <c r="BP260" i="12"/>
  <c r="BP261" i="12"/>
  <c r="BP262" i="12"/>
  <c r="BP263" i="12"/>
  <c r="BP264" i="12"/>
  <c r="BP265" i="12"/>
  <c r="BP266" i="12"/>
  <c r="BP267" i="12"/>
  <c r="BP268" i="12"/>
  <c r="BP269" i="12"/>
  <c r="BC272" i="12"/>
  <c r="BC230" i="12"/>
  <c r="BC231" i="12"/>
  <c r="BC232" i="12"/>
  <c r="BC234" i="12"/>
  <c r="BC233" i="12"/>
  <c r="BC235" i="12"/>
  <c r="BC236" i="12"/>
  <c r="BC237" i="12"/>
  <c r="BC238" i="12"/>
  <c r="BC239" i="12"/>
  <c r="BC240" i="12"/>
  <c r="BC241" i="12"/>
  <c r="BC242" i="12"/>
  <c r="BC243" i="12"/>
  <c r="BC244" i="12"/>
  <c r="BC245" i="12"/>
  <c r="BC246" i="12"/>
  <c r="BC247" i="12"/>
  <c r="BC248" i="12"/>
  <c r="BC249" i="12"/>
  <c r="BC250" i="12"/>
  <c r="BC251" i="12"/>
  <c r="BC252" i="12"/>
  <c r="BC253" i="12"/>
  <c r="BC254" i="12"/>
  <c r="BC255" i="12"/>
  <c r="BC256" i="12"/>
  <c r="BC257" i="12"/>
  <c r="BC258" i="12"/>
  <c r="BC259" i="12"/>
  <c r="BC260" i="12"/>
  <c r="BC261" i="12"/>
  <c r="BC262" i="12"/>
  <c r="BC263" i="12"/>
  <c r="BC264" i="12"/>
  <c r="BC265" i="12"/>
  <c r="BC266" i="12"/>
  <c r="BC267" i="12"/>
  <c r="BC268" i="12"/>
  <c r="BC269" i="12"/>
  <c r="BX272" i="12"/>
  <c r="BX252" i="12"/>
  <c r="BX251" i="12"/>
  <c r="BX253" i="12"/>
  <c r="BX254" i="12"/>
  <c r="BX255" i="12"/>
  <c r="BX257" i="12"/>
  <c r="BX256" i="12"/>
  <c r="BX259" i="12"/>
  <c r="BX258" i="12"/>
  <c r="BX260" i="12"/>
  <c r="BX261" i="12"/>
  <c r="BX262" i="12"/>
  <c r="BX263" i="12"/>
  <c r="BX264" i="12"/>
  <c r="BX265" i="12"/>
  <c r="BX266" i="12"/>
  <c r="BX267" i="12"/>
  <c r="BX268" i="12"/>
  <c r="BX269" i="12"/>
  <c r="CQ214" i="12"/>
  <c r="CS214" i="12" s="1"/>
  <c r="CQ213" i="12"/>
  <c r="CS213" i="12" s="1"/>
  <c r="CQ197" i="12"/>
  <c r="CS197" i="12" s="1"/>
  <c r="CQ189" i="12"/>
  <c r="CS189" i="12" s="1"/>
  <c r="CB220" i="12"/>
  <c r="CB221" i="12" s="1"/>
  <c r="BE220" i="12"/>
  <c r="BE221" i="12" s="1"/>
  <c r="BR220" i="12"/>
  <c r="BR221" i="12" s="1"/>
  <c r="BH220" i="12"/>
  <c r="BH221" i="12" s="1"/>
  <c r="BI272" i="12"/>
  <c r="BI237" i="12"/>
  <c r="BI236" i="12"/>
  <c r="BI238" i="12"/>
  <c r="BI239" i="12"/>
  <c r="BI240" i="12"/>
  <c r="BI242" i="12"/>
  <c r="BI241" i="12"/>
  <c r="BI243" i="12"/>
  <c r="BI244" i="12"/>
  <c r="BI245" i="12"/>
  <c r="BI246" i="12"/>
  <c r="BI247" i="12"/>
  <c r="BI248" i="12"/>
  <c r="BI249" i="12"/>
  <c r="BI250" i="12"/>
  <c r="BI251" i="12"/>
  <c r="BI252" i="12"/>
  <c r="BI253" i="12"/>
  <c r="BI254" i="12"/>
  <c r="BI255" i="12"/>
  <c r="BI256" i="12"/>
  <c r="BI257" i="12"/>
  <c r="BI258" i="12"/>
  <c r="BI259" i="12"/>
  <c r="BI260" i="12"/>
  <c r="BI261" i="12"/>
  <c r="BI262" i="12"/>
  <c r="BI263" i="12"/>
  <c r="BI264" i="12"/>
  <c r="BI265" i="12"/>
  <c r="BI266" i="12"/>
  <c r="BI267" i="12"/>
  <c r="BI268" i="12"/>
  <c r="BI269" i="12"/>
  <c r="CI272" i="12"/>
  <c r="CI262" i="12"/>
  <c r="CI263" i="12"/>
  <c r="CI264" i="12"/>
  <c r="CI266" i="12"/>
  <c r="CI265" i="12"/>
  <c r="CI268" i="12"/>
  <c r="CI267" i="12"/>
  <c r="CI269" i="12"/>
  <c r="BU272" i="12"/>
  <c r="BU249" i="12"/>
  <c r="BU248" i="12"/>
  <c r="BU250" i="12"/>
  <c r="BU251" i="12"/>
  <c r="BU252" i="12"/>
  <c r="BU254" i="12"/>
  <c r="BU253" i="12"/>
  <c r="BU255" i="12"/>
  <c r="BU256" i="12"/>
  <c r="BU257" i="12"/>
  <c r="BU258" i="12"/>
  <c r="BU259" i="12"/>
  <c r="BU260" i="12"/>
  <c r="BU261" i="12"/>
  <c r="BU262" i="12"/>
  <c r="BU263" i="12"/>
  <c r="BU264" i="12"/>
  <c r="BU265" i="12"/>
  <c r="BU266" i="12"/>
  <c r="BU267" i="12"/>
  <c r="BU268" i="12"/>
  <c r="BU269" i="12"/>
  <c r="CP272" i="12"/>
  <c r="CP269" i="12"/>
  <c r="CP270" i="12" s="1"/>
  <c r="CK272" i="12"/>
  <c r="CK265" i="12"/>
  <c r="CK264" i="12"/>
  <c r="CK266" i="12"/>
  <c r="CK268" i="12"/>
  <c r="CK267" i="12"/>
  <c r="CK269" i="12"/>
  <c r="BB272" i="12"/>
  <c r="BB229" i="12"/>
  <c r="BB230" i="12"/>
  <c r="BB231" i="12"/>
  <c r="BB232" i="12"/>
  <c r="BB233" i="12"/>
  <c r="BB235" i="12"/>
  <c r="BB234" i="12"/>
  <c r="BB236" i="12"/>
  <c r="BB237" i="12"/>
  <c r="BB238" i="12"/>
  <c r="BB239" i="12"/>
  <c r="BB240" i="12"/>
  <c r="BB241" i="12"/>
  <c r="BB242" i="12"/>
  <c r="BB243" i="12"/>
  <c r="BB244" i="12"/>
  <c r="BB245" i="12"/>
  <c r="BB246" i="12"/>
  <c r="BB247" i="12"/>
  <c r="BB248" i="12"/>
  <c r="BB249" i="12"/>
  <c r="BB250" i="12"/>
  <c r="BB251" i="12"/>
  <c r="BB252" i="12"/>
  <c r="BB253" i="12"/>
  <c r="BB254" i="12"/>
  <c r="BB255" i="12"/>
  <c r="BB256" i="12"/>
  <c r="BB257" i="12"/>
  <c r="BB258" i="12"/>
  <c r="BB259" i="12"/>
  <c r="BB260" i="12"/>
  <c r="BB261" i="12"/>
  <c r="BB262" i="12"/>
  <c r="BB263" i="12"/>
  <c r="BB264" i="12"/>
  <c r="BB265" i="12"/>
  <c r="BB266" i="12"/>
  <c r="BB267" i="12"/>
  <c r="BB268" i="12"/>
  <c r="BB269" i="12"/>
  <c r="CQ212" i="12"/>
  <c r="CS212" i="12" s="1"/>
  <c r="CQ204" i="12"/>
  <c r="CS204" i="12" s="1"/>
  <c r="CQ196" i="12"/>
  <c r="CS196" i="12" s="1"/>
  <c r="CQ188" i="12"/>
  <c r="CS188" i="12" s="1"/>
  <c r="CQ180" i="12"/>
  <c r="CS180" i="12" s="1"/>
  <c r="BI220" i="12"/>
  <c r="BI221" i="12" s="1"/>
  <c r="CF272" i="12"/>
  <c r="CF259" i="12"/>
  <c r="CF260" i="12"/>
  <c r="CF261" i="12"/>
  <c r="CF263" i="12"/>
  <c r="CF262" i="12"/>
  <c r="CF265" i="12"/>
  <c r="CF264" i="12"/>
  <c r="CF266" i="12"/>
  <c r="CF267" i="12"/>
  <c r="CF268" i="12"/>
  <c r="CF269" i="12"/>
  <c r="BH272" i="12"/>
  <c r="BH235" i="12"/>
  <c r="BH236" i="12"/>
  <c r="BH237" i="12"/>
  <c r="BH239" i="12"/>
  <c r="BH238" i="12"/>
  <c r="BH240" i="12"/>
  <c r="BH241" i="12"/>
  <c r="BH242" i="12"/>
  <c r="BH243" i="12"/>
  <c r="BH244" i="12"/>
  <c r="BH245" i="12"/>
  <c r="BH246" i="12"/>
  <c r="BH247" i="12"/>
  <c r="BH248" i="12"/>
  <c r="BH249" i="12"/>
  <c r="BH250" i="12"/>
  <c r="BH251" i="12"/>
  <c r="BH252" i="12"/>
  <c r="BH253" i="12"/>
  <c r="BH254" i="12"/>
  <c r="BH255" i="12"/>
  <c r="BH256" i="12"/>
  <c r="BH257" i="12"/>
  <c r="BH258" i="12"/>
  <c r="BH259" i="12"/>
  <c r="BH260" i="12"/>
  <c r="BH261" i="12"/>
  <c r="BH262" i="12"/>
  <c r="BH263" i="12"/>
  <c r="BH264" i="12"/>
  <c r="BH265" i="12"/>
  <c r="BH266" i="12"/>
  <c r="BH267" i="12"/>
  <c r="BH268" i="12"/>
  <c r="BH269" i="12"/>
  <c r="CB272" i="12"/>
  <c r="CB255" i="12"/>
  <c r="CB256" i="12"/>
  <c r="CB257" i="12"/>
  <c r="CB258" i="12"/>
  <c r="CB259" i="12"/>
  <c r="CB261" i="12"/>
  <c r="CB260" i="12"/>
  <c r="CB262" i="12"/>
  <c r="CB263" i="12"/>
  <c r="CB264" i="12"/>
  <c r="CB265" i="12"/>
  <c r="CB266" i="12"/>
  <c r="CB267" i="12"/>
  <c r="CB268" i="12"/>
  <c r="CB269" i="12"/>
  <c r="CK220" i="12"/>
  <c r="CK221" i="12" s="1"/>
  <c r="CQ198" i="12"/>
  <c r="CS198" i="12" s="1"/>
  <c r="BV272" i="12"/>
  <c r="BV249" i="12"/>
  <c r="BV250" i="12"/>
  <c r="BV251" i="12"/>
  <c r="BV252" i="12"/>
  <c r="BV253" i="12"/>
  <c r="BV254" i="12"/>
  <c r="BV255" i="12"/>
  <c r="BV257" i="12"/>
  <c r="BV256" i="12"/>
  <c r="BV258" i="12"/>
  <c r="BV259" i="12"/>
  <c r="BV260" i="12"/>
  <c r="BV261" i="12"/>
  <c r="BV262" i="12"/>
  <c r="BV263" i="12"/>
  <c r="BV264" i="12"/>
  <c r="BV265" i="12"/>
  <c r="BV266" i="12"/>
  <c r="BV267" i="12"/>
  <c r="BV268" i="12"/>
  <c r="BV269" i="12"/>
  <c r="BV220" i="12"/>
  <c r="BV221" i="12" s="1"/>
  <c r="CQ205" i="12"/>
  <c r="CS205" i="12" s="1"/>
  <c r="BZ220" i="12"/>
  <c r="BZ221" i="12" s="1"/>
  <c r="BU220" i="12"/>
  <c r="BU221" i="12" s="1"/>
  <c r="CC220" i="12"/>
  <c r="CC221" i="12" s="1"/>
  <c r="BW272" i="12"/>
  <c r="BW251" i="12"/>
  <c r="BW250" i="12"/>
  <c r="BW252" i="12"/>
  <c r="BW253" i="12"/>
  <c r="BW254" i="12"/>
  <c r="BW256" i="12"/>
  <c r="BW255" i="12"/>
  <c r="BW258" i="12"/>
  <c r="BW257" i="12"/>
  <c r="BW259" i="12"/>
  <c r="BW260" i="12"/>
  <c r="BW261" i="12"/>
  <c r="BW262" i="12"/>
  <c r="BW263" i="12"/>
  <c r="BW264" i="12"/>
  <c r="BW265" i="12"/>
  <c r="BW266" i="12"/>
  <c r="BW267" i="12"/>
  <c r="BW268" i="12"/>
  <c r="BW269" i="12"/>
  <c r="BE272" i="12"/>
  <c r="BE233" i="12"/>
  <c r="BE232" i="12"/>
  <c r="BE234" i="12"/>
  <c r="BE236" i="12"/>
  <c r="BE235" i="12"/>
  <c r="BE238" i="12"/>
  <c r="BE237" i="12"/>
  <c r="BE240" i="12"/>
  <c r="BE239" i="12"/>
  <c r="BE241" i="12"/>
  <c r="BE242" i="12"/>
  <c r="BE243" i="12"/>
  <c r="BE244" i="12"/>
  <c r="BE245" i="12"/>
  <c r="BE246" i="12"/>
  <c r="BE247" i="12"/>
  <c r="BE248" i="12"/>
  <c r="BE249" i="12"/>
  <c r="BE250" i="12"/>
  <c r="BE251" i="12"/>
  <c r="BE252" i="12"/>
  <c r="BE253" i="12"/>
  <c r="BE254" i="12"/>
  <c r="BE255" i="12"/>
  <c r="BE256" i="12"/>
  <c r="BE257" i="12"/>
  <c r="BE258" i="12"/>
  <c r="BE259" i="12"/>
  <c r="BE260" i="12"/>
  <c r="BE261" i="12"/>
  <c r="BE262" i="12"/>
  <c r="BE263" i="12"/>
  <c r="BE264" i="12"/>
  <c r="BE265" i="12"/>
  <c r="BE266" i="12"/>
  <c r="BE267" i="12"/>
  <c r="BE268" i="12"/>
  <c r="BE269" i="12"/>
  <c r="BO272" i="12"/>
  <c r="BO243" i="12"/>
  <c r="BO242" i="12"/>
  <c r="BO244" i="12"/>
  <c r="BO245" i="12"/>
  <c r="BO246" i="12"/>
  <c r="BO248" i="12"/>
  <c r="BO247" i="12"/>
  <c r="BO249" i="12"/>
  <c r="BO250" i="12"/>
  <c r="BO251" i="12"/>
  <c r="BO252" i="12"/>
  <c r="BO253" i="12"/>
  <c r="BO254" i="12"/>
  <c r="BO255" i="12"/>
  <c r="BO256" i="12"/>
  <c r="BO257" i="12"/>
  <c r="BO258" i="12"/>
  <c r="BO259" i="12"/>
  <c r="BO260" i="12"/>
  <c r="BO261" i="12"/>
  <c r="BO262" i="12"/>
  <c r="BO263" i="12"/>
  <c r="BO264" i="12"/>
  <c r="BO265" i="12"/>
  <c r="BO266" i="12"/>
  <c r="BO267" i="12"/>
  <c r="BO268" i="12"/>
  <c r="BO269" i="12"/>
  <c r="BL272" i="12"/>
  <c r="BL240" i="12"/>
  <c r="BL239" i="12"/>
  <c r="BL241" i="12"/>
  <c r="BL242" i="12"/>
  <c r="BL243" i="12"/>
  <c r="BL245" i="12"/>
  <c r="BL244" i="12"/>
  <c r="BL247" i="12"/>
  <c r="BL246" i="12"/>
  <c r="BL248" i="12"/>
  <c r="BL249" i="12"/>
  <c r="BL250" i="12"/>
  <c r="BL251" i="12"/>
  <c r="BL252" i="12"/>
  <c r="BL253" i="12"/>
  <c r="BL254" i="12"/>
  <c r="BL255" i="12"/>
  <c r="BL256" i="12"/>
  <c r="BL257" i="12"/>
  <c r="BL258" i="12"/>
  <c r="BL259" i="12"/>
  <c r="BL260" i="12"/>
  <c r="BL261" i="12"/>
  <c r="BL262" i="12"/>
  <c r="BL263" i="12"/>
  <c r="BL264" i="12"/>
  <c r="BL265" i="12"/>
  <c r="BL266" i="12"/>
  <c r="BL267" i="12"/>
  <c r="BL268" i="12"/>
  <c r="BL269" i="12"/>
  <c r="CE272" i="12"/>
  <c r="CE259" i="12"/>
  <c r="CE258" i="12"/>
  <c r="CE260" i="12"/>
  <c r="CE262" i="12"/>
  <c r="CE261" i="12"/>
  <c r="CE264" i="12"/>
  <c r="CE263" i="12"/>
  <c r="CE265" i="12"/>
  <c r="CE266" i="12"/>
  <c r="CE267" i="12"/>
  <c r="CE268" i="12"/>
  <c r="CE269" i="12"/>
  <c r="BS272" i="12"/>
  <c r="BS247" i="12"/>
  <c r="BS246" i="12"/>
  <c r="BS248" i="12"/>
  <c r="BS250" i="12"/>
  <c r="BS249" i="12"/>
  <c r="BS252" i="12"/>
  <c r="BS251" i="12"/>
  <c r="BS253" i="12"/>
  <c r="BS254" i="12"/>
  <c r="BS255" i="12"/>
  <c r="BS256" i="12"/>
  <c r="BS257" i="12"/>
  <c r="BS258" i="12"/>
  <c r="BS259" i="12"/>
  <c r="BS260" i="12"/>
  <c r="BS261" i="12"/>
  <c r="BS262" i="12"/>
  <c r="BS263" i="12"/>
  <c r="BS264" i="12"/>
  <c r="BS265" i="12"/>
  <c r="BS266" i="12"/>
  <c r="BS267" i="12"/>
  <c r="BS268" i="12"/>
  <c r="BS269" i="12"/>
  <c r="BX220" i="12"/>
  <c r="BX221" i="12" s="1"/>
  <c r="CQ219" i="12"/>
  <c r="CS219" i="12" s="1"/>
  <c r="CQ211" i="12"/>
  <c r="CS211" i="12" s="1"/>
  <c r="CQ203" i="12"/>
  <c r="CS203" i="12" s="1"/>
  <c r="CQ195" i="12"/>
  <c r="CS195" i="12" s="1"/>
  <c r="CQ187" i="12"/>
  <c r="CS187" i="12" s="1"/>
  <c r="BB220" i="12"/>
  <c r="BB221" i="12" s="1"/>
  <c r="CQ179" i="12"/>
  <c r="CF220" i="12"/>
  <c r="CF221" i="12" s="1"/>
  <c r="CI220" i="12"/>
  <c r="CI221" i="12" s="1"/>
  <c r="BN272" i="12"/>
  <c r="BN241" i="12"/>
  <c r="BN242" i="12"/>
  <c r="BN243" i="12"/>
  <c r="BN245" i="12"/>
  <c r="BN244" i="12"/>
  <c r="BN247" i="12"/>
  <c r="BN246" i="12"/>
  <c r="BN248" i="12"/>
  <c r="BN249" i="12"/>
  <c r="BN250" i="12"/>
  <c r="BN251" i="12"/>
  <c r="BN252" i="12"/>
  <c r="BN253" i="12"/>
  <c r="BN254" i="12"/>
  <c r="BN255" i="12"/>
  <c r="BN256" i="12"/>
  <c r="BN257" i="12"/>
  <c r="BN258" i="12"/>
  <c r="BN259" i="12"/>
  <c r="BN260" i="12"/>
  <c r="BN261" i="12"/>
  <c r="BN262" i="12"/>
  <c r="BN263" i="12"/>
  <c r="BN264" i="12"/>
  <c r="BN265" i="12"/>
  <c r="BN266" i="12"/>
  <c r="BN267" i="12"/>
  <c r="BN268" i="12"/>
  <c r="BN269" i="12"/>
  <c r="BR272" i="12"/>
  <c r="BR246" i="12"/>
  <c r="BR245" i="12"/>
  <c r="BR247" i="12"/>
  <c r="BR248" i="12"/>
  <c r="BR249" i="12"/>
  <c r="BR250" i="12"/>
  <c r="BR251" i="12"/>
  <c r="BR253" i="12"/>
  <c r="BR252" i="12"/>
  <c r="BR254" i="12"/>
  <c r="BR255" i="12"/>
  <c r="BR256" i="12"/>
  <c r="BR257" i="12"/>
  <c r="BR258" i="12"/>
  <c r="BR259" i="12"/>
  <c r="BR260" i="12"/>
  <c r="BR261" i="12"/>
  <c r="BR262" i="12"/>
  <c r="BR263" i="12"/>
  <c r="BR264" i="12"/>
  <c r="BR265" i="12"/>
  <c r="BR266" i="12"/>
  <c r="BR267" i="12"/>
  <c r="BR268" i="12"/>
  <c r="BR269" i="12"/>
  <c r="BO220" i="12"/>
  <c r="BO221" i="12" s="1"/>
  <c r="BD220" i="12"/>
  <c r="BD221" i="12" s="1"/>
  <c r="BF220" i="12"/>
  <c r="BF221" i="12" s="1"/>
  <c r="BS220" i="12"/>
  <c r="BS221" i="12" s="1"/>
  <c r="BJ272" i="12"/>
  <c r="BJ238" i="12"/>
  <c r="BJ237" i="12"/>
  <c r="BJ239" i="12"/>
  <c r="BJ240" i="12"/>
  <c r="BJ241" i="12"/>
  <c r="BJ243" i="12"/>
  <c r="BJ242" i="12"/>
  <c r="BJ244" i="12"/>
  <c r="BJ245" i="12"/>
  <c r="BJ246" i="12"/>
  <c r="BJ247" i="12"/>
  <c r="BJ248" i="12"/>
  <c r="BJ249" i="12"/>
  <c r="BJ250" i="12"/>
  <c r="BJ251" i="12"/>
  <c r="BJ252" i="12"/>
  <c r="BJ253" i="12"/>
  <c r="BJ254" i="12"/>
  <c r="BJ255" i="12"/>
  <c r="BJ256" i="12"/>
  <c r="BJ257" i="12"/>
  <c r="BJ258" i="12"/>
  <c r="BJ259" i="12"/>
  <c r="BJ260" i="12"/>
  <c r="BJ261" i="12"/>
  <c r="BJ262" i="12"/>
  <c r="BJ263" i="12"/>
  <c r="BJ264" i="12"/>
  <c r="BJ265" i="12"/>
  <c r="BJ266" i="12"/>
  <c r="BJ267" i="12"/>
  <c r="BJ268" i="12"/>
  <c r="BJ269" i="12"/>
  <c r="BM272" i="12"/>
  <c r="BM241" i="12"/>
  <c r="BM240" i="12"/>
  <c r="BM242" i="12"/>
  <c r="BM244" i="12"/>
  <c r="BM243" i="12"/>
  <c r="BM246" i="12"/>
  <c r="BM245" i="12"/>
  <c r="BM247" i="12"/>
  <c r="BM248" i="12"/>
  <c r="BM249" i="12"/>
  <c r="BM250" i="12"/>
  <c r="BM251" i="12"/>
  <c r="BM252" i="12"/>
  <c r="BM253" i="12"/>
  <c r="BM254" i="12"/>
  <c r="BM255" i="12"/>
  <c r="BM256" i="12"/>
  <c r="BM257" i="12"/>
  <c r="BM258" i="12"/>
  <c r="BM259" i="12"/>
  <c r="BM260" i="12"/>
  <c r="BM261" i="12"/>
  <c r="BM262" i="12"/>
  <c r="BM263" i="12"/>
  <c r="BM264" i="12"/>
  <c r="BM265" i="12"/>
  <c r="BM266" i="12"/>
  <c r="BM267" i="12"/>
  <c r="BM268" i="12"/>
  <c r="BM269" i="12"/>
  <c r="BF272" i="12"/>
  <c r="BF234" i="12"/>
  <c r="BF233" i="12"/>
  <c r="BF235" i="12"/>
  <c r="BF236" i="12"/>
  <c r="BF237" i="12"/>
  <c r="BF238" i="12"/>
  <c r="BF239" i="12"/>
  <c r="BF241" i="12"/>
  <c r="BF240" i="12"/>
  <c r="BF242" i="12"/>
  <c r="BF243" i="12"/>
  <c r="BF244" i="12"/>
  <c r="BF245" i="12"/>
  <c r="BF246" i="12"/>
  <c r="BF247" i="12"/>
  <c r="BF248" i="12"/>
  <c r="BF249" i="12"/>
  <c r="BF250" i="12"/>
  <c r="BF251" i="12"/>
  <c r="BF252" i="12"/>
  <c r="BF253" i="12"/>
  <c r="BF254" i="12"/>
  <c r="BF255" i="12"/>
  <c r="BF256" i="12"/>
  <c r="BF257" i="12"/>
  <c r="BF258" i="12"/>
  <c r="BF259" i="12"/>
  <c r="BF260" i="12"/>
  <c r="BF261" i="12"/>
  <c r="BF262" i="12"/>
  <c r="BF263" i="12"/>
  <c r="BF264" i="12"/>
  <c r="BF265" i="12"/>
  <c r="BF266" i="12"/>
  <c r="BF267" i="12"/>
  <c r="BF268" i="12"/>
  <c r="BF269" i="12"/>
  <c r="CC272" i="12"/>
  <c r="CC257" i="12"/>
  <c r="CC256" i="12"/>
  <c r="CC258" i="12"/>
  <c r="CC260" i="12"/>
  <c r="CC259" i="12"/>
  <c r="CC262" i="12"/>
  <c r="CC261" i="12"/>
  <c r="CC263" i="12"/>
  <c r="CC264" i="12"/>
  <c r="CC265" i="12"/>
  <c r="CC266" i="12"/>
  <c r="CC267" i="12"/>
  <c r="CC268" i="12"/>
  <c r="CC269" i="12"/>
  <c r="BQ272" i="12"/>
  <c r="BQ245" i="12"/>
  <c r="BQ244" i="12"/>
  <c r="BQ246" i="12"/>
  <c r="BQ247" i="12"/>
  <c r="BQ248" i="12"/>
  <c r="BQ250" i="12"/>
  <c r="BQ249" i="12"/>
  <c r="BQ251" i="12"/>
  <c r="BQ252" i="12"/>
  <c r="BQ253" i="12"/>
  <c r="BQ254" i="12"/>
  <c r="BQ255" i="12"/>
  <c r="BQ256" i="12"/>
  <c r="BQ257" i="12"/>
  <c r="BQ258" i="12"/>
  <c r="BQ259" i="12"/>
  <c r="BQ260" i="12"/>
  <c r="BQ261" i="12"/>
  <c r="BQ262" i="12"/>
  <c r="BQ263" i="12"/>
  <c r="BQ264" i="12"/>
  <c r="BQ265" i="12"/>
  <c r="BQ266" i="12"/>
  <c r="BQ267" i="12"/>
  <c r="BQ268" i="12"/>
  <c r="BQ269" i="12"/>
  <c r="CJ272" i="12"/>
  <c r="CJ263" i="12"/>
  <c r="CJ264" i="12"/>
  <c r="CJ265" i="12"/>
  <c r="CJ266" i="12"/>
  <c r="CJ267" i="12"/>
  <c r="CJ268" i="12"/>
  <c r="CJ269" i="12"/>
  <c r="CA220" i="12"/>
  <c r="CA221" i="12" s="1"/>
  <c r="CQ218" i="12"/>
  <c r="CS218" i="12" s="1"/>
  <c r="CQ210" i="12"/>
  <c r="CS210" i="12" s="1"/>
  <c r="CQ202" i="12"/>
  <c r="CS202" i="12" s="1"/>
  <c r="CQ194" i="12"/>
  <c r="CS194" i="12" s="1"/>
  <c r="CQ186" i="12"/>
  <c r="CS186" i="12" s="1"/>
  <c r="CP221" i="12"/>
  <c r="AD180" i="9"/>
  <c r="AF180" i="9" s="1"/>
  <c r="T131" i="9"/>
  <c r="T136" i="9"/>
  <c r="T211" i="9"/>
  <c r="AD182" i="9"/>
  <c r="AF182" i="9" s="1"/>
  <c r="T137" i="9"/>
  <c r="T192" i="9"/>
  <c r="T158" i="9"/>
  <c r="T214" i="9"/>
  <c r="T151" i="9"/>
  <c r="T130" i="9"/>
  <c r="T188" i="9"/>
  <c r="T200" i="9"/>
  <c r="T135" i="9"/>
  <c r="T189" i="9"/>
  <c r="T152" i="9"/>
  <c r="T156" i="9"/>
  <c r="T147" i="9"/>
  <c r="T140" i="9"/>
  <c r="T190" i="9"/>
  <c r="T144" i="9"/>
  <c r="T217" i="9"/>
  <c r="T198" i="9"/>
  <c r="T201" i="9"/>
  <c r="T194" i="9"/>
  <c r="T141" i="9"/>
  <c r="T205" i="9"/>
  <c r="T143" i="9"/>
  <c r="T150" i="9"/>
  <c r="T157" i="9"/>
  <c r="T208" i="9"/>
  <c r="T215" i="9"/>
  <c r="T206" i="9"/>
  <c r="T193" i="9"/>
  <c r="T191" i="9"/>
  <c r="T218" i="9"/>
  <c r="T213" i="9"/>
  <c r="T138" i="9"/>
  <c r="T207" i="9"/>
  <c r="T186" i="9"/>
  <c r="T146" i="9"/>
  <c r="T159" i="9"/>
  <c r="T187" i="9"/>
  <c r="T132" i="9"/>
  <c r="T202" i="9"/>
  <c r="T134" i="9"/>
  <c r="T199" i="9"/>
  <c r="T203" i="9"/>
  <c r="T145" i="9"/>
  <c r="T155" i="9"/>
  <c r="T185" i="9"/>
  <c r="T204" i="9"/>
  <c r="T195" i="9"/>
  <c r="T216" i="9"/>
  <c r="T212" i="9"/>
  <c r="T142" i="9"/>
  <c r="T197" i="9"/>
  <c r="T210" i="9"/>
  <c r="T219" i="9"/>
  <c r="T209" i="9"/>
  <c r="T181" i="9"/>
  <c r="T154" i="9"/>
  <c r="T184" i="9"/>
  <c r="AE290" i="9"/>
  <c r="AE296" i="9"/>
  <c r="AE310" i="9"/>
  <c r="AE307" i="9"/>
  <c r="AE286" i="9"/>
  <c r="AE315" i="9"/>
  <c r="AE297" i="9"/>
  <c r="AE311" i="9"/>
  <c r="AE294" i="9"/>
  <c r="AE305" i="9"/>
  <c r="AE300" i="9"/>
  <c r="AE312" i="9"/>
  <c r="AE318" i="9"/>
  <c r="AE292" i="9"/>
  <c r="AE316" i="9"/>
  <c r="AE309" i="9"/>
  <c r="AE285" i="9"/>
  <c r="AE314" i="9"/>
  <c r="AE288" i="9"/>
  <c r="AE293" i="9"/>
  <c r="AE283" i="9"/>
  <c r="AE304" i="9"/>
  <c r="AE282" i="9"/>
  <c r="AE306" i="9"/>
  <c r="T148" i="9"/>
  <c r="AE284" i="9"/>
  <c r="AE313" i="9"/>
  <c r="AE280" i="9"/>
  <c r="AE302" i="9"/>
  <c r="AE317" i="9"/>
  <c r="AE303" i="9"/>
  <c r="AE289" i="9"/>
  <c r="AE287" i="9"/>
  <c r="AE308" i="9"/>
  <c r="AE298" i="9"/>
  <c r="AE291" i="9"/>
  <c r="AE295" i="9"/>
  <c r="AE301" i="9"/>
  <c r="AE299" i="9"/>
  <c r="AE281" i="9"/>
  <c r="AE319" i="9"/>
  <c r="T183" i="9"/>
  <c r="AS64" i="10"/>
  <c r="BA63" i="10"/>
  <c r="BB63" i="10" s="1"/>
  <c r="AZ64" i="10" s="1"/>
  <c r="T166" i="9"/>
  <c r="Y266" i="9"/>
  <c r="D266" i="9"/>
  <c r="W266" i="9"/>
  <c r="F266" i="9"/>
  <c r="AA266" i="9"/>
  <c r="E266" i="9"/>
  <c r="G316" i="9"/>
  <c r="D233" i="9"/>
  <c r="F233" i="9"/>
  <c r="W233" i="9"/>
  <c r="Y233" i="9"/>
  <c r="AA233" i="9"/>
  <c r="E233" i="9"/>
  <c r="G283" i="9"/>
  <c r="T165" i="9"/>
  <c r="Y265" i="9"/>
  <c r="E265" i="9"/>
  <c r="AA265" i="9"/>
  <c r="D265" i="9"/>
  <c r="F265" i="9"/>
  <c r="W265" i="9"/>
  <c r="G315" i="9"/>
  <c r="Y262" i="9"/>
  <c r="D262" i="9"/>
  <c r="W262" i="9"/>
  <c r="F262" i="9"/>
  <c r="AA262" i="9"/>
  <c r="E262" i="9"/>
  <c r="G312" i="9"/>
  <c r="Y254" i="9"/>
  <c r="D254" i="9"/>
  <c r="F254" i="9"/>
  <c r="AA254" i="9"/>
  <c r="E254" i="9"/>
  <c r="W254" i="9"/>
  <c r="G304" i="9"/>
  <c r="E231" i="9"/>
  <c r="D231" i="9"/>
  <c r="AA231" i="9"/>
  <c r="Y231" i="9"/>
  <c r="W231" i="9"/>
  <c r="F231" i="9"/>
  <c r="G281" i="9"/>
  <c r="T164" i="9"/>
  <c r="D250" i="9"/>
  <c r="F250" i="9"/>
  <c r="Y250" i="9"/>
  <c r="W250" i="9"/>
  <c r="AA250" i="9"/>
  <c r="E250" i="9"/>
  <c r="G300" i="9"/>
  <c r="AA129" i="9"/>
  <c r="W129" i="9"/>
  <c r="Y129" i="9"/>
  <c r="D129" i="9"/>
  <c r="E129" i="9"/>
  <c r="F129" i="9"/>
  <c r="G170" i="9"/>
  <c r="G171" i="9" s="1"/>
  <c r="W243" i="9"/>
  <c r="F243" i="9"/>
  <c r="D243" i="9"/>
  <c r="Y243" i="9"/>
  <c r="E243" i="9"/>
  <c r="AA243" i="9"/>
  <c r="G293" i="9"/>
  <c r="D245" i="9"/>
  <c r="AA245" i="9"/>
  <c r="F245" i="9"/>
  <c r="W245" i="9"/>
  <c r="Y245" i="9"/>
  <c r="E245" i="9"/>
  <c r="G295" i="9"/>
  <c r="W244" i="9"/>
  <c r="Y244" i="9"/>
  <c r="AA244" i="9"/>
  <c r="D244" i="9"/>
  <c r="F244" i="9"/>
  <c r="E244" i="9"/>
  <c r="G294" i="9"/>
  <c r="E264" i="9"/>
  <c r="Y264" i="9"/>
  <c r="D264" i="9"/>
  <c r="W264" i="9"/>
  <c r="F264" i="9"/>
  <c r="AA264" i="9"/>
  <c r="G314" i="9"/>
  <c r="T163" i="9"/>
  <c r="D255" i="9"/>
  <c r="E255" i="9"/>
  <c r="Y255" i="9"/>
  <c r="AA255" i="9"/>
  <c r="W255" i="9"/>
  <c r="F255" i="9"/>
  <c r="G305" i="9"/>
  <c r="T167" i="9"/>
  <c r="E268" i="9"/>
  <c r="W268" i="9"/>
  <c r="D268" i="9"/>
  <c r="Y268" i="9"/>
  <c r="F268" i="9"/>
  <c r="AA268" i="9"/>
  <c r="G318" i="9"/>
  <c r="W252" i="9"/>
  <c r="Y252" i="9"/>
  <c r="AA252" i="9"/>
  <c r="E252" i="9"/>
  <c r="D252" i="9"/>
  <c r="F252" i="9"/>
  <c r="G302" i="9"/>
  <c r="E239" i="9"/>
  <c r="D239" i="9"/>
  <c r="Y239" i="9"/>
  <c r="W239" i="9"/>
  <c r="AA239" i="9"/>
  <c r="F239" i="9"/>
  <c r="G289" i="9"/>
  <c r="F263" i="9"/>
  <c r="D263" i="9"/>
  <c r="E263" i="9"/>
  <c r="Y263" i="9"/>
  <c r="AA263" i="9"/>
  <c r="W263" i="9"/>
  <c r="G313" i="9"/>
  <c r="Y246" i="9"/>
  <c r="E246" i="9"/>
  <c r="D246" i="9"/>
  <c r="F246" i="9"/>
  <c r="AA246" i="9"/>
  <c r="W246" i="9"/>
  <c r="G296" i="9"/>
  <c r="E237" i="9"/>
  <c r="Y237" i="9"/>
  <c r="D237" i="9"/>
  <c r="W237" i="9"/>
  <c r="F237" i="9"/>
  <c r="AA237" i="9"/>
  <c r="G287" i="9"/>
  <c r="Y248" i="9"/>
  <c r="D248" i="9"/>
  <c r="W248" i="9"/>
  <c r="F248" i="9"/>
  <c r="AA248" i="9"/>
  <c r="E248" i="9"/>
  <c r="G298" i="9"/>
  <c r="AA232" i="9"/>
  <c r="Y232" i="9"/>
  <c r="W232" i="9"/>
  <c r="E232" i="9"/>
  <c r="D232" i="9"/>
  <c r="F232" i="9"/>
  <c r="G282" i="9"/>
  <c r="T169" i="9"/>
  <c r="Y230" i="9"/>
  <c r="D230" i="9"/>
  <c r="F230" i="9"/>
  <c r="AA230" i="9"/>
  <c r="W230" i="9"/>
  <c r="E230" i="9"/>
  <c r="G280" i="9"/>
  <c r="T162" i="9"/>
  <c r="Y236" i="9"/>
  <c r="AA236" i="9"/>
  <c r="E236" i="9"/>
  <c r="D236" i="9"/>
  <c r="F236" i="9"/>
  <c r="W236" i="9"/>
  <c r="G286" i="9"/>
  <c r="AA259" i="9"/>
  <c r="W259" i="9"/>
  <c r="Y259" i="9"/>
  <c r="D259" i="9"/>
  <c r="E259" i="9"/>
  <c r="F259" i="9"/>
  <c r="G309" i="9"/>
  <c r="AA257" i="9"/>
  <c r="D257" i="9"/>
  <c r="Y257" i="9"/>
  <c r="F257" i="9"/>
  <c r="W257" i="9"/>
  <c r="E257" i="9"/>
  <c r="G307" i="9"/>
  <c r="AA235" i="9"/>
  <c r="E235" i="9"/>
  <c r="W235" i="9"/>
  <c r="D235" i="9"/>
  <c r="Y235" i="9"/>
  <c r="F235" i="9"/>
  <c r="G285" i="9"/>
  <c r="T139" i="9"/>
  <c r="F269" i="9"/>
  <c r="AA269" i="9"/>
  <c r="E269" i="9"/>
  <c r="W269" i="9"/>
  <c r="D269" i="9"/>
  <c r="Y269" i="9"/>
  <c r="G319" i="9"/>
  <c r="AA261" i="9"/>
  <c r="E261" i="9"/>
  <c r="W261" i="9"/>
  <c r="D261" i="9"/>
  <c r="F261" i="9"/>
  <c r="Y261" i="9"/>
  <c r="G311" i="9"/>
  <c r="AE270" i="9"/>
  <c r="AE272" i="9" s="1"/>
  <c r="AE279" i="9"/>
  <c r="T168" i="9"/>
  <c r="E260" i="9"/>
  <c r="D260" i="9"/>
  <c r="F260" i="9"/>
  <c r="AA260" i="9"/>
  <c r="Y260" i="9"/>
  <c r="W260" i="9"/>
  <c r="G310" i="9"/>
  <c r="Y242" i="9"/>
  <c r="W242" i="9"/>
  <c r="AA242" i="9"/>
  <c r="D242" i="9"/>
  <c r="F242" i="9"/>
  <c r="E242" i="9"/>
  <c r="G292" i="9"/>
  <c r="T149" i="9"/>
  <c r="T153" i="9"/>
  <c r="D240" i="9"/>
  <c r="F240" i="9"/>
  <c r="AA240" i="9"/>
  <c r="W240" i="9"/>
  <c r="Y240" i="9"/>
  <c r="E240" i="9"/>
  <c r="G290" i="9"/>
  <c r="E234" i="9"/>
  <c r="W234" i="9"/>
  <c r="D234" i="9"/>
  <c r="AA234" i="9"/>
  <c r="F234" i="9"/>
  <c r="Y234" i="9"/>
  <c r="G284" i="9"/>
  <c r="T161" i="9"/>
  <c r="CS229" i="9"/>
  <c r="CQ270" i="9"/>
  <c r="CQ271" i="9" s="1"/>
  <c r="AA238" i="9"/>
  <c r="D238" i="9"/>
  <c r="W238" i="9"/>
  <c r="F238" i="9"/>
  <c r="Y238" i="9"/>
  <c r="E238" i="9"/>
  <c r="G288" i="9"/>
  <c r="D241" i="9"/>
  <c r="F241" i="9"/>
  <c r="AA241" i="9"/>
  <c r="W241" i="9"/>
  <c r="Y241" i="9"/>
  <c r="E241" i="9"/>
  <c r="G291" i="9"/>
  <c r="AA247" i="9"/>
  <c r="D247" i="9"/>
  <c r="E247" i="9"/>
  <c r="Y247" i="9"/>
  <c r="W247" i="9"/>
  <c r="F247" i="9"/>
  <c r="G297" i="9"/>
  <c r="D256" i="9"/>
  <c r="AA256" i="9"/>
  <c r="F256" i="9"/>
  <c r="Y256" i="9"/>
  <c r="E256" i="9"/>
  <c r="W256" i="9"/>
  <c r="G306" i="9"/>
  <c r="AA251" i="9"/>
  <c r="Y251" i="9"/>
  <c r="W251" i="9"/>
  <c r="D251" i="9"/>
  <c r="E251" i="9"/>
  <c r="F251" i="9"/>
  <c r="G301" i="9"/>
  <c r="T160" i="9"/>
  <c r="E253" i="9"/>
  <c r="F253" i="9"/>
  <c r="D253" i="9"/>
  <c r="AA253" i="9"/>
  <c r="W253" i="9"/>
  <c r="Y253" i="9"/>
  <c r="G303" i="9"/>
  <c r="Y258" i="9"/>
  <c r="W258" i="9"/>
  <c r="AA258" i="9"/>
  <c r="E258" i="9"/>
  <c r="D258" i="9"/>
  <c r="F258" i="9"/>
  <c r="G308" i="9"/>
  <c r="AA267" i="9"/>
  <c r="Y267" i="9"/>
  <c r="W267" i="9"/>
  <c r="F267" i="9"/>
  <c r="E267" i="9"/>
  <c r="D267" i="9"/>
  <c r="G317" i="9"/>
  <c r="W249" i="9"/>
  <c r="Y249" i="9"/>
  <c r="D249" i="9"/>
  <c r="F249" i="9"/>
  <c r="E249" i="9"/>
  <c r="AA249" i="9"/>
  <c r="G299" i="9"/>
  <c r="W179" i="9"/>
  <c r="G220" i="9"/>
  <c r="G221" i="9" s="1"/>
  <c r="Y179" i="9"/>
  <c r="F179" i="9"/>
  <c r="E179" i="9"/>
  <c r="AA179" i="9"/>
  <c r="D179" i="9"/>
  <c r="AD131" i="9" l="1"/>
  <c r="AF131" i="9" s="1"/>
  <c r="AD136" i="9"/>
  <c r="AF136" i="9" s="1"/>
  <c r="AD151" i="9"/>
  <c r="AF151" i="9" s="1"/>
  <c r="AD133" i="9"/>
  <c r="AF133" i="9" s="1"/>
  <c r="CQ230" i="12"/>
  <c r="CS230" i="12" s="1"/>
  <c r="CO270" i="12"/>
  <c r="CO271" i="12" s="1"/>
  <c r="CM270" i="12"/>
  <c r="CM271" i="12" s="1"/>
  <c r="CN270" i="12"/>
  <c r="CN271" i="12" s="1"/>
  <c r="BX270" i="12"/>
  <c r="BX271" i="12" s="1"/>
  <c r="CH270" i="12"/>
  <c r="CH271" i="12" s="1"/>
  <c r="BZ270" i="12"/>
  <c r="BZ271" i="12" s="1"/>
  <c r="CI270" i="12"/>
  <c r="CI271" i="12" s="1"/>
  <c r="BM270" i="12"/>
  <c r="BM271" i="12" s="1"/>
  <c r="BR270" i="12"/>
  <c r="BR271" i="12" s="1"/>
  <c r="BN270" i="12"/>
  <c r="BN271" i="12" s="1"/>
  <c r="BW270" i="12"/>
  <c r="BW271" i="12" s="1"/>
  <c r="CQ269" i="12"/>
  <c r="CS269" i="12" s="1"/>
  <c r="CQ261" i="12"/>
  <c r="CS261" i="12" s="1"/>
  <c r="CQ253" i="12"/>
  <c r="CS253" i="12" s="1"/>
  <c r="CQ245" i="12"/>
  <c r="CS245" i="12" s="1"/>
  <c r="CQ237" i="12"/>
  <c r="CS237" i="12" s="1"/>
  <c r="BB270" i="12"/>
  <c r="BB271" i="12" s="1"/>
  <c r="CQ229" i="12"/>
  <c r="CQ260" i="12"/>
  <c r="CS260" i="12" s="1"/>
  <c r="CQ236" i="12"/>
  <c r="CS236" i="12" s="1"/>
  <c r="BS270" i="12"/>
  <c r="BS271" i="12" s="1"/>
  <c r="BH270" i="12"/>
  <c r="BH271" i="12" s="1"/>
  <c r="CQ267" i="12"/>
  <c r="CS267" i="12" s="1"/>
  <c r="CQ259" i="12"/>
  <c r="CS259" i="12" s="1"/>
  <c r="CQ251" i="12"/>
  <c r="CS251" i="12" s="1"/>
  <c r="CQ243" i="12"/>
  <c r="CS243" i="12" s="1"/>
  <c r="CQ234" i="12"/>
  <c r="CS234" i="12" s="1"/>
  <c r="CP271" i="12"/>
  <c r="BF270" i="12"/>
  <c r="BF271" i="12" s="1"/>
  <c r="BJ270" i="12"/>
  <c r="BJ271" i="12" s="1"/>
  <c r="CC270" i="12"/>
  <c r="CC271" i="12" s="1"/>
  <c r="BE270" i="12"/>
  <c r="BE271" i="12" s="1"/>
  <c r="CQ266" i="12"/>
  <c r="CS266" i="12" s="1"/>
  <c r="CQ258" i="12"/>
  <c r="CS258" i="12" s="1"/>
  <c r="CQ250" i="12"/>
  <c r="CS250" i="12" s="1"/>
  <c r="CQ242" i="12"/>
  <c r="CS242" i="12" s="1"/>
  <c r="CQ235" i="12"/>
  <c r="CS235" i="12" s="1"/>
  <c r="BI270" i="12"/>
  <c r="BI271" i="12" s="1"/>
  <c r="BC270" i="12"/>
  <c r="BC271" i="12" s="1"/>
  <c r="CQ244" i="12"/>
  <c r="CS244" i="12" s="1"/>
  <c r="BQ270" i="12"/>
  <c r="BQ271" i="12" s="1"/>
  <c r="CQ220" i="12"/>
  <c r="CS179" i="12"/>
  <c r="BO270" i="12"/>
  <c r="BO271" i="12" s="1"/>
  <c r="BV270" i="12"/>
  <c r="BV271" i="12" s="1"/>
  <c r="CQ265" i="12"/>
  <c r="CS265" i="12" s="1"/>
  <c r="CQ257" i="12"/>
  <c r="CS257" i="12" s="1"/>
  <c r="CQ249" i="12"/>
  <c r="CS249" i="12" s="1"/>
  <c r="CQ241" i="12"/>
  <c r="CS241" i="12" s="1"/>
  <c r="CQ233" i="12"/>
  <c r="CS233" i="12" s="1"/>
  <c r="BK270" i="12"/>
  <c r="BK271" i="12" s="1"/>
  <c r="CL270" i="12"/>
  <c r="CL271" i="12" s="1"/>
  <c r="CQ252" i="12"/>
  <c r="CS252" i="12" s="1"/>
  <c r="CJ270" i="12"/>
  <c r="CJ271" i="12" s="1"/>
  <c r="CQ221" i="12"/>
  <c r="CS221" i="12" s="1"/>
  <c r="CQ264" i="12"/>
  <c r="CS264" i="12" s="1"/>
  <c r="CQ256" i="12"/>
  <c r="CS256" i="12" s="1"/>
  <c r="CQ248" i="12"/>
  <c r="CS248" i="12" s="1"/>
  <c r="CQ240" i="12"/>
  <c r="CS240" i="12" s="1"/>
  <c r="CQ232" i="12"/>
  <c r="CS232" i="12" s="1"/>
  <c r="CG270" i="12"/>
  <c r="CG271" i="12" s="1"/>
  <c r="BT270" i="12"/>
  <c r="BT271" i="12" s="1"/>
  <c r="CD270" i="12"/>
  <c r="CD271" i="12" s="1"/>
  <c r="CB270" i="12"/>
  <c r="CB271" i="12" s="1"/>
  <c r="CF270" i="12"/>
  <c r="CF271" i="12" s="1"/>
  <c r="CQ263" i="12"/>
  <c r="CS263" i="12" s="1"/>
  <c r="CQ255" i="12"/>
  <c r="CS255" i="12" s="1"/>
  <c r="CQ247" i="12"/>
  <c r="CS247" i="12" s="1"/>
  <c r="CQ239" i="12"/>
  <c r="CS239" i="12" s="1"/>
  <c r="CQ231" i="12"/>
  <c r="CS231" i="12" s="1"/>
  <c r="CK270" i="12"/>
  <c r="CK271" i="12" s="1"/>
  <c r="BP270" i="12"/>
  <c r="BP271" i="12" s="1"/>
  <c r="BY270" i="12"/>
  <c r="BY271" i="12" s="1"/>
  <c r="BG270" i="12"/>
  <c r="BG271" i="12" s="1"/>
  <c r="CA270" i="12"/>
  <c r="CA271" i="12" s="1"/>
  <c r="BD270" i="12"/>
  <c r="BD271" i="12" s="1"/>
  <c r="CQ268" i="12"/>
  <c r="CS268" i="12" s="1"/>
  <c r="CE270" i="12"/>
  <c r="CE271" i="12" s="1"/>
  <c r="BL270" i="12"/>
  <c r="BL271" i="12" s="1"/>
  <c r="CQ262" i="12"/>
  <c r="CS262" i="12" s="1"/>
  <c r="CQ254" i="12"/>
  <c r="CS254" i="12" s="1"/>
  <c r="CQ246" i="12"/>
  <c r="CS246" i="12" s="1"/>
  <c r="CQ238" i="12"/>
  <c r="CS238" i="12" s="1"/>
  <c r="BU270" i="12"/>
  <c r="BU271" i="12" s="1"/>
  <c r="AD193" i="9"/>
  <c r="AF193" i="9" s="1"/>
  <c r="AD219" i="9"/>
  <c r="AF219" i="9" s="1"/>
  <c r="AD185" i="9"/>
  <c r="AF185" i="9" s="1"/>
  <c r="AD187" i="9"/>
  <c r="AF187" i="9" s="1"/>
  <c r="AD191" i="9"/>
  <c r="AF191" i="9" s="1"/>
  <c r="AD205" i="9"/>
  <c r="AF205" i="9" s="1"/>
  <c r="AD197" i="9"/>
  <c r="AF197" i="9" s="1"/>
  <c r="AD206" i="9"/>
  <c r="AF206" i="9" s="1"/>
  <c r="AD194" i="9"/>
  <c r="AF194" i="9" s="1"/>
  <c r="AD214" i="9"/>
  <c r="AF214" i="9" s="1"/>
  <c r="AD203" i="9"/>
  <c r="AF203" i="9" s="1"/>
  <c r="AD186" i="9"/>
  <c r="AF186" i="9" s="1"/>
  <c r="AD215" i="9"/>
  <c r="AF215" i="9" s="1"/>
  <c r="AD201" i="9"/>
  <c r="AD210" i="9"/>
  <c r="AF210" i="9" s="1"/>
  <c r="AD184" i="9"/>
  <c r="AF184" i="9" s="1"/>
  <c r="AD212" i="9"/>
  <c r="AF212" i="9" s="1"/>
  <c r="AD199" i="9"/>
  <c r="AF199" i="9" s="1"/>
  <c r="AD207" i="9"/>
  <c r="AF207" i="9" s="1"/>
  <c r="AD208" i="9"/>
  <c r="AF208" i="9" s="1"/>
  <c r="AD198" i="9"/>
  <c r="AF198" i="9" s="1"/>
  <c r="AD189" i="9"/>
  <c r="AF189" i="9" s="1"/>
  <c r="AD192" i="9"/>
  <c r="AF192" i="9" s="1"/>
  <c r="AD216" i="9"/>
  <c r="AF216" i="9" s="1"/>
  <c r="AD217" i="9"/>
  <c r="AD181" i="9"/>
  <c r="AF181" i="9" s="1"/>
  <c r="AD195" i="9"/>
  <c r="AF195" i="9" s="1"/>
  <c r="AD202" i="9"/>
  <c r="AF202" i="9" s="1"/>
  <c r="AD213" i="9"/>
  <c r="AF213" i="9" s="1"/>
  <c r="AD200" i="9"/>
  <c r="AF200" i="9" s="1"/>
  <c r="AD209" i="9"/>
  <c r="AF209" i="9" s="1"/>
  <c r="AD204" i="9"/>
  <c r="AF204" i="9" s="1"/>
  <c r="AD218" i="9"/>
  <c r="AF218" i="9" s="1"/>
  <c r="AD190" i="9"/>
  <c r="AF190" i="9" s="1"/>
  <c r="AD188" i="9"/>
  <c r="AF188" i="9" s="1"/>
  <c r="AD211" i="9"/>
  <c r="AF211" i="9" s="1"/>
  <c r="AD142" i="9"/>
  <c r="AF142" i="9" s="1"/>
  <c r="AD152" i="9"/>
  <c r="AF152" i="9" s="1"/>
  <c r="AD158" i="9"/>
  <c r="AF158" i="9" s="1"/>
  <c r="AD146" i="9"/>
  <c r="AF146" i="9" s="1"/>
  <c r="AD154" i="9"/>
  <c r="AF154" i="9" s="1"/>
  <c r="AD134" i="9"/>
  <c r="AF134" i="9" s="1"/>
  <c r="AD138" i="9"/>
  <c r="AF138" i="9" s="1"/>
  <c r="AD157" i="9"/>
  <c r="AF157" i="9" s="1"/>
  <c r="AD135" i="9"/>
  <c r="AF135" i="9" s="1"/>
  <c r="AD137" i="9"/>
  <c r="AF137" i="9" s="1"/>
  <c r="AD156" i="9"/>
  <c r="AF156" i="9" s="1"/>
  <c r="AD150" i="9"/>
  <c r="AF150" i="9" s="1"/>
  <c r="AD144" i="9"/>
  <c r="AF144" i="9" s="1"/>
  <c r="AD132" i="9"/>
  <c r="AF132" i="9" s="1"/>
  <c r="AD143" i="9"/>
  <c r="AD148" i="9"/>
  <c r="AF148" i="9" s="1"/>
  <c r="AD145" i="9"/>
  <c r="AF145" i="9" s="1"/>
  <c r="AD140" i="9"/>
  <c r="AD130" i="9"/>
  <c r="AF130" i="9" s="1"/>
  <c r="AD155" i="9"/>
  <c r="AD159" i="9"/>
  <c r="AF159" i="9" s="1"/>
  <c r="AD141" i="9"/>
  <c r="AF141" i="9" s="1"/>
  <c r="AD147" i="9"/>
  <c r="AF147" i="9" s="1"/>
  <c r="AA297" i="9"/>
  <c r="AA280" i="9"/>
  <c r="Y303" i="9"/>
  <c r="AA292" i="9"/>
  <c r="Y311" i="9"/>
  <c r="Y319" i="9"/>
  <c r="Y287" i="9"/>
  <c r="AA313" i="9"/>
  <c r="Y304" i="9"/>
  <c r="Y312" i="9"/>
  <c r="Y315" i="9"/>
  <c r="AK180" i="9"/>
  <c r="AK182" i="9"/>
  <c r="AA299" i="9"/>
  <c r="Y285" i="9"/>
  <c r="Y309" i="9"/>
  <c r="AA286" i="9"/>
  <c r="Y282" i="9"/>
  <c r="Y296" i="9"/>
  <c r="Y313" i="9"/>
  <c r="AA318" i="9"/>
  <c r="AA293" i="9"/>
  <c r="AA300" i="9"/>
  <c r="Y316" i="9"/>
  <c r="AA220" i="9"/>
  <c r="Y292" i="9"/>
  <c r="Y307" i="9"/>
  <c r="Y286" i="9"/>
  <c r="Y280" i="9"/>
  <c r="AA282" i="9"/>
  <c r="Y298" i="9"/>
  <c r="AA303" i="9"/>
  <c r="Y288" i="9"/>
  <c r="Y291" i="9"/>
  <c r="AA309" i="9"/>
  <c r="AA289" i="9"/>
  <c r="Y318" i="9"/>
  <c r="AA314" i="9"/>
  <c r="Y295" i="9"/>
  <c r="Y293" i="9"/>
  <c r="Y170" i="9"/>
  <c r="Y300" i="9"/>
  <c r="AA308" i="9"/>
  <c r="Y306" i="9"/>
  <c r="Y297" i="9"/>
  <c r="Y284" i="9"/>
  <c r="Y290" i="9"/>
  <c r="AA319" i="9"/>
  <c r="AA307" i="9"/>
  <c r="AA287" i="9"/>
  <c r="AA305" i="9"/>
  <c r="Y281" i="9"/>
  <c r="AA312" i="9"/>
  <c r="AA283" i="9"/>
  <c r="AD183" i="9"/>
  <c r="Y314" i="9"/>
  <c r="Y220" i="9"/>
  <c r="Y299" i="9"/>
  <c r="Y317" i="9"/>
  <c r="Y301" i="9"/>
  <c r="AA291" i="9"/>
  <c r="Y310" i="9"/>
  <c r="AE320" i="9"/>
  <c r="AE322" i="9" s="1"/>
  <c r="AA311" i="9"/>
  <c r="AA285" i="9"/>
  <c r="AA296" i="9"/>
  <c r="Y289" i="9"/>
  <c r="AA302" i="9"/>
  <c r="Y305" i="9"/>
  <c r="AA294" i="9"/>
  <c r="AA170" i="9"/>
  <c r="AA281" i="9"/>
  <c r="AA304" i="9"/>
  <c r="Y283" i="9"/>
  <c r="AA316" i="9"/>
  <c r="AF196" i="9"/>
  <c r="AA317" i="9"/>
  <c r="Y308" i="9"/>
  <c r="AA301" i="9"/>
  <c r="AA306" i="9"/>
  <c r="AA288" i="9"/>
  <c r="AA284" i="9"/>
  <c r="AA290" i="9"/>
  <c r="AA310" i="9"/>
  <c r="AA298" i="9"/>
  <c r="Y302" i="9"/>
  <c r="Y294" i="9"/>
  <c r="AA295" i="9"/>
  <c r="AA315" i="9"/>
  <c r="AW64" i="10"/>
  <c r="AX64" i="10" s="1"/>
  <c r="AV65" i="10" s="1"/>
  <c r="AT64" i="10"/>
  <c r="AR65" i="10" s="1"/>
  <c r="R258" i="9"/>
  <c r="E308" i="9"/>
  <c r="AD149" i="9"/>
  <c r="AB242" i="9"/>
  <c r="W292" i="9"/>
  <c r="R260" i="9"/>
  <c r="E310" i="9"/>
  <c r="S269" i="9"/>
  <c r="F319" i="9"/>
  <c r="R235" i="9"/>
  <c r="E285" i="9"/>
  <c r="AD162" i="9"/>
  <c r="Q248" i="9"/>
  <c r="D298" i="9"/>
  <c r="R237" i="9"/>
  <c r="E287" i="9"/>
  <c r="R246" i="9"/>
  <c r="E296" i="9"/>
  <c r="AB263" i="9"/>
  <c r="W313" i="9"/>
  <c r="R252" i="9"/>
  <c r="E302" i="9"/>
  <c r="Q268" i="9"/>
  <c r="D318" i="9"/>
  <c r="S255" i="9"/>
  <c r="F305" i="9"/>
  <c r="R264" i="9"/>
  <c r="E314" i="9"/>
  <c r="Q245" i="9"/>
  <c r="D295" i="9"/>
  <c r="Q250" i="9"/>
  <c r="D300" i="9"/>
  <c r="S231" i="9"/>
  <c r="F281" i="9"/>
  <c r="R265" i="9"/>
  <c r="E315" i="9"/>
  <c r="AB233" i="9"/>
  <c r="W283" i="9"/>
  <c r="R266" i="9"/>
  <c r="E316" i="9"/>
  <c r="S179" i="9"/>
  <c r="F220" i="9"/>
  <c r="F221" i="9" s="1"/>
  <c r="AB267" i="9"/>
  <c r="W317" i="9"/>
  <c r="S253" i="9"/>
  <c r="F303" i="9"/>
  <c r="R251" i="9"/>
  <c r="E301" i="9"/>
  <c r="Q241" i="9"/>
  <c r="D291" i="9"/>
  <c r="S234" i="9"/>
  <c r="F284" i="9"/>
  <c r="AB240" i="9"/>
  <c r="W290" i="9"/>
  <c r="AB236" i="9"/>
  <c r="W286" i="9"/>
  <c r="AD169" i="9"/>
  <c r="Q239" i="9"/>
  <c r="D289" i="9"/>
  <c r="AB268" i="9"/>
  <c r="W318" i="9"/>
  <c r="AB255" i="9"/>
  <c r="W305" i="9"/>
  <c r="Y171" i="9"/>
  <c r="AA171" i="9"/>
  <c r="W171" i="9"/>
  <c r="AB231" i="9"/>
  <c r="W281" i="9"/>
  <c r="S233" i="9"/>
  <c r="F283" i="9"/>
  <c r="R179" i="9"/>
  <c r="E220" i="9"/>
  <c r="E221" i="9" s="1"/>
  <c r="Q253" i="9"/>
  <c r="D303" i="9"/>
  <c r="AB258" i="9"/>
  <c r="W308" i="9"/>
  <c r="R253" i="9"/>
  <c r="E303" i="9"/>
  <c r="Q251" i="9"/>
  <c r="D301" i="9"/>
  <c r="AB256" i="9"/>
  <c r="W306" i="9"/>
  <c r="AD168" i="9"/>
  <c r="AD139" i="9"/>
  <c r="S259" i="9"/>
  <c r="F309" i="9"/>
  <c r="S236" i="9"/>
  <c r="F286" i="9"/>
  <c r="R230" i="9"/>
  <c r="E280" i="9"/>
  <c r="R239" i="9"/>
  <c r="E289" i="9"/>
  <c r="R268" i="9"/>
  <c r="E318" i="9"/>
  <c r="R244" i="9"/>
  <c r="E294" i="9"/>
  <c r="S129" i="9"/>
  <c r="F170" i="9"/>
  <c r="F171" i="9" s="1"/>
  <c r="Q233" i="9"/>
  <c r="D283" i="9"/>
  <c r="S266" i="9"/>
  <c r="F316" i="9"/>
  <c r="S249" i="9"/>
  <c r="F299" i="9"/>
  <c r="S251" i="9"/>
  <c r="F301" i="9"/>
  <c r="S241" i="9"/>
  <c r="F291" i="9"/>
  <c r="Q249" i="9"/>
  <c r="D299" i="9"/>
  <c r="AB249" i="9"/>
  <c r="W299" i="9"/>
  <c r="AB251" i="9"/>
  <c r="W301" i="9"/>
  <c r="R256" i="9"/>
  <c r="E306" i="9"/>
  <c r="S247" i="9"/>
  <c r="F297" i="9"/>
  <c r="R238" i="9"/>
  <c r="E288" i="9"/>
  <c r="Q234" i="9"/>
  <c r="D284" i="9"/>
  <c r="S240" i="9"/>
  <c r="F290" i="9"/>
  <c r="AB260" i="9"/>
  <c r="W310" i="9"/>
  <c r="S261" i="9"/>
  <c r="F311" i="9"/>
  <c r="R257" i="9"/>
  <c r="E307" i="9"/>
  <c r="R259" i="9"/>
  <c r="E309" i="9"/>
  <c r="Q236" i="9"/>
  <c r="D286" i="9"/>
  <c r="AB230" i="9"/>
  <c r="W280" i="9"/>
  <c r="S232" i="9"/>
  <c r="F282" i="9"/>
  <c r="R263" i="9"/>
  <c r="E313" i="9"/>
  <c r="AB252" i="9"/>
  <c r="W302" i="9"/>
  <c r="S244" i="9"/>
  <c r="F294" i="9"/>
  <c r="R245" i="9"/>
  <c r="E295" i="9"/>
  <c r="R243" i="9"/>
  <c r="E293" i="9"/>
  <c r="R129" i="9"/>
  <c r="E170" i="9"/>
  <c r="E171" i="9" s="1"/>
  <c r="R250" i="9"/>
  <c r="E300" i="9"/>
  <c r="AB254" i="9"/>
  <c r="W304" i="9"/>
  <c r="R262" i="9"/>
  <c r="E312" i="9"/>
  <c r="AD165" i="9"/>
  <c r="AB266" i="9"/>
  <c r="W316" i="9"/>
  <c r="Y221" i="9"/>
  <c r="AA221" i="9"/>
  <c r="W221" i="9"/>
  <c r="AB179" i="9"/>
  <c r="W220" i="9"/>
  <c r="AD160" i="9"/>
  <c r="AB247" i="9"/>
  <c r="W297" i="9"/>
  <c r="R241" i="9"/>
  <c r="E291" i="9"/>
  <c r="G229" i="9"/>
  <c r="CS270" i="9"/>
  <c r="CS271" i="9" s="1"/>
  <c r="AB234" i="9"/>
  <c r="W284" i="9"/>
  <c r="Q240" i="9"/>
  <c r="D290" i="9"/>
  <c r="R242" i="9"/>
  <c r="E292" i="9"/>
  <c r="Q261" i="9"/>
  <c r="D311" i="9"/>
  <c r="Q269" i="9"/>
  <c r="D319" i="9"/>
  <c r="S235" i="9"/>
  <c r="F285" i="9"/>
  <c r="AB257" i="9"/>
  <c r="W307" i="9"/>
  <c r="Q259" i="9"/>
  <c r="D309" i="9"/>
  <c r="R236" i="9"/>
  <c r="E286" i="9"/>
  <c r="Q232" i="9"/>
  <c r="D282" i="9"/>
  <c r="R248" i="9"/>
  <c r="E298" i="9"/>
  <c r="S237" i="9"/>
  <c r="F287" i="9"/>
  <c r="AB246" i="9"/>
  <c r="W296" i="9"/>
  <c r="Q263" i="9"/>
  <c r="D313" i="9"/>
  <c r="R255" i="9"/>
  <c r="E305" i="9"/>
  <c r="S264" i="9"/>
  <c r="F314" i="9"/>
  <c r="Q244" i="9"/>
  <c r="D294" i="9"/>
  <c r="Q129" i="9"/>
  <c r="D170" i="9"/>
  <c r="D171" i="9" s="1"/>
  <c r="Q231" i="9"/>
  <c r="D281" i="9"/>
  <c r="R254" i="9"/>
  <c r="E304" i="9"/>
  <c r="AB265" i="9"/>
  <c r="W315" i="9"/>
  <c r="Q266" i="9"/>
  <c r="D316" i="9"/>
  <c r="S256" i="9"/>
  <c r="F306" i="9"/>
  <c r="S238" i="9"/>
  <c r="F288" i="9"/>
  <c r="R234" i="9"/>
  <c r="E284" i="9"/>
  <c r="S242" i="9"/>
  <c r="F292" i="9"/>
  <c r="AB261" i="9"/>
  <c r="W311" i="9"/>
  <c r="AB269" i="9"/>
  <c r="W319" i="9"/>
  <c r="S257" i="9"/>
  <c r="F307" i="9"/>
  <c r="S230" i="9"/>
  <c r="F280" i="9"/>
  <c r="R232" i="9"/>
  <c r="E282" i="9"/>
  <c r="AB237" i="9"/>
  <c r="W287" i="9"/>
  <c r="S263" i="9"/>
  <c r="F313" i="9"/>
  <c r="S239" i="9"/>
  <c r="F289" i="9"/>
  <c r="Q255" i="9"/>
  <c r="D305" i="9"/>
  <c r="AB264" i="9"/>
  <c r="W314" i="9"/>
  <c r="AB245" i="9"/>
  <c r="W295" i="9"/>
  <c r="Q243" i="9"/>
  <c r="D293" i="9"/>
  <c r="AB250" i="9"/>
  <c r="W300" i="9"/>
  <c r="R231" i="9"/>
  <c r="E281" i="9"/>
  <c r="S262" i="9"/>
  <c r="F312" i="9"/>
  <c r="S265" i="9"/>
  <c r="F315" i="9"/>
  <c r="R233" i="9"/>
  <c r="E283" i="9"/>
  <c r="S267" i="9"/>
  <c r="F317" i="9"/>
  <c r="Q179" i="9"/>
  <c r="D220" i="9"/>
  <c r="D221" i="9" s="1"/>
  <c r="Q267" i="9"/>
  <c r="D317" i="9"/>
  <c r="S258" i="9"/>
  <c r="F308" i="9"/>
  <c r="AB253" i="9"/>
  <c r="W303" i="9"/>
  <c r="R247" i="9"/>
  <c r="E297" i="9"/>
  <c r="AB241" i="9"/>
  <c r="W291" i="9"/>
  <c r="AB238" i="9"/>
  <c r="W288" i="9"/>
  <c r="AD161" i="9"/>
  <c r="AD153" i="9"/>
  <c r="Q242" i="9"/>
  <c r="D292" i="9"/>
  <c r="S260" i="9"/>
  <c r="F310" i="9"/>
  <c r="R261" i="9"/>
  <c r="E311" i="9"/>
  <c r="R269" i="9"/>
  <c r="E319" i="9"/>
  <c r="Q235" i="9"/>
  <c r="D285" i="9"/>
  <c r="AB259" i="9"/>
  <c r="W309" i="9"/>
  <c r="Q230" i="9"/>
  <c r="D280" i="9"/>
  <c r="AB232" i="9"/>
  <c r="W282" i="9"/>
  <c r="S248" i="9"/>
  <c r="F298" i="9"/>
  <c r="Q237" i="9"/>
  <c r="D287" i="9"/>
  <c r="S246" i="9"/>
  <c r="F296" i="9"/>
  <c r="S252" i="9"/>
  <c r="F302" i="9"/>
  <c r="S268" i="9"/>
  <c r="F318" i="9"/>
  <c r="AD167" i="9"/>
  <c r="Q264" i="9"/>
  <c r="D314" i="9"/>
  <c r="S245" i="9"/>
  <c r="F295" i="9"/>
  <c r="S243" i="9"/>
  <c r="F293" i="9"/>
  <c r="AB129" i="9"/>
  <c r="W170" i="9"/>
  <c r="AD164" i="9"/>
  <c r="S254" i="9"/>
  <c r="F304" i="9"/>
  <c r="AB262" i="9"/>
  <c r="W312" i="9"/>
  <c r="Q265" i="9"/>
  <c r="D315" i="9"/>
  <c r="R249" i="9"/>
  <c r="E299" i="9"/>
  <c r="R267" i="9"/>
  <c r="E317" i="9"/>
  <c r="Q258" i="9"/>
  <c r="D308" i="9"/>
  <c r="Q256" i="9"/>
  <c r="D306" i="9"/>
  <c r="Q247" i="9"/>
  <c r="D297" i="9"/>
  <c r="Q238" i="9"/>
  <c r="D288" i="9"/>
  <c r="R240" i="9"/>
  <c r="E290" i="9"/>
  <c r="Q260" i="9"/>
  <c r="D310" i="9"/>
  <c r="AB235" i="9"/>
  <c r="W285" i="9"/>
  <c r="Q257" i="9"/>
  <c r="D307" i="9"/>
  <c r="AB248" i="9"/>
  <c r="W298" i="9"/>
  <c r="Q246" i="9"/>
  <c r="D296" i="9"/>
  <c r="AB239" i="9"/>
  <c r="W289" i="9"/>
  <c r="Q252" i="9"/>
  <c r="D302" i="9"/>
  <c r="AD163" i="9"/>
  <c r="AB244" i="9"/>
  <c r="W294" i="9"/>
  <c r="AB243" i="9"/>
  <c r="W293" i="9"/>
  <c r="S250" i="9"/>
  <c r="F300" i="9"/>
  <c r="Q254" i="9"/>
  <c r="D304" i="9"/>
  <c r="Q262" i="9"/>
  <c r="D312" i="9"/>
  <c r="AD166" i="9"/>
  <c r="CS220" i="12" l="1"/>
  <c r="CQ270" i="12"/>
  <c r="CS229" i="12"/>
  <c r="CQ271" i="12"/>
  <c r="CS271" i="12" s="1"/>
  <c r="AF217" i="9"/>
  <c r="AK217" i="9" s="1"/>
  <c r="AF201" i="9"/>
  <c r="AK201" i="9" s="1"/>
  <c r="AF155" i="9"/>
  <c r="AK155" i="9" s="1"/>
  <c r="AF143" i="9"/>
  <c r="AK143" i="9" s="1"/>
  <c r="AF140" i="9"/>
  <c r="AK140" i="9" s="1"/>
  <c r="AK186" i="9"/>
  <c r="R317" i="9"/>
  <c r="S295" i="9"/>
  <c r="S312" i="9"/>
  <c r="AB295" i="9"/>
  <c r="S313" i="9"/>
  <c r="S307" i="9"/>
  <c r="R284" i="9"/>
  <c r="R313" i="9"/>
  <c r="R309" i="9"/>
  <c r="S290" i="9"/>
  <c r="R306" i="9"/>
  <c r="S291" i="9"/>
  <c r="R318" i="9"/>
  <c r="S286" i="9"/>
  <c r="AB281" i="9"/>
  <c r="AB305" i="9"/>
  <c r="S319" i="9"/>
  <c r="R308" i="9"/>
  <c r="AK187" i="9"/>
  <c r="AK203" i="9"/>
  <c r="AK214" i="9"/>
  <c r="AK210" i="9"/>
  <c r="AK198" i="9"/>
  <c r="S302" i="9"/>
  <c r="S287" i="9"/>
  <c r="R296" i="9"/>
  <c r="S300" i="9"/>
  <c r="AB289" i="9"/>
  <c r="S304" i="9"/>
  <c r="S296" i="9"/>
  <c r="R311" i="9"/>
  <c r="AB303" i="9"/>
  <c r="AB315" i="9"/>
  <c r="R298" i="9"/>
  <c r="AB307" i="9"/>
  <c r="AA222" i="9"/>
  <c r="AB304" i="9"/>
  <c r="R295" i="9"/>
  <c r="AB306" i="9"/>
  <c r="R301" i="9"/>
  <c r="R316" i="9"/>
  <c r="R287" i="9"/>
  <c r="AK199" i="9"/>
  <c r="AK211" i="9"/>
  <c r="AK200" i="9"/>
  <c r="R319" i="9"/>
  <c r="AB220" i="9"/>
  <c r="S281" i="9"/>
  <c r="AB293" i="9"/>
  <c r="AB288" i="9"/>
  <c r="S317" i="9"/>
  <c r="R281" i="9"/>
  <c r="AB314" i="9"/>
  <c r="AB287" i="9"/>
  <c r="AB319" i="9"/>
  <c r="S288" i="9"/>
  <c r="R292" i="9"/>
  <c r="R291" i="9"/>
  <c r="Y222" i="9"/>
  <c r="S282" i="9"/>
  <c r="R307" i="9"/>
  <c r="AB301" i="9"/>
  <c r="S301" i="9"/>
  <c r="R289" i="9"/>
  <c r="S309" i="9"/>
  <c r="R221" i="9"/>
  <c r="AB318" i="9"/>
  <c r="AB290" i="9"/>
  <c r="R310" i="9"/>
  <c r="AK202" i="9"/>
  <c r="AK207" i="9"/>
  <c r="AK194" i="9"/>
  <c r="AB308" i="9"/>
  <c r="S305" i="9"/>
  <c r="AB309" i="9"/>
  <c r="S308" i="9"/>
  <c r="R304" i="9"/>
  <c r="S285" i="9"/>
  <c r="R300" i="9"/>
  <c r="S294" i="9"/>
  <c r="R220" i="9"/>
  <c r="AA172" i="9"/>
  <c r="S303" i="9"/>
  <c r="AB283" i="9"/>
  <c r="R302" i="9"/>
  <c r="AK184" i="9"/>
  <c r="AK191" i="9"/>
  <c r="AK195" i="9"/>
  <c r="AK204" i="9"/>
  <c r="AK193" i="9"/>
  <c r="AB312" i="9"/>
  <c r="AB286" i="9"/>
  <c r="R299" i="9"/>
  <c r="AB294" i="9"/>
  <c r="S310" i="9"/>
  <c r="AB291" i="9"/>
  <c r="R283" i="9"/>
  <c r="AB300" i="9"/>
  <c r="R282" i="9"/>
  <c r="AB311" i="9"/>
  <c r="S306" i="9"/>
  <c r="S314" i="9"/>
  <c r="AB297" i="9"/>
  <c r="AB316" i="9"/>
  <c r="AB280" i="9"/>
  <c r="S311" i="9"/>
  <c r="R288" i="9"/>
  <c r="AB299" i="9"/>
  <c r="S299" i="9"/>
  <c r="S170" i="9"/>
  <c r="Y172" i="9"/>
  <c r="S284" i="9"/>
  <c r="AB292" i="9"/>
  <c r="AK216" i="9"/>
  <c r="AK181" i="9"/>
  <c r="AK189" i="9"/>
  <c r="AK190" i="9"/>
  <c r="AK205" i="9"/>
  <c r="R312" i="9"/>
  <c r="AK208" i="9"/>
  <c r="AB285" i="9"/>
  <c r="S318" i="9"/>
  <c r="S298" i="9"/>
  <c r="AB296" i="9"/>
  <c r="R286" i="9"/>
  <c r="AB302" i="9"/>
  <c r="R303" i="9"/>
  <c r="S283" i="9"/>
  <c r="AB317" i="9"/>
  <c r="R315" i="9"/>
  <c r="R314" i="9"/>
  <c r="AB313" i="9"/>
  <c r="AF183" i="9"/>
  <c r="AK192" i="9"/>
  <c r="AK188" i="9"/>
  <c r="AK206" i="9"/>
  <c r="AK209" i="9"/>
  <c r="AK219" i="9"/>
  <c r="AB282" i="9"/>
  <c r="R293" i="9"/>
  <c r="S220" i="9"/>
  <c r="AB298" i="9"/>
  <c r="R290" i="9"/>
  <c r="S293" i="9"/>
  <c r="R297" i="9"/>
  <c r="Q221" i="9"/>
  <c r="S315" i="9"/>
  <c r="S289" i="9"/>
  <c r="S280" i="9"/>
  <c r="S292" i="9"/>
  <c r="R305" i="9"/>
  <c r="AB284" i="9"/>
  <c r="AB310" i="9"/>
  <c r="S297" i="9"/>
  <c r="S316" i="9"/>
  <c r="R294" i="9"/>
  <c r="R280" i="9"/>
  <c r="S221" i="9"/>
  <c r="R285" i="9"/>
  <c r="AK212" i="9"/>
  <c r="AK215" i="9"/>
  <c r="AK196" i="9"/>
  <c r="AK185" i="9"/>
  <c r="AK213" i="9"/>
  <c r="AK197" i="9"/>
  <c r="AK218" i="9"/>
  <c r="BA64" i="10"/>
  <c r="BB64" i="10" s="1"/>
  <c r="AZ65" i="10" s="1"/>
  <c r="AS65" i="10"/>
  <c r="AT65" i="10" s="1"/>
  <c r="AR66" i="10" s="1"/>
  <c r="T254" i="9"/>
  <c r="Q304" i="9"/>
  <c r="AK138" i="9"/>
  <c r="T247" i="9"/>
  <c r="Q297" i="9"/>
  <c r="T242" i="9"/>
  <c r="Q292" i="9"/>
  <c r="Q171" i="9"/>
  <c r="AK141" i="9"/>
  <c r="AK132" i="9"/>
  <c r="AB171" i="9"/>
  <c r="W172" i="9"/>
  <c r="T241" i="9"/>
  <c r="Q291" i="9"/>
  <c r="AF162" i="9"/>
  <c r="T236" i="9"/>
  <c r="Q286" i="9"/>
  <c r="T129" i="9"/>
  <c r="Q170" i="9"/>
  <c r="T269" i="9"/>
  <c r="Q319" i="9"/>
  <c r="T240" i="9"/>
  <c r="Q290" i="9"/>
  <c r="T233" i="9"/>
  <c r="Q283" i="9"/>
  <c r="AK130" i="9"/>
  <c r="AK131" i="9"/>
  <c r="AF163" i="9"/>
  <c r="T246" i="9"/>
  <c r="Q296" i="9"/>
  <c r="T260" i="9"/>
  <c r="Q310" i="9"/>
  <c r="T256" i="9"/>
  <c r="Q306" i="9"/>
  <c r="AK133" i="9"/>
  <c r="AF164" i="9"/>
  <c r="T264" i="9"/>
  <c r="Q314" i="9"/>
  <c r="T230" i="9"/>
  <c r="Q280" i="9"/>
  <c r="AF153" i="9"/>
  <c r="T267" i="9"/>
  <c r="Q317" i="9"/>
  <c r="T255" i="9"/>
  <c r="Q305" i="9"/>
  <c r="AK158" i="9"/>
  <c r="AF139" i="9"/>
  <c r="AK146" i="9"/>
  <c r="AK135" i="9"/>
  <c r="AK150" i="9"/>
  <c r="AF149" i="9"/>
  <c r="AK147" i="9"/>
  <c r="T244" i="9"/>
  <c r="Q294" i="9"/>
  <c r="AK148" i="9"/>
  <c r="T259" i="9"/>
  <c r="Q309" i="9"/>
  <c r="T261" i="9"/>
  <c r="Q311" i="9"/>
  <c r="AF160" i="9"/>
  <c r="T234" i="9"/>
  <c r="Q284" i="9"/>
  <c r="AK156" i="9"/>
  <c r="S171" i="9"/>
  <c r="AF166" i="9"/>
  <c r="T252" i="9"/>
  <c r="Q302" i="9"/>
  <c r="T258" i="9"/>
  <c r="Q308" i="9"/>
  <c r="T265" i="9"/>
  <c r="Q315" i="9"/>
  <c r="AB170" i="9"/>
  <c r="AF167" i="9"/>
  <c r="T237" i="9"/>
  <c r="Q287" i="9"/>
  <c r="AK145" i="9"/>
  <c r="AF161" i="9"/>
  <c r="AK152" i="9"/>
  <c r="Q220" i="9"/>
  <c r="T179" i="9"/>
  <c r="T243" i="9"/>
  <c r="Q293" i="9"/>
  <c r="T266" i="9"/>
  <c r="Q316" i="9"/>
  <c r="T231" i="9"/>
  <c r="Q281" i="9"/>
  <c r="AF165" i="9"/>
  <c r="R171" i="9"/>
  <c r="AF168" i="9"/>
  <c r="T253" i="9"/>
  <c r="Q303" i="9"/>
  <c r="AK134" i="9"/>
  <c r="T239" i="9"/>
  <c r="Q289" i="9"/>
  <c r="T250" i="9"/>
  <c r="Q300" i="9"/>
  <c r="T268" i="9"/>
  <c r="Q318" i="9"/>
  <c r="AK154" i="9"/>
  <c r="T263" i="9"/>
  <c r="Q313" i="9"/>
  <c r="AK136" i="9"/>
  <c r="AA229" i="9"/>
  <c r="G270" i="9"/>
  <c r="G271" i="9" s="1"/>
  <c r="W229" i="9"/>
  <c r="Y229" i="9"/>
  <c r="E229" i="9"/>
  <c r="D229" i="9"/>
  <c r="F229" i="9"/>
  <c r="G279" i="9"/>
  <c r="G320" i="9" s="1"/>
  <c r="R170" i="9"/>
  <c r="AK159" i="9"/>
  <c r="T232" i="9"/>
  <c r="Q282" i="9"/>
  <c r="T249" i="9"/>
  <c r="Q299" i="9"/>
  <c r="T262" i="9"/>
  <c r="Q312" i="9"/>
  <c r="T257" i="9"/>
  <c r="Q307" i="9"/>
  <c r="T238" i="9"/>
  <c r="Q288" i="9"/>
  <c r="T235" i="9"/>
  <c r="Q285" i="9"/>
  <c r="AK144" i="9"/>
  <c r="AK157" i="9"/>
  <c r="W222" i="9"/>
  <c r="AB221" i="9"/>
  <c r="AK142" i="9"/>
  <c r="T251" i="9"/>
  <c r="Q301" i="9"/>
  <c r="AK137" i="9"/>
  <c r="AK151" i="9"/>
  <c r="AF169" i="9"/>
  <c r="T245" i="9"/>
  <c r="Q295" i="9"/>
  <c r="T248" i="9"/>
  <c r="Q298" i="9"/>
  <c r="CS270" i="12" l="1"/>
  <c r="T221" i="9"/>
  <c r="R222" i="9"/>
  <c r="T220" i="9"/>
  <c r="S222" i="9"/>
  <c r="AB222" i="9"/>
  <c r="AD179" i="9"/>
  <c r="AK183" i="9"/>
  <c r="AW65" i="10"/>
  <c r="AX65" i="10" s="1"/>
  <c r="AV66" i="10" s="1"/>
  <c r="AS66" i="10"/>
  <c r="R172" i="9"/>
  <c r="AD129" i="9"/>
  <c r="AB172" i="9"/>
  <c r="AD235" i="9"/>
  <c r="T285" i="9"/>
  <c r="AD249" i="9"/>
  <c r="T299" i="9"/>
  <c r="S229" i="9"/>
  <c r="F270" i="9"/>
  <c r="F271" i="9" s="1"/>
  <c r="F279" i="9"/>
  <c r="F320" i="9" s="1"/>
  <c r="AD250" i="9"/>
  <c r="T300" i="9"/>
  <c r="AK168" i="9"/>
  <c r="AD266" i="9"/>
  <c r="T316" i="9"/>
  <c r="AK161" i="9"/>
  <c r="AK166" i="9"/>
  <c r="AK160" i="9"/>
  <c r="AD244" i="9"/>
  <c r="T294" i="9"/>
  <c r="AK139" i="9"/>
  <c r="AK153" i="9"/>
  <c r="AK163" i="9"/>
  <c r="AD240" i="9"/>
  <c r="T290" i="9"/>
  <c r="AD242" i="9"/>
  <c r="T292" i="9"/>
  <c r="Q229" i="9"/>
  <c r="D270" i="9"/>
  <c r="D271" i="9" s="1"/>
  <c r="D279" i="9"/>
  <c r="D320" i="9" s="1"/>
  <c r="AD236" i="9"/>
  <c r="T286" i="9"/>
  <c r="AD248" i="9"/>
  <c r="T298" i="9"/>
  <c r="AD238" i="9"/>
  <c r="T288" i="9"/>
  <c r="AD232" i="9"/>
  <c r="T282" i="9"/>
  <c r="R229" i="9"/>
  <c r="E270" i="9"/>
  <c r="E271" i="9" s="1"/>
  <c r="E279" i="9"/>
  <c r="E320" i="9" s="1"/>
  <c r="AD263" i="9"/>
  <c r="T313" i="9"/>
  <c r="AD239" i="9"/>
  <c r="T289" i="9"/>
  <c r="AD243" i="9"/>
  <c r="T293" i="9"/>
  <c r="AD265" i="9"/>
  <c r="T315" i="9"/>
  <c r="AD261" i="9"/>
  <c r="T311" i="9"/>
  <c r="Q222" i="9"/>
  <c r="AD230" i="9"/>
  <c r="T280" i="9"/>
  <c r="AD256" i="9"/>
  <c r="T306" i="9"/>
  <c r="AD269" i="9"/>
  <c r="T319" i="9"/>
  <c r="AD247" i="9"/>
  <c r="T297" i="9"/>
  <c r="Y279" i="9"/>
  <c r="Y320" i="9" s="1"/>
  <c r="Y270" i="9"/>
  <c r="AK162" i="9"/>
  <c r="AD245" i="9"/>
  <c r="T295" i="9"/>
  <c r="AD251" i="9"/>
  <c r="T301" i="9"/>
  <c r="AD257" i="9"/>
  <c r="T307" i="9"/>
  <c r="W279" i="9"/>
  <c r="W320" i="9" s="1"/>
  <c r="AB229" i="9"/>
  <c r="W270" i="9"/>
  <c r="AK165" i="9"/>
  <c r="AD237" i="9"/>
  <c r="T287" i="9"/>
  <c r="AD258" i="9"/>
  <c r="T308" i="9"/>
  <c r="AD259" i="9"/>
  <c r="T309" i="9"/>
  <c r="AD255" i="9"/>
  <c r="T305" i="9"/>
  <c r="AD264" i="9"/>
  <c r="T314" i="9"/>
  <c r="AD260" i="9"/>
  <c r="T310" i="9"/>
  <c r="S172" i="9"/>
  <c r="AA271" i="9"/>
  <c r="Y271" i="9"/>
  <c r="W271" i="9"/>
  <c r="G321" i="9"/>
  <c r="G322" i="9" s="1"/>
  <c r="AD241" i="9"/>
  <c r="T291" i="9"/>
  <c r="AK169" i="9"/>
  <c r="AD262" i="9"/>
  <c r="T312" i="9"/>
  <c r="AA279" i="9"/>
  <c r="AA320" i="9" s="1"/>
  <c r="AA270" i="9"/>
  <c r="AD268" i="9"/>
  <c r="T318" i="9"/>
  <c r="AD253" i="9"/>
  <c r="T303" i="9"/>
  <c r="AD231" i="9"/>
  <c r="T281" i="9"/>
  <c r="AK167" i="9"/>
  <c r="AD252" i="9"/>
  <c r="T302" i="9"/>
  <c r="AD234" i="9"/>
  <c r="T284" i="9"/>
  <c r="AK149" i="9"/>
  <c r="AD267" i="9"/>
  <c r="T317" i="9"/>
  <c r="AK164" i="9"/>
  <c r="AD246" i="9"/>
  <c r="T296" i="9"/>
  <c r="AD233" i="9"/>
  <c r="T283" i="9"/>
  <c r="T170" i="9"/>
  <c r="Q172" i="9"/>
  <c r="T171" i="9"/>
  <c r="AD254" i="9"/>
  <c r="T304" i="9"/>
  <c r="G85" i="4"/>
  <c r="F85" i="4" l="1"/>
  <c r="AD221" i="9"/>
  <c r="AF221" i="9" s="1"/>
  <c r="AF179" i="9"/>
  <c r="AK179" i="9" s="1"/>
  <c r="T222" i="9"/>
  <c r="AD220" i="9"/>
  <c r="AW66" i="10"/>
  <c r="AT66" i="10"/>
  <c r="AR67" i="10" s="1"/>
  <c r="BA65" i="10"/>
  <c r="BB65" i="10" s="1"/>
  <c r="AZ66" i="10" s="1"/>
  <c r="AF267" i="9"/>
  <c r="AD317" i="9"/>
  <c r="Y321" i="9"/>
  <c r="Y322" i="9" s="1"/>
  <c r="Y272" i="9"/>
  <c r="AF255" i="9"/>
  <c r="AD305" i="9"/>
  <c r="AF240" i="9"/>
  <c r="AD290" i="9"/>
  <c r="AF244" i="9"/>
  <c r="AD294" i="9"/>
  <c r="AF266" i="9"/>
  <c r="AD316" i="9"/>
  <c r="AF262" i="9"/>
  <c r="AD312" i="9"/>
  <c r="AF245" i="9"/>
  <c r="AD295" i="9"/>
  <c r="AF232" i="9"/>
  <c r="AD282" i="9"/>
  <c r="AF249" i="9"/>
  <c r="AD299" i="9"/>
  <c r="AF259" i="9"/>
  <c r="AD309" i="9"/>
  <c r="AB270" i="9"/>
  <c r="AB279" i="9"/>
  <c r="AB320" i="9" s="1"/>
  <c r="AF261" i="9"/>
  <c r="AD311" i="9"/>
  <c r="AF239" i="9"/>
  <c r="AD289" i="9"/>
  <c r="AF233" i="9"/>
  <c r="AD283" i="9"/>
  <c r="AA321" i="9"/>
  <c r="AA322" i="9" s="1"/>
  <c r="AA272" i="9"/>
  <c r="AF246" i="9"/>
  <c r="AD296" i="9"/>
  <c r="AF253" i="9"/>
  <c r="AD303" i="9"/>
  <c r="AF269" i="9"/>
  <c r="AD319" i="9"/>
  <c r="AF238" i="9"/>
  <c r="AD288" i="9"/>
  <c r="Q271" i="9"/>
  <c r="D321" i="9"/>
  <c r="D322" i="9" s="1"/>
  <c r="AF235" i="9"/>
  <c r="AD285" i="9"/>
  <c r="AF268" i="9"/>
  <c r="AD318" i="9"/>
  <c r="AF231" i="9"/>
  <c r="AD281" i="9"/>
  <c r="AF247" i="9"/>
  <c r="AD297" i="9"/>
  <c r="AF254" i="9"/>
  <c r="AD304" i="9"/>
  <c r="AF234" i="9"/>
  <c r="AD284" i="9"/>
  <c r="AF260" i="9"/>
  <c r="AD310" i="9"/>
  <c r="AF258" i="9"/>
  <c r="AD308" i="9"/>
  <c r="AF263" i="9"/>
  <c r="AD313" i="9"/>
  <c r="Q270" i="9"/>
  <c r="T229" i="9"/>
  <c r="Q279" i="9"/>
  <c r="Q320" i="9" s="1"/>
  <c r="AF250" i="9"/>
  <c r="AD300" i="9"/>
  <c r="AF265" i="9"/>
  <c r="AD315" i="9"/>
  <c r="AF252" i="9"/>
  <c r="AD302" i="9"/>
  <c r="AF256" i="9"/>
  <c r="AD306" i="9"/>
  <c r="AF248" i="9"/>
  <c r="AD298" i="9"/>
  <c r="AF264" i="9"/>
  <c r="AD314" i="9"/>
  <c r="AF237" i="9"/>
  <c r="AD287" i="9"/>
  <c r="R271" i="9"/>
  <c r="E321" i="9"/>
  <c r="E322" i="9" s="1"/>
  <c r="AF242" i="9"/>
  <c r="AD292" i="9"/>
  <c r="S271" i="9"/>
  <c r="F321" i="9"/>
  <c r="F322" i="9" s="1"/>
  <c r="AF129" i="9"/>
  <c r="AD170" i="9"/>
  <c r="AD171" i="9"/>
  <c r="T172" i="9"/>
  <c r="AF241" i="9"/>
  <c r="AD291" i="9"/>
  <c r="AF257" i="9"/>
  <c r="AD307" i="9"/>
  <c r="W321" i="9"/>
  <c r="W322" i="9" s="1"/>
  <c r="W272" i="9"/>
  <c r="AB271" i="9"/>
  <c r="AF251" i="9"/>
  <c r="AD301" i="9"/>
  <c r="AF230" i="9"/>
  <c r="AD280" i="9"/>
  <c r="AF243" i="9"/>
  <c r="AD293" i="9"/>
  <c r="R270" i="9"/>
  <c r="R279" i="9"/>
  <c r="R320" i="9" s="1"/>
  <c r="AF236" i="9"/>
  <c r="AD286" i="9"/>
  <c r="S279" i="9"/>
  <c r="S320" i="9" s="1"/>
  <c r="S270" i="9"/>
  <c r="AF220" i="9" l="1"/>
  <c r="AF222" i="9" s="1"/>
  <c r="AD222" i="9"/>
  <c r="AK220" i="9"/>
  <c r="BA66" i="10"/>
  <c r="BB66" i="10" s="1"/>
  <c r="AZ67" i="10" s="1"/>
  <c r="AX66" i="10"/>
  <c r="AV67" i="10" s="1"/>
  <c r="AS67" i="10"/>
  <c r="T270" i="9"/>
  <c r="AK242" i="9"/>
  <c r="AF292" i="9"/>
  <c r="AK248" i="9"/>
  <c r="AF298" i="9"/>
  <c r="AK263" i="9"/>
  <c r="AF313" i="9"/>
  <c r="AK254" i="9"/>
  <c r="AF304" i="9"/>
  <c r="AK235" i="9"/>
  <c r="AF285" i="9"/>
  <c r="AK259" i="9"/>
  <c r="AF309" i="9"/>
  <c r="AK245" i="9"/>
  <c r="AF295" i="9"/>
  <c r="AK240" i="9"/>
  <c r="AF290" i="9"/>
  <c r="AK241" i="9"/>
  <c r="AF291" i="9"/>
  <c r="AK264" i="9"/>
  <c r="AF314" i="9"/>
  <c r="AK243" i="9"/>
  <c r="AF293" i="9"/>
  <c r="AF171" i="9"/>
  <c r="AK253" i="9"/>
  <c r="AF303" i="9"/>
  <c r="R272" i="9"/>
  <c r="R321" i="9"/>
  <c r="R322" i="9" s="1"/>
  <c r="AK247" i="9"/>
  <c r="AF297" i="9"/>
  <c r="AK249" i="9"/>
  <c r="AF299" i="9"/>
  <c r="AK262" i="9"/>
  <c r="AF312" i="9"/>
  <c r="AK255" i="9"/>
  <c r="AF305" i="9"/>
  <c r="AK230" i="9"/>
  <c r="AF280" i="9"/>
  <c r="AD172" i="9"/>
  <c r="AK250" i="9"/>
  <c r="AF300" i="9"/>
  <c r="AK246" i="9"/>
  <c r="AF296" i="9"/>
  <c r="AK221" i="9"/>
  <c r="AK239" i="9"/>
  <c r="AF289" i="9"/>
  <c r="AK257" i="9"/>
  <c r="AF307" i="9"/>
  <c r="AK129" i="9"/>
  <c r="AF170" i="9"/>
  <c r="AK237" i="9"/>
  <c r="AF287" i="9"/>
  <c r="AK252" i="9"/>
  <c r="AF302" i="9"/>
  <c r="AK260" i="9"/>
  <c r="AF310" i="9"/>
  <c r="AK231" i="9"/>
  <c r="AF281" i="9"/>
  <c r="AK238" i="9"/>
  <c r="AF288" i="9"/>
  <c r="AK261" i="9"/>
  <c r="AF311" i="9"/>
  <c r="AK266" i="9"/>
  <c r="AF316" i="9"/>
  <c r="AK256" i="9"/>
  <c r="AF306" i="9"/>
  <c r="AK258" i="9"/>
  <c r="AF308" i="9"/>
  <c r="Q272" i="9"/>
  <c r="T271" i="9"/>
  <c r="Q321" i="9"/>
  <c r="Q322" i="9" s="1"/>
  <c r="AK236" i="9"/>
  <c r="AF286" i="9"/>
  <c r="AD229" i="9"/>
  <c r="T279" i="9"/>
  <c r="T320" i="9" s="1"/>
  <c r="S272" i="9"/>
  <c r="S321" i="9"/>
  <c r="S322" i="9" s="1"/>
  <c r="AK234" i="9"/>
  <c r="AF284" i="9"/>
  <c r="AK244" i="9"/>
  <c r="AF294" i="9"/>
  <c r="AK251" i="9"/>
  <c r="AF301" i="9"/>
  <c r="AK268" i="9"/>
  <c r="AF318" i="9"/>
  <c r="AK269" i="9"/>
  <c r="AF319" i="9"/>
  <c r="AK232" i="9"/>
  <c r="AF282" i="9"/>
  <c r="AK267" i="9"/>
  <c r="AF317" i="9"/>
  <c r="AB321" i="9"/>
  <c r="AB322" i="9" s="1"/>
  <c r="AB272" i="9"/>
  <c r="AK265" i="9"/>
  <c r="AF315" i="9"/>
  <c r="AK233" i="9"/>
  <c r="AF283" i="9"/>
  <c r="AK308" i="9" l="1"/>
  <c r="AK287" i="9"/>
  <c r="AK314" i="9"/>
  <c r="AK298" i="9"/>
  <c r="AK317" i="9"/>
  <c r="AK301" i="9"/>
  <c r="AK305" i="9"/>
  <c r="AK297" i="9"/>
  <c r="AK288" i="9"/>
  <c r="AK309" i="9"/>
  <c r="AK306" i="9"/>
  <c r="AK281" i="9"/>
  <c r="AK296" i="9"/>
  <c r="AK291" i="9"/>
  <c r="AK285" i="9"/>
  <c r="AK292" i="9"/>
  <c r="AK283" i="9"/>
  <c r="AK318" i="9"/>
  <c r="AK294" i="9"/>
  <c r="AK286" i="9"/>
  <c r="AK312" i="9"/>
  <c r="AK316" i="9"/>
  <c r="AK307" i="9"/>
  <c r="AK315" i="9"/>
  <c r="AK284" i="9"/>
  <c r="AK299" i="9"/>
  <c r="AK282" i="9"/>
  <c r="AK303" i="9"/>
  <c r="AK310" i="9"/>
  <c r="AK300" i="9"/>
  <c r="AK290" i="9"/>
  <c r="AK304" i="9"/>
  <c r="AK319" i="9"/>
  <c r="AK311" i="9"/>
  <c r="AK302" i="9"/>
  <c r="AK289" i="9"/>
  <c r="AK293" i="9"/>
  <c r="AK295" i="9"/>
  <c r="AK313" i="9"/>
  <c r="AK280" i="9"/>
  <c r="AK222" i="9"/>
  <c r="AW67" i="10"/>
  <c r="BA67" i="10" s="1"/>
  <c r="BB67" i="10" s="1"/>
  <c r="AZ68" i="10" s="1"/>
  <c r="AT67" i="10"/>
  <c r="AR68" i="10" s="1"/>
  <c r="AF172" i="9"/>
  <c r="AD270" i="9"/>
  <c r="AF229" i="9"/>
  <c r="AD279" i="9"/>
  <c r="AD320" i="9" s="1"/>
  <c r="AK170" i="9"/>
  <c r="T272" i="9"/>
  <c r="AD271" i="9"/>
  <c r="T321" i="9"/>
  <c r="T322" i="9" s="1"/>
  <c r="AK171" i="9"/>
  <c r="AX67" i="10" l="1"/>
  <c r="AV68" i="10" s="1"/>
  <c r="AS68" i="10"/>
  <c r="AK172" i="9"/>
  <c r="AD272" i="9"/>
  <c r="AF271" i="9"/>
  <c r="AD321" i="9"/>
  <c r="AD322" i="9" s="1"/>
  <c r="AF270" i="9"/>
  <c r="AK229" i="9"/>
  <c r="AF279" i="9"/>
  <c r="AF320" i="9" s="1"/>
  <c r="AW68" i="10" l="1"/>
  <c r="AX68" i="10" s="1"/>
  <c r="AV69" i="10" s="1"/>
  <c r="AT68" i="10"/>
  <c r="AR69" i="10" s="1"/>
  <c r="AK270" i="9"/>
  <c r="AK279" i="9"/>
  <c r="AK320" i="9" s="1"/>
  <c r="AK271" i="9"/>
  <c r="AF272" i="9"/>
  <c r="AF321" i="9"/>
  <c r="AF322" i="9" s="1"/>
  <c r="AK321" i="9" l="1"/>
  <c r="AK322" i="9" s="1"/>
  <c r="BA68" i="10"/>
  <c r="BB68" i="10" s="1"/>
  <c r="AZ69" i="10" s="1"/>
  <c r="AS69" i="10"/>
  <c r="AS70" i="10" s="1"/>
  <c r="AS71" i="10" s="1"/>
  <c r="AK272" i="9"/>
  <c r="H85" i="4"/>
  <c r="AW69" i="10" l="1"/>
  <c r="BB126" i="10" a="1"/>
  <c r="AT69" i="10"/>
  <c r="BA69" i="10" l="1"/>
  <c r="BA70" i="10" s="1"/>
  <c r="BA71" i="10" s="1"/>
  <c r="AW70" i="10"/>
  <c r="AW71" i="10" s="1"/>
  <c r="CP126" i="10"/>
  <c r="CH126" i="10"/>
  <c r="BZ126" i="10"/>
  <c r="BR126" i="10"/>
  <c r="BJ126" i="10"/>
  <c r="BB126" i="10"/>
  <c r="CO126" i="10"/>
  <c r="CG126" i="10"/>
  <c r="BY126" i="10"/>
  <c r="BQ126" i="10"/>
  <c r="BI126" i="10"/>
  <c r="CN126" i="10"/>
  <c r="CF126" i="10"/>
  <c r="BX126" i="10"/>
  <c r="BP126" i="10"/>
  <c r="BH126" i="10"/>
  <c r="CM126" i="10"/>
  <c r="CE126" i="10"/>
  <c r="BW126" i="10"/>
  <c r="BO126" i="10"/>
  <c r="BG126" i="10"/>
  <c r="CQ126" i="10"/>
  <c r="CI126" i="10"/>
  <c r="CA126" i="10"/>
  <c r="BS126" i="10"/>
  <c r="BK126" i="10"/>
  <c r="BC126" i="10"/>
  <c r="CC126" i="10"/>
  <c r="BF126" i="10"/>
  <c r="BM126" i="10"/>
  <c r="CB126" i="10"/>
  <c r="BE126" i="10"/>
  <c r="CJ126" i="10"/>
  <c r="BV126" i="10"/>
  <c r="BD126" i="10"/>
  <c r="CD126" i="10"/>
  <c r="CR126" i="10"/>
  <c r="BU126" i="10"/>
  <c r="CL126" i="10"/>
  <c r="BT126" i="10"/>
  <c r="BL126" i="10"/>
  <c r="CK126" i="10"/>
  <c r="BN126" i="10"/>
  <c r="AX69" i="10"/>
  <c r="BB176" i="10" l="1" a="1"/>
  <c r="CN176" i="10" s="1"/>
  <c r="BB69" i="10"/>
  <c r="BB226" i="10" a="1"/>
  <c r="CJ226" i="10" s="1"/>
  <c r="BU172" i="10"/>
  <c r="BU148" i="10"/>
  <c r="BU149" i="10"/>
  <c r="BU150" i="10"/>
  <c r="BU151" i="10"/>
  <c r="BU152" i="10"/>
  <c r="BU153" i="10"/>
  <c r="BU154" i="10"/>
  <c r="BU155" i="10"/>
  <c r="BU156" i="10"/>
  <c r="BU157" i="10"/>
  <c r="BU158" i="10"/>
  <c r="BU159" i="10"/>
  <c r="BU160" i="10"/>
  <c r="BU161" i="10"/>
  <c r="BU162" i="10"/>
  <c r="BU163" i="10"/>
  <c r="BU164" i="10"/>
  <c r="BU165" i="10"/>
  <c r="BU166" i="10"/>
  <c r="BU167" i="10"/>
  <c r="BU168" i="10"/>
  <c r="BU169" i="10"/>
  <c r="BM172" i="10"/>
  <c r="BM140" i="10"/>
  <c r="BM141" i="10"/>
  <c r="BM142" i="10"/>
  <c r="BM143" i="10"/>
  <c r="BM144" i="10"/>
  <c r="BM145" i="10"/>
  <c r="BM146" i="10"/>
  <c r="BM147" i="10"/>
  <c r="BM148" i="10"/>
  <c r="BM149" i="10"/>
  <c r="BM150" i="10"/>
  <c r="BM151" i="10"/>
  <c r="BM152" i="10"/>
  <c r="BM153" i="10"/>
  <c r="BM154" i="10"/>
  <c r="BM155" i="10"/>
  <c r="BM156" i="10"/>
  <c r="BM157" i="10"/>
  <c r="BM158" i="10"/>
  <c r="BM159" i="10"/>
  <c r="BM160" i="10"/>
  <c r="BM161" i="10"/>
  <c r="BM162" i="10"/>
  <c r="BM163" i="10"/>
  <c r="BM164" i="10"/>
  <c r="BM165" i="10"/>
  <c r="BM166" i="10"/>
  <c r="BM167" i="10"/>
  <c r="BM168" i="10"/>
  <c r="BM169" i="10"/>
  <c r="CS126" i="10"/>
  <c r="CS172" i="10" s="1"/>
  <c r="CQ172" i="10"/>
  <c r="BX172" i="10"/>
  <c r="BX151" i="10"/>
  <c r="BX152" i="10"/>
  <c r="BX153" i="10"/>
  <c r="BX154" i="10"/>
  <c r="BX155" i="10"/>
  <c r="BX156" i="10"/>
  <c r="BX157" i="10"/>
  <c r="BX158" i="10"/>
  <c r="BX159" i="10"/>
  <c r="BX160" i="10"/>
  <c r="BX161" i="10"/>
  <c r="BX162" i="10"/>
  <c r="BX163" i="10"/>
  <c r="BX164" i="10"/>
  <c r="BX165" i="10"/>
  <c r="BX166" i="10"/>
  <c r="BX167" i="10"/>
  <c r="BX168" i="10"/>
  <c r="BX169" i="10"/>
  <c r="AE129" i="10" a="1"/>
  <c r="BB172"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166" i="10"/>
  <c r="BB167" i="10"/>
  <c r="BB168" i="10"/>
  <c r="BB169" i="10"/>
  <c r="CF172" i="10"/>
  <c r="CF160" i="10"/>
  <c r="CF159" i="10"/>
  <c r="CF161" i="10"/>
  <c r="CF162" i="10"/>
  <c r="CF163" i="10"/>
  <c r="CF164" i="10"/>
  <c r="CF165" i="10"/>
  <c r="CF166" i="10"/>
  <c r="CF167" i="10"/>
  <c r="CF168" i="10"/>
  <c r="CF169" i="10"/>
  <c r="CC172" i="10"/>
  <c r="CC156" i="10"/>
  <c r="CC157" i="10"/>
  <c r="CC158" i="10"/>
  <c r="CC159" i="10"/>
  <c r="CC160" i="10"/>
  <c r="CC161" i="10"/>
  <c r="CC162" i="10"/>
  <c r="CC163" i="10"/>
  <c r="CC164" i="10"/>
  <c r="CC165" i="10"/>
  <c r="CC166" i="10"/>
  <c r="CC167" i="10"/>
  <c r="CC168" i="10"/>
  <c r="CC169" i="10"/>
  <c r="CL172" i="10"/>
  <c r="CL165" i="10"/>
  <c r="CL166" i="10"/>
  <c r="CL167" i="10"/>
  <c r="CL168" i="10"/>
  <c r="CL169" i="10"/>
  <c r="CB172" i="10"/>
  <c r="CB155" i="10"/>
  <c r="CB156" i="10"/>
  <c r="CB157" i="10"/>
  <c r="CB158" i="10"/>
  <c r="CB159" i="10"/>
  <c r="CB160" i="10"/>
  <c r="CB161" i="10"/>
  <c r="CB162" i="10"/>
  <c r="CB163" i="10"/>
  <c r="CB164" i="10"/>
  <c r="CB165" i="10"/>
  <c r="CB166" i="10"/>
  <c r="CB167" i="10"/>
  <c r="CB168" i="10"/>
  <c r="CB169" i="10"/>
  <c r="CI172" i="10"/>
  <c r="CI162" i="10"/>
  <c r="CI163" i="10"/>
  <c r="CI164" i="10"/>
  <c r="CI165" i="10"/>
  <c r="CI166" i="10"/>
  <c r="CI167" i="10"/>
  <c r="CI168" i="10"/>
  <c r="CI169" i="10"/>
  <c r="BP17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AE171" i="10"/>
  <c r="CR172" i="10"/>
  <c r="CR171" i="10" s="1"/>
  <c r="BF172" i="10"/>
  <c r="BF134" i="10"/>
  <c r="BF133"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G172" i="10"/>
  <c r="BG134" i="10"/>
  <c r="BG135" i="10"/>
  <c r="BG136" i="10"/>
  <c r="BG137" i="10"/>
  <c r="BG138" i="10"/>
  <c r="BG139" i="10"/>
  <c r="BG140" i="10"/>
  <c r="BG141" i="10"/>
  <c r="BG142" i="10"/>
  <c r="BG143" i="10"/>
  <c r="BG144" i="10"/>
  <c r="BG145" i="10"/>
  <c r="BG146" i="10"/>
  <c r="BG147" i="10"/>
  <c r="BG148" i="10"/>
  <c r="BG149" i="10"/>
  <c r="BG150" i="10"/>
  <c r="BG151" i="10"/>
  <c r="BG152" i="10"/>
  <c r="BG153" i="10"/>
  <c r="BG154" i="10"/>
  <c r="BG155" i="10"/>
  <c r="BG156" i="10"/>
  <c r="BG157" i="10"/>
  <c r="BG158" i="10"/>
  <c r="BG159" i="10"/>
  <c r="BG160" i="10"/>
  <c r="BG161" i="10"/>
  <c r="BG162" i="10"/>
  <c r="BG163" i="10"/>
  <c r="BG164" i="10"/>
  <c r="BG165" i="10"/>
  <c r="BG166" i="10"/>
  <c r="BG167" i="10"/>
  <c r="BG168" i="10"/>
  <c r="BG169" i="10"/>
  <c r="BJ172" i="10"/>
  <c r="BJ137" i="10"/>
  <c r="BJ138" i="10"/>
  <c r="BJ139" i="10"/>
  <c r="BJ140" i="10"/>
  <c r="BJ141" i="10"/>
  <c r="BJ142" i="10"/>
  <c r="BJ143" i="10"/>
  <c r="BJ144" i="10"/>
  <c r="BJ145" i="10"/>
  <c r="BJ146" i="10"/>
  <c r="BJ147" i="10"/>
  <c r="BJ148" i="10"/>
  <c r="BJ149" i="10"/>
  <c r="BJ150" i="10"/>
  <c r="BJ151" i="10"/>
  <c r="BJ152" i="10"/>
  <c r="BJ153" i="10"/>
  <c r="BJ154" i="10"/>
  <c r="BJ155" i="10"/>
  <c r="BJ156" i="10"/>
  <c r="BJ157" i="10"/>
  <c r="BJ158" i="10"/>
  <c r="BJ159" i="10"/>
  <c r="BJ160" i="10"/>
  <c r="BJ161" i="10"/>
  <c r="BJ162" i="10"/>
  <c r="BJ163" i="10"/>
  <c r="BJ164" i="10"/>
  <c r="BJ165" i="10"/>
  <c r="BJ166" i="10"/>
  <c r="BJ167" i="10"/>
  <c r="BJ168" i="10"/>
  <c r="BJ169" i="10"/>
  <c r="CD172" i="10"/>
  <c r="CD158" i="10"/>
  <c r="CD157" i="10"/>
  <c r="CD159" i="10"/>
  <c r="CD160" i="10"/>
  <c r="CD161" i="10"/>
  <c r="CD162" i="10"/>
  <c r="CD163" i="10"/>
  <c r="CD164" i="10"/>
  <c r="CD165" i="10"/>
  <c r="CD166" i="10"/>
  <c r="CD167" i="10"/>
  <c r="CD168" i="10"/>
  <c r="CD169" i="10"/>
  <c r="BO172" i="10"/>
  <c r="BO142" i="10"/>
  <c r="BO143" i="10"/>
  <c r="BO144" i="10"/>
  <c r="BO145" i="10"/>
  <c r="BO146" i="10"/>
  <c r="BO147" i="10"/>
  <c r="BO148" i="10"/>
  <c r="BO149" i="10"/>
  <c r="BO150" i="10"/>
  <c r="BO151" i="10"/>
  <c r="BO152" i="10"/>
  <c r="BO153" i="10"/>
  <c r="BO154" i="10"/>
  <c r="BO155" i="10"/>
  <c r="BO156" i="10"/>
  <c r="BO157" i="10"/>
  <c r="BO158" i="10"/>
  <c r="BO159" i="10"/>
  <c r="BO160" i="10"/>
  <c r="BO161" i="10"/>
  <c r="BO162" i="10"/>
  <c r="BO163" i="10"/>
  <c r="BO164" i="10"/>
  <c r="BO165" i="10"/>
  <c r="BO166" i="10"/>
  <c r="BO167" i="10"/>
  <c r="BO168" i="10"/>
  <c r="BO169" i="10"/>
  <c r="CN172" i="10"/>
  <c r="CN167" i="10"/>
  <c r="CN168" i="10"/>
  <c r="CN169" i="10"/>
  <c r="BD172" i="10"/>
  <c r="BD131" i="10"/>
  <c r="BD132" i="10"/>
  <c r="BD133" i="10"/>
  <c r="BD134" i="10"/>
  <c r="BD135" i="10"/>
  <c r="BD136" i="10"/>
  <c r="BD137" i="10"/>
  <c r="BD138" i="10"/>
  <c r="BD139" i="10"/>
  <c r="BD140" i="10"/>
  <c r="BD141" i="10"/>
  <c r="BD142" i="10"/>
  <c r="BD143" i="10"/>
  <c r="BD144" i="10"/>
  <c r="BD145" i="10"/>
  <c r="BD146" i="10"/>
  <c r="BD147" i="10"/>
  <c r="BD148" i="10"/>
  <c r="BD149" i="10"/>
  <c r="BD150" i="10"/>
  <c r="BD151" i="10"/>
  <c r="BD152" i="10"/>
  <c r="BD153" i="10"/>
  <c r="BD154" i="10"/>
  <c r="BD155" i="10"/>
  <c r="BD156" i="10"/>
  <c r="BD157" i="10"/>
  <c r="BD158" i="10"/>
  <c r="BD159" i="10"/>
  <c r="BD160" i="10"/>
  <c r="BD161" i="10"/>
  <c r="BD162" i="10"/>
  <c r="BD163" i="10"/>
  <c r="BD164" i="10"/>
  <c r="BD165" i="10"/>
  <c r="BD166" i="10"/>
  <c r="BD167" i="10"/>
  <c r="BD168" i="10"/>
  <c r="BD169" i="10"/>
  <c r="BI172" i="10"/>
  <c r="BI136" i="10"/>
  <c r="BI137" i="10"/>
  <c r="BI138" i="10"/>
  <c r="BI139" i="10"/>
  <c r="BI140" i="10"/>
  <c r="BI141" i="10"/>
  <c r="BI142" i="10"/>
  <c r="BI143" i="10"/>
  <c r="BI144" i="10"/>
  <c r="BI145" i="10"/>
  <c r="BI146" i="10"/>
  <c r="BI147" i="10"/>
  <c r="BI148" i="10"/>
  <c r="BI149" i="10"/>
  <c r="BI150" i="10"/>
  <c r="BI151" i="10"/>
  <c r="BI152" i="10"/>
  <c r="BI153" i="10"/>
  <c r="BI154" i="10"/>
  <c r="BI155" i="10"/>
  <c r="BI156" i="10"/>
  <c r="BI157" i="10"/>
  <c r="BI158" i="10"/>
  <c r="BI159" i="10"/>
  <c r="BI160" i="10"/>
  <c r="BI161" i="10"/>
  <c r="BI162" i="10"/>
  <c r="BI163" i="10"/>
  <c r="BI164" i="10"/>
  <c r="BI165" i="10"/>
  <c r="BI166" i="10"/>
  <c r="BI167" i="10"/>
  <c r="BI168" i="10"/>
  <c r="BI169" i="10"/>
  <c r="BV172" i="10"/>
  <c r="BV149" i="10"/>
  <c r="BV150" i="10"/>
  <c r="BV151" i="10"/>
  <c r="BV152" i="10"/>
  <c r="BV153" i="10"/>
  <c r="BV154" i="10"/>
  <c r="BV155" i="10"/>
  <c r="BV156" i="10"/>
  <c r="BV157" i="10"/>
  <c r="BV158" i="10"/>
  <c r="BV159" i="10"/>
  <c r="BV160" i="10"/>
  <c r="BV161" i="10"/>
  <c r="BV162" i="10"/>
  <c r="BV163" i="10"/>
  <c r="BV164" i="10"/>
  <c r="BV165" i="10"/>
  <c r="BV166" i="10"/>
  <c r="BV167" i="10"/>
  <c r="BV168" i="10"/>
  <c r="BV169" i="10"/>
  <c r="CE172" i="10"/>
  <c r="CE158" i="10"/>
  <c r="CE159" i="10"/>
  <c r="CE160" i="10"/>
  <c r="CE161" i="10"/>
  <c r="CE162" i="10"/>
  <c r="CE163" i="10"/>
  <c r="CE164" i="10"/>
  <c r="CE165" i="10"/>
  <c r="CE166" i="10"/>
  <c r="CE167" i="10"/>
  <c r="CE168" i="10"/>
  <c r="CE169" i="10"/>
  <c r="BQ172" i="10"/>
  <c r="BQ144" i="10"/>
  <c r="BQ145" i="10"/>
  <c r="BQ146" i="10"/>
  <c r="BQ147" i="10"/>
  <c r="BQ148" i="10"/>
  <c r="BQ149" i="10"/>
  <c r="BQ150" i="10"/>
  <c r="BQ151" i="10"/>
  <c r="BQ152" i="10"/>
  <c r="BQ153" i="10"/>
  <c r="BQ154" i="10"/>
  <c r="BQ155" i="10"/>
  <c r="BQ156" i="10"/>
  <c r="BQ157" i="10"/>
  <c r="BQ158" i="10"/>
  <c r="BQ159" i="10"/>
  <c r="BQ160" i="10"/>
  <c r="BQ161" i="10"/>
  <c r="BQ162" i="10"/>
  <c r="BQ163" i="10"/>
  <c r="BQ164" i="10"/>
  <c r="BQ165" i="10"/>
  <c r="BQ166" i="10"/>
  <c r="BQ167" i="10"/>
  <c r="BQ168" i="10"/>
  <c r="BQ169" i="10"/>
  <c r="CH172" i="10"/>
  <c r="CH161" i="10"/>
  <c r="CH162" i="10"/>
  <c r="CH163" i="10"/>
  <c r="CH164" i="10"/>
  <c r="CH165" i="10"/>
  <c r="CH166" i="10"/>
  <c r="CH167" i="10"/>
  <c r="CH168" i="10"/>
  <c r="CH169" i="10"/>
  <c r="BR172" i="10"/>
  <c r="BR145" i="10"/>
  <c r="BR146" i="10"/>
  <c r="BR147" i="10"/>
  <c r="BR148" i="10"/>
  <c r="BR149" i="10"/>
  <c r="BR150" i="10"/>
  <c r="BR151" i="10"/>
  <c r="BR152" i="10"/>
  <c r="BR153" i="10"/>
  <c r="BR154" i="10"/>
  <c r="BR155" i="10"/>
  <c r="BR156" i="10"/>
  <c r="BR157" i="10"/>
  <c r="BR158" i="10"/>
  <c r="BR159" i="10"/>
  <c r="BR160" i="10"/>
  <c r="BR161" i="10"/>
  <c r="BR162" i="10"/>
  <c r="BR163" i="10"/>
  <c r="BR164" i="10"/>
  <c r="BR165" i="10"/>
  <c r="BR166" i="10"/>
  <c r="BR167" i="10"/>
  <c r="BR168" i="10"/>
  <c r="BR169" i="10"/>
  <c r="BN172" i="10"/>
  <c r="BN141" i="10"/>
  <c r="BN142" i="10"/>
  <c r="BN143" i="10"/>
  <c r="BN144" i="10"/>
  <c r="BN145" i="10"/>
  <c r="BN146" i="10"/>
  <c r="BN147" i="10"/>
  <c r="BN148" i="10"/>
  <c r="BN149" i="10"/>
  <c r="BN150" i="10"/>
  <c r="BN151" i="10"/>
  <c r="BN152" i="10"/>
  <c r="BN153" i="10"/>
  <c r="BN154" i="10"/>
  <c r="BN155" i="10"/>
  <c r="BN156" i="10"/>
  <c r="BN157" i="10"/>
  <c r="BN158" i="10"/>
  <c r="BN159" i="10"/>
  <c r="BN160" i="10"/>
  <c r="BN161" i="10"/>
  <c r="BN162" i="10"/>
  <c r="BN163" i="10"/>
  <c r="BN164" i="10"/>
  <c r="BN165" i="10"/>
  <c r="BN166" i="10"/>
  <c r="BN167" i="10"/>
  <c r="BN168" i="10"/>
  <c r="BN169" i="10"/>
  <c r="BC172" i="10"/>
  <c r="BC130" i="10"/>
  <c r="BC131" i="10"/>
  <c r="BC132" i="10"/>
  <c r="BC133" i="10"/>
  <c r="BC134" i="10"/>
  <c r="BC135" i="10"/>
  <c r="BC136" i="10"/>
  <c r="BC137" i="10"/>
  <c r="BC138" i="10"/>
  <c r="BC139" i="10"/>
  <c r="BC140" i="10"/>
  <c r="BC141" i="10"/>
  <c r="BC142" i="10"/>
  <c r="BC143" i="10"/>
  <c r="BC144" i="10"/>
  <c r="BC145" i="10"/>
  <c r="BC146" i="10"/>
  <c r="BC147" i="10"/>
  <c r="BC148" i="10"/>
  <c r="BC149" i="10"/>
  <c r="BC150" i="10"/>
  <c r="BC151" i="10"/>
  <c r="BC152" i="10"/>
  <c r="BC153" i="10"/>
  <c r="BC154" i="10"/>
  <c r="BC155" i="10"/>
  <c r="BC156" i="10"/>
  <c r="BC157" i="10"/>
  <c r="BC158" i="10"/>
  <c r="BC159" i="10"/>
  <c r="BC160" i="10"/>
  <c r="BC161" i="10"/>
  <c r="BC162" i="10"/>
  <c r="BC163" i="10"/>
  <c r="BC164" i="10"/>
  <c r="BC165" i="10"/>
  <c r="BC166" i="10"/>
  <c r="BC167" i="10"/>
  <c r="BC168" i="10"/>
  <c r="BC169" i="10"/>
  <c r="BW172" i="10"/>
  <c r="BW150" i="10"/>
  <c r="BW151" i="10"/>
  <c r="BW152" i="10"/>
  <c r="BW153" i="10"/>
  <c r="BW154" i="10"/>
  <c r="BW155" i="10"/>
  <c r="BW156" i="10"/>
  <c r="BW157" i="10"/>
  <c r="BW158" i="10"/>
  <c r="BW159" i="10"/>
  <c r="BW160" i="10"/>
  <c r="BW161" i="10"/>
  <c r="BW162" i="10"/>
  <c r="BW163" i="10"/>
  <c r="BW164" i="10"/>
  <c r="BW165" i="10"/>
  <c r="BW166" i="10"/>
  <c r="BW167" i="10"/>
  <c r="BW168" i="10"/>
  <c r="BW169" i="10"/>
  <c r="BZ172" i="10"/>
  <c r="BZ153" i="10"/>
  <c r="BZ154" i="10"/>
  <c r="BZ155" i="10"/>
  <c r="BZ156" i="10"/>
  <c r="BZ157" i="10"/>
  <c r="BZ158" i="10"/>
  <c r="BZ159" i="10"/>
  <c r="BZ160" i="10"/>
  <c r="BZ161" i="10"/>
  <c r="BZ162" i="10"/>
  <c r="BZ163" i="10"/>
  <c r="BZ164" i="10"/>
  <c r="BZ165" i="10"/>
  <c r="BZ166" i="10"/>
  <c r="BZ167" i="10"/>
  <c r="BZ168" i="10"/>
  <c r="BZ169" i="10"/>
  <c r="CK172" i="10"/>
  <c r="CK165" i="10"/>
  <c r="CK164" i="10"/>
  <c r="CK166" i="10"/>
  <c r="CK167" i="10"/>
  <c r="CK168" i="10"/>
  <c r="CK169" i="10"/>
  <c r="BK172" i="10"/>
  <c r="BK138" i="10"/>
  <c r="BK139" i="10"/>
  <c r="BK140" i="10"/>
  <c r="BK141" i="10"/>
  <c r="BK142" i="10"/>
  <c r="BK143" i="10"/>
  <c r="BK144" i="10"/>
  <c r="BK145" i="10"/>
  <c r="BK146" i="10"/>
  <c r="BK147" i="10"/>
  <c r="BK148" i="10"/>
  <c r="BK149" i="10"/>
  <c r="BK150" i="10"/>
  <c r="BK151" i="10"/>
  <c r="BK152" i="10"/>
  <c r="BK153" i="10"/>
  <c r="BK154" i="10"/>
  <c r="BK155" i="10"/>
  <c r="BK156" i="10"/>
  <c r="BK157" i="10"/>
  <c r="BK158" i="10"/>
  <c r="BK159" i="10"/>
  <c r="BK160" i="10"/>
  <c r="BK161" i="10"/>
  <c r="BK162" i="10"/>
  <c r="BK163" i="10"/>
  <c r="BK164" i="10"/>
  <c r="BK165" i="10"/>
  <c r="BK166" i="10"/>
  <c r="BK167" i="10"/>
  <c r="BK168" i="10"/>
  <c r="BK169" i="10"/>
  <c r="BL172" i="10"/>
  <c r="BL140" i="10"/>
  <c r="BL139" i="10"/>
  <c r="BL141" i="10"/>
  <c r="BL142" i="10"/>
  <c r="BL143" i="10"/>
  <c r="BL144" i="10"/>
  <c r="BL145" i="10"/>
  <c r="BL146" i="10"/>
  <c r="BL147" i="10"/>
  <c r="BL148" i="10"/>
  <c r="BL149" i="10"/>
  <c r="BL150" i="10"/>
  <c r="BL151" i="10"/>
  <c r="BL152" i="10"/>
  <c r="BL153" i="10"/>
  <c r="BL154" i="10"/>
  <c r="BL155" i="10"/>
  <c r="BL156" i="10"/>
  <c r="BL157" i="10"/>
  <c r="BL158" i="10"/>
  <c r="BL159" i="10"/>
  <c r="BL160" i="10"/>
  <c r="BL161" i="10"/>
  <c r="BL162" i="10"/>
  <c r="BL163" i="10"/>
  <c r="BL164" i="10"/>
  <c r="BL165" i="10"/>
  <c r="BL166" i="10"/>
  <c r="BL167" i="10"/>
  <c r="BL168" i="10"/>
  <c r="BL169" i="10"/>
  <c r="CJ172" i="10"/>
  <c r="CJ163" i="10"/>
  <c r="CJ164" i="10"/>
  <c r="CJ165" i="10"/>
  <c r="CJ166" i="10"/>
  <c r="CJ167" i="10"/>
  <c r="CJ168" i="10"/>
  <c r="CJ169" i="10"/>
  <c r="BS172" i="10"/>
  <c r="BS146" i="10"/>
  <c r="BS147" i="10"/>
  <c r="BS148" i="10"/>
  <c r="BS149" i="10"/>
  <c r="BS150" i="10"/>
  <c r="BS151" i="10"/>
  <c r="BS152" i="10"/>
  <c r="BS153" i="10"/>
  <c r="BS154" i="10"/>
  <c r="BS155" i="10"/>
  <c r="BS156" i="10"/>
  <c r="BS157" i="10"/>
  <c r="BS158" i="10"/>
  <c r="BS159" i="10"/>
  <c r="BS160" i="10"/>
  <c r="BS161" i="10"/>
  <c r="BS162" i="10"/>
  <c r="BS163" i="10"/>
  <c r="BS164" i="10"/>
  <c r="BS165" i="10"/>
  <c r="BS166" i="10"/>
  <c r="BS167" i="10"/>
  <c r="BS168" i="10"/>
  <c r="BS169" i="10"/>
  <c r="CM172" i="10"/>
  <c r="CM166" i="10"/>
  <c r="CM167" i="10"/>
  <c r="CM168" i="10"/>
  <c r="CM169" i="10"/>
  <c r="BY172" i="10"/>
  <c r="BY152" i="10"/>
  <c r="BY153" i="10"/>
  <c r="BY154" i="10"/>
  <c r="BY155" i="10"/>
  <c r="BY156" i="10"/>
  <c r="BY157" i="10"/>
  <c r="BY158" i="10"/>
  <c r="BY159" i="10"/>
  <c r="BY160" i="10"/>
  <c r="BY161" i="10"/>
  <c r="BY162" i="10"/>
  <c r="BY163" i="10"/>
  <c r="BY164" i="10"/>
  <c r="BY165" i="10"/>
  <c r="BY166" i="10"/>
  <c r="BY167" i="10"/>
  <c r="BY168" i="10"/>
  <c r="BY169" i="10"/>
  <c r="CP172" i="10"/>
  <c r="CP169" i="10"/>
  <c r="CP170" i="10" s="1"/>
  <c r="CO172" i="10"/>
  <c r="CO168" i="10"/>
  <c r="CO169" i="10"/>
  <c r="BT172" i="10"/>
  <c r="BT147" i="10"/>
  <c r="BT148" i="10"/>
  <c r="BT149" i="10"/>
  <c r="BT150" i="10"/>
  <c r="BT151" i="10"/>
  <c r="BT152" i="10"/>
  <c r="BT153" i="10"/>
  <c r="BT154" i="10"/>
  <c r="BT155" i="10"/>
  <c r="BT156" i="10"/>
  <c r="BT157" i="10"/>
  <c r="BT158" i="10"/>
  <c r="BT159" i="10"/>
  <c r="BT160" i="10"/>
  <c r="BT161" i="10"/>
  <c r="BT162" i="10"/>
  <c r="BT163" i="10"/>
  <c r="BT164" i="10"/>
  <c r="BT165" i="10"/>
  <c r="BT166" i="10"/>
  <c r="BT167" i="10"/>
  <c r="BT168" i="10"/>
  <c r="BT169" i="10"/>
  <c r="BE172" i="10"/>
  <c r="BE132" i="10"/>
  <c r="BE133" i="10"/>
  <c r="BE135" i="10"/>
  <c r="BE134" i="10"/>
  <c r="BE136" i="10"/>
  <c r="BE137" i="10"/>
  <c r="BE138" i="10"/>
  <c r="BE139" i="10"/>
  <c r="BE140" i="10"/>
  <c r="BE142" i="10"/>
  <c r="BE141" i="10"/>
  <c r="BE143" i="10"/>
  <c r="BE144" i="10"/>
  <c r="BE145" i="10"/>
  <c r="BE146" i="10"/>
  <c r="BE147" i="10"/>
  <c r="BE148" i="10"/>
  <c r="BE149" i="10"/>
  <c r="BE150" i="10"/>
  <c r="BE151" i="10"/>
  <c r="BE152" i="10"/>
  <c r="BE153" i="10"/>
  <c r="BE154" i="10"/>
  <c r="BE155" i="10"/>
  <c r="BE156" i="10"/>
  <c r="BE157" i="10"/>
  <c r="BE158" i="10"/>
  <c r="BE160" i="10"/>
  <c r="BE159" i="10"/>
  <c r="BE162" i="10"/>
  <c r="BE161" i="10"/>
  <c r="BE163" i="10"/>
  <c r="BE164" i="10"/>
  <c r="BE165" i="10"/>
  <c r="BE166" i="10"/>
  <c r="BE168" i="10"/>
  <c r="BE167" i="10"/>
  <c r="BE169" i="10"/>
  <c r="CA172" i="10"/>
  <c r="CA155" i="10"/>
  <c r="CA154" i="10"/>
  <c r="CA156" i="10"/>
  <c r="CA157" i="10"/>
  <c r="CA158" i="10"/>
  <c r="CA159" i="10"/>
  <c r="CA160" i="10"/>
  <c r="CA161" i="10"/>
  <c r="CA162" i="10"/>
  <c r="CA163" i="10"/>
  <c r="CA164" i="10"/>
  <c r="CA165" i="10"/>
  <c r="CA166" i="10"/>
  <c r="CA167" i="10"/>
  <c r="CA168" i="10"/>
  <c r="CA169" i="10"/>
  <c r="BH172" i="10"/>
  <c r="BH135" i="10"/>
  <c r="BH136" i="10"/>
  <c r="BH137" i="10"/>
  <c r="BH138" i="10"/>
  <c r="BH139" i="10"/>
  <c r="BH140" i="10"/>
  <c r="BH141" i="10"/>
  <c r="BH142" i="10"/>
  <c r="BH143" i="10"/>
  <c r="BH144" i="10"/>
  <c r="BH145" i="10"/>
  <c r="BH146" i="10"/>
  <c r="BH147" i="10"/>
  <c r="BH148" i="10"/>
  <c r="BH149" i="10"/>
  <c r="BH150" i="10"/>
  <c r="BH151" i="10"/>
  <c r="BH152" i="10"/>
  <c r="BH153" i="10"/>
  <c r="BH154" i="10"/>
  <c r="BH155" i="10"/>
  <c r="BH156" i="10"/>
  <c r="BH157" i="10"/>
  <c r="BH158" i="10"/>
  <c r="BH159" i="10"/>
  <c r="BH160" i="10"/>
  <c r="BH161" i="10"/>
  <c r="BH162" i="10"/>
  <c r="BH163" i="10"/>
  <c r="BH164" i="10"/>
  <c r="BH165" i="10"/>
  <c r="BH166" i="10"/>
  <c r="BH167" i="10"/>
  <c r="BH168" i="10"/>
  <c r="BH169" i="10"/>
  <c r="CG172" i="10"/>
  <c r="CG160" i="10"/>
  <c r="CG161" i="10"/>
  <c r="CG162" i="10"/>
  <c r="CG163" i="10"/>
  <c r="CG164" i="10"/>
  <c r="CG165" i="10"/>
  <c r="CG166" i="10"/>
  <c r="CG167" i="10"/>
  <c r="CG168" i="10"/>
  <c r="CG169" i="10"/>
  <c r="BG176" i="10" l="1"/>
  <c r="BG184" i="10" s="1"/>
  <c r="CH176" i="10"/>
  <c r="CH214" i="10" s="1"/>
  <c r="BZ176" i="10"/>
  <c r="BZ207" i="10" s="1"/>
  <c r="BT176" i="10"/>
  <c r="BT201" i="10" s="1"/>
  <c r="CL176" i="10"/>
  <c r="CL217" i="10" s="1"/>
  <c r="BI176" i="10"/>
  <c r="BI192" i="10" s="1"/>
  <c r="BD176" i="10"/>
  <c r="BD182" i="10" s="1"/>
  <c r="BR176" i="10"/>
  <c r="BR200" i="10" s="1"/>
  <c r="BJ176" i="10"/>
  <c r="BJ187" i="10" s="1"/>
  <c r="CM176" i="10"/>
  <c r="CM222" i="10" s="1"/>
  <c r="CB176" i="10"/>
  <c r="CB206" i="10" s="1"/>
  <c r="BH176" i="10"/>
  <c r="BH191" i="10" s="1"/>
  <c r="CG176" i="10"/>
  <c r="CG213" i="10" s="1"/>
  <c r="CQ176" i="10"/>
  <c r="CQ222" i="10" s="1"/>
  <c r="BC176" i="10"/>
  <c r="BC185" i="10" s="1"/>
  <c r="BW176" i="10"/>
  <c r="BW205" i="10" s="1"/>
  <c r="BB176" i="10"/>
  <c r="BB184" i="10" s="1"/>
  <c r="CJ176" i="10"/>
  <c r="CJ219" i="10" s="1"/>
  <c r="BP176" i="10"/>
  <c r="BP197" i="10" s="1"/>
  <c r="CK176" i="10"/>
  <c r="CK214" i="10" s="1"/>
  <c r="BV176" i="10"/>
  <c r="BV200" i="10" s="1"/>
  <c r="BU176" i="10"/>
  <c r="BU199" i="10" s="1"/>
  <c r="CD176" i="10"/>
  <c r="CD210" i="10" s="1"/>
  <c r="BE176" i="10"/>
  <c r="BE185" i="10" s="1"/>
  <c r="BQ176" i="10"/>
  <c r="BQ196" i="10" s="1"/>
  <c r="CI176" i="10"/>
  <c r="CI217" i="10" s="1"/>
  <c r="BO176" i="10"/>
  <c r="BO192" i="10" s="1"/>
  <c r="CR176" i="10"/>
  <c r="CR222" i="10" s="1"/>
  <c r="CR221" i="10" s="1"/>
  <c r="BX176" i="10"/>
  <c r="BX222" i="10" s="1"/>
  <c r="BM176" i="10"/>
  <c r="BM192" i="10" s="1"/>
  <c r="BS176" i="10"/>
  <c r="BS197" i="10" s="1"/>
  <c r="CC176" i="10"/>
  <c r="CC222" i="10" s="1"/>
  <c r="BK176" i="10"/>
  <c r="BK188" i="10" s="1"/>
  <c r="CA176" i="10"/>
  <c r="CA222" i="10" s="1"/>
  <c r="BF176" i="10"/>
  <c r="BF189" i="10" s="1"/>
  <c r="CF176" i="10"/>
  <c r="CF212" i="10" s="1"/>
  <c r="BL176" i="10"/>
  <c r="BL193" i="10" s="1"/>
  <c r="CE176" i="10"/>
  <c r="CE208" i="10" s="1"/>
  <c r="CP176" i="10"/>
  <c r="CP222" i="10" s="1"/>
  <c r="BY176" i="10"/>
  <c r="BY203" i="10" s="1"/>
  <c r="CO176" i="10"/>
  <c r="CO219" i="10" s="1"/>
  <c r="BN176" i="10"/>
  <c r="BN193" i="10" s="1"/>
  <c r="CO170" i="10"/>
  <c r="CO171" i="10" s="1"/>
  <c r="BF226" i="10"/>
  <c r="BF239" i="10" s="1"/>
  <c r="CN226" i="10"/>
  <c r="CN267" i="10" s="1"/>
  <c r="BS170" i="10"/>
  <c r="BS171" i="10" s="1"/>
  <c r="CJ170" i="10"/>
  <c r="CJ171" i="10" s="1"/>
  <c r="BC170" i="10"/>
  <c r="BC171" i="10" s="1"/>
  <c r="BR170" i="10"/>
  <c r="BR171" i="10" s="1"/>
  <c r="BQ170" i="10"/>
  <c r="BQ171" i="10" s="1"/>
  <c r="CQ133" i="10"/>
  <c r="CS133" i="10" s="1"/>
  <c r="G133" i="10" s="1"/>
  <c r="W133" i="10" s="1"/>
  <c r="BJ226" i="10"/>
  <c r="BJ241" i="10" s="1"/>
  <c r="BK226" i="10"/>
  <c r="BK239" i="10" s="1"/>
  <c r="CA226" i="10"/>
  <c r="CA259" i="10" s="1"/>
  <c r="BO226" i="10"/>
  <c r="BO243" i="10" s="1"/>
  <c r="CB226" i="10"/>
  <c r="CB259" i="10" s="1"/>
  <c r="CE226" i="10"/>
  <c r="CE272" i="10" s="1"/>
  <c r="CR226" i="10"/>
  <c r="AE271" i="10" s="1"/>
  <c r="BG226" i="10"/>
  <c r="BG240" i="10" s="1"/>
  <c r="BP170" i="10"/>
  <c r="BP171" i="10" s="1"/>
  <c r="CQ157" i="10"/>
  <c r="CS157" i="10" s="1"/>
  <c r="G157" i="10" s="1"/>
  <c r="BK170" i="10"/>
  <c r="BK171" i="10" s="1"/>
  <c r="BF170" i="10"/>
  <c r="BF171" i="10" s="1"/>
  <c r="CI170" i="10"/>
  <c r="CI171" i="10" s="1"/>
  <c r="CB170" i="10"/>
  <c r="CB171" i="10" s="1"/>
  <c r="CF170" i="10"/>
  <c r="CF171" i="10" s="1"/>
  <c r="CQ164" i="10"/>
  <c r="CS164" i="10" s="1"/>
  <c r="G164" i="10" s="1"/>
  <c r="W164" i="10" s="1"/>
  <c r="CQ156" i="10"/>
  <c r="CS156" i="10" s="1"/>
  <c r="G156" i="10" s="1"/>
  <c r="F156" i="10" s="1"/>
  <c r="CQ148" i="10"/>
  <c r="CS148" i="10" s="1"/>
  <c r="G148" i="10" s="1"/>
  <c r="CQ140" i="10"/>
  <c r="CS140" i="10" s="1"/>
  <c r="G140" i="10" s="1"/>
  <c r="CQ132" i="10"/>
  <c r="CS132" i="10" s="1"/>
  <c r="G132" i="10" s="1"/>
  <c r="BX170" i="10"/>
  <c r="BX171" i="10" s="1"/>
  <c r="BU170" i="10"/>
  <c r="BU171" i="10" s="1"/>
  <c r="BQ226" i="10"/>
  <c r="BQ245" i="10" s="1"/>
  <c r="CD226" i="10"/>
  <c r="CD259" i="10" s="1"/>
  <c r="BR226" i="10"/>
  <c r="BR248" i="10" s="1"/>
  <c r="CI226" i="10"/>
  <c r="CI268" i="10" s="1"/>
  <c r="BE226" i="10"/>
  <c r="BE238" i="10" s="1"/>
  <c r="CQ141" i="10"/>
  <c r="CS141" i="10" s="1"/>
  <c r="G141" i="10" s="1"/>
  <c r="BH170" i="10"/>
  <c r="BH171" i="10" s="1"/>
  <c r="BE170" i="10"/>
  <c r="BE171" i="10" s="1"/>
  <c r="BT170" i="10"/>
  <c r="BT171" i="10" s="1"/>
  <c r="BY170" i="10"/>
  <c r="BY171" i="10" s="1"/>
  <c r="BZ170" i="10"/>
  <c r="BZ171" i="10" s="1"/>
  <c r="CN170" i="10"/>
  <c r="CN171" i="10" s="1"/>
  <c r="CQ163" i="10"/>
  <c r="CS163" i="10" s="1"/>
  <c r="G163" i="10" s="1"/>
  <c r="CQ155" i="10"/>
  <c r="CS155" i="10" s="1"/>
  <c r="G155" i="10" s="1"/>
  <c r="CQ147" i="10"/>
  <c r="CS147" i="10" s="1"/>
  <c r="G147" i="10" s="1"/>
  <c r="CQ139" i="10"/>
  <c r="CS139" i="10" s="1"/>
  <c r="G139" i="10" s="1"/>
  <c r="CQ131" i="10"/>
  <c r="CS131" i="10" s="1"/>
  <c r="G131" i="10" s="1"/>
  <c r="E131" i="10" s="1"/>
  <c r="BM170" i="10"/>
  <c r="BM171" i="10" s="1"/>
  <c r="CM226" i="10"/>
  <c r="CM268" i="10" s="1"/>
  <c r="BH226" i="10"/>
  <c r="BH236" i="10" s="1"/>
  <c r="BZ226" i="10"/>
  <c r="BZ259" i="10" s="1"/>
  <c r="CQ226" i="10"/>
  <c r="CQ272" i="10" s="1"/>
  <c r="BM226" i="10"/>
  <c r="BM242" i="10" s="1"/>
  <c r="CQ165" i="10"/>
  <c r="CS165" i="10" s="1"/>
  <c r="G165" i="10" s="1"/>
  <c r="CA170" i="10"/>
  <c r="CA171" i="10" s="1"/>
  <c r="BV170" i="10"/>
  <c r="BV171" i="10" s="1"/>
  <c r="CQ162" i="10"/>
  <c r="CS162" i="10" s="1"/>
  <c r="G162" i="10" s="1"/>
  <c r="AA162" i="10" s="1"/>
  <c r="CQ154" i="10"/>
  <c r="CS154" i="10" s="1"/>
  <c r="G154" i="10" s="1"/>
  <c r="CQ146" i="10"/>
  <c r="CS146" i="10" s="1"/>
  <c r="G146" i="10" s="1"/>
  <c r="CQ138" i="10"/>
  <c r="CS138" i="10" s="1"/>
  <c r="G138" i="10" s="1"/>
  <c r="CQ130" i="10"/>
  <c r="CS130" i="10" s="1"/>
  <c r="G130" i="10" s="1"/>
  <c r="CG226" i="10"/>
  <c r="CG272" i="10" s="1"/>
  <c r="BV226" i="10"/>
  <c r="BV250" i="10" s="1"/>
  <c r="BP226" i="10"/>
  <c r="BP272" i="10" s="1"/>
  <c r="CH226" i="10"/>
  <c r="CH272" i="10" s="1"/>
  <c r="BD226" i="10"/>
  <c r="BD233" i="10" s="1"/>
  <c r="BU226" i="10"/>
  <c r="BU254" i="10" s="1"/>
  <c r="CD170" i="10"/>
  <c r="CD171" i="10" s="1"/>
  <c r="BG170" i="10"/>
  <c r="BG171" i="10" s="1"/>
  <c r="CQ169" i="10"/>
  <c r="CS169" i="10" s="1"/>
  <c r="G169" i="10" s="1"/>
  <c r="CQ161" i="10"/>
  <c r="CS161" i="10" s="1"/>
  <c r="G161" i="10" s="1"/>
  <c r="E161" i="10" s="1"/>
  <c r="CQ153" i="10"/>
  <c r="CS153" i="10" s="1"/>
  <c r="G153" i="10" s="1"/>
  <c r="E153" i="10" s="1"/>
  <c r="CQ145" i="10"/>
  <c r="CS145" i="10" s="1"/>
  <c r="G145" i="10" s="1"/>
  <c r="F145" i="10" s="1"/>
  <c r="CQ137" i="10"/>
  <c r="CS137" i="10" s="1"/>
  <c r="G137" i="10" s="1"/>
  <c r="CL226" i="10"/>
  <c r="CL265" i="10" s="1"/>
  <c r="CO226" i="10"/>
  <c r="CO269" i="10" s="1"/>
  <c r="BX226" i="10"/>
  <c r="BX257" i="10" s="1"/>
  <c r="CP226" i="10"/>
  <c r="CP272" i="10" s="1"/>
  <c r="BL226" i="10"/>
  <c r="BL243" i="10" s="1"/>
  <c r="CC226" i="10"/>
  <c r="CC272" i="10" s="1"/>
  <c r="CQ149" i="10"/>
  <c r="CS149" i="10" s="1"/>
  <c r="G149" i="10" s="1"/>
  <c r="F149" i="10" s="1"/>
  <c r="CH170" i="10"/>
  <c r="CH171" i="10" s="1"/>
  <c r="CE170" i="10"/>
  <c r="CE171" i="10" s="1"/>
  <c r="CQ168" i="10"/>
  <c r="CS168" i="10" s="1"/>
  <c r="G168" i="10" s="1"/>
  <c r="CQ160" i="10"/>
  <c r="CS160" i="10" s="1"/>
  <c r="G160" i="10" s="1"/>
  <c r="CQ152" i="10"/>
  <c r="CS152" i="10" s="1"/>
  <c r="G152" i="10" s="1"/>
  <c r="CQ144" i="10"/>
  <c r="CS144" i="10" s="1"/>
  <c r="G144" i="10" s="1"/>
  <c r="E144" i="10" s="1"/>
  <c r="CQ136" i="10"/>
  <c r="CS136" i="10" s="1"/>
  <c r="G136" i="10" s="1"/>
  <c r="D136" i="10" s="1"/>
  <c r="BN226" i="10"/>
  <c r="BN272" i="10" s="1"/>
  <c r="BW226" i="10"/>
  <c r="BW272" i="10" s="1"/>
  <c r="CF226" i="10"/>
  <c r="CF272" i="10" s="1"/>
  <c r="BC226" i="10"/>
  <c r="BC232" i="10" s="1"/>
  <c r="BT226" i="10"/>
  <c r="BT253" i="10" s="1"/>
  <c r="CK226" i="10"/>
  <c r="CK272" i="10" s="1"/>
  <c r="BN170" i="10"/>
  <c r="BN171" i="10" s="1"/>
  <c r="BI170" i="10"/>
  <c r="BI171" i="10" s="1"/>
  <c r="BD170" i="10"/>
  <c r="BD171" i="10" s="1"/>
  <c r="CC170" i="10"/>
  <c r="CC171" i="10" s="1"/>
  <c r="CQ167" i="10"/>
  <c r="CS167" i="10" s="1"/>
  <c r="G167" i="10" s="1"/>
  <c r="CQ159" i="10"/>
  <c r="CS159" i="10" s="1"/>
  <c r="G159" i="10" s="1"/>
  <c r="CQ151" i="10"/>
  <c r="CS151" i="10" s="1"/>
  <c r="G151" i="10" s="1"/>
  <c r="CQ143" i="10"/>
  <c r="CS143" i="10" s="1"/>
  <c r="G143" i="10" s="1"/>
  <c r="CQ135" i="10"/>
  <c r="CS135" i="10" s="1"/>
  <c r="G135" i="10" s="1"/>
  <c r="CG170" i="10"/>
  <c r="CG171" i="10" s="1"/>
  <c r="CM170" i="10"/>
  <c r="CM171" i="10" s="1"/>
  <c r="BL170" i="10"/>
  <c r="BL171" i="10" s="1"/>
  <c r="CK170" i="10"/>
  <c r="CK171" i="10" s="1"/>
  <c r="BW170" i="10"/>
  <c r="BW171" i="10" s="1"/>
  <c r="BO170" i="10"/>
  <c r="BO171" i="10" s="1"/>
  <c r="BJ170" i="10"/>
  <c r="BJ171" i="10" s="1"/>
  <c r="CL170" i="10"/>
  <c r="CL171" i="10" s="1"/>
  <c r="CQ166" i="10"/>
  <c r="CS166" i="10" s="1"/>
  <c r="G166" i="10" s="1"/>
  <c r="F166" i="10" s="1"/>
  <c r="CQ158" i="10"/>
  <c r="CS158" i="10" s="1"/>
  <c r="G158" i="10" s="1"/>
  <c r="CQ150" i="10"/>
  <c r="CS150" i="10" s="1"/>
  <c r="G150" i="10" s="1"/>
  <c r="CQ142" i="10"/>
  <c r="CS142" i="10" s="1"/>
  <c r="G142" i="10" s="1"/>
  <c r="CQ134" i="10"/>
  <c r="CS134" i="10" s="1"/>
  <c r="G134" i="10" s="1"/>
  <c r="BI226" i="10"/>
  <c r="BI239" i="10" s="1"/>
  <c r="BY226" i="10"/>
  <c r="BY254" i="10" s="1"/>
  <c r="BB226" i="10"/>
  <c r="BB234" i="10" s="1"/>
  <c r="BS226" i="10"/>
  <c r="BS249" i="10" s="1"/>
  <c r="AE165" i="10"/>
  <c r="AE157" i="10"/>
  <c r="AE149" i="10"/>
  <c r="AE141" i="10"/>
  <c r="AE133" i="10"/>
  <c r="AE164" i="10"/>
  <c r="AE156" i="10"/>
  <c r="AE148" i="10"/>
  <c r="AE140" i="10"/>
  <c r="AE132" i="10"/>
  <c r="AE163" i="10"/>
  <c r="AE155" i="10"/>
  <c r="AE147" i="10"/>
  <c r="AE139" i="10"/>
  <c r="AE131" i="10"/>
  <c r="AE162" i="10"/>
  <c r="AE154" i="10"/>
  <c r="AE146" i="10"/>
  <c r="AE138" i="10"/>
  <c r="AE130" i="10"/>
  <c r="AE166" i="10"/>
  <c r="AE158" i="10"/>
  <c r="AE150" i="10"/>
  <c r="AE142" i="10"/>
  <c r="AE134" i="10"/>
  <c r="AE153" i="10"/>
  <c r="AE135" i="10"/>
  <c r="AE137" i="10"/>
  <c r="AE152" i="10"/>
  <c r="AE129" i="10"/>
  <c r="AE169" i="10"/>
  <c r="AE151" i="10"/>
  <c r="AE160" i="10"/>
  <c r="AE136" i="10"/>
  <c r="AE168" i="10"/>
  <c r="AE145" i="10"/>
  <c r="AE167" i="10"/>
  <c r="AE144" i="10"/>
  <c r="AE159" i="10"/>
  <c r="AE161" i="10"/>
  <c r="AE143" i="10"/>
  <c r="CJ272" i="10"/>
  <c r="CJ263" i="10"/>
  <c r="CJ264" i="10"/>
  <c r="CJ265" i="10"/>
  <c r="CJ266" i="10"/>
  <c r="CJ267" i="10"/>
  <c r="CJ268" i="10"/>
  <c r="CJ269" i="10"/>
  <c r="CP171" i="10"/>
  <c r="CN222" i="10"/>
  <c r="CN217" i="10"/>
  <c r="CN218" i="10"/>
  <c r="CN219" i="10"/>
  <c r="BB170" i="10"/>
  <c r="BB171" i="10" s="1"/>
  <c r="CQ129" i="10"/>
  <c r="G172" i="10"/>
  <c r="CA212" i="10" l="1"/>
  <c r="BO211" i="10"/>
  <c r="BF200" i="10"/>
  <c r="BN194" i="10"/>
  <c r="CM219" i="10"/>
  <c r="BN215" i="10"/>
  <c r="BN210" i="10"/>
  <c r="BN199" i="10"/>
  <c r="CA217" i="10"/>
  <c r="BP210" i="10"/>
  <c r="BF194" i="10"/>
  <c r="BG250" i="10"/>
  <c r="BF184" i="10"/>
  <c r="BF216" i="10"/>
  <c r="BO205" i="10"/>
  <c r="BF210" i="10"/>
  <c r="BO194" i="10"/>
  <c r="BB215" i="10"/>
  <c r="BJ210" i="10"/>
  <c r="BF208" i="10"/>
  <c r="BF192" i="10"/>
  <c r="BO219" i="10"/>
  <c r="BO203" i="10"/>
  <c r="BP199" i="10"/>
  <c r="BF191" i="10"/>
  <c r="BO202" i="10"/>
  <c r="BP196" i="10"/>
  <c r="BF207" i="10"/>
  <c r="BO218" i="10"/>
  <c r="BF219" i="10"/>
  <c r="BF203" i="10"/>
  <c r="BF187" i="10"/>
  <c r="BO214" i="10"/>
  <c r="BO198" i="10"/>
  <c r="BZ209" i="10"/>
  <c r="BF218" i="10"/>
  <c r="BF202" i="10"/>
  <c r="BF186" i="10"/>
  <c r="BO213" i="10"/>
  <c r="BO197" i="10"/>
  <c r="BG266" i="10"/>
  <c r="BF215" i="10"/>
  <c r="BF183" i="10"/>
  <c r="BO210" i="10"/>
  <c r="BP218" i="10"/>
  <c r="BG242" i="10"/>
  <c r="BF199" i="10"/>
  <c r="BF211" i="10"/>
  <c r="BF195" i="10"/>
  <c r="BO206" i="10"/>
  <c r="BP212" i="10"/>
  <c r="CB211" i="10"/>
  <c r="CC260" i="10"/>
  <c r="CD266" i="10"/>
  <c r="BG263" i="10"/>
  <c r="BG245" i="10"/>
  <c r="F133" i="10"/>
  <c r="S133" i="10" s="1"/>
  <c r="BO195" i="10"/>
  <c r="CB205" i="10"/>
  <c r="BL266" i="10"/>
  <c r="BN218" i="10"/>
  <c r="BV267" i="10"/>
  <c r="CA204" i="10"/>
  <c r="CI215" i="10"/>
  <c r="BQ267" i="10"/>
  <c r="CH215" i="10"/>
  <c r="BN207" i="10"/>
  <c r="BQ259" i="10"/>
  <c r="CJ217" i="10"/>
  <c r="CH212" i="10"/>
  <c r="BN202" i="10"/>
  <c r="BQ254" i="10"/>
  <c r="CJ222" i="10"/>
  <c r="BQ246" i="10"/>
  <c r="BN191" i="10"/>
  <c r="CA209" i="10"/>
  <c r="CI218" i="10"/>
  <c r="BQ262" i="10"/>
  <c r="BQ251" i="10"/>
  <c r="BV259" i="10"/>
  <c r="BQ272" i="10"/>
  <c r="BT213" i="10"/>
  <c r="BH198" i="10"/>
  <c r="Y136" i="10"/>
  <c r="BV256" i="10"/>
  <c r="BV251" i="10"/>
  <c r="BV272" i="10"/>
  <c r="F144" i="10"/>
  <c r="S144" i="10" s="1"/>
  <c r="AA144" i="10"/>
  <c r="BV264" i="10"/>
  <c r="D131" i="10"/>
  <c r="Q131" i="10" s="1"/>
  <c r="BL267" i="10"/>
  <c r="BN216" i="10"/>
  <c r="BN208" i="10"/>
  <c r="BN200" i="10"/>
  <c r="BN192" i="10"/>
  <c r="BV265" i="10"/>
  <c r="BV257" i="10"/>
  <c r="BV249" i="10"/>
  <c r="CA218" i="10"/>
  <c r="CA210" i="10"/>
  <c r="CI216" i="10"/>
  <c r="BQ268" i="10"/>
  <c r="BQ260" i="10"/>
  <c r="BQ252" i="10"/>
  <c r="BQ244" i="10"/>
  <c r="CJ218" i="10"/>
  <c r="CH213" i="10"/>
  <c r="AA131" i="10"/>
  <c r="BN214" i="10"/>
  <c r="BN198" i="10"/>
  <c r="BN222" i="10"/>
  <c r="BV255" i="10"/>
  <c r="CA216" i="10"/>
  <c r="CA208" i="10"/>
  <c r="Y131" i="10"/>
  <c r="CI214" i="10"/>
  <c r="BQ266" i="10"/>
  <c r="BQ258" i="10"/>
  <c r="BQ250" i="10"/>
  <c r="CJ216" i="10"/>
  <c r="CM218" i="10"/>
  <c r="CH219" i="10"/>
  <c r="CH211" i="10"/>
  <c r="BL258" i="10"/>
  <c r="BN206" i="10"/>
  <c r="BV263" i="10"/>
  <c r="W144" i="10"/>
  <c r="BL250" i="10"/>
  <c r="BN213" i="10"/>
  <c r="BN205" i="10"/>
  <c r="BN197" i="10"/>
  <c r="BV262" i="10"/>
  <c r="BV254" i="10"/>
  <c r="CA215" i="10"/>
  <c r="CA207" i="10"/>
  <c r="W131" i="10"/>
  <c r="CI213" i="10"/>
  <c r="BQ265" i="10"/>
  <c r="BQ257" i="10"/>
  <c r="BQ249" i="10"/>
  <c r="CJ215" i="10"/>
  <c r="CM217" i="10"/>
  <c r="CH218" i="10"/>
  <c r="CH222" i="10"/>
  <c r="Y144" i="10"/>
  <c r="BL242" i="10"/>
  <c r="BN212" i="10"/>
  <c r="BN204" i="10"/>
  <c r="BN196" i="10"/>
  <c r="BV269" i="10"/>
  <c r="BV261" i="10"/>
  <c r="BV253" i="10"/>
  <c r="CA214" i="10"/>
  <c r="CA206" i="10"/>
  <c r="F131" i="10"/>
  <c r="S131" i="10" s="1"/>
  <c r="CI212" i="10"/>
  <c r="BQ264" i="10"/>
  <c r="BQ256" i="10"/>
  <c r="BQ248" i="10"/>
  <c r="CJ214" i="10"/>
  <c r="CM216" i="10"/>
  <c r="CH217" i="10"/>
  <c r="D144" i="10"/>
  <c r="Q144" i="10" s="1"/>
  <c r="BN219" i="10"/>
  <c r="BN211" i="10"/>
  <c r="BN203" i="10"/>
  <c r="BN195" i="10"/>
  <c r="BV268" i="10"/>
  <c r="BV260" i="10"/>
  <c r="BV252" i="10"/>
  <c r="CA213" i="10"/>
  <c r="CA205" i="10"/>
  <c r="CI219" i="10"/>
  <c r="CI222" i="10"/>
  <c r="BQ263" i="10"/>
  <c r="BQ255" i="10"/>
  <c r="BQ247" i="10"/>
  <c r="CJ213" i="10"/>
  <c r="CH216" i="10"/>
  <c r="BN217" i="10"/>
  <c r="BN209" i="10"/>
  <c r="BN201" i="10"/>
  <c r="BV266" i="10"/>
  <c r="BV258" i="10"/>
  <c r="CA219" i="10"/>
  <c r="CA211" i="10"/>
  <c r="BQ269" i="10"/>
  <c r="BQ261" i="10"/>
  <c r="BQ253" i="10"/>
  <c r="CC269" i="10"/>
  <c r="BQ209" i="10"/>
  <c r="BK201" i="10"/>
  <c r="BB196" i="10"/>
  <c r="BJ191" i="10"/>
  <c r="BG197" i="10"/>
  <c r="BB260" i="10"/>
  <c r="BG216" i="10"/>
  <c r="BK219" i="10"/>
  <c r="BK200" i="10"/>
  <c r="BQ208" i="10"/>
  <c r="BB213" i="10"/>
  <c r="BB191" i="10"/>
  <c r="BJ208" i="10"/>
  <c r="BJ222" i="10"/>
  <c r="BG214" i="10"/>
  <c r="BG192" i="10"/>
  <c r="CO218" i="10"/>
  <c r="CO220" i="10" s="1"/>
  <c r="BK217" i="10"/>
  <c r="BK195" i="10"/>
  <c r="BQ203" i="10"/>
  <c r="BB212" i="10"/>
  <c r="BB189" i="10"/>
  <c r="BJ207" i="10"/>
  <c r="BG213" i="10"/>
  <c r="BG190" i="10"/>
  <c r="CO222" i="10"/>
  <c r="BK216" i="10"/>
  <c r="BK193" i="10"/>
  <c r="BQ201" i="10"/>
  <c r="BB207" i="10"/>
  <c r="BB188" i="10"/>
  <c r="BJ202" i="10"/>
  <c r="BG208" i="10"/>
  <c r="BG189" i="10"/>
  <c r="BK211" i="10"/>
  <c r="BK192" i="10"/>
  <c r="BQ219" i="10"/>
  <c r="BQ200" i="10"/>
  <c r="BB205" i="10"/>
  <c r="BB183" i="10"/>
  <c r="BJ200" i="10"/>
  <c r="BG206" i="10"/>
  <c r="BG185" i="10"/>
  <c r="BK209" i="10"/>
  <c r="BK222" i="10"/>
  <c r="BQ217" i="10"/>
  <c r="BQ194" i="10"/>
  <c r="BB204" i="10"/>
  <c r="BB181" i="10"/>
  <c r="BJ218" i="10"/>
  <c r="BJ199" i="10"/>
  <c r="BG205" i="10"/>
  <c r="BK208" i="10"/>
  <c r="BQ216" i="10"/>
  <c r="BQ222" i="10"/>
  <c r="BB199" i="10"/>
  <c r="BB180" i="10"/>
  <c r="BJ216" i="10"/>
  <c r="BJ194" i="10"/>
  <c r="BG200" i="10"/>
  <c r="BK203" i="10"/>
  <c r="BQ211" i="10"/>
  <c r="BB197" i="10"/>
  <c r="BJ215" i="10"/>
  <c r="BJ192" i="10"/>
  <c r="BG198" i="10"/>
  <c r="Y145" i="10"/>
  <c r="F136" i="10"/>
  <c r="S136" i="10" s="1"/>
  <c r="CC268" i="10"/>
  <c r="AA153" i="10"/>
  <c r="CC266" i="10"/>
  <c r="W153" i="10"/>
  <c r="CC265" i="10"/>
  <c r="D153" i="10"/>
  <c r="Q153" i="10" s="1"/>
  <c r="CC261" i="10"/>
  <c r="F153" i="10"/>
  <c r="S153" i="10" s="1"/>
  <c r="CC258" i="10"/>
  <c r="AA136" i="10"/>
  <c r="CC257" i="10"/>
  <c r="BH219" i="10"/>
  <c r="BN244" i="10"/>
  <c r="CK222" i="10"/>
  <c r="BH202" i="10"/>
  <c r="BT216" i="10"/>
  <c r="BT222" i="10"/>
  <c r="CH264" i="10"/>
  <c r="CF215" i="10"/>
  <c r="BN267" i="10"/>
  <c r="BB268" i="10"/>
  <c r="BB269" i="10"/>
  <c r="BB263" i="10"/>
  <c r="BB229" i="10"/>
  <c r="CQ229" i="10" s="1"/>
  <c r="BB247" i="10"/>
  <c r="BB262" i="10"/>
  <c r="BB258" i="10"/>
  <c r="BB257" i="10"/>
  <c r="BB253" i="10"/>
  <c r="BB265" i="10"/>
  <c r="BB244" i="10"/>
  <c r="E136" i="10"/>
  <c r="R136" i="10" s="1"/>
  <c r="CC262" i="10"/>
  <c r="BP249" i="10"/>
  <c r="BF212" i="10"/>
  <c r="BF204" i="10"/>
  <c r="BF196" i="10"/>
  <c r="BF188" i="10"/>
  <c r="BO215" i="10"/>
  <c r="BO207" i="10"/>
  <c r="BO199" i="10"/>
  <c r="BO222" i="10"/>
  <c r="BP202" i="10"/>
  <c r="BG255" i="10"/>
  <c r="BG234" i="10"/>
  <c r="CB216" i="10"/>
  <c r="BZ214" i="10"/>
  <c r="BG253" i="10"/>
  <c r="CB213" i="10"/>
  <c r="BZ212" i="10"/>
  <c r="CC267" i="10"/>
  <c r="CC259" i="10"/>
  <c r="Y153" i="10"/>
  <c r="BF217" i="10"/>
  <c r="BF209" i="10"/>
  <c r="BF201" i="10"/>
  <c r="BF193" i="10"/>
  <c r="BF185" i="10"/>
  <c r="BO212" i="10"/>
  <c r="BO204" i="10"/>
  <c r="BO196" i="10"/>
  <c r="BP215" i="10"/>
  <c r="BP194" i="10"/>
  <c r="BG269" i="10"/>
  <c r="BG247" i="10"/>
  <c r="CB208" i="10"/>
  <c r="BZ206" i="10"/>
  <c r="BZ204" i="10"/>
  <c r="W136" i="10"/>
  <c r="CC264" i="10"/>
  <c r="CC256" i="10"/>
  <c r="BP265" i="10"/>
  <c r="BF214" i="10"/>
  <c r="BF206" i="10"/>
  <c r="BF198" i="10"/>
  <c r="BF190" i="10"/>
  <c r="BF222" i="10"/>
  <c r="BO217" i="10"/>
  <c r="BO209" i="10"/>
  <c r="BO201" i="10"/>
  <c r="BO193" i="10"/>
  <c r="BP207" i="10"/>
  <c r="BG261" i="10"/>
  <c r="BG239" i="10"/>
  <c r="CC263" i="10"/>
  <c r="BP257" i="10"/>
  <c r="BF213" i="10"/>
  <c r="BF205" i="10"/>
  <c r="BF197" i="10"/>
  <c r="BO216" i="10"/>
  <c r="BO208" i="10"/>
  <c r="BO200" i="10"/>
  <c r="BP204" i="10"/>
  <c r="BG258" i="10"/>
  <c r="BG237" i="10"/>
  <c r="CB219" i="10"/>
  <c r="BZ217" i="10"/>
  <c r="BS246" i="10"/>
  <c r="BN255" i="10"/>
  <c r="D162" i="10"/>
  <c r="Q162" i="10" s="1"/>
  <c r="BN252" i="10"/>
  <c r="BF262" i="10"/>
  <c r="BN251" i="10"/>
  <c r="CK218" i="10"/>
  <c r="CF219" i="10"/>
  <c r="BF258" i="10"/>
  <c r="BN268" i="10"/>
  <c r="BN247" i="10"/>
  <c r="CK217" i="10"/>
  <c r="CH267" i="10"/>
  <c r="CF216" i="10"/>
  <c r="AE221" i="10"/>
  <c r="AE321" i="10" s="1"/>
  <c r="BF237" i="10"/>
  <c r="BN263" i="10"/>
  <c r="BN243" i="10"/>
  <c r="AA145" i="10"/>
  <c r="CH263" i="10"/>
  <c r="CF211" i="10"/>
  <c r="BR259" i="10"/>
  <c r="BJ253" i="10"/>
  <c r="BN260" i="10"/>
  <c r="CF222" i="10"/>
  <c r="BR255" i="10"/>
  <c r="BJ252" i="10"/>
  <c r="BN259" i="10"/>
  <c r="BS267" i="10"/>
  <c r="BS264" i="10"/>
  <c r="BS254" i="10"/>
  <c r="BK218" i="10"/>
  <c r="BK210" i="10"/>
  <c r="BK202" i="10"/>
  <c r="BK194" i="10"/>
  <c r="BQ218" i="10"/>
  <c r="BQ210" i="10"/>
  <c r="BQ202" i="10"/>
  <c r="BQ195" i="10"/>
  <c r="BB214" i="10"/>
  <c r="BB206" i="10"/>
  <c r="BB198" i="10"/>
  <c r="BB190" i="10"/>
  <c r="BB182" i="10"/>
  <c r="BJ217" i="10"/>
  <c r="BJ209" i="10"/>
  <c r="BJ201" i="10"/>
  <c r="BJ193" i="10"/>
  <c r="BG215" i="10"/>
  <c r="BG207" i="10"/>
  <c r="BG199" i="10"/>
  <c r="BG191" i="10"/>
  <c r="BG222" i="10"/>
  <c r="BK215" i="10"/>
  <c r="BK207" i="10"/>
  <c r="BK199" i="10"/>
  <c r="BK191" i="10"/>
  <c r="BQ215" i="10"/>
  <c r="BQ207" i="10"/>
  <c r="BQ199" i="10"/>
  <c r="BB218" i="10"/>
  <c r="BB211" i="10"/>
  <c r="BB203" i="10"/>
  <c r="BB195" i="10"/>
  <c r="BB187" i="10"/>
  <c r="BB179" i="10"/>
  <c r="CQ179" i="10" s="1"/>
  <c r="BJ214" i="10"/>
  <c r="BJ206" i="10"/>
  <c r="BJ198" i="10"/>
  <c r="BJ190" i="10"/>
  <c r="BG212" i="10"/>
  <c r="BG204" i="10"/>
  <c r="BG196" i="10"/>
  <c r="BG188" i="10"/>
  <c r="BK214" i="10"/>
  <c r="BK206" i="10"/>
  <c r="BK198" i="10"/>
  <c r="BK190" i="10"/>
  <c r="BQ214" i="10"/>
  <c r="BQ206" i="10"/>
  <c r="BQ198" i="10"/>
  <c r="BB219" i="10"/>
  <c r="BB210" i="10"/>
  <c r="BB202" i="10"/>
  <c r="BB194" i="10"/>
  <c r="BB186" i="10"/>
  <c r="BB222" i="10"/>
  <c r="BJ213" i="10"/>
  <c r="BJ205" i="10"/>
  <c r="BJ197" i="10"/>
  <c r="BJ189" i="10"/>
  <c r="BG219" i="10"/>
  <c r="BG211" i="10"/>
  <c r="BG203" i="10"/>
  <c r="BG195" i="10"/>
  <c r="BG187" i="10"/>
  <c r="BK213" i="10"/>
  <c r="BK205" i="10"/>
  <c r="BK197" i="10"/>
  <c r="BK189" i="10"/>
  <c r="BQ213" i="10"/>
  <c r="BQ205" i="10"/>
  <c r="BQ197" i="10"/>
  <c r="BB217" i="10"/>
  <c r="BB209" i="10"/>
  <c r="BB201" i="10"/>
  <c r="BB193" i="10"/>
  <c r="BB185" i="10"/>
  <c r="BJ212" i="10"/>
  <c r="BJ204" i="10"/>
  <c r="BJ196" i="10"/>
  <c r="BJ188" i="10"/>
  <c r="BG218" i="10"/>
  <c r="BG210" i="10"/>
  <c r="BG202" i="10"/>
  <c r="BG194" i="10"/>
  <c r="BG186" i="10"/>
  <c r="BK212" i="10"/>
  <c r="BK204" i="10"/>
  <c r="BK196" i="10"/>
  <c r="BQ212" i="10"/>
  <c r="BQ204" i="10"/>
  <c r="BB216" i="10"/>
  <c r="BB208" i="10"/>
  <c r="BB200" i="10"/>
  <c r="BB192" i="10"/>
  <c r="BJ219" i="10"/>
  <c r="BJ211" i="10"/>
  <c r="BJ203" i="10"/>
  <c r="BJ195" i="10"/>
  <c r="BG217" i="10"/>
  <c r="BG209" i="10"/>
  <c r="BG201" i="10"/>
  <c r="BG193" i="10"/>
  <c r="BB266" i="10"/>
  <c r="BB255" i="10"/>
  <c r="BB261" i="10"/>
  <c r="BB240" i="10"/>
  <c r="BB233" i="10"/>
  <c r="BB254" i="10"/>
  <c r="BB241" i="10"/>
  <c r="BB252" i="10"/>
  <c r="BB239" i="10"/>
  <c r="BB267" i="10"/>
  <c r="BB259" i="10"/>
  <c r="BB251" i="10"/>
  <c r="BB236" i="10"/>
  <c r="BB249" i="10"/>
  <c r="BB235" i="10"/>
  <c r="BB264" i="10"/>
  <c r="BB256" i="10"/>
  <c r="BB245" i="10"/>
  <c r="BB231" i="10"/>
  <c r="BR267" i="10"/>
  <c r="BR272" i="10"/>
  <c r="BJ261" i="10"/>
  <c r="BJ240" i="10"/>
  <c r="BH210" i="10"/>
  <c r="BH187" i="10"/>
  <c r="BT204" i="10"/>
  <c r="BF247" i="10"/>
  <c r="BR263" i="10"/>
  <c r="BJ260" i="10"/>
  <c r="BJ238" i="10"/>
  <c r="BH206" i="10"/>
  <c r="BH186" i="10"/>
  <c r="BT200" i="10"/>
  <c r="BF266" i="10"/>
  <c r="BF246" i="10"/>
  <c r="BR260" i="10"/>
  <c r="BJ256" i="10"/>
  <c r="BJ272" i="10"/>
  <c r="BH203" i="10"/>
  <c r="BT197" i="10"/>
  <c r="BF263" i="10"/>
  <c r="BF238" i="10"/>
  <c r="BR252" i="10"/>
  <c r="Y156" i="10"/>
  <c r="BJ269" i="10"/>
  <c r="BJ248" i="10"/>
  <c r="BH218" i="10"/>
  <c r="BH195" i="10"/>
  <c r="BT212" i="10"/>
  <c r="BF255" i="10"/>
  <c r="CM267" i="10"/>
  <c r="BR251" i="10"/>
  <c r="D156" i="10"/>
  <c r="Q156" i="10" s="1"/>
  <c r="BJ268" i="10"/>
  <c r="BJ245" i="10"/>
  <c r="BH214" i="10"/>
  <c r="BH194" i="10"/>
  <c r="BT208" i="10"/>
  <c r="BF254" i="10"/>
  <c r="BR268" i="10"/>
  <c r="BR247" i="10"/>
  <c r="BJ264" i="10"/>
  <c r="BJ244" i="10"/>
  <c r="BH211" i="10"/>
  <c r="BH190" i="10"/>
  <c r="BT205" i="10"/>
  <c r="BF250" i="10"/>
  <c r="BV207" i="10"/>
  <c r="BX212" i="10"/>
  <c r="BV212" i="10"/>
  <c r="BL213" i="10"/>
  <c r="CG212" i="10"/>
  <c r="CG222" i="10"/>
  <c r="BV215" i="10"/>
  <c r="CG217" i="10"/>
  <c r="BV204" i="10"/>
  <c r="BL190" i="10"/>
  <c r="BV199" i="10"/>
  <c r="BK257" i="10"/>
  <c r="CL215" i="10"/>
  <c r="BB243" i="10"/>
  <c r="BB232" i="10"/>
  <c r="BB248" i="10"/>
  <c r="BB237" i="10"/>
  <c r="BF242" i="10"/>
  <c r="BB246" i="10"/>
  <c r="BB238" i="10"/>
  <c r="BB230" i="10"/>
  <c r="BB272" i="10"/>
  <c r="BB250" i="10"/>
  <c r="BB242" i="10"/>
  <c r="W157" i="10"/>
  <c r="BL198" i="10"/>
  <c r="BN254" i="10"/>
  <c r="BV214" i="10"/>
  <c r="CG219" i="10"/>
  <c r="Y162" i="10"/>
  <c r="CF218" i="10"/>
  <c r="CF210" i="10"/>
  <c r="CM266" i="10"/>
  <c r="BX214" i="10"/>
  <c r="BR262" i="10"/>
  <c r="BR254" i="10"/>
  <c r="BR246" i="10"/>
  <c r="W156" i="10"/>
  <c r="BJ263" i="10"/>
  <c r="BJ255" i="10"/>
  <c r="BJ247" i="10"/>
  <c r="BJ239" i="10"/>
  <c r="F157" i="10"/>
  <c r="S157" i="10" s="1"/>
  <c r="BH213" i="10"/>
  <c r="BH205" i="10"/>
  <c r="BH197" i="10"/>
  <c r="BH189" i="10"/>
  <c r="BT215" i="10"/>
  <c r="BT207" i="10"/>
  <c r="BT199" i="10"/>
  <c r="BF265" i="10"/>
  <c r="BF257" i="10"/>
  <c r="BF249" i="10"/>
  <c r="BF241" i="10"/>
  <c r="BL215" i="10"/>
  <c r="BL197" i="10"/>
  <c r="BN262" i="10"/>
  <c r="BN246" i="10"/>
  <c r="BV206" i="10"/>
  <c r="BV222" i="10"/>
  <c r="CG211" i="10"/>
  <c r="CH266" i="10"/>
  <c r="BN269" i="10"/>
  <c r="BN261" i="10"/>
  <c r="BN253" i="10"/>
  <c r="BN245" i="10"/>
  <c r="BV213" i="10"/>
  <c r="BV205" i="10"/>
  <c r="CK219" i="10"/>
  <c r="CG218" i="10"/>
  <c r="CG210" i="10"/>
  <c r="CH265" i="10"/>
  <c r="W162" i="10"/>
  <c r="CF217" i="10"/>
  <c r="CF209" i="10"/>
  <c r="CM272" i="10"/>
  <c r="BX213" i="10"/>
  <c r="BR269" i="10"/>
  <c r="BR261" i="10"/>
  <c r="BR253" i="10"/>
  <c r="BR245" i="10"/>
  <c r="AA156" i="10"/>
  <c r="BJ262" i="10"/>
  <c r="BJ254" i="10"/>
  <c r="BJ246" i="10"/>
  <c r="BJ237" i="10"/>
  <c r="BH212" i="10"/>
  <c r="BH204" i="10"/>
  <c r="BH196" i="10"/>
  <c r="BH188" i="10"/>
  <c r="BT214" i="10"/>
  <c r="BT206" i="10"/>
  <c r="BT198" i="10"/>
  <c r="BK262" i="10"/>
  <c r="BF264" i="10"/>
  <c r="BF256" i="10"/>
  <c r="BF248" i="10"/>
  <c r="BF240" i="10"/>
  <c r="BL214" i="10"/>
  <c r="BL191" i="10"/>
  <c r="BV203" i="10"/>
  <c r="BX206" i="10"/>
  <c r="BK254" i="10"/>
  <c r="BL189" i="10"/>
  <c r="BN258" i="10"/>
  <c r="BN250" i="10"/>
  <c r="BN242" i="10"/>
  <c r="BV218" i="10"/>
  <c r="BV210" i="10"/>
  <c r="BV202" i="10"/>
  <c r="CK216" i="10"/>
  <c r="CG215" i="10"/>
  <c r="W145" i="10"/>
  <c r="CH262" i="10"/>
  <c r="E162" i="10"/>
  <c r="R162" i="10" s="1"/>
  <c r="CF214" i="10"/>
  <c r="BX205" i="10"/>
  <c r="BR266" i="10"/>
  <c r="BR258" i="10"/>
  <c r="BR250" i="10"/>
  <c r="E156" i="10"/>
  <c r="BJ267" i="10"/>
  <c r="BJ259" i="10"/>
  <c r="BJ251" i="10"/>
  <c r="BJ243" i="10"/>
  <c r="AA149" i="10"/>
  <c r="BH217" i="10"/>
  <c r="BH209" i="10"/>
  <c r="BH201" i="10"/>
  <c r="BH193" i="10"/>
  <c r="BH185" i="10"/>
  <c r="BT219" i="10"/>
  <c r="BT211" i="10"/>
  <c r="BT203" i="10"/>
  <c r="BF269" i="10"/>
  <c r="BF261" i="10"/>
  <c r="BF253" i="10"/>
  <c r="BF245" i="10"/>
  <c r="BF236" i="10"/>
  <c r="BL206" i="10"/>
  <c r="BV219" i="10"/>
  <c r="BL207" i="10"/>
  <c r="BN266" i="10"/>
  <c r="BN257" i="10"/>
  <c r="BN249" i="10"/>
  <c r="BN241" i="10"/>
  <c r="BV217" i="10"/>
  <c r="BV209" i="10"/>
  <c r="BV201" i="10"/>
  <c r="CK215" i="10"/>
  <c r="CG214" i="10"/>
  <c r="D145" i="10"/>
  <c r="CH269" i="10"/>
  <c r="CH261" i="10"/>
  <c r="F162" i="10"/>
  <c r="S162" i="10" s="1"/>
  <c r="CF213" i="10"/>
  <c r="CM269" i="10"/>
  <c r="BX204" i="10"/>
  <c r="BR265" i="10"/>
  <c r="BR257" i="10"/>
  <c r="BR249" i="10"/>
  <c r="BJ266" i="10"/>
  <c r="BJ258" i="10"/>
  <c r="BJ250" i="10"/>
  <c r="BJ242" i="10"/>
  <c r="BH216" i="10"/>
  <c r="BH208" i="10"/>
  <c r="BH200" i="10"/>
  <c r="BH192" i="10"/>
  <c r="BH222" i="10"/>
  <c r="BT218" i="10"/>
  <c r="BT210" i="10"/>
  <c r="BT202" i="10"/>
  <c r="BF268" i="10"/>
  <c r="BF260" i="10"/>
  <c r="BF252" i="10"/>
  <c r="BF244" i="10"/>
  <c r="BF233" i="10"/>
  <c r="BL205" i="10"/>
  <c r="BV211" i="10"/>
  <c r="CG216" i="10"/>
  <c r="CL222" i="10"/>
  <c r="BN265" i="10"/>
  <c r="BN264" i="10"/>
  <c r="BN256" i="10"/>
  <c r="BN248" i="10"/>
  <c r="BV216" i="10"/>
  <c r="BV208" i="10"/>
  <c r="E145" i="10"/>
  <c r="CH268" i="10"/>
  <c r="BR264" i="10"/>
  <c r="BR256" i="10"/>
  <c r="BJ265" i="10"/>
  <c r="BJ257" i="10"/>
  <c r="BJ249" i="10"/>
  <c r="Y157" i="10"/>
  <c r="BH215" i="10"/>
  <c r="BH207" i="10"/>
  <c r="BH199" i="10"/>
  <c r="BT217" i="10"/>
  <c r="BT209" i="10"/>
  <c r="BF267" i="10"/>
  <c r="BF259" i="10"/>
  <c r="BF251" i="10"/>
  <c r="BF243" i="10"/>
  <c r="BF272" i="10"/>
  <c r="BL199" i="10"/>
  <c r="BS262" i="10"/>
  <c r="BS259" i="10"/>
  <c r="BS256" i="10"/>
  <c r="BS251" i="10"/>
  <c r="BS248" i="10"/>
  <c r="BD231" i="10"/>
  <c r="BX215" i="10"/>
  <c r="BX207" i="10"/>
  <c r="AA157" i="10"/>
  <c r="CL216" i="10"/>
  <c r="BK265" i="10"/>
  <c r="CN272" i="10"/>
  <c r="BL216" i="10"/>
  <c r="BL208" i="10"/>
  <c r="BL200" i="10"/>
  <c r="BL192" i="10"/>
  <c r="BX219" i="10"/>
  <c r="BX211" i="10"/>
  <c r="BX203" i="10"/>
  <c r="E157" i="10"/>
  <c r="BK249" i="10"/>
  <c r="BL212" i="10"/>
  <c r="BL204" i="10"/>
  <c r="BL196" i="10"/>
  <c r="BL222" i="10"/>
  <c r="BX218" i="10"/>
  <c r="BX210" i="10"/>
  <c r="BX202" i="10"/>
  <c r="D157" i="10"/>
  <c r="Q157" i="10" s="1"/>
  <c r="CL219" i="10"/>
  <c r="BK246" i="10"/>
  <c r="BL219" i="10"/>
  <c r="BL211" i="10"/>
  <c r="BL203" i="10"/>
  <c r="BL195" i="10"/>
  <c r="BX217" i="10"/>
  <c r="BX209" i="10"/>
  <c r="BX201" i="10"/>
  <c r="CL218" i="10"/>
  <c r="BK241" i="10"/>
  <c r="BL218" i="10"/>
  <c r="BL210" i="10"/>
  <c r="BL202" i="10"/>
  <c r="BL194" i="10"/>
  <c r="BX216" i="10"/>
  <c r="BX208" i="10"/>
  <c r="BK238" i="10"/>
  <c r="BL217" i="10"/>
  <c r="BL209" i="10"/>
  <c r="BL201" i="10"/>
  <c r="W166" i="10"/>
  <c r="D150" i="10"/>
  <c r="F137" i="10"/>
  <c r="E154" i="10"/>
  <c r="E149" i="10"/>
  <c r="AA166" i="10"/>
  <c r="Y133" i="10"/>
  <c r="AA152" i="10"/>
  <c r="CE213" i="10"/>
  <c r="BI215" i="10"/>
  <c r="BM199" i="10"/>
  <c r="BI207" i="10"/>
  <c r="BI197" i="10"/>
  <c r="BI213" i="10"/>
  <c r="BP219" i="10"/>
  <c r="BP211" i="10"/>
  <c r="BP203" i="10"/>
  <c r="BP195" i="10"/>
  <c r="BG262" i="10"/>
  <c r="BG254" i="10"/>
  <c r="BG246" i="10"/>
  <c r="BG238" i="10"/>
  <c r="AA133" i="10"/>
  <c r="CB212" i="10"/>
  <c r="CB222" i="10"/>
  <c r="BS263" i="10"/>
  <c r="BS255" i="10"/>
  <c r="BS247" i="10"/>
  <c r="E166" i="10"/>
  <c r="BZ213" i="10"/>
  <c r="BZ205" i="10"/>
  <c r="BM207" i="10"/>
  <c r="BI205" i="10"/>
  <c r="BP217" i="10"/>
  <c r="BP209" i="10"/>
  <c r="BP201" i="10"/>
  <c r="BP193" i="10"/>
  <c r="BG268" i="10"/>
  <c r="BG260" i="10"/>
  <c r="BG252" i="10"/>
  <c r="BG244" i="10"/>
  <c r="BG236" i="10"/>
  <c r="D133" i="10"/>
  <c r="CB218" i="10"/>
  <c r="CB210" i="10"/>
  <c r="BS269" i="10"/>
  <c r="BS261" i="10"/>
  <c r="BS253" i="10"/>
  <c r="BS272" i="10"/>
  <c r="D166" i="10"/>
  <c r="BZ219" i="10"/>
  <c r="BZ211" i="10"/>
  <c r="BZ203" i="10"/>
  <c r="BU206" i="10"/>
  <c r="BI199" i="10"/>
  <c r="CE215" i="10"/>
  <c r="BP216" i="10"/>
  <c r="BP208" i="10"/>
  <c r="BP200" i="10"/>
  <c r="BP222" i="10"/>
  <c r="BG267" i="10"/>
  <c r="BG259" i="10"/>
  <c r="BG251" i="10"/>
  <c r="BG243" i="10"/>
  <c r="BG235" i="10"/>
  <c r="E133" i="10"/>
  <c r="CB217" i="10"/>
  <c r="CB209" i="10"/>
  <c r="BS268" i="10"/>
  <c r="BS260" i="10"/>
  <c r="BS252" i="10"/>
  <c r="BZ218" i="10"/>
  <c r="BZ210" i="10"/>
  <c r="BZ222" i="10"/>
  <c r="BU198" i="10"/>
  <c r="BI191" i="10"/>
  <c r="CE222" i="10"/>
  <c r="CD258" i="10"/>
  <c r="BP214" i="10"/>
  <c r="BP206" i="10"/>
  <c r="BP198" i="10"/>
  <c r="BG265" i="10"/>
  <c r="BG257" i="10"/>
  <c r="BG249" i="10"/>
  <c r="BG241" i="10"/>
  <c r="BG272" i="10"/>
  <c r="CB215" i="10"/>
  <c r="CB207" i="10"/>
  <c r="BS266" i="10"/>
  <c r="BS258" i="10"/>
  <c r="BS250" i="10"/>
  <c r="Y166" i="10"/>
  <c r="BZ216" i="10"/>
  <c r="BZ208" i="10"/>
  <c r="BI189" i="10"/>
  <c r="BP213" i="10"/>
  <c r="BP205" i="10"/>
  <c r="CA262" i="10"/>
  <c r="BG264" i="10"/>
  <c r="BG256" i="10"/>
  <c r="BG248" i="10"/>
  <c r="CB214" i="10"/>
  <c r="BS265" i="10"/>
  <c r="BS257" i="10"/>
  <c r="BZ215" i="10"/>
  <c r="BI214" i="10"/>
  <c r="BI206" i="10"/>
  <c r="BI198" i="10"/>
  <c r="BI190" i="10"/>
  <c r="CE214" i="10"/>
  <c r="CA263" i="10"/>
  <c r="BM205" i="10"/>
  <c r="BU204" i="10"/>
  <c r="BI212" i="10"/>
  <c r="BI204" i="10"/>
  <c r="BI196" i="10"/>
  <c r="BI188" i="10"/>
  <c r="CE212" i="10"/>
  <c r="CA255" i="10"/>
  <c r="BM197" i="10"/>
  <c r="BI219" i="10"/>
  <c r="BI211" i="10"/>
  <c r="BI203" i="10"/>
  <c r="BI195" i="10"/>
  <c r="BI187" i="10"/>
  <c r="CE219" i="10"/>
  <c r="CE211" i="10"/>
  <c r="CA254" i="10"/>
  <c r="BM191" i="10"/>
  <c r="BI218" i="10"/>
  <c r="BI210" i="10"/>
  <c r="BI202" i="10"/>
  <c r="BI194" i="10"/>
  <c r="BI186" i="10"/>
  <c r="CE218" i="10"/>
  <c r="CE210" i="10"/>
  <c r="BM222" i="10"/>
  <c r="BI217" i="10"/>
  <c r="BI209" i="10"/>
  <c r="BI201" i="10"/>
  <c r="BI193" i="10"/>
  <c r="BI222" i="10"/>
  <c r="CE217" i="10"/>
  <c r="CE209" i="10"/>
  <c r="BM215" i="10"/>
  <c r="BU214" i="10"/>
  <c r="BI216" i="10"/>
  <c r="BI208" i="10"/>
  <c r="BI200" i="10"/>
  <c r="CE216" i="10"/>
  <c r="BM213" i="10"/>
  <c r="BU212" i="10"/>
  <c r="CS176" i="10"/>
  <c r="CS222" i="10" s="1"/>
  <c r="G222" i="10" s="1"/>
  <c r="BD212" i="10"/>
  <c r="BD204" i="10"/>
  <c r="BD196" i="10"/>
  <c r="BS218" i="10"/>
  <c r="BD188" i="10"/>
  <c r="BS210" i="10"/>
  <c r="BD181" i="10"/>
  <c r="CP219" i="10"/>
  <c r="CP220" i="10" s="1"/>
  <c r="CP221" i="10" s="1"/>
  <c r="BS202" i="10"/>
  <c r="CD216" i="10"/>
  <c r="BC216" i="10"/>
  <c r="BC184" i="10"/>
  <c r="BM214" i="10"/>
  <c r="BM206" i="10"/>
  <c r="BM198" i="10"/>
  <c r="BM190" i="10"/>
  <c r="BU213" i="10"/>
  <c r="BU205" i="10"/>
  <c r="BU222" i="10"/>
  <c r="BM212" i="10"/>
  <c r="BM204" i="10"/>
  <c r="BM196" i="10"/>
  <c r="BU219" i="10"/>
  <c r="BU211" i="10"/>
  <c r="BU203" i="10"/>
  <c r="BM219" i="10"/>
  <c r="BM211" i="10"/>
  <c r="BM203" i="10"/>
  <c r="BM195" i="10"/>
  <c r="BU218" i="10"/>
  <c r="BU210" i="10"/>
  <c r="BU202" i="10"/>
  <c r="BM218" i="10"/>
  <c r="BM210" i="10"/>
  <c r="BM202" i="10"/>
  <c r="BM194" i="10"/>
  <c r="BU217" i="10"/>
  <c r="BU209" i="10"/>
  <c r="BU201" i="10"/>
  <c r="BM217" i="10"/>
  <c r="BM209" i="10"/>
  <c r="BM201" i="10"/>
  <c r="BM193" i="10"/>
  <c r="BU216" i="10"/>
  <c r="BU208" i="10"/>
  <c r="BU200" i="10"/>
  <c r="BM216" i="10"/>
  <c r="BM208" i="10"/>
  <c r="BM200" i="10"/>
  <c r="BU215" i="10"/>
  <c r="BU207" i="10"/>
  <c r="BD213" i="10"/>
  <c r="BD205" i="10"/>
  <c r="BD197" i="10"/>
  <c r="BD189" i="10"/>
  <c r="BD222" i="10"/>
  <c r="BS219" i="10"/>
  <c r="BS211" i="10"/>
  <c r="BS203" i="10"/>
  <c r="BS222" i="10"/>
  <c r="BC191" i="10"/>
  <c r="CD217" i="10"/>
  <c r="BD219" i="10"/>
  <c r="BD211" i="10"/>
  <c r="BD203" i="10"/>
  <c r="BD195" i="10"/>
  <c r="BD187" i="10"/>
  <c r="BS217" i="10"/>
  <c r="BS209" i="10"/>
  <c r="BS201" i="10"/>
  <c r="BC215" i="10"/>
  <c r="BC183" i="10"/>
  <c r="CD209" i="10"/>
  <c r="BD218" i="10"/>
  <c r="BD210" i="10"/>
  <c r="BD202" i="10"/>
  <c r="BD194" i="10"/>
  <c r="BD186" i="10"/>
  <c r="BS216" i="10"/>
  <c r="BS208" i="10"/>
  <c r="BS200" i="10"/>
  <c r="BC208" i="10"/>
  <c r="CD208" i="10"/>
  <c r="BD217" i="10"/>
  <c r="BD209" i="10"/>
  <c r="BD201" i="10"/>
  <c r="BD193" i="10"/>
  <c r="BD185" i="10"/>
  <c r="BS215" i="10"/>
  <c r="BS207" i="10"/>
  <c r="BS199" i="10"/>
  <c r="BC207" i="10"/>
  <c r="BD216" i="10"/>
  <c r="BD208" i="10"/>
  <c r="BD200" i="10"/>
  <c r="BD192" i="10"/>
  <c r="BD184" i="10"/>
  <c r="BS214" i="10"/>
  <c r="BS206" i="10"/>
  <c r="BS198" i="10"/>
  <c r="BC200" i="10"/>
  <c r="BD215" i="10"/>
  <c r="BD207" i="10"/>
  <c r="BD199" i="10"/>
  <c r="BD191" i="10"/>
  <c r="BD183" i="10"/>
  <c r="BS213" i="10"/>
  <c r="BS205" i="10"/>
  <c r="BS196" i="10"/>
  <c r="BC199" i="10"/>
  <c r="BD214" i="10"/>
  <c r="BD206" i="10"/>
  <c r="BD198" i="10"/>
  <c r="BD190" i="10"/>
  <c r="BS212" i="10"/>
  <c r="BS204" i="10"/>
  <c r="BC192" i="10"/>
  <c r="BE199" i="10"/>
  <c r="BY210" i="10"/>
  <c r="BW219" i="10"/>
  <c r="BY202" i="10"/>
  <c r="BE191" i="10"/>
  <c r="BW212" i="10"/>
  <c r="BC214" i="10"/>
  <c r="BC206" i="10"/>
  <c r="BC198" i="10"/>
  <c r="BC190" i="10"/>
  <c r="BC182" i="10"/>
  <c r="CD215" i="10"/>
  <c r="CD207" i="10"/>
  <c r="BY222" i="10"/>
  <c r="CC219" i="10"/>
  <c r="BE216" i="10"/>
  <c r="BE184" i="10"/>
  <c r="BW204" i="10"/>
  <c r="BC213" i="10"/>
  <c r="BC205" i="10"/>
  <c r="BC197" i="10"/>
  <c r="BC189" i="10"/>
  <c r="BC181" i="10"/>
  <c r="BR215" i="10"/>
  <c r="CD214" i="10"/>
  <c r="CD222" i="10"/>
  <c r="BE192" i="10"/>
  <c r="CC212" i="10"/>
  <c r="BE215" i="10"/>
  <c r="BE183" i="10"/>
  <c r="BW203" i="10"/>
  <c r="BC212" i="10"/>
  <c r="BC204" i="10"/>
  <c r="BC196" i="10"/>
  <c r="BC188" i="10"/>
  <c r="BC180" i="10"/>
  <c r="BR214" i="10"/>
  <c r="BO263" i="10"/>
  <c r="CD213" i="10"/>
  <c r="BY209" i="10"/>
  <c r="CC211" i="10"/>
  <c r="BE208" i="10"/>
  <c r="BC219" i="10"/>
  <c r="BC211" i="10"/>
  <c r="BC203" i="10"/>
  <c r="BC195" i="10"/>
  <c r="BC187" i="10"/>
  <c r="BC222" i="10"/>
  <c r="CD212" i="10"/>
  <c r="BY218" i="10"/>
  <c r="BE207" i="10"/>
  <c r="BC218" i="10"/>
  <c r="BC210" i="10"/>
  <c r="BC202" i="10"/>
  <c r="BC194" i="10"/>
  <c r="BC186" i="10"/>
  <c r="CD219" i="10"/>
  <c r="CD211" i="10"/>
  <c r="BY217" i="10"/>
  <c r="BE200" i="10"/>
  <c r="BC217" i="10"/>
  <c r="BC209" i="10"/>
  <c r="BC201" i="10"/>
  <c r="BC193" i="10"/>
  <c r="CD218" i="10"/>
  <c r="BR207" i="10"/>
  <c r="BR206" i="10"/>
  <c r="AE179" i="10" a="1"/>
  <c r="AE216" i="10" s="1"/>
  <c r="BR199" i="10"/>
  <c r="BR198" i="10"/>
  <c r="BW211" i="10"/>
  <c r="BY216" i="10"/>
  <c r="BY208" i="10"/>
  <c r="CC218" i="10"/>
  <c r="CC210" i="10"/>
  <c r="BE214" i="10"/>
  <c r="BE206" i="10"/>
  <c r="BE198" i="10"/>
  <c r="BE190" i="10"/>
  <c r="BE182" i="10"/>
  <c r="BW218" i="10"/>
  <c r="BW210" i="10"/>
  <c r="BW202" i="10"/>
  <c r="BR213" i="10"/>
  <c r="BR205" i="10"/>
  <c r="BR197" i="10"/>
  <c r="BY215" i="10"/>
  <c r="BY207" i="10"/>
  <c r="CC217" i="10"/>
  <c r="CC209" i="10"/>
  <c r="BE213" i="10"/>
  <c r="BE205" i="10"/>
  <c r="BE197" i="10"/>
  <c r="BE189" i="10"/>
  <c r="BE222" i="10"/>
  <c r="BW217" i="10"/>
  <c r="BW209" i="10"/>
  <c r="BW201" i="10"/>
  <c r="BR212" i="10"/>
  <c r="BR204" i="10"/>
  <c r="BR196" i="10"/>
  <c r="BY214" i="10"/>
  <c r="BY206" i="10"/>
  <c r="CC216" i="10"/>
  <c r="CC208" i="10"/>
  <c r="BE212" i="10"/>
  <c r="BE204" i="10"/>
  <c r="BE196" i="10"/>
  <c r="BE188" i="10"/>
  <c r="BW216" i="10"/>
  <c r="BW208" i="10"/>
  <c r="BW200" i="10"/>
  <c r="BR219" i="10"/>
  <c r="BR211" i="10"/>
  <c r="BR203" i="10"/>
  <c r="BR195" i="10"/>
  <c r="BY213" i="10"/>
  <c r="BY205" i="10"/>
  <c r="CC215" i="10"/>
  <c r="CC206" i="10"/>
  <c r="BE219" i="10"/>
  <c r="BE211" i="10"/>
  <c r="BE203" i="10"/>
  <c r="BE195" i="10"/>
  <c r="BE187" i="10"/>
  <c r="BW215" i="10"/>
  <c r="BW207" i="10"/>
  <c r="BW222" i="10"/>
  <c r="BR218" i="10"/>
  <c r="BR210" i="10"/>
  <c r="BR202" i="10"/>
  <c r="BR222" i="10"/>
  <c r="BY212" i="10"/>
  <c r="BY204" i="10"/>
  <c r="CC214" i="10"/>
  <c r="CC207" i="10"/>
  <c r="BE218" i="10"/>
  <c r="BE210" i="10"/>
  <c r="BE202" i="10"/>
  <c r="BE194" i="10"/>
  <c r="BE186" i="10"/>
  <c r="BW214" i="10"/>
  <c r="BW206" i="10"/>
  <c r="BR217" i="10"/>
  <c r="BR209" i="10"/>
  <c r="BR201" i="10"/>
  <c r="BY219" i="10"/>
  <c r="BY211" i="10"/>
  <c r="CC213" i="10"/>
  <c r="BE217" i="10"/>
  <c r="BE209" i="10"/>
  <c r="BE201" i="10"/>
  <c r="BE193" i="10"/>
  <c r="BW213" i="10"/>
  <c r="BR216" i="10"/>
  <c r="BR208" i="10"/>
  <c r="CA266" i="10"/>
  <c r="CA258" i="10"/>
  <c r="CA265" i="10"/>
  <c r="CA257" i="10"/>
  <c r="BO266" i="10"/>
  <c r="CA264" i="10"/>
  <c r="CA256" i="10"/>
  <c r="BO264" i="10"/>
  <c r="BO250" i="10"/>
  <c r="CA269" i="10"/>
  <c r="CA261" i="10"/>
  <c r="CA272" i="10"/>
  <c r="BO248" i="10"/>
  <c r="CA268" i="10"/>
  <c r="CA260" i="10"/>
  <c r="E150" i="10"/>
  <c r="BO247" i="10"/>
  <c r="CA267" i="10"/>
  <c r="BK269" i="10"/>
  <c r="BK261" i="10"/>
  <c r="BK253" i="10"/>
  <c r="BK245" i="10"/>
  <c r="BK272" i="10"/>
  <c r="BK268" i="10"/>
  <c r="BK260" i="10"/>
  <c r="BK252" i="10"/>
  <c r="BK244" i="10"/>
  <c r="CN269" i="10"/>
  <c r="Y149" i="10"/>
  <c r="BK267" i="10"/>
  <c r="BK259" i="10"/>
  <c r="BK251" i="10"/>
  <c r="BK243" i="10"/>
  <c r="CN268" i="10"/>
  <c r="W149" i="10"/>
  <c r="BK266" i="10"/>
  <c r="BK258" i="10"/>
  <c r="BK250" i="10"/>
  <c r="BK242" i="10"/>
  <c r="D149" i="10"/>
  <c r="BK264" i="10"/>
  <c r="BK256" i="10"/>
  <c r="BK248" i="10"/>
  <c r="BK240" i="10"/>
  <c r="BK263" i="10"/>
  <c r="BK255" i="10"/>
  <c r="BK247" i="10"/>
  <c r="CG266" i="10"/>
  <c r="F152" i="10"/>
  <c r="CP269" i="10"/>
  <c r="CP270" i="10" s="1"/>
  <c r="CP271" i="10" s="1"/>
  <c r="BY260" i="10"/>
  <c r="F169" i="10"/>
  <c r="E165" i="10"/>
  <c r="CG265" i="10"/>
  <c r="D165" i="10"/>
  <c r="BY252" i="10"/>
  <c r="CG264" i="10"/>
  <c r="W139" i="10"/>
  <c r="AA169" i="10"/>
  <c r="CG263" i="10"/>
  <c r="AA139" i="10"/>
  <c r="CK269" i="10"/>
  <c r="Y169" i="10"/>
  <c r="CG262" i="10"/>
  <c r="Y139" i="10"/>
  <c r="Y165" i="10"/>
  <c r="W169" i="10"/>
  <c r="CG269" i="10"/>
  <c r="CG261" i="10"/>
  <c r="F139" i="10"/>
  <c r="AA165" i="10"/>
  <c r="CK268" i="10"/>
  <c r="D169" i="10"/>
  <c r="CG268" i="10"/>
  <c r="CG260" i="10"/>
  <c r="E139" i="10"/>
  <c r="W165" i="10"/>
  <c r="BY269" i="10"/>
  <c r="E169" i="10"/>
  <c r="CG267" i="10"/>
  <c r="D139" i="10"/>
  <c r="F165" i="10"/>
  <c r="BY268" i="10"/>
  <c r="BO265" i="10"/>
  <c r="BO249" i="10"/>
  <c r="BD264" i="10"/>
  <c r="AA150" i="10"/>
  <c r="BO258" i="10"/>
  <c r="BO242" i="10"/>
  <c r="BD256" i="10"/>
  <c r="Y150" i="10"/>
  <c r="BO257" i="10"/>
  <c r="BO272" i="10"/>
  <c r="BW264" i="10"/>
  <c r="BD248" i="10"/>
  <c r="BH266" i="10"/>
  <c r="W150" i="10"/>
  <c r="BO256" i="10"/>
  <c r="BW256" i="10"/>
  <c r="BD240" i="10"/>
  <c r="BH250" i="10"/>
  <c r="BO255" i="10"/>
  <c r="CE263" i="10"/>
  <c r="BY261" i="10"/>
  <c r="BY253" i="10"/>
  <c r="E151" i="10"/>
  <c r="E160" i="10"/>
  <c r="Y130" i="10"/>
  <c r="D147" i="10"/>
  <c r="AA134" i="10"/>
  <c r="E159" i="10"/>
  <c r="D168" i="10"/>
  <c r="W138" i="10"/>
  <c r="E155" i="10"/>
  <c r="D141" i="10"/>
  <c r="D132" i="10"/>
  <c r="E142" i="10"/>
  <c r="AA167" i="10"/>
  <c r="F146" i="10"/>
  <c r="E163" i="10"/>
  <c r="W140" i="10"/>
  <c r="F150" i="10"/>
  <c r="E137" i="10"/>
  <c r="D154" i="10"/>
  <c r="F148" i="10"/>
  <c r="D158" i="10"/>
  <c r="Y164" i="10"/>
  <c r="F135" i="10"/>
  <c r="D161" i="10"/>
  <c r="E143" i="10"/>
  <c r="W152" i="10"/>
  <c r="BY267" i="10"/>
  <c r="BY259" i="10"/>
  <c r="BY272" i="10"/>
  <c r="BY266" i="10"/>
  <c r="BY258" i="10"/>
  <c r="BY265" i="10"/>
  <c r="BY257" i="10"/>
  <c r="BY264" i="10"/>
  <c r="BY256" i="10"/>
  <c r="BY263" i="10"/>
  <c r="BY255" i="10"/>
  <c r="AA143" i="10"/>
  <c r="BY262" i="10"/>
  <c r="F143" i="10"/>
  <c r="Y135" i="10"/>
  <c r="BC230" i="10"/>
  <c r="CE264" i="10"/>
  <c r="CE262" i="10"/>
  <c r="Y138" i="10"/>
  <c r="CE269" i="10"/>
  <c r="CE261" i="10"/>
  <c r="E146" i="10"/>
  <c r="BZ257" i="10"/>
  <c r="CE268" i="10"/>
  <c r="CE260" i="10"/>
  <c r="CE267" i="10"/>
  <c r="CE259" i="10"/>
  <c r="BC247" i="10"/>
  <c r="CE266" i="10"/>
  <c r="CE258" i="10"/>
  <c r="W159" i="10"/>
  <c r="CO268" i="10"/>
  <c r="CO270" i="10" s="1"/>
  <c r="BU252" i="10"/>
  <c r="CE265" i="10"/>
  <c r="W134" i="10"/>
  <c r="CF264" i="10"/>
  <c r="BU268" i="10"/>
  <c r="BE260" i="10"/>
  <c r="BE236" i="10"/>
  <c r="E140" i="10"/>
  <c r="CB258" i="10"/>
  <c r="BO262" i="10"/>
  <c r="BO254" i="10"/>
  <c r="BO246" i="10"/>
  <c r="BI252" i="10"/>
  <c r="BO269" i="10"/>
  <c r="BO261" i="10"/>
  <c r="BO253" i="10"/>
  <c r="BO245" i="10"/>
  <c r="BT268" i="10"/>
  <c r="BO268" i="10"/>
  <c r="BO260" i="10"/>
  <c r="BO252" i="10"/>
  <c r="BO244" i="10"/>
  <c r="BO267" i="10"/>
  <c r="BO259" i="10"/>
  <c r="BO251" i="10"/>
  <c r="BI246" i="10"/>
  <c r="AA130" i="10"/>
  <c r="BI244" i="10"/>
  <c r="BT252" i="10"/>
  <c r="BI238" i="10"/>
  <c r="BX264" i="10"/>
  <c r="BM265" i="10"/>
  <c r="BI268" i="10"/>
  <c r="BI236" i="10"/>
  <c r="BM249" i="10"/>
  <c r="BI262" i="10"/>
  <c r="AA151" i="10"/>
  <c r="BI260" i="10"/>
  <c r="BI254" i="10"/>
  <c r="BX256" i="10"/>
  <c r="BI269" i="10"/>
  <c r="BI261" i="10"/>
  <c r="BI253" i="10"/>
  <c r="BI245" i="10"/>
  <c r="BI237" i="10"/>
  <c r="W151" i="10"/>
  <c r="Y151" i="10"/>
  <c r="BT260" i="10"/>
  <c r="BU260" i="10"/>
  <c r="BM257" i="10"/>
  <c r="BE268" i="10"/>
  <c r="BI267" i="10"/>
  <c r="BI259" i="10"/>
  <c r="BI251" i="10"/>
  <c r="BI243" i="10"/>
  <c r="BI272" i="10"/>
  <c r="Y143" i="10"/>
  <c r="F151" i="10"/>
  <c r="BI266" i="10"/>
  <c r="BI258" i="10"/>
  <c r="BI250" i="10"/>
  <c r="BI242" i="10"/>
  <c r="W143" i="10"/>
  <c r="D151" i="10"/>
  <c r="BM240" i="10"/>
  <c r="BE252" i="10"/>
  <c r="BI265" i="10"/>
  <c r="BI257" i="10"/>
  <c r="BI249" i="10"/>
  <c r="BI241" i="10"/>
  <c r="D143" i="10"/>
  <c r="D160" i="10"/>
  <c r="BZ265" i="10"/>
  <c r="BE244" i="10"/>
  <c r="BI264" i="10"/>
  <c r="BI256" i="10"/>
  <c r="BI248" i="10"/>
  <c r="BI240" i="10"/>
  <c r="BI263" i="10"/>
  <c r="BI255" i="10"/>
  <c r="BI247" i="10"/>
  <c r="CF265" i="10"/>
  <c r="CL272" i="10"/>
  <c r="BU269" i="10"/>
  <c r="BU261" i="10"/>
  <c r="BU253" i="10"/>
  <c r="D146" i="10"/>
  <c r="BZ266" i="10"/>
  <c r="BZ258" i="10"/>
  <c r="F163" i="10"/>
  <c r="BE269" i="10"/>
  <c r="BE261" i="10"/>
  <c r="BE253" i="10"/>
  <c r="BE245" i="10"/>
  <c r="BE237" i="10"/>
  <c r="AA140" i="10"/>
  <c r="CB264" i="10"/>
  <c r="E135" i="10"/>
  <c r="CF263" i="10"/>
  <c r="BU267" i="10"/>
  <c r="BU259" i="10"/>
  <c r="BU251" i="10"/>
  <c r="BZ264" i="10"/>
  <c r="BZ256" i="10"/>
  <c r="BE267" i="10"/>
  <c r="BE259" i="10"/>
  <c r="BE251" i="10"/>
  <c r="BE243" i="10"/>
  <c r="BE235" i="10"/>
  <c r="F140" i="10"/>
  <c r="CB255" i="10"/>
  <c r="BF235" i="10"/>
  <c r="CF262" i="10"/>
  <c r="CL269" i="10"/>
  <c r="BU266" i="10"/>
  <c r="BU258" i="10"/>
  <c r="BU250" i="10"/>
  <c r="BZ263" i="10"/>
  <c r="BZ255" i="10"/>
  <c r="W163" i="10"/>
  <c r="BE266" i="10"/>
  <c r="BE258" i="10"/>
  <c r="BE250" i="10"/>
  <c r="BE242" i="10"/>
  <c r="BE234" i="10"/>
  <c r="D140" i="10"/>
  <c r="BF234" i="10"/>
  <c r="CF269" i="10"/>
  <c r="CF261" i="10"/>
  <c r="CL268" i="10"/>
  <c r="BU265" i="10"/>
  <c r="BU257" i="10"/>
  <c r="BU249" i="10"/>
  <c r="AA146" i="10"/>
  <c r="BZ262" i="10"/>
  <c r="BZ254" i="10"/>
  <c r="AA163" i="10"/>
  <c r="BE265" i="10"/>
  <c r="BE257" i="10"/>
  <c r="BE249" i="10"/>
  <c r="BE241" i="10"/>
  <c r="BE232" i="10"/>
  <c r="AA135" i="10"/>
  <c r="CF268" i="10"/>
  <c r="CL267" i="10"/>
  <c r="BU264" i="10"/>
  <c r="BU256" i="10"/>
  <c r="BU248" i="10"/>
  <c r="Y146" i="10"/>
  <c r="BZ269" i="10"/>
  <c r="BZ261" i="10"/>
  <c r="BZ253" i="10"/>
  <c r="Y163" i="10"/>
  <c r="BE264" i="10"/>
  <c r="BE256" i="10"/>
  <c r="BE248" i="10"/>
  <c r="BE240" i="10"/>
  <c r="BE233" i="10"/>
  <c r="CL266" i="10"/>
  <c r="BU263" i="10"/>
  <c r="BU255" i="10"/>
  <c r="BU272" i="10"/>
  <c r="W146" i="10"/>
  <c r="BZ268" i="10"/>
  <c r="BZ260" i="10"/>
  <c r="BZ272" i="10"/>
  <c r="D163" i="10"/>
  <c r="BE263" i="10"/>
  <c r="BE255" i="10"/>
  <c r="BE247" i="10"/>
  <c r="BE239" i="10"/>
  <c r="BE272" i="10"/>
  <c r="Y140" i="10"/>
  <c r="W135" i="10"/>
  <c r="CF260" i="10"/>
  <c r="CF267" i="10"/>
  <c r="CF259" i="10"/>
  <c r="CF266" i="10"/>
  <c r="BU262" i="10"/>
  <c r="BZ267" i="10"/>
  <c r="BE262" i="10"/>
  <c r="BE254" i="10"/>
  <c r="BE246" i="10"/>
  <c r="CB266" i="10"/>
  <c r="D135" i="10"/>
  <c r="BT259" i="10"/>
  <c r="BT251" i="10"/>
  <c r="F160" i="10"/>
  <c r="BX263" i="10"/>
  <c r="BX255" i="10"/>
  <c r="W130" i="10"/>
  <c r="BM264" i="10"/>
  <c r="BM256" i="10"/>
  <c r="BM248" i="10"/>
  <c r="BM241" i="10"/>
  <c r="E134" i="10"/>
  <c r="Y159" i="10"/>
  <c r="BX262" i="10"/>
  <c r="BX254" i="10"/>
  <c r="F130" i="10"/>
  <c r="BM263" i="10"/>
  <c r="BM255" i="10"/>
  <c r="BM247" i="10"/>
  <c r="BM272" i="10"/>
  <c r="Y147" i="10"/>
  <c r="D134" i="10"/>
  <c r="AA159" i="10"/>
  <c r="BT266" i="10"/>
  <c r="BT250" i="10"/>
  <c r="BT265" i="10"/>
  <c r="BT249" i="10"/>
  <c r="BX269" i="10"/>
  <c r="BX261" i="10"/>
  <c r="BX253" i="10"/>
  <c r="D130" i="10"/>
  <c r="BM262" i="10"/>
  <c r="BM254" i="10"/>
  <c r="BM246" i="10"/>
  <c r="W147" i="10"/>
  <c r="F134" i="10"/>
  <c r="F159" i="10"/>
  <c r="BT258" i="10"/>
  <c r="BT257" i="10"/>
  <c r="BT264" i="10"/>
  <c r="BT256" i="10"/>
  <c r="BT248" i="10"/>
  <c r="W160" i="10"/>
  <c r="BX268" i="10"/>
  <c r="BX260" i="10"/>
  <c r="BX252" i="10"/>
  <c r="E130" i="10"/>
  <c r="BM269" i="10"/>
  <c r="BM261" i="10"/>
  <c r="BM253" i="10"/>
  <c r="BM245" i="10"/>
  <c r="AA147" i="10"/>
  <c r="D159" i="10"/>
  <c r="BT267" i="10"/>
  <c r="BT263" i="10"/>
  <c r="BT247" i="10"/>
  <c r="Y160" i="10"/>
  <c r="BX267" i="10"/>
  <c r="BX259" i="10"/>
  <c r="BX251" i="10"/>
  <c r="BM268" i="10"/>
  <c r="BM260" i="10"/>
  <c r="BM252" i="10"/>
  <c r="BM244" i="10"/>
  <c r="F147" i="10"/>
  <c r="BT255" i="10"/>
  <c r="BT262" i="10"/>
  <c r="BT254" i="10"/>
  <c r="BT272" i="10"/>
  <c r="AA160" i="10"/>
  <c r="BX266" i="10"/>
  <c r="BX258" i="10"/>
  <c r="BX272" i="10"/>
  <c r="BM267" i="10"/>
  <c r="BM259" i="10"/>
  <c r="BM251" i="10"/>
  <c r="BM243" i="10"/>
  <c r="E147" i="10"/>
  <c r="Y134" i="10"/>
  <c r="BT269" i="10"/>
  <c r="BT261" i="10"/>
  <c r="BX265" i="10"/>
  <c r="BM266" i="10"/>
  <c r="BM258" i="10"/>
  <c r="BM250" i="10"/>
  <c r="BC239" i="10"/>
  <c r="BH258" i="10"/>
  <c r="CB265" i="10"/>
  <c r="CB257" i="10"/>
  <c r="BH242" i="10"/>
  <c r="F141" i="10"/>
  <c r="CB263" i="10"/>
  <c r="CB256" i="10"/>
  <c r="E168" i="10"/>
  <c r="BH272" i="10"/>
  <c r="CB262" i="10"/>
  <c r="CB272" i="10"/>
  <c r="CI267" i="10"/>
  <c r="Y132" i="10"/>
  <c r="CB269" i="10"/>
  <c r="CB261" i="10"/>
  <c r="BC263" i="10"/>
  <c r="D155" i="10"/>
  <c r="CB268" i="10"/>
  <c r="CB260" i="10"/>
  <c r="BC255" i="10"/>
  <c r="CB267" i="10"/>
  <c r="BC246" i="10"/>
  <c r="BC231" i="10"/>
  <c r="F168" i="10"/>
  <c r="CO272" i="10"/>
  <c r="AA138" i="10"/>
  <c r="F155" i="10"/>
  <c r="W132" i="10"/>
  <c r="BC262" i="10"/>
  <c r="BC238" i="10"/>
  <c r="BC269" i="10"/>
  <c r="BC261" i="10"/>
  <c r="BC253" i="10"/>
  <c r="BC245" i="10"/>
  <c r="BC237" i="10"/>
  <c r="BC272" i="10"/>
  <c r="F138" i="10"/>
  <c r="AA132" i="10"/>
  <c r="BC254" i="10"/>
  <c r="BC268" i="10"/>
  <c r="BC260" i="10"/>
  <c r="BC252" i="10"/>
  <c r="BC244" i="10"/>
  <c r="BC236" i="10"/>
  <c r="D138" i="10"/>
  <c r="E132" i="10"/>
  <c r="W141" i="10"/>
  <c r="BC267" i="10"/>
  <c r="BC251" i="10"/>
  <c r="BC235" i="10"/>
  <c r="AA168" i="10"/>
  <c r="E138" i="10"/>
  <c r="Y155" i="10"/>
  <c r="F132" i="10"/>
  <c r="AA141" i="10"/>
  <c r="F142" i="10"/>
  <c r="W167" i="10"/>
  <c r="BC259" i="10"/>
  <c r="BC243" i="10"/>
  <c r="BC266" i="10"/>
  <c r="BC258" i="10"/>
  <c r="BC250" i="10"/>
  <c r="BC242" i="10"/>
  <c r="BC234" i="10"/>
  <c r="Y168" i="10"/>
  <c r="W155" i="10"/>
  <c r="Y141" i="10"/>
  <c r="BC257" i="10"/>
  <c r="BC241" i="10"/>
  <c r="W168" i="10"/>
  <c r="AA155" i="10"/>
  <c r="E141" i="10"/>
  <c r="BC265" i="10"/>
  <c r="BC249" i="10"/>
  <c r="BC233" i="10"/>
  <c r="BC264" i="10"/>
  <c r="BC256" i="10"/>
  <c r="BC248" i="10"/>
  <c r="BC240" i="10"/>
  <c r="BW263" i="10"/>
  <c r="BW255" i="10"/>
  <c r="BD263" i="10"/>
  <c r="BD255" i="10"/>
  <c r="BD247" i="10"/>
  <c r="BD239" i="10"/>
  <c r="BD232" i="10"/>
  <c r="BH265" i="10"/>
  <c r="BH257" i="10"/>
  <c r="BH249" i="10"/>
  <c r="BH241" i="10"/>
  <c r="CI266" i="10"/>
  <c r="BW262" i="10"/>
  <c r="BW254" i="10"/>
  <c r="BD261" i="10"/>
  <c r="BD253" i="10"/>
  <c r="BD246" i="10"/>
  <c r="BD237" i="10"/>
  <c r="BD272" i="10"/>
  <c r="CS226" i="10"/>
  <c r="CS272" i="10" s="1"/>
  <c r="G272" i="10" s="1"/>
  <c r="BH264" i="10"/>
  <c r="BH256" i="10"/>
  <c r="BH248" i="10"/>
  <c r="BH240" i="10"/>
  <c r="CI265" i="10"/>
  <c r="W148" i="10"/>
  <c r="AA158" i="10"/>
  <c r="BW269" i="10"/>
  <c r="BW261" i="10"/>
  <c r="BW253" i="10"/>
  <c r="AA137" i="10"/>
  <c r="BD269" i="10"/>
  <c r="BD262" i="10"/>
  <c r="BD254" i="10"/>
  <c r="BD245" i="10"/>
  <c r="BD238" i="10"/>
  <c r="Y154" i="10"/>
  <c r="BH263" i="10"/>
  <c r="BH255" i="10"/>
  <c r="BH247" i="10"/>
  <c r="BH239" i="10"/>
  <c r="CI264" i="10"/>
  <c r="Y148" i="10"/>
  <c r="Y158" i="10"/>
  <c r="BW268" i="10"/>
  <c r="BW260" i="10"/>
  <c r="BW252" i="10"/>
  <c r="Y137" i="10"/>
  <c r="BD268" i="10"/>
  <c r="BD260" i="10"/>
  <c r="BD252" i="10"/>
  <c r="BD244" i="10"/>
  <c r="BD236" i="10"/>
  <c r="AA154" i="10"/>
  <c r="BH262" i="10"/>
  <c r="BH254" i="10"/>
  <c r="BH246" i="10"/>
  <c r="BH238" i="10"/>
  <c r="CI263" i="10"/>
  <c r="AA148" i="10"/>
  <c r="CR272" i="10"/>
  <c r="CR271" i="10" s="1"/>
  <c r="W158" i="10"/>
  <c r="BW267" i="10"/>
  <c r="BW259" i="10"/>
  <c r="BW251" i="10"/>
  <c r="W137" i="10"/>
  <c r="BD267" i="10"/>
  <c r="BD259" i="10"/>
  <c r="BD251" i="10"/>
  <c r="BD242" i="10"/>
  <c r="BD235" i="10"/>
  <c r="W154" i="10"/>
  <c r="BH269" i="10"/>
  <c r="BH261" i="10"/>
  <c r="BH253" i="10"/>
  <c r="BH245" i="10"/>
  <c r="BH237" i="10"/>
  <c r="CI262" i="10"/>
  <c r="D148" i="10"/>
  <c r="E158" i="10"/>
  <c r="BW266" i="10"/>
  <c r="BW258" i="10"/>
  <c r="BW250" i="10"/>
  <c r="D137" i="10"/>
  <c r="BD266" i="10"/>
  <c r="BD258" i="10"/>
  <c r="BD250" i="10"/>
  <c r="BD243" i="10"/>
  <c r="BD234" i="10"/>
  <c r="F154" i="10"/>
  <c r="BH268" i="10"/>
  <c r="BH260" i="10"/>
  <c r="BH252" i="10"/>
  <c r="BH244" i="10"/>
  <c r="BH235" i="10"/>
  <c r="CI269" i="10"/>
  <c r="CI272" i="10"/>
  <c r="E148" i="10"/>
  <c r="F158" i="10"/>
  <c r="BW265" i="10"/>
  <c r="BW257" i="10"/>
  <c r="BD265" i="10"/>
  <c r="BD257" i="10"/>
  <c r="BD249" i="10"/>
  <c r="BD241" i="10"/>
  <c r="BH267" i="10"/>
  <c r="BH259" i="10"/>
  <c r="BH251" i="10"/>
  <c r="BH243" i="10"/>
  <c r="CK267" i="10"/>
  <c r="E152" i="10"/>
  <c r="BL265" i="10"/>
  <c r="BL257" i="10"/>
  <c r="BL249" i="10"/>
  <c r="BL241" i="10"/>
  <c r="F161" i="10"/>
  <c r="BP264" i="10"/>
  <c r="BP256" i="10"/>
  <c r="BP248" i="10"/>
  <c r="CD265" i="10"/>
  <c r="CD257" i="10"/>
  <c r="AA164" i="10"/>
  <c r="CJ270" i="10"/>
  <c r="CJ271" i="10" s="1"/>
  <c r="Y167" i="10"/>
  <c r="CK266" i="10"/>
  <c r="D152" i="10"/>
  <c r="BL264" i="10"/>
  <c r="BL256" i="10"/>
  <c r="BL248" i="10"/>
  <c r="BL240" i="10"/>
  <c r="BP263" i="10"/>
  <c r="BP255" i="10"/>
  <c r="BP247" i="10"/>
  <c r="CD264" i="10"/>
  <c r="CD272" i="10"/>
  <c r="F164" i="10"/>
  <c r="D167" i="10"/>
  <c r="CK265" i="10"/>
  <c r="BL263" i="10"/>
  <c r="BL255" i="10"/>
  <c r="BL247" i="10"/>
  <c r="BL239" i="10"/>
  <c r="BP262" i="10"/>
  <c r="BP254" i="10"/>
  <c r="BP246" i="10"/>
  <c r="CD263" i="10"/>
  <c r="D164" i="10"/>
  <c r="W142" i="10"/>
  <c r="E167" i="10"/>
  <c r="BL262" i="10"/>
  <c r="BL254" i="10"/>
  <c r="BL246" i="10"/>
  <c r="BL272" i="10"/>
  <c r="AA161" i="10"/>
  <c r="BP269" i="10"/>
  <c r="BP261" i="10"/>
  <c r="BP253" i="10"/>
  <c r="BP245" i="10"/>
  <c r="CD262" i="10"/>
  <c r="E164" i="10"/>
  <c r="AA142" i="10"/>
  <c r="F167" i="10"/>
  <c r="CK264" i="10"/>
  <c r="Y152" i="10"/>
  <c r="BL269" i="10"/>
  <c r="BL261" i="10"/>
  <c r="BL253" i="10"/>
  <c r="BL245" i="10"/>
  <c r="Y161" i="10"/>
  <c r="CN220" i="10"/>
  <c r="CN221" i="10" s="1"/>
  <c r="BP268" i="10"/>
  <c r="BP260" i="10"/>
  <c r="BP252" i="10"/>
  <c r="BP244" i="10"/>
  <c r="CD269" i="10"/>
  <c r="CD261" i="10"/>
  <c r="Y142" i="10"/>
  <c r="BL268" i="10"/>
  <c r="BL260" i="10"/>
  <c r="BL252" i="10"/>
  <c r="BL244" i="10"/>
  <c r="W161" i="10"/>
  <c r="BP267" i="10"/>
  <c r="BP259" i="10"/>
  <c r="BP251" i="10"/>
  <c r="BP243" i="10"/>
  <c r="CD268" i="10"/>
  <c r="CD260" i="10"/>
  <c r="AE229" i="10" a="1"/>
  <c r="AE265" i="10" s="1"/>
  <c r="D142" i="10"/>
  <c r="BL259" i="10"/>
  <c r="BL251" i="10"/>
  <c r="BP266" i="10"/>
  <c r="BP258" i="10"/>
  <c r="BP250" i="10"/>
  <c r="CD267" i="10"/>
  <c r="S166" i="10"/>
  <c r="AE170" i="10"/>
  <c r="AE172" i="10" s="1"/>
  <c r="Q136" i="10"/>
  <c r="R144" i="10"/>
  <c r="R161" i="10"/>
  <c r="S156" i="10"/>
  <c r="S149" i="10"/>
  <c r="R153" i="10"/>
  <c r="F172" i="10"/>
  <c r="D172" i="10"/>
  <c r="E172" i="10"/>
  <c r="S145" i="10"/>
  <c r="R131" i="10"/>
  <c r="CQ170" i="10"/>
  <c r="CQ171" i="10" s="1"/>
  <c r="CS129" i="10"/>
  <c r="CQ180" i="10" l="1"/>
  <c r="CS180" i="10" s="1"/>
  <c r="G180" i="10" s="1"/>
  <c r="F180" i="10" s="1"/>
  <c r="AB131" i="10"/>
  <c r="CJ220" i="10"/>
  <c r="CJ221" i="10" s="1"/>
  <c r="CI220" i="10"/>
  <c r="CI221" i="10" s="1"/>
  <c r="CH220" i="10"/>
  <c r="CH221" i="10" s="1"/>
  <c r="CO221" i="10"/>
  <c r="BQ270" i="10"/>
  <c r="BQ271" i="10" s="1"/>
  <c r="CA220" i="10"/>
  <c r="CA221" i="10" s="1"/>
  <c r="AB144" i="10"/>
  <c r="BN220" i="10"/>
  <c r="BN221" i="10" s="1"/>
  <c r="CM220" i="10"/>
  <c r="CM221" i="10" s="1"/>
  <c r="BV270" i="10"/>
  <c r="BV271" i="10" s="1"/>
  <c r="AB136" i="10"/>
  <c r="AB153" i="10"/>
  <c r="BO220" i="10"/>
  <c r="BO221" i="10" s="1"/>
  <c r="CC270" i="10"/>
  <c r="CC271" i="10" s="1"/>
  <c r="BF220" i="10"/>
  <c r="BF221" i="10" s="1"/>
  <c r="BK220" i="10"/>
  <c r="BK221" i="10" s="1"/>
  <c r="BB220" i="10"/>
  <c r="BB221" i="10" s="1"/>
  <c r="BQ220" i="10"/>
  <c r="BQ221" i="10" s="1"/>
  <c r="BJ220" i="10"/>
  <c r="BJ221" i="10" s="1"/>
  <c r="BG220" i="10"/>
  <c r="BG221" i="10" s="1"/>
  <c r="CQ232" i="10"/>
  <c r="CS232" i="10" s="1"/>
  <c r="G232" i="10" s="1"/>
  <c r="W232" i="10" s="1"/>
  <c r="CQ230" i="10"/>
  <c r="CS230" i="10" s="1"/>
  <c r="G230" i="10" s="1"/>
  <c r="W230" i="10" s="1"/>
  <c r="AE189" i="10"/>
  <c r="AE202" i="10"/>
  <c r="AE185" i="10"/>
  <c r="AE211" i="10"/>
  <c r="AE199" i="10"/>
  <c r="AE215" i="10"/>
  <c r="AE315" i="10" s="1"/>
  <c r="AE180" i="10"/>
  <c r="AE201" i="10"/>
  <c r="AE188" i="10"/>
  <c r="AE190" i="10"/>
  <c r="BB270" i="10"/>
  <c r="BB271" i="10" s="1"/>
  <c r="AB156" i="10"/>
  <c r="CM270" i="10"/>
  <c r="CM271" i="10" s="1"/>
  <c r="R156" i="10"/>
  <c r="T156" i="10" s="1"/>
  <c r="AB145" i="10"/>
  <c r="BV220" i="10"/>
  <c r="BV221" i="10" s="1"/>
  <c r="R145" i="10"/>
  <c r="AB162" i="10"/>
  <c r="CQ185" i="10"/>
  <c r="CS185" i="10" s="1"/>
  <c r="G185" i="10" s="1"/>
  <c r="BN270" i="10"/>
  <c r="BN271" i="10" s="1"/>
  <c r="CK220" i="10"/>
  <c r="CK221" i="10" s="1"/>
  <c r="BR270" i="10"/>
  <c r="BR271" i="10" s="1"/>
  <c r="CH270" i="10"/>
  <c r="CH271" i="10" s="1"/>
  <c r="BT220" i="10"/>
  <c r="BT221" i="10" s="1"/>
  <c r="BJ270" i="10"/>
  <c r="BJ271" i="10" s="1"/>
  <c r="CF220" i="10"/>
  <c r="CF221" i="10" s="1"/>
  <c r="BH220" i="10"/>
  <c r="BH221" i="10" s="1"/>
  <c r="CG220" i="10"/>
  <c r="CG221" i="10" s="1"/>
  <c r="Q145" i="10"/>
  <c r="AB157" i="10"/>
  <c r="CL220" i="10"/>
  <c r="CL221" i="10" s="1"/>
  <c r="CQ231" i="10"/>
  <c r="CS231" i="10" s="1"/>
  <c r="G231" i="10" s="1"/>
  <c r="R157" i="10"/>
  <c r="T157" i="10" s="1"/>
  <c r="BL220" i="10"/>
  <c r="BL221" i="10" s="1"/>
  <c r="BX220" i="10"/>
  <c r="BX221" i="10" s="1"/>
  <c r="R133" i="10"/>
  <c r="Q166" i="10"/>
  <c r="Q150" i="10"/>
  <c r="R149" i="10"/>
  <c r="S152" i="10"/>
  <c r="S137" i="10"/>
  <c r="AB133" i="10"/>
  <c r="AB166" i="10"/>
  <c r="R154" i="10"/>
  <c r="R143" i="10"/>
  <c r="S150" i="10"/>
  <c r="R155" i="10"/>
  <c r="R151" i="10"/>
  <c r="S165" i="10"/>
  <c r="R166" i="10"/>
  <c r="S143" i="10"/>
  <c r="Q139" i="10"/>
  <c r="Q169" i="10"/>
  <c r="Q149" i="10"/>
  <c r="R150" i="10"/>
  <c r="Q133" i="10"/>
  <c r="Q158" i="10"/>
  <c r="S139" i="10"/>
  <c r="R165" i="10"/>
  <c r="S169" i="10"/>
  <c r="BZ220" i="10"/>
  <c r="BZ221" i="10" s="1"/>
  <c r="BG270" i="10"/>
  <c r="BG271" i="10" s="1"/>
  <c r="CB220" i="10"/>
  <c r="CB221" i="10" s="1"/>
  <c r="BP220" i="10"/>
  <c r="BP221" i="10" s="1"/>
  <c r="BS270" i="10"/>
  <c r="BS271" i="10" s="1"/>
  <c r="AE214" i="10"/>
  <c r="AE204" i="10"/>
  <c r="AE181" i="10"/>
  <c r="AE207" i="10"/>
  <c r="AE193" i="10"/>
  <c r="AE196" i="10"/>
  <c r="AE206" i="10"/>
  <c r="AE197" i="10"/>
  <c r="AE184" i="10"/>
  <c r="AE209" i="10"/>
  <c r="AE182" i="10"/>
  <c r="AE212" i="10"/>
  <c r="AE194" i="10"/>
  <c r="AE205" i="10"/>
  <c r="AE192" i="10"/>
  <c r="AE217" i="10"/>
  <c r="AE218" i="10"/>
  <c r="AE187" i="10"/>
  <c r="AE210" i="10"/>
  <c r="AE213" i="10"/>
  <c r="AE200" i="10"/>
  <c r="AE186" i="10"/>
  <c r="AE203" i="10"/>
  <c r="AE179" i="10"/>
  <c r="AE183" i="10"/>
  <c r="AE208" i="10"/>
  <c r="CQ184" i="10"/>
  <c r="CS184" i="10" s="1"/>
  <c r="G184" i="10" s="1"/>
  <c r="AE198" i="10"/>
  <c r="AE219" i="10"/>
  <c r="AE195" i="10"/>
  <c r="AE191" i="10"/>
  <c r="BI220" i="10"/>
  <c r="BI221" i="10" s="1"/>
  <c r="CQ186" i="10"/>
  <c r="CS186" i="10" s="1"/>
  <c r="G186" i="10" s="1"/>
  <c r="CE220" i="10"/>
  <c r="CE221" i="10" s="1"/>
  <c r="CQ191" i="10"/>
  <c r="CS191" i="10" s="1"/>
  <c r="G191" i="10" s="1"/>
  <c r="CQ195" i="10"/>
  <c r="CS195" i="10" s="1"/>
  <c r="G195" i="10" s="1"/>
  <c r="CQ181" i="10"/>
  <c r="CS181" i="10" s="1"/>
  <c r="G181" i="10" s="1"/>
  <c r="AA181" i="10" s="1"/>
  <c r="CQ189" i="10"/>
  <c r="CS189" i="10" s="1"/>
  <c r="G189" i="10" s="1"/>
  <c r="F189" i="10" s="1"/>
  <c r="CQ201" i="10"/>
  <c r="CS201" i="10" s="1"/>
  <c r="G201" i="10" s="1"/>
  <c r="CQ218" i="10"/>
  <c r="CS218" i="10" s="1"/>
  <c r="G218" i="10" s="1"/>
  <c r="CQ188" i="10"/>
  <c r="CS188" i="10" s="1"/>
  <c r="G188" i="10" s="1"/>
  <c r="BU220" i="10"/>
  <c r="BU221" i="10" s="1"/>
  <c r="CQ182" i="10"/>
  <c r="CS182" i="10" s="1"/>
  <c r="G182" i="10" s="1"/>
  <c r="CQ199" i="10"/>
  <c r="CS199" i="10" s="1"/>
  <c r="G199" i="10" s="1"/>
  <c r="W199" i="10" s="1"/>
  <c r="CQ183" i="10"/>
  <c r="CS183" i="10" s="1"/>
  <c r="G183" i="10" s="1"/>
  <c r="AA183" i="10" s="1"/>
  <c r="CQ192" i="10"/>
  <c r="CS192" i="10" s="1"/>
  <c r="G192" i="10" s="1"/>
  <c r="BM220" i="10"/>
  <c r="BM221" i="10" s="1"/>
  <c r="CQ193" i="10"/>
  <c r="CS193" i="10" s="1"/>
  <c r="G193" i="10" s="1"/>
  <c r="CQ194" i="10"/>
  <c r="CS194" i="10" s="1"/>
  <c r="G194" i="10" s="1"/>
  <c r="F194" i="10" s="1"/>
  <c r="CQ212" i="10"/>
  <c r="CS212" i="10" s="1"/>
  <c r="G212" i="10" s="1"/>
  <c r="W212" i="10" s="1"/>
  <c r="CQ210" i="10"/>
  <c r="CS210" i="10" s="1"/>
  <c r="G210" i="10" s="1"/>
  <c r="CQ211" i="10"/>
  <c r="CS211" i="10" s="1"/>
  <c r="G211" i="10" s="1"/>
  <c r="BD220" i="10"/>
  <c r="BD221" i="10" s="1"/>
  <c r="CQ200" i="10"/>
  <c r="CS200" i="10" s="1"/>
  <c r="G200" i="10" s="1"/>
  <c r="BS220" i="10"/>
  <c r="BS221" i="10" s="1"/>
  <c r="CQ214" i="10"/>
  <c r="CS214" i="10" s="1"/>
  <c r="G214" i="10" s="1"/>
  <c r="F214" i="10" s="1"/>
  <c r="CQ215" i="10"/>
  <c r="CS215" i="10" s="1"/>
  <c r="G215" i="10" s="1"/>
  <c r="CQ198" i="10"/>
  <c r="CS198" i="10" s="1"/>
  <c r="G198" i="10" s="1"/>
  <c r="CQ197" i="10"/>
  <c r="CS197" i="10" s="1"/>
  <c r="G197" i="10" s="1"/>
  <c r="CQ202" i="10"/>
  <c r="CS202" i="10" s="1"/>
  <c r="G202" i="10" s="1"/>
  <c r="CQ187" i="10"/>
  <c r="CS187" i="10" s="1"/>
  <c r="G187" i="10" s="1"/>
  <c r="CQ213" i="10"/>
  <c r="CS213" i="10" s="1"/>
  <c r="G213" i="10" s="1"/>
  <c r="CQ203" i="10"/>
  <c r="CS203" i="10" s="1"/>
  <c r="G203" i="10" s="1"/>
  <c r="CD220" i="10"/>
  <c r="CD221" i="10" s="1"/>
  <c r="CQ196" i="10"/>
  <c r="CS196" i="10" s="1"/>
  <c r="G196" i="10" s="1"/>
  <c r="BC220" i="10"/>
  <c r="BC221" i="10" s="1"/>
  <c r="CQ207" i="10"/>
  <c r="CS207" i="10" s="1"/>
  <c r="G207" i="10" s="1"/>
  <c r="CQ190" i="10"/>
  <c r="CS190" i="10" s="1"/>
  <c r="G190" i="10" s="1"/>
  <c r="BR220" i="10"/>
  <c r="BR221" i="10" s="1"/>
  <c r="CQ219" i="10"/>
  <c r="CS219" i="10" s="1"/>
  <c r="G219" i="10" s="1"/>
  <c r="CQ216" i="10"/>
  <c r="CS216" i="10" s="1"/>
  <c r="G216" i="10" s="1"/>
  <c r="CQ209" i="10"/>
  <c r="CS209" i="10" s="1"/>
  <c r="G209" i="10" s="1"/>
  <c r="AA209" i="10" s="1"/>
  <c r="CC220" i="10"/>
  <c r="CC221" i="10" s="1"/>
  <c r="CQ217" i="10"/>
  <c r="CS217" i="10" s="1"/>
  <c r="G217" i="10" s="1"/>
  <c r="CQ204" i="10"/>
  <c r="CS204" i="10" s="1"/>
  <c r="G204" i="10" s="1"/>
  <c r="CQ205" i="10"/>
  <c r="CS205" i="10" s="1"/>
  <c r="G205" i="10" s="1"/>
  <c r="BW220" i="10"/>
  <c r="BW221" i="10" s="1"/>
  <c r="CQ208" i="10"/>
  <c r="CS208" i="10" s="1"/>
  <c r="G208" i="10" s="1"/>
  <c r="BE220" i="10"/>
  <c r="BE221" i="10" s="1"/>
  <c r="CQ206" i="10"/>
  <c r="CS206" i="10" s="1"/>
  <c r="G206" i="10" s="1"/>
  <c r="Y206" i="10" s="1"/>
  <c r="BY220" i="10"/>
  <c r="BY221" i="10" s="1"/>
  <c r="CA270" i="10"/>
  <c r="CA271" i="10" s="1"/>
  <c r="AB149" i="10"/>
  <c r="CN270" i="10"/>
  <c r="CN271" i="10" s="1"/>
  <c r="BK270" i="10"/>
  <c r="BK271" i="10" s="1"/>
  <c r="AB139" i="10"/>
  <c r="R169" i="10"/>
  <c r="S151" i="10"/>
  <c r="AB165" i="10"/>
  <c r="Q165" i="10"/>
  <c r="CG270" i="10"/>
  <c r="CG271" i="10" s="1"/>
  <c r="AB169" i="10"/>
  <c r="R139" i="10"/>
  <c r="AB150" i="10"/>
  <c r="AB152" i="10"/>
  <c r="R137" i="10"/>
  <c r="Q141" i="10"/>
  <c r="R159" i="10"/>
  <c r="R160" i="10"/>
  <c r="S146" i="10"/>
  <c r="R167" i="10"/>
  <c r="R135" i="10"/>
  <c r="Q154" i="10"/>
  <c r="Q164" i="10"/>
  <c r="Q152" i="10"/>
  <c r="Q132" i="10"/>
  <c r="R163" i="10"/>
  <c r="Q168" i="10"/>
  <c r="S135" i="10"/>
  <c r="S154" i="10"/>
  <c r="AB164" i="10"/>
  <c r="R132" i="10"/>
  <c r="BY270" i="10"/>
  <c r="BY271" i="10" s="1"/>
  <c r="S132" i="10"/>
  <c r="R134" i="10"/>
  <c r="S134" i="10"/>
  <c r="S160" i="10"/>
  <c r="R142" i="10"/>
  <c r="S148" i="10"/>
  <c r="Q147" i="10"/>
  <c r="Q161" i="10"/>
  <c r="S167" i="10"/>
  <c r="S161" i="10"/>
  <c r="Q137" i="10"/>
  <c r="Q138" i="10"/>
  <c r="S138" i="10"/>
  <c r="S141" i="10"/>
  <c r="R164" i="10"/>
  <c r="Q167" i="10"/>
  <c r="S158" i="10"/>
  <c r="R138" i="10"/>
  <c r="S163" i="10"/>
  <c r="R148" i="10"/>
  <c r="S155" i="10"/>
  <c r="S147" i="10"/>
  <c r="Q135" i="10"/>
  <c r="AB138" i="10"/>
  <c r="S130" i="10"/>
  <c r="Q160" i="10"/>
  <c r="Q151" i="10"/>
  <c r="R140" i="10"/>
  <c r="R158" i="10"/>
  <c r="Q155" i="10"/>
  <c r="AB134" i="10"/>
  <c r="R130" i="10"/>
  <c r="Q130" i="10"/>
  <c r="Q163" i="10"/>
  <c r="Q146" i="10"/>
  <c r="Q143" i="10"/>
  <c r="S164" i="10"/>
  <c r="Q148" i="10"/>
  <c r="R141" i="10"/>
  <c r="S142" i="10"/>
  <c r="S168" i="10"/>
  <c r="R168" i="10"/>
  <c r="R147" i="10"/>
  <c r="Q134" i="10"/>
  <c r="Q140" i="10"/>
  <c r="S140" i="10"/>
  <c r="R146" i="10"/>
  <c r="Q142" i="10"/>
  <c r="R152" i="10"/>
  <c r="Q159" i="10"/>
  <c r="S159" i="10"/>
  <c r="CE270" i="10"/>
  <c r="CE271" i="10" s="1"/>
  <c r="AB140" i="10"/>
  <c r="AB135" i="10"/>
  <c r="AB159" i="10"/>
  <c r="CQ233" i="10"/>
  <c r="CS233" i="10" s="1"/>
  <c r="G233" i="10" s="1"/>
  <c r="AB143" i="10"/>
  <c r="CQ234" i="10"/>
  <c r="CS234" i="10" s="1"/>
  <c r="G234" i="10" s="1"/>
  <c r="AB132" i="10"/>
  <c r="BO270" i="10"/>
  <c r="BO271" i="10" s="1"/>
  <c r="CQ235" i="10"/>
  <c r="CS235" i="10" s="1"/>
  <c r="G235" i="10" s="1"/>
  <c r="BF270" i="10"/>
  <c r="BF271" i="10" s="1"/>
  <c r="CQ238" i="10"/>
  <c r="CS238" i="10" s="1"/>
  <c r="G238" i="10" s="1"/>
  <c r="CQ237" i="10"/>
  <c r="CS237" i="10" s="1"/>
  <c r="G237" i="10" s="1"/>
  <c r="AB160" i="10"/>
  <c r="CL270" i="10"/>
  <c r="CL271" i="10" s="1"/>
  <c r="BZ270" i="10"/>
  <c r="BZ271" i="10" s="1"/>
  <c r="BI270" i="10"/>
  <c r="BI271" i="10" s="1"/>
  <c r="BX270" i="10"/>
  <c r="BX271" i="10" s="1"/>
  <c r="AB130" i="10"/>
  <c r="AB151" i="10"/>
  <c r="CQ250" i="10"/>
  <c r="CS250" i="10" s="1"/>
  <c r="G250" i="10" s="1"/>
  <c r="AB146" i="10"/>
  <c r="BM270" i="10"/>
  <c r="BM271" i="10" s="1"/>
  <c r="BT270" i="10"/>
  <c r="BT271" i="10" s="1"/>
  <c r="CF270" i="10"/>
  <c r="CF271" i="10" s="1"/>
  <c r="BE270" i="10"/>
  <c r="BE271" i="10" s="1"/>
  <c r="BU270" i="10"/>
  <c r="BU271" i="10" s="1"/>
  <c r="AB163" i="10"/>
  <c r="AB168" i="10"/>
  <c r="AB147" i="10"/>
  <c r="AB161" i="10"/>
  <c r="CK270" i="10"/>
  <c r="CK271" i="10" s="1"/>
  <c r="CO271" i="10"/>
  <c r="CQ258" i="10"/>
  <c r="CS258" i="10" s="1"/>
  <c r="G258" i="10" s="1"/>
  <c r="AB155" i="10"/>
  <c r="CQ242" i="10"/>
  <c r="CS242" i="10" s="1"/>
  <c r="G242" i="10" s="1"/>
  <c r="AB141" i="10"/>
  <c r="CB270" i="10"/>
  <c r="CB271" i="10" s="1"/>
  <c r="AB148" i="10"/>
  <c r="CQ247" i="10"/>
  <c r="CS247" i="10" s="1"/>
  <c r="G247" i="10" s="1"/>
  <c r="AB158" i="10"/>
  <c r="BC270" i="10"/>
  <c r="BC271" i="10" s="1"/>
  <c r="CQ249" i="10"/>
  <c r="CS249" i="10" s="1"/>
  <c r="G249" i="10" s="1"/>
  <c r="AB154" i="10"/>
  <c r="CQ256" i="10"/>
  <c r="CS256" i="10" s="1"/>
  <c r="G256" i="10" s="1"/>
  <c r="AE251" i="10"/>
  <c r="AE238" i="10"/>
  <c r="AE249" i="10"/>
  <c r="AE233" i="10"/>
  <c r="AE244" i="10"/>
  <c r="AE239" i="10"/>
  <c r="AE234" i="10"/>
  <c r="AE229" i="10"/>
  <c r="AE232" i="10"/>
  <c r="CQ266" i="10"/>
  <c r="CS266" i="10" s="1"/>
  <c r="G266" i="10" s="1"/>
  <c r="CQ252" i="10"/>
  <c r="CS252" i="10" s="1"/>
  <c r="G252" i="10" s="1"/>
  <c r="AE241" i="10"/>
  <c r="AE237" i="10"/>
  <c r="AE240" i="10"/>
  <c r="CQ236" i="10"/>
  <c r="CS236" i="10" s="1"/>
  <c r="G236" i="10" s="1"/>
  <c r="CI270" i="10"/>
  <c r="CI271" i="10" s="1"/>
  <c r="AE231" i="10"/>
  <c r="AE242" i="10"/>
  <c r="AE245" i="10"/>
  <c r="AE236" i="10"/>
  <c r="AE235" i="10"/>
  <c r="AE253" i="10"/>
  <c r="AE243" i="10"/>
  <c r="AE230" i="10"/>
  <c r="CQ255" i="10"/>
  <c r="CS255" i="10" s="1"/>
  <c r="G255" i="10" s="1"/>
  <c r="CQ241" i="10"/>
  <c r="CS241" i="10" s="1"/>
  <c r="G241" i="10" s="1"/>
  <c r="AE259" i="10"/>
  <c r="AE252" i="10"/>
  <c r="AE246" i="10"/>
  <c r="AE248" i="10"/>
  <c r="AE254" i="10"/>
  <c r="AE264" i="10"/>
  <c r="AE250" i="10"/>
  <c r="AE262" i="10"/>
  <c r="AE257" i="10"/>
  <c r="AE267" i="10"/>
  <c r="AE261" i="10"/>
  <c r="AE247" i="10"/>
  <c r="CQ248" i="10"/>
  <c r="CS248" i="10" s="1"/>
  <c r="G248" i="10" s="1"/>
  <c r="BD270" i="10"/>
  <c r="BD271" i="10" s="1"/>
  <c r="BW270" i="10"/>
  <c r="BW271" i="10" s="1"/>
  <c r="AB137" i="10"/>
  <c r="BH270" i="10"/>
  <c r="BH271" i="10" s="1"/>
  <c r="CQ257" i="10"/>
  <c r="CS257" i="10" s="1"/>
  <c r="G257" i="10" s="1"/>
  <c r="CQ267" i="10"/>
  <c r="CS267" i="10" s="1"/>
  <c r="G267" i="10" s="1"/>
  <c r="CQ259" i="10"/>
  <c r="CS259" i="10" s="1"/>
  <c r="G259" i="10" s="1"/>
  <c r="CQ245" i="10"/>
  <c r="CS245" i="10" s="1"/>
  <c r="G245" i="10" s="1"/>
  <c r="CQ253" i="10"/>
  <c r="CS253" i="10" s="1"/>
  <c r="G253" i="10" s="1"/>
  <c r="CQ265" i="10"/>
  <c r="CS265" i="10" s="1"/>
  <c r="G265" i="10" s="1"/>
  <c r="CQ243" i="10"/>
  <c r="CS243" i="10" s="1"/>
  <c r="G243" i="10" s="1"/>
  <c r="CQ240" i="10"/>
  <c r="CS240" i="10" s="1"/>
  <c r="G240" i="10" s="1"/>
  <c r="CQ262" i="10"/>
  <c r="CS262" i="10" s="1"/>
  <c r="G262" i="10" s="1"/>
  <c r="AE266" i="10"/>
  <c r="AE256" i="10"/>
  <c r="AE269" i="10"/>
  <c r="AE260" i="10"/>
  <c r="AE255" i="10"/>
  <c r="CQ261" i="10"/>
  <c r="CS261" i="10" s="1"/>
  <c r="G261" i="10" s="1"/>
  <c r="AE258" i="10"/>
  <c r="AE268" i="10"/>
  <c r="AE263" i="10"/>
  <c r="CQ251" i="10"/>
  <c r="CS251" i="10" s="1"/>
  <c r="G251" i="10" s="1"/>
  <c r="CQ246" i="10"/>
  <c r="CS246" i="10" s="1"/>
  <c r="G246" i="10" s="1"/>
  <c r="CQ260" i="10"/>
  <c r="CS260" i="10" s="1"/>
  <c r="G260" i="10" s="1"/>
  <c r="CQ244" i="10"/>
  <c r="CS244" i="10" s="1"/>
  <c r="G244" i="10" s="1"/>
  <c r="AB142" i="10"/>
  <c r="CQ254" i="10"/>
  <c r="CS254" i="10" s="1"/>
  <c r="G254" i="10" s="1"/>
  <c r="CQ268" i="10"/>
  <c r="CS268" i="10" s="1"/>
  <c r="G268" i="10" s="1"/>
  <c r="CQ264" i="10"/>
  <c r="CS264" i="10" s="1"/>
  <c r="G264" i="10" s="1"/>
  <c r="CQ269" i="10"/>
  <c r="CS269" i="10" s="1"/>
  <c r="G269" i="10" s="1"/>
  <c r="CQ263" i="10"/>
  <c r="CS263" i="10" s="1"/>
  <c r="G263" i="10" s="1"/>
  <c r="BL270" i="10"/>
  <c r="BL271" i="10" s="1"/>
  <c r="CQ239" i="10"/>
  <c r="CS239" i="10" s="1"/>
  <c r="G239" i="10" s="1"/>
  <c r="BP270" i="10"/>
  <c r="BP271" i="10" s="1"/>
  <c r="AB167" i="10"/>
  <c r="CD270" i="10"/>
  <c r="CD271" i="10" s="1"/>
  <c r="F222" i="10"/>
  <c r="E222" i="10"/>
  <c r="D222" i="10"/>
  <c r="T162" i="10"/>
  <c r="T153" i="10"/>
  <c r="CS179" i="10"/>
  <c r="T136" i="10"/>
  <c r="CS229" i="10"/>
  <c r="T131" i="10"/>
  <c r="CS170" i="10"/>
  <c r="CS171" i="10" s="1"/>
  <c r="G129" i="10"/>
  <c r="T144" i="10"/>
  <c r="F272" i="10"/>
  <c r="E272" i="10"/>
  <c r="D272" i="10"/>
  <c r="W180" i="10" l="1"/>
  <c r="W280" i="10" s="1"/>
  <c r="E180" i="10"/>
  <c r="R180" i="10" s="1"/>
  <c r="D180" i="10"/>
  <c r="Q180" i="10" s="1"/>
  <c r="Y180" i="10"/>
  <c r="AA180" i="10"/>
  <c r="G280" i="10"/>
  <c r="AA230" i="10"/>
  <c r="F230" i="10"/>
  <c r="F280" i="10" s="1"/>
  <c r="E230" i="10"/>
  <c r="R230" i="10" s="1"/>
  <c r="Y230" i="10"/>
  <c r="D230" i="10"/>
  <c r="Q230" i="10" s="1"/>
  <c r="F232" i="10"/>
  <c r="S232" i="10" s="1"/>
  <c r="E232" i="10"/>
  <c r="R232" i="10" s="1"/>
  <c r="AA232" i="10"/>
  <c r="Y232" i="10"/>
  <c r="D232" i="10"/>
  <c r="Q232" i="10" s="1"/>
  <c r="AA185" i="10"/>
  <c r="D185" i="10"/>
  <c r="Q185" i="10" s="1"/>
  <c r="F185" i="10"/>
  <c r="S185" i="10" s="1"/>
  <c r="W185" i="10"/>
  <c r="Y185" i="10"/>
  <c r="E185" i="10"/>
  <c r="T145" i="10"/>
  <c r="W231" i="10"/>
  <c r="Y231" i="10"/>
  <c r="E231" i="10"/>
  <c r="R231" i="10" s="1"/>
  <c r="D231" i="10"/>
  <c r="Q231" i="10" s="1"/>
  <c r="F231" i="10"/>
  <c r="AA231" i="10"/>
  <c r="T166" i="10"/>
  <c r="T150" i="10"/>
  <c r="W183" i="10"/>
  <c r="Y214" i="10"/>
  <c r="T149" i="10"/>
  <c r="E250" i="10"/>
  <c r="W235" i="10"/>
  <c r="Y238" i="10"/>
  <c r="E204" i="10"/>
  <c r="F205" i="10"/>
  <c r="Y190" i="10"/>
  <c r="W202" i="10"/>
  <c r="E194" i="10"/>
  <c r="F188" i="10"/>
  <c r="D186" i="10"/>
  <c r="D207" i="10"/>
  <c r="S180" i="10"/>
  <c r="F217" i="10"/>
  <c r="F198" i="10"/>
  <c r="E201" i="10"/>
  <c r="W197" i="10"/>
  <c r="T133" i="10"/>
  <c r="F196" i="10"/>
  <c r="W215" i="10"/>
  <c r="E200" i="10"/>
  <c r="AA192" i="10"/>
  <c r="W189" i="10"/>
  <c r="D218" i="10"/>
  <c r="AA206" i="10"/>
  <c r="D209" i="10"/>
  <c r="W214" i="10"/>
  <c r="D183" i="10"/>
  <c r="Y181" i="10"/>
  <c r="E216" i="10"/>
  <c r="Y203" i="10"/>
  <c r="AA211" i="10"/>
  <c r="F199" i="10"/>
  <c r="F195" i="10"/>
  <c r="Y193" i="10"/>
  <c r="W208" i="10"/>
  <c r="Y219" i="10"/>
  <c r="E213" i="10"/>
  <c r="Y210" i="10"/>
  <c r="AA182" i="10"/>
  <c r="AA191" i="10"/>
  <c r="AA184" i="10"/>
  <c r="AA187" i="10"/>
  <c r="F212" i="10"/>
  <c r="T169" i="10"/>
  <c r="T139" i="10"/>
  <c r="T165" i="10"/>
  <c r="W186" i="10"/>
  <c r="AA186" i="10"/>
  <c r="W213" i="10"/>
  <c r="Y188" i="10"/>
  <c r="E188" i="10"/>
  <c r="Y182" i="10"/>
  <c r="W191" i="10"/>
  <c r="D188" i="10"/>
  <c r="F191" i="10"/>
  <c r="Y202" i="10"/>
  <c r="Y191" i="10"/>
  <c r="Y186" i="10"/>
  <c r="E184" i="10"/>
  <c r="Y213" i="10"/>
  <c r="W182" i="10"/>
  <c r="E191" i="10"/>
  <c r="D184" i="10"/>
  <c r="AA210" i="10"/>
  <c r="F186" i="10"/>
  <c r="W188" i="10"/>
  <c r="F184" i="10"/>
  <c r="D182" i="10"/>
  <c r="E186" i="10"/>
  <c r="D191" i="10"/>
  <c r="Y184" i="10"/>
  <c r="W184" i="10"/>
  <c r="AA188" i="10"/>
  <c r="AA194" i="10"/>
  <c r="AE220" i="10"/>
  <c r="AE222" i="10" s="1"/>
  <c r="E195" i="10"/>
  <c r="Y195" i="10"/>
  <c r="W195" i="10"/>
  <c r="D195" i="10"/>
  <c r="AA195" i="10"/>
  <c r="E206" i="10"/>
  <c r="F206" i="10"/>
  <c r="AA189" i="10"/>
  <c r="F181" i="10"/>
  <c r="W181" i="10"/>
  <c r="D181" i="10"/>
  <c r="D214" i="10"/>
  <c r="W206" i="10"/>
  <c r="E189" i="10"/>
  <c r="Y192" i="10"/>
  <c r="W200" i="10"/>
  <c r="F209" i="10"/>
  <c r="D192" i="10"/>
  <c r="G281" i="10"/>
  <c r="Y200" i="10"/>
  <c r="E183" i="10"/>
  <c r="D189" i="10"/>
  <c r="Y189" i="10"/>
  <c r="D206" i="10"/>
  <c r="E181" i="10"/>
  <c r="D200" i="10"/>
  <c r="W192" i="10"/>
  <c r="E192" i="10"/>
  <c r="F200" i="10"/>
  <c r="Y183" i="10"/>
  <c r="F183" i="10"/>
  <c r="F192" i="10"/>
  <c r="AA200" i="10"/>
  <c r="E214" i="10"/>
  <c r="Y217" i="10"/>
  <c r="Y201" i="10"/>
  <c r="AA201" i="10"/>
  <c r="F201" i="10"/>
  <c r="D201" i="10"/>
  <c r="W201" i="10"/>
  <c r="D193" i="10"/>
  <c r="D197" i="10"/>
  <c r="F193" i="10"/>
  <c r="E218" i="10"/>
  <c r="Y218" i="10"/>
  <c r="AA218" i="10"/>
  <c r="F218" i="10"/>
  <c r="W218" i="10"/>
  <c r="W193" i="10"/>
  <c r="AA193" i="10"/>
  <c r="E193" i="10"/>
  <c r="W187" i="10"/>
  <c r="D212" i="10"/>
  <c r="D187" i="10"/>
  <c r="Y212" i="10"/>
  <c r="E187" i="10"/>
  <c r="Y199" i="10"/>
  <c r="AA199" i="10"/>
  <c r="G282" i="10"/>
  <c r="E199" i="10"/>
  <c r="F211" i="10"/>
  <c r="E182" i="10"/>
  <c r="E212" i="10"/>
  <c r="D199" i="10"/>
  <c r="F182" i="10"/>
  <c r="F187" i="10"/>
  <c r="AA212" i="10"/>
  <c r="D213" i="10"/>
  <c r="Y187" i="10"/>
  <c r="AA238" i="10"/>
  <c r="AA219" i="10"/>
  <c r="F216" i="10"/>
  <c r="E211" i="10"/>
  <c r="Y211" i="10"/>
  <c r="D210" i="10"/>
  <c r="F203" i="10"/>
  <c r="AA213" i="10"/>
  <c r="D211" i="10"/>
  <c r="W211" i="10"/>
  <c r="E210" i="10"/>
  <c r="F210" i="10"/>
  <c r="F213" i="10"/>
  <c r="W210" i="10"/>
  <c r="W198" i="10"/>
  <c r="E198" i="10"/>
  <c r="Y198" i="10"/>
  <c r="E209" i="10"/>
  <c r="AA214" i="10"/>
  <c r="D198" i="10"/>
  <c r="W209" i="10"/>
  <c r="W194" i="10"/>
  <c r="D194" i="10"/>
  <c r="AA198" i="10"/>
  <c r="Y194" i="10"/>
  <c r="AA197" i="10"/>
  <c r="Y197" i="10"/>
  <c r="F197" i="10"/>
  <c r="E197" i="10"/>
  <c r="AA203" i="10"/>
  <c r="W216" i="10"/>
  <c r="D215" i="10"/>
  <c r="AA215" i="10"/>
  <c r="Y216" i="10"/>
  <c r="F215" i="10"/>
  <c r="Y215" i="10"/>
  <c r="W203" i="10"/>
  <c r="E215" i="10"/>
  <c r="E203" i="10"/>
  <c r="AA216" i="10"/>
  <c r="D203" i="10"/>
  <c r="AA217" i="10"/>
  <c r="W217" i="10"/>
  <c r="E217" i="10"/>
  <c r="D217" i="10"/>
  <c r="E202" i="10"/>
  <c r="AA202" i="10"/>
  <c r="F202" i="10"/>
  <c r="D202" i="10"/>
  <c r="D216" i="10"/>
  <c r="E219" i="10"/>
  <c r="D208" i="10"/>
  <c r="E208" i="10"/>
  <c r="AA208" i="10"/>
  <c r="Y208" i="10"/>
  <c r="F208" i="10"/>
  <c r="W207" i="10"/>
  <c r="F207" i="10"/>
  <c r="Y207" i="10"/>
  <c r="AA207" i="10"/>
  <c r="E207" i="10"/>
  <c r="D204" i="10"/>
  <c r="E190" i="10"/>
  <c r="F190" i="10"/>
  <c r="W190" i="10"/>
  <c r="Y205" i="10"/>
  <c r="W205" i="10"/>
  <c r="D190" i="10"/>
  <c r="AA205" i="10"/>
  <c r="D205" i="10"/>
  <c r="E205" i="10"/>
  <c r="AA190" i="10"/>
  <c r="Y209" i="10"/>
  <c r="D219" i="10"/>
  <c r="D196" i="10"/>
  <c r="W196" i="10"/>
  <c r="Y196" i="10"/>
  <c r="F219" i="10"/>
  <c r="W219" i="10"/>
  <c r="E196" i="10"/>
  <c r="AA196" i="10"/>
  <c r="W204" i="10"/>
  <c r="CQ220" i="10"/>
  <c r="CQ221" i="10" s="1"/>
  <c r="F204" i="10"/>
  <c r="AA204" i="10"/>
  <c r="Y204" i="10"/>
  <c r="T154" i="10"/>
  <c r="T132" i="10"/>
  <c r="D250" i="10"/>
  <c r="T158" i="10"/>
  <c r="T152" i="10"/>
  <c r="T168" i="10"/>
  <c r="T140" i="10"/>
  <c r="T137" i="10"/>
  <c r="T143" i="10"/>
  <c r="T151" i="10"/>
  <c r="T135" i="10"/>
  <c r="G285" i="10"/>
  <c r="G288" i="10"/>
  <c r="E235" i="10"/>
  <c r="AA235" i="10"/>
  <c r="F235" i="10"/>
  <c r="Y235" i="10"/>
  <c r="T160" i="10"/>
  <c r="T142" i="10"/>
  <c r="T159" i="10"/>
  <c r="T134" i="10"/>
  <c r="T161" i="10"/>
  <c r="T147" i="10"/>
  <c r="T155" i="10"/>
  <c r="T167" i="10"/>
  <c r="T148" i="10"/>
  <c r="T138" i="10"/>
  <c r="T163" i="10"/>
  <c r="T146" i="10"/>
  <c r="T130" i="10"/>
  <c r="T164" i="10"/>
  <c r="T141" i="10"/>
  <c r="F268" i="10"/>
  <c r="E240" i="10"/>
  <c r="AE281" i="10"/>
  <c r="E254" i="10"/>
  <c r="G301" i="10"/>
  <c r="AE306" i="10"/>
  <c r="E243" i="10"/>
  <c r="D245" i="10"/>
  <c r="Y267" i="10"/>
  <c r="AE312" i="10"/>
  <c r="D241" i="10"/>
  <c r="AE285" i="10"/>
  <c r="Y266" i="10"/>
  <c r="AE299" i="10"/>
  <c r="AE305" i="10"/>
  <c r="AE313" i="10"/>
  <c r="W255" i="10"/>
  <c r="AE286" i="10"/>
  <c r="AA236" i="10"/>
  <c r="AE289" i="10"/>
  <c r="F249" i="10"/>
  <c r="S189" i="10"/>
  <c r="F234" i="10"/>
  <c r="G289" i="10"/>
  <c r="AE316" i="10"/>
  <c r="Y259" i="10"/>
  <c r="AE300" i="10"/>
  <c r="AE318" i="10"/>
  <c r="D248" i="10"/>
  <c r="AE314" i="10"/>
  <c r="AE280" i="10"/>
  <c r="AE290" i="10"/>
  <c r="AE282" i="10"/>
  <c r="AE294" i="10"/>
  <c r="E265" i="10"/>
  <c r="AE283" i="10"/>
  <c r="AE288" i="10"/>
  <c r="D247" i="10"/>
  <c r="Y250" i="10"/>
  <c r="AE308" i="10"/>
  <c r="D262" i="10"/>
  <c r="AE304" i="10"/>
  <c r="AE293" i="10"/>
  <c r="AE295" i="10"/>
  <c r="AE279" i="10"/>
  <c r="W263" i="10"/>
  <c r="F244" i="10"/>
  <c r="G311" i="10"/>
  <c r="F253" i="10"/>
  <c r="AE297" i="10"/>
  <c r="AE298" i="10"/>
  <c r="AE292" i="10"/>
  <c r="AE291" i="10"/>
  <c r="AE284" i="10"/>
  <c r="AE301" i="10"/>
  <c r="F258" i="10"/>
  <c r="D269" i="10"/>
  <c r="F233" i="10"/>
  <c r="AA257" i="10"/>
  <c r="AE311" i="10"/>
  <c r="AE296" i="10"/>
  <c r="D242" i="10"/>
  <c r="Y237" i="10"/>
  <c r="F264" i="10"/>
  <c r="E260" i="10"/>
  <c r="AE310" i="10"/>
  <c r="AE317" i="10"/>
  <c r="AE302" i="10"/>
  <c r="F238" i="10"/>
  <c r="D235" i="10"/>
  <c r="S194" i="10"/>
  <c r="Y246" i="10"/>
  <c r="AE319" i="10"/>
  <c r="AE307" i="10"/>
  <c r="AE309" i="10"/>
  <c r="AE303" i="10"/>
  <c r="F252" i="10"/>
  <c r="E256" i="10"/>
  <c r="S214" i="10"/>
  <c r="E253" i="10"/>
  <c r="AA253" i="10"/>
  <c r="G303" i="10"/>
  <c r="D244" i="10"/>
  <c r="E244" i="10"/>
  <c r="D253" i="10"/>
  <c r="W253" i="10"/>
  <c r="Y244" i="10"/>
  <c r="Y253" i="10"/>
  <c r="E234" i="10"/>
  <c r="F241" i="10"/>
  <c r="E251" i="10"/>
  <c r="F251" i="10"/>
  <c r="W233" i="10"/>
  <c r="AA233" i="10"/>
  <c r="W258" i="10"/>
  <c r="G283" i="10"/>
  <c r="Y233" i="10"/>
  <c r="D233" i="10"/>
  <c r="W237" i="10"/>
  <c r="G294" i="10"/>
  <c r="E233" i="10"/>
  <c r="W256" i="10"/>
  <c r="G284" i="10"/>
  <c r="AA240" i="10"/>
  <c r="W234" i="10"/>
  <c r="G290" i="10"/>
  <c r="D234" i="10"/>
  <c r="W244" i="10"/>
  <c r="D240" i="10"/>
  <c r="Y234" i="10"/>
  <c r="AA234" i="10"/>
  <c r="F247" i="10"/>
  <c r="AA244" i="10"/>
  <c r="F240" i="10"/>
  <c r="Y249" i="10"/>
  <c r="F250" i="10"/>
  <c r="Y258" i="10"/>
  <c r="AA258" i="10"/>
  <c r="Y255" i="10"/>
  <c r="D258" i="10"/>
  <c r="G305" i="10"/>
  <c r="D264" i="10"/>
  <c r="W250" i="10"/>
  <c r="AA248" i="10"/>
  <c r="G299" i="10"/>
  <c r="AA250" i="10"/>
  <c r="Y248" i="10"/>
  <c r="G308" i="10"/>
  <c r="G300" i="10"/>
  <c r="E258" i="10"/>
  <c r="W252" i="10"/>
  <c r="Y252" i="10"/>
  <c r="W248" i="10"/>
  <c r="G306" i="10"/>
  <c r="F265" i="10"/>
  <c r="AA252" i="10"/>
  <c r="D256" i="10"/>
  <c r="E248" i="10"/>
  <c r="F237" i="10"/>
  <c r="AA237" i="10"/>
  <c r="Y241" i="10"/>
  <c r="Y256" i="10"/>
  <c r="AA256" i="10"/>
  <c r="D237" i="10"/>
  <c r="F261" i="10"/>
  <c r="D252" i="10"/>
  <c r="F256" i="10"/>
  <c r="D259" i="10"/>
  <c r="G302" i="10"/>
  <c r="G298" i="10"/>
  <c r="E252" i="10"/>
  <c r="F259" i="10"/>
  <c r="E237" i="10"/>
  <c r="G291" i="10"/>
  <c r="F248" i="10"/>
  <c r="G287" i="10"/>
  <c r="E238" i="10"/>
  <c r="W238" i="10"/>
  <c r="G319" i="10"/>
  <c r="F269" i="10"/>
  <c r="D238" i="10"/>
  <c r="AA269" i="10"/>
  <c r="Y269" i="10"/>
  <c r="G307" i="10"/>
  <c r="E269" i="10"/>
  <c r="E249" i="10"/>
  <c r="G292" i="10"/>
  <c r="AA261" i="10"/>
  <c r="W269" i="10"/>
  <c r="AA255" i="10"/>
  <c r="E259" i="10"/>
  <c r="D257" i="10"/>
  <c r="Y261" i="10"/>
  <c r="AA259" i="10"/>
  <c r="G296" i="10"/>
  <c r="AA249" i="10"/>
  <c r="D249" i="10"/>
  <c r="F255" i="10"/>
  <c r="E261" i="10"/>
  <c r="W249" i="10"/>
  <c r="D255" i="10"/>
  <c r="W259" i="10"/>
  <c r="W261" i="10"/>
  <c r="F260" i="10"/>
  <c r="E255" i="10"/>
  <c r="G309" i="10"/>
  <c r="G318" i="10"/>
  <c r="D261" i="10"/>
  <c r="AA266" i="10"/>
  <c r="Y240" i="10"/>
  <c r="G297" i="10"/>
  <c r="AA247" i="10"/>
  <c r="E245" i="10"/>
  <c r="Y242" i="10"/>
  <c r="W242" i="10"/>
  <c r="AA242" i="10"/>
  <c r="W240" i="10"/>
  <c r="D268" i="10"/>
  <c r="Y268" i="10"/>
  <c r="E242" i="10"/>
  <c r="F242" i="10"/>
  <c r="D263" i="10"/>
  <c r="AA241" i="10"/>
  <c r="Y265" i="10"/>
  <c r="E247" i="10"/>
  <c r="AA245" i="10"/>
  <c r="E236" i="10"/>
  <c r="F245" i="10"/>
  <c r="G295" i="10"/>
  <c r="W251" i="10"/>
  <c r="D267" i="10"/>
  <c r="Y247" i="10"/>
  <c r="Y245" i="10"/>
  <c r="W266" i="10"/>
  <c r="D266" i="10"/>
  <c r="G286" i="10"/>
  <c r="AA265" i="10"/>
  <c r="Y251" i="10"/>
  <c r="E267" i="10"/>
  <c r="F266" i="10"/>
  <c r="AE270" i="10"/>
  <c r="AE272" i="10" s="1"/>
  <c r="G313" i="10"/>
  <c r="G316" i="10"/>
  <c r="W241" i="10"/>
  <c r="W265" i="10"/>
  <c r="AA251" i="10"/>
  <c r="AA267" i="10"/>
  <c r="E266" i="10"/>
  <c r="W267" i="10"/>
  <c r="G317" i="10"/>
  <c r="E241" i="10"/>
  <c r="D265" i="10"/>
  <c r="D251" i="10"/>
  <c r="F267" i="10"/>
  <c r="W247" i="10"/>
  <c r="W245" i="10"/>
  <c r="G315" i="10"/>
  <c r="Y263" i="10"/>
  <c r="W243" i="10"/>
  <c r="Y260" i="10"/>
  <c r="W268" i="10"/>
  <c r="E262" i="10"/>
  <c r="Y236" i="10"/>
  <c r="G310" i="10"/>
  <c r="AA260" i="10"/>
  <c r="AA268" i="10"/>
  <c r="AA262" i="10"/>
  <c r="E268" i="10"/>
  <c r="AE287" i="10"/>
  <c r="F243" i="10"/>
  <c r="D260" i="10"/>
  <c r="W262" i="10"/>
  <c r="F262" i="10"/>
  <c r="Y243" i="10"/>
  <c r="W260" i="10"/>
  <c r="G312" i="10"/>
  <c r="Y262" i="10"/>
  <c r="AA243" i="10"/>
  <c r="W236" i="10"/>
  <c r="D236" i="10"/>
  <c r="D243" i="10"/>
  <c r="G293" i="10"/>
  <c r="F236" i="10"/>
  <c r="F246" i="10"/>
  <c r="E257" i="10"/>
  <c r="Y257" i="10"/>
  <c r="D246" i="10"/>
  <c r="W257" i="10"/>
  <c r="W246" i="10"/>
  <c r="F257" i="10"/>
  <c r="AA246" i="10"/>
  <c r="G314" i="10"/>
  <c r="CQ270" i="10"/>
  <c r="CQ271" i="10" s="1"/>
  <c r="AA263" i="10"/>
  <c r="AA264" i="10"/>
  <c r="E246" i="10"/>
  <c r="Y264" i="10"/>
  <c r="F263" i="10"/>
  <c r="W264" i="10"/>
  <c r="E264" i="10"/>
  <c r="G304" i="10"/>
  <c r="E263" i="10"/>
  <c r="AA254" i="10"/>
  <c r="W254" i="10"/>
  <c r="F254" i="10"/>
  <c r="Y254" i="10"/>
  <c r="D254" i="10"/>
  <c r="F239" i="10"/>
  <c r="E239" i="10"/>
  <c r="D239" i="10"/>
  <c r="AA239" i="10"/>
  <c r="W239" i="10"/>
  <c r="Y239" i="10"/>
  <c r="AD157" i="10"/>
  <c r="G170" i="10"/>
  <c r="G171" i="10" s="1"/>
  <c r="F129" i="10"/>
  <c r="E129" i="10"/>
  <c r="D129" i="10"/>
  <c r="W129" i="10"/>
  <c r="AA129" i="10"/>
  <c r="Y129" i="10"/>
  <c r="CS270" i="10"/>
  <c r="CS271" i="10" s="1"/>
  <c r="G229" i="10"/>
  <c r="CS220" i="10"/>
  <c r="CS221" i="10" s="1"/>
  <c r="G179" i="10"/>
  <c r="AD136" i="10"/>
  <c r="AD162" i="10"/>
  <c r="AD131" i="10"/>
  <c r="AD153" i="10"/>
  <c r="AD156" i="10"/>
  <c r="AD144" i="10"/>
  <c r="Y280" i="10" l="1"/>
  <c r="AB180" i="10"/>
  <c r="AA280" i="10"/>
  <c r="S230" i="10"/>
  <c r="S280" i="10" s="1"/>
  <c r="E280" i="10"/>
  <c r="AB230" i="10"/>
  <c r="D280" i="10"/>
  <c r="AB232" i="10"/>
  <c r="AB185" i="10"/>
  <c r="R185" i="10"/>
  <c r="T185" i="10" s="1"/>
  <c r="AD145" i="10"/>
  <c r="AF145" i="10" s="1"/>
  <c r="S231" i="10"/>
  <c r="T231" i="10" s="1"/>
  <c r="AD166" i="10"/>
  <c r="AF166" i="10" s="1"/>
  <c r="AD150" i="10"/>
  <c r="AF150" i="10" s="1"/>
  <c r="AB231" i="10"/>
  <c r="AA281" i="10"/>
  <c r="Q183" i="10"/>
  <c r="R213" i="10"/>
  <c r="AD149" i="10"/>
  <c r="S188" i="10"/>
  <c r="AD169" i="10"/>
  <c r="Y281" i="10"/>
  <c r="R200" i="10"/>
  <c r="S205" i="10"/>
  <c r="E300" i="10"/>
  <c r="AB183" i="10"/>
  <c r="S217" i="10"/>
  <c r="R250" i="10"/>
  <c r="S186" i="10"/>
  <c r="Q186" i="10"/>
  <c r="AB188" i="10"/>
  <c r="S218" i="10"/>
  <c r="Q209" i="10"/>
  <c r="S183" i="10"/>
  <c r="AA282" i="10"/>
  <c r="S206" i="10"/>
  <c r="R212" i="10"/>
  <c r="AB186" i="10"/>
  <c r="Q201" i="10"/>
  <c r="AD133" i="10"/>
  <c r="W285" i="10"/>
  <c r="Y288" i="10"/>
  <c r="S182" i="10"/>
  <c r="S191" i="10"/>
  <c r="T180" i="10"/>
  <c r="R216" i="10"/>
  <c r="R201" i="10"/>
  <c r="R184" i="10"/>
  <c r="Q206" i="10"/>
  <c r="AD165" i="10"/>
  <c r="S184" i="10"/>
  <c r="F282" i="10"/>
  <c r="S209" i="10"/>
  <c r="S199" i="10"/>
  <c r="E281" i="10"/>
  <c r="S192" i="10"/>
  <c r="R188" i="10"/>
  <c r="Q218" i="10"/>
  <c r="Q250" i="10"/>
  <c r="R195" i="10"/>
  <c r="S181" i="10"/>
  <c r="AB214" i="10"/>
  <c r="S210" i="10"/>
  <c r="F283" i="10"/>
  <c r="S244" i="10"/>
  <c r="F284" i="10"/>
  <c r="E284" i="10"/>
  <c r="S235" i="10"/>
  <c r="AA288" i="10"/>
  <c r="AB191" i="10"/>
  <c r="S212" i="10"/>
  <c r="R211" i="10"/>
  <c r="F303" i="10"/>
  <c r="R235" i="10"/>
  <c r="D282" i="10"/>
  <c r="Q216" i="10"/>
  <c r="D285" i="10"/>
  <c r="Y282" i="10"/>
  <c r="F299" i="10"/>
  <c r="Q193" i="10"/>
  <c r="Q182" i="10"/>
  <c r="F281" i="10"/>
  <c r="S264" i="10"/>
  <c r="R181" i="10"/>
  <c r="F318" i="10"/>
  <c r="R191" i="10"/>
  <c r="Q207" i="10"/>
  <c r="R207" i="10"/>
  <c r="R208" i="10"/>
  <c r="Q217" i="10"/>
  <c r="R197" i="10"/>
  <c r="S203" i="10"/>
  <c r="Q213" i="10"/>
  <c r="R199" i="10"/>
  <c r="R218" i="10"/>
  <c r="R192" i="10"/>
  <c r="Q214" i="10"/>
  <c r="Q195" i="10"/>
  <c r="Q184" i="10"/>
  <c r="R217" i="10"/>
  <c r="Q210" i="10"/>
  <c r="R193" i="10"/>
  <c r="Q181" i="10"/>
  <c r="Q196" i="10"/>
  <c r="R219" i="10"/>
  <c r="S215" i="10"/>
  <c r="Q198" i="10"/>
  <c r="S213" i="10"/>
  <c r="S187" i="10"/>
  <c r="Q197" i="10"/>
  <c r="R214" i="10"/>
  <c r="Q200" i="10"/>
  <c r="Q192" i="10"/>
  <c r="W281" i="10"/>
  <c r="R186" i="10"/>
  <c r="S198" i="10"/>
  <c r="S197" i="10"/>
  <c r="Q219" i="10"/>
  <c r="S207" i="10"/>
  <c r="Q188" i="10"/>
  <c r="Q202" i="10"/>
  <c r="Q203" i="10"/>
  <c r="R209" i="10"/>
  <c r="R210" i="10"/>
  <c r="S216" i="10"/>
  <c r="Q199" i="10"/>
  <c r="R187" i="10"/>
  <c r="S195" i="10"/>
  <c r="Q190" i="10"/>
  <c r="AB192" i="10"/>
  <c r="Q191" i="10"/>
  <c r="R196" i="10"/>
  <c r="S190" i="10"/>
  <c r="S208" i="10"/>
  <c r="S202" i="10"/>
  <c r="Q215" i="10"/>
  <c r="S204" i="10"/>
  <c r="Q208" i="10"/>
  <c r="AB210" i="10"/>
  <c r="S193" i="10"/>
  <c r="AB219" i="10"/>
  <c r="R205" i="10"/>
  <c r="R190" i="10"/>
  <c r="AB202" i="10"/>
  <c r="R203" i="10"/>
  <c r="R198" i="10"/>
  <c r="Q211" i="10"/>
  <c r="R182" i="10"/>
  <c r="Q187" i="10"/>
  <c r="S201" i="10"/>
  <c r="Q189" i="10"/>
  <c r="R189" i="10"/>
  <c r="R206" i="10"/>
  <c r="AB189" i="10"/>
  <c r="S196" i="10"/>
  <c r="S219" i="10"/>
  <c r="Q205" i="10"/>
  <c r="Q204" i="10"/>
  <c r="R202" i="10"/>
  <c r="R215" i="10"/>
  <c r="Q194" i="10"/>
  <c r="AB213" i="10"/>
  <c r="S211" i="10"/>
  <c r="Q212" i="10"/>
  <c r="S200" i="10"/>
  <c r="R183" i="10"/>
  <c r="AB206" i="10"/>
  <c r="R194" i="10"/>
  <c r="R204" i="10"/>
  <c r="AD158" i="10"/>
  <c r="AB182" i="10"/>
  <c r="AD135" i="10"/>
  <c r="AD167" i="10"/>
  <c r="AD151" i="10"/>
  <c r="AD132" i="10"/>
  <c r="AD139" i="10"/>
  <c r="AD164" i="10"/>
  <c r="AD137" i="10"/>
  <c r="AD154" i="10"/>
  <c r="AD146" i="10"/>
  <c r="AD161" i="10"/>
  <c r="AD134" i="10"/>
  <c r="AB200" i="10"/>
  <c r="AB195" i="10"/>
  <c r="D281" i="10"/>
  <c r="E293" i="10"/>
  <c r="AB184" i="10"/>
  <c r="W282" i="10"/>
  <c r="AB181" i="10"/>
  <c r="AB187" i="10"/>
  <c r="AB201" i="10"/>
  <c r="E306" i="10"/>
  <c r="E282" i="10"/>
  <c r="AB197" i="10"/>
  <c r="E315" i="10"/>
  <c r="D292" i="10"/>
  <c r="AB218" i="10"/>
  <c r="AB199" i="10"/>
  <c r="AB193" i="10"/>
  <c r="AB212" i="10"/>
  <c r="AB211" i="10"/>
  <c r="D298" i="10"/>
  <c r="AB215" i="10"/>
  <c r="AB209" i="10"/>
  <c r="D308" i="10"/>
  <c r="D290" i="10"/>
  <c r="AB216" i="10"/>
  <c r="E310" i="10"/>
  <c r="E303" i="10"/>
  <c r="D303" i="10"/>
  <c r="AB208" i="10"/>
  <c r="AB198" i="10"/>
  <c r="AB203" i="10"/>
  <c r="AB194" i="10"/>
  <c r="AB217" i="10"/>
  <c r="F302" i="10"/>
  <c r="AB190" i="10"/>
  <c r="AB196" i="10"/>
  <c r="AB207" i="10"/>
  <c r="AB205" i="10"/>
  <c r="D319" i="10"/>
  <c r="D300" i="10"/>
  <c r="E290" i="10"/>
  <c r="AB204" i="10"/>
  <c r="W305" i="10"/>
  <c r="Y296" i="10"/>
  <c r="Y316" i="10"/>
  <c r="Y317" i="10"/>
  <c r="Q262" i="10"/>
  <c r="F285" i="10"/>
  <c r="AD141" i="10"/>
  <c r="AD152" i="10"/>
  <c r="AD142" i="10"/>
  <c r="Q241" i="10"/>
  <c r="D294" i="10"/>
  <c r="Q244" i="10"/>
  <c r="AA285" i="10"/>
  <c r="AD148" i="10"/>
  <c r="AD140" i="10"/>
  <c r="E285" i="10"/>
  <c r="AD168" i="10"/>
  <c r="AD159" i="10"/>
  <c r="F314" i="10"/>
  <c r="D291" i="10"/>
  <c r="AD143" i="10"/>
  <c r="Y283" i="10"/>
  <c r="AB235" i="10"/>
  <c r="Y285" i="10"/>
  <c r="AD155" i="10"/>
  <c r="D297" i="10"/>
  <c r="Y300" i="10"/>
  <c r="T232" i="10"/>
  <c r="Q247" i="10"/>
  <c r="AD160" i="10"/>
  <c r="D312" i="10"/>
  <c r="AD130" i="10"/>
  <c r="E294" i="10"/>
  <c r="R244" i="10"/>
  <c r="AD147" i="10"/>
  <c r="AE320" i="10"/>
  <c r="AE322" i="10" s="1"/>
  <c r="D295" i="10"/>
  <c r="Q245" i="10"/>
  <c r="F308" i="10"/>
  <c r="E304" i="10"/>
  <c r="Y287" i="10"/>
  <c r="S258" i="10"/>
  <c r="R254" i="10"/>
  <c r="AD138" i="10"/>
  <c r="W294" i="10"/>
  <c r="W303" i="10"/>
  <c r="AA303" i="10"/>
  <c r="W283" i="10"/>
  <c r="AD163" i="10"/>
  <c r="R262" i="10"/>
  <c r="R241" i="10"/>
  <c r="R266" i="10"/>
  <c r="R236" i="10"/>
  <c r="Y304" i="10"/>
  <c r="Y293" i="10"/>
  <c r="W318" i="10"/>
  <c r="AA317" i="10"/>
  <c r="Y295" i="10"/>
  <c r="AA295" i="10"/>
  <c r="Y318" i="10"/>
  <c r="R245" i="10"/>
  <c r="W311" i="10"/>
  <c r="S269" i="10"/>
  <c r="R233" i="10"/>
  <c r="AA283" i="10"/>
  <c r="R251" i="10"/>
  <c r="R234" i="10"/>
  <c r="AA314" i="10"/>
  <c r="Y307" i="10"/>
  <c r="R268" i="10"/>
  <c r="Y310" i="10"/>
  <c r="W295" i="10"/>
  <c r="AA301" i="10"/>
  <c r="R267" i="10"/>
  <c r="Y297" i="10"/>
  <c r="Q268" i="10"/>
  <c r="AA297" i="10"/>
  <c r="Q249" i="10"/>
  <c r="R249" i="10"/>
  <c r="AA319" i="10"/>
  <c r="AA306" i="10"/>
  <c r="AA302" i="10"/>
  <c r="AA298" i="10"/>
  <c r="AA308" i="10"/>
  <c r="Y284" i="10"/>
  <c r="R256" i="10"/>
  <c r="S238" i="10"/>
  <c r="F288" i="10"/>
  <c r="Q242" i="10"/>
  <c r="S253" i="10"/>
  <c r="R265" i="10"/>
  <c r="Y309" i="10"/>
  <c r="Q280" i="10"/>
  <c r="S249" i="10"/>
  <c r="AA313" i="10"/>
  <c r="AA296" i="10"/>
  <c r="AA312" i="10"/>
  <c r="W315" i="10"/>
  <c r="Y301" i="10"/>
  <c r="Q267" i="10"/>
  <c r="Y315" i="10"/>
  <c r="W309" i="10"/>
  <c r="AA299" i="10"/>
  <c r="R237" i="10"/>
  <c r="Y306" i="10"/>
  <c r="F315" i="10"/>
  <c r="W300" i="10"/>
  <c r="Y308" i="10"/>
  <c r="S240" i="10"/>
  <c r="W287" i="10"/>
  <c r="AA318" i="10"/>
  <c r="W297" i="10"/>
  <c r="W291" i="10"/>
  <c r="AA315" i="10"/>
  <c r="W301" i="10"/>
  <c r="AA291" i="10"/>
  <c r="Q255" i="10"/>
  <c r="AB255" i="10"/>
  <c r="S259" i="10"/>
  <c r="Y291" i="10"/>
  <c r="Q264" i="10"/>
  <c r="F300" i="10"/>
  <c r="AA294" i="10"/>
  <c r="AA307" i="10"/>
  <c r="S233" i="10"/>
  <c r="R240" i="10"/>
  <c r="Y289" i="10"/>
  <c r="W304" i="10"/>
  <c r="AA293" i="10"/>
  <c r="AA310" i="10"/>
  <c r="S267" i="10"/>
  <c r="W317" i="10"/>
  <c r="W290" i="10"/>
  <c r="Y290" i="10"/>
  <c r="W319" i="10"/>
  <c r="R252" i="10"/>
  <c r="Q259" i="10"/>
  <c r="AA287" i="10"/>
  <c r="W298" i="10"/>
  <c r="Y299" i="10"/>
  <c r="S247" i="10"/>
  <c r="AA290" i="10"/>
  <c r="S251" i="10"/>
  <c r="S241" i="10"/>
  <c r="Y303" i="10"/>
  <c r="AA289" i="10"/>
  <c r="W296" i="10"/>
  <c r="S236" i="10"/>
  <c r="Y312" i="10"/>
  <c r="Q260" i="10"/>
  <c r="Q251" i="10"/>
  <c r="AA292" i="10"/>
  <c r="AA309" i="10"/>
  <c r="AA311" i="10"/>
  <c r="Q238" i="10"/>
  <c r="S256" i="10"/>
  <c r="Y302" i="10"/>
  <c r="AA284" i="10"/>
  <c r="Q240" i="10"/>
  <c r="Y294" i="10"/>
  <c r="R253" i="10"/>
  <c r="R260" i="10"/>
  <c r="Q269" i="10"/>
  <c r="F294" i="10"/>
  <c r="Q248" i="10"/>
  <c r="S234" i="10"/>
  <c r="S268" i="10"/>
  <c r="AA304" i="10"/>
  <c r="Y314" i="10"/>
  <c r="S243" i="10"/>
  <c r="Y286" i="10"/>
  <c r="Y313" i="10"/>
  <c r="Q265" i="10"/>
  <c r="AA316" i="10"/>
  <c r="Y311" i="10"/>
  <c r="Q252" i="10"/>
  <c r="S237" i="10"/>
  <c r="W302" i="10"/>
  <c r="Y298" i="10"/>
  <c r="Q258" i="10"/>
  <c r="W306" i="10"/>
  <c r="W310" i="10"/>
  <c r="Y292" i="10"/>
  <c r="S260" i="10"/>
  <c r="R261" i="10"/>
  <c r="Y319" i="10"/>
  <c r="S261" i="10"/>
  <c r="AA300" i="10"/>
  <c r="Y305" i="10"/>
  <c r="Q234" i="10"/>
  <c r="W308" i="10"/>
  <c r="Q253" i="10"/>
  <c r="S252" i="10"/>
  <c r="Q235" i="10"/>
  <c r="W313" i="10"/>
  <c r="R280" i="10"/>
  <c r="AA286" i="10"/>
  <c r="R243" i="10"/>
  <c r="E302" i="10"/>
  <c r="AB253" i="10"/>
  <c r="F291" i="10"/>
  <c r="F309" i="10"/>
  <c r="D305" i="10"/>
  <c r="AB234" i="10"/>
  <c r="D288" i="10"/>
  <c r="W284" i="10"/>
  <c r="E301" i="10"/>
  <c r="D302" i="10"/>
  <c r="E283" i="10"/>
  <c r="F301" i="10"/>
  <c r="F297" i="10"/>
  <c r="F287" i="10"/>
  <c r="F311" i="10"/>
  <c r="AB251" i="10"/>
  <c r="D314" i="10"/>
  <c r="AB233" i="10"/>
  <c r="E287" i="10"/>
  <c r="E291" i="10"/>
  <c r="E311" i="10"/>
  <c r="D284" i="10"/>
  <c r="D310" i="10"/>
  <c r="F290" i="10"/>
  <c r="S250" i="10"/>
  <c r="S265" i="10"/>
  <c r="Q233" i="10"/>
  <c r="D283" i="10"/>
  <c r="AB244" i="10"/>
  <c r="AB261" i="10"/>
  <c r="AB258" i="10"/>
  <c r="D318" i="10"/>
  <c r="AB248" i="10"/>
  <c r="AB240" i="10"/>
  <c r="E295" i="10"/>
  <c r="F319" i="10"/>
  <c r="AB250" i="10"/>
  <c r="R258" i="10"/>
  <c r="E308" i="10"/>
  <c r="D299" i="10"/>
  <c r="AB249" i="10"/>
  <c r="AB256" i="10"/>
  <c r="D309" i="10"/>
  <c r="F306" i="10"/>
  <c r="W288" i="10"/>
  <c r="AB238" i="10"/>
  <c r="S248" i="10"/>
  <c r="F298" i="10"/>
  <c r="R238" i="10"/>
  <c r="E288" i="10"/>
  <c r="Q237" i="10"/>
  <c r="D287" i="10"/>
  <c r="AB252" i="10"/>
  <c r="AB269" i="10"/>
  <c r="AB237" i="10"/>
  <c r="R248" i="10"/>
  <c r="E298" i="10"/>
  <c r="Q256" i="10"/>
  <c r="D306" i="10"/>
  <c r="W299" i="10"/>
  <c r="AA305" i="10"/>
  <c r="R269" i="10"/>
  <c r="E319" i="10"/>
  <c r="E286" i="10"/>
  <c r="F310" i="10"/>
  <c r="E299" i="10"/>
  <c r="Q257" i="10"/>
  <c r="D307" i="10"/>
  <c r="AB259" i="10"/>
  <c r="R259" i="10"/>
  <c r="E309" i="10"/>
  <c r="S255" i="10"/>
  <c r="F305" i="10"/>
  <c r="Q261" i="10"/>
  <c r="D311" i="10"/>
  <c r="F317" i="10"/>
  <c r="F293" i="10"/>
  <c r="R255" i="10"/>
  <c r="E305" i="10"/>
  <c r="D301" i="10"/>
  <c r="W292" i="10"/>
  <c r="AB242" i="10"/>
  <c r="AB247" i="10"/>
  <c r="AB263" i="10"/>
  <c r="AB267" i="10"/>
  <c r="AB260" i="10"/>
  <c r="E316" i="10"/>
  <c r="R242" i="10"/>
  <c r="E292" i="10"/>
  <c r="S242" i="10"/>
  <c r="F292" i="10"/>
  <c r="E312" i="10"/>
  <c r="R247" i="10"/>
  <c r="E297" i="10"/>
  <c r="Q263" i="10"/>
  <c r="D313" i="10"/>
  <c r="AB245" i="10"/>
  <c r="E317" i="10"/>
  <c r="D317" i="10"/>
  <c r="D315" i="10"/>
  <c r="AB268" i="10"/>
  <c r="AB241" i="10"/>
  <c r="Q266" i="10"/>
  <c r="D316" i="10"/>
  <c r="S245" i="10"/>
  <c r="F295" i="10"/>
  <c r="AB265" i="10"/>
  <c r="S266" i="10"/>
  <c r="F316" i="10"/>
  <c r="W316" i="10"/>
  <c r="AB266" i="10"/>
  <c r="Q243" i="10"/>
  <c r="D293" i="10"/>
  <c r="W293" i="10"/>
  <c r="AB243" i="10"/>
  <c r="E318" i="10"/>
  <c r="Q236" i="10"/>
  <c r="D286" i="10"/>
  <c r="W286" i="10"/>
  <c r="AB236" i="10"/>
  <c r="S262" i="10"/>
  <c r="F312" i="10"/>
  <c r="F286" i="10"/>
  <c r="W312" i="10"/>
  <c r="AB262" i="10"/>
  <c r="S246" i="10"/>
  <c r="F296" i="10"/>
  <c r="AB254" i="10"/>
  <c r="Q246" i="10"/>
  <c r="D296" i="10"/>
  <c r="S257" i="10"/>
  <c r="F307" i="10"/>
  <c r="R257" i="10"/>
  <c r="E307" i="10"/>
  <c r="AB246" i="10"/>
  <c r="W307" i="10"/>
  <c r="AB257" i="10"/>
  <c r="R264" i="10"/>
  <c r="E314" i="10"/>
  <c r="S263" i="10"/>
  <c r="F313" i="10"/>
  <c r="R263" i="10"/>
  <c r="E313" i="10"/>
  <c r="W314" i="10"/>
  <c r="AB264" i="10"/>
  <c r="R246" i="10"/>
  <c r="E296" i="10"/>
  <c r="Q254" i="10"/>
  <c r="D304" i="10"/>
  <c r="S254" i="10"/>
  <c r="F304" i="10"/>
  <c r="G279" i="10"/>
  <c r="G320" i="10" s="1"/>
  <c r="AB239" i="10"/>
  <c r="W289" i="10"/>
  <c r="Q239" i="10"/>
  <c r="D289" i="10"/>
  <c r="R239" i="10"/>
  <c r="E289" i="10"/>
  <c r="S239" i="10"/>
  <c r="F289" i="10"/>
  <c r="AF136" i="10"/>
  <c r="D170" i="10"/>
  <c r="D171" i="10" s="1"/>
  <c r="Q129" i="10"/>
  <c r="G220" i="10"/>
  <c r="G221" i="10" s="1"/>
  <c r="E179" i="10"/>
  <c r="F179" i="10"/>
  <c r="D179" i="10"/>
  <c r="W179" i="10"/>
  <c r="AA179" i="10"/>
  <c r="Y179" i="10"/>
  <c r="E170" i="10"/>
  <c r="E171" i="10" s="1"/>
  <c r="R129" i="10"/>
  <c r="F170" i="10"/>
  <c r="F171" i="10" s="1"/>
  <c r="S129" i="10"/>
  <c r="AF157" i="10"/>
  <c r="AF156" i="10"/>
  <c r="AF162" i="10"/>
  <c r="G270" i="10"/>
  <c r="G271" i="10" s="1"/>
  <c r="F229" i="10"/>
  <c r="E229" i="10"/>
  <c r="D229" i="10"/>
  <c r="AA229" i="10"/>
  <c r="W229" i="10"/>
  <c r="Y229" i="10"/>
  <c r="AA171" i="10"/>
  <c r="Y171" i="10"/>
  <c r="W171" i="10"/>
  <c r="AF131" i="10"/>
  <c r="Y170" i="10"/>
  <c r="AA170" i="10"/>
  <c r="AF144" i="10"/>
  <c r="AF153" i="10"/>
  <c r="W170" i="10"/>
  <c r="AB129" i="10"/>
  <c r="AB280" i="10" l="1"/>
  <c r="T230" i="10"/>
  <c r="AD230" i="10" s="1"/>
  <c r="AF149" i="10"/>
  <c r="AK149" i="10" s="1"/>
  <c r="AF169" i="10"/>
  <c r="AK169" i="10" s="1"/>
  <c r="S282" i="10"/>
  <c r="R300" i="10"/>
  <c r="Q282" i="10"/>
  <c r="S285" i="10"/>
  <c r="AF135" i="10"/>
  <c r="AF139" i="10"/>
  <c r="AF164" i="10"/>
  <c r="AK164" i="10" s="1"/>
  <c r="S314" i="10"/>
  <c r="Q281" i="10"/>
  <c r="AF134" i="10"/>
  <c r="AF154" i="10"/>
  <c r="AD180" i="10"/>
  <c r="AF180" i="10" s="1"/>
  <c r="AF165" i="10"/>
  <c r="T191" i="10"/>
  <c r="AB281" i="10"/>
  <c r="T188" i="10"/>
  <c r="AD188" i="10" s="1"/>
  <c r="T209" i="10"/>
  <c r="AF133" i="10"/>
  <c r="AK133" i="10" s="1"/>
  <c r="T184" i="10"/>
  <c r="T212" i="10"/>
  <c r="T200" i="10"/>
  <c r="T201" i="10"/>
  <c r="AF132" i="10"/>
  <c r="T198" i="10"/>
  <c r="Q300" i="10"/>
  <c r="Q312" i="10"/>
  <c r="T215" i="10"/>
  <c r="AF146" i="10"/>
  <c r="T199" i="10"/>
  <c r="AD199" i="10" s="1"/>
  <c r="R285" i="10"/>
  <c r="T202" i="10"/>
  <c r="T204" i="10"/>
  <c r="T217" i="10"/>
  <c r="AF158" i="10"/>
  <c r="S281" i="10"/>
  <c r="T192" i="10"/>
  <c r="T186" i="10"/>
  <c r="T207" i="10"/>
  <c r="T183" i="10"/>
  <c r="R281" i="10"/>
  <c r="T205" i="10"/>
  <c r="S294" i="10"/>
  <c r="T181" i="10"/>
  <c r="T218" i="10"/>
  <c r="T216" i="10"/>
  <c r="T203" i="10"/>
  <c r="T206" i="10"/>
  <c r="AF167" i="10"/>
  <c r="T182" i="10"/>
  <c r="T197" i="10"/>
  <c r="R282" i="10"/>
  <c r="T189" i="10"/>
  <c r="T194" i="10"/>
  <c r="T195" i="10"/>
  <c r="S308" i="10"/>
  <c r="Q297" i="10"/>
  <c r="T193" i="10"/>
  <c r="T235" i="10"/>
  <c r="Q291" i="10"/>
  <c r="R304" i="10"/>
  <c r="R294" i="10"/>
  <c r="AB285" i="10"/>
  <c r="AB282" i="10"/>
  <c r="T196" i="10"/>
  <c r="T190" i="10"/>
  <c r="T211" i="10"/>
  <c r="T187" i="10"/>
  <c r="T208" i="10"/>
  <c r="T219" i="10"/>
  <c r="AF137" i="10"/>
  <c r="T213" i="10"/>
  <c r="T214" i="10"/>
  <c r="T210" i="10"/>
  <c r="AF161" i="10"/>
  <c r="AF168" i="10"/>
  <c r="AF141" i="10"/>
  <c r="AF152" i="10"/>
  <c r="AF151" i="10"/>
  <c r="AF142" i="10"/>
  <c r="Q294" i="10"/>
  <c r="Q317" i="10"/>
  <c r="AF155" i="10"/>
  <c r="T244" i="10"/>
  <c r="AF159" i="10"/>
  <c r="S293" i="10"/>
  <c r="AF147" i="10"/>
  <c r="AF143" i="10"/>
  <c r="AF148" i="10"/>
  <c r="T268" i="10"/>
  <c r="AF140" i="10"/>
  <c r="Q301" i="10"/>
  <c r="T241" i="10"/>
  <c r="Q295" i="10"/>
  <c r="AF130" i="10"/>
  <c r="T249" i="10"/>
  <c r="AD232" i="10"/>
  <c r="T267" i="10"/>
  <c r="AB305" i="10"/>
  <c r="AF160" i="10"/>
  <c r="T240" i="10"/>
  <c r="AF138" i="10"/>
  <c r="AB303" i="10"/>
  <c r="T234" i="10"/>
  <c r="AF163" i="10"/>
  <c r="T260" i="10"/>
  <c r="T251" i="10"/>
  <c r="AB304" i="10"/>
  <c r="AB313" i="10"/>
  <c r="S305" i="10"/>
  <c r="AB306" i="10"/>
  <c r="AB284" i="10"/>
  <c r="S306" i="10"/>
  <c r="Y220" i="10"/>
  <c r="S295" i="10"/>
  <c r="AB297" i="10"/>
  <c r="AB299" i="10"/>
  <c r="AB294" i="10"/>
  <c r="Q285" i="10"/>
  <c r="Q284" i="10"/>
  <c r="S318" i="10"/>
  <c r="Q319" i="10"/>
  <c r="S290" i="10"/>
  <c r="R284" i="10"/>
  <c r="R283" i="10"/>
  <c r="R286" i="10"/>
  <c r="AA220" i="10"/>
  <c r="S313" i="10"/>
  <c r="S296" i="10"/>
  <c r="AB316" i="10"/>
  <c r="AB292" i="10"/>
  <c r="R309" i="10"/>
  <c r="AB290" i="10"/>
  <c r="AD185" i="10"/>
  <c r="Q288" i="10"/>
  <c r="S286" i="10"/>
  <c r="S297" i="10"/>
  <c r="S288" i="10"/>
  <c r="AB314" i="10"/>
  <c r="AB295" i="10"/>
  <c r="AB309" i="10"/>
  <c r="AB287" i="10"/>
  <c r="S298" i="10"/>
  <c r="AB298" i="10"/>
  <c r="S302" i="10"/>
  <c r="R311" i="10"/>
  <c r="S284" i="10"/>
  <c r="R310" i="10"/>
  <c r="R290" i="10"/>
  <c r="Q314" i="10"/>
  <c r="R287" i="10"/>
  <c r="S303" i="10"/>
  <c r="Q318" i="10"/>
  <c r="R295" i="10"/>
  <c r="R316" i="10"/>
  <c r="Y270" i="10"/>
  <c r="S289" i="10"/>
  <c r="AB289" i="10"/>
  <c r="S307" i="10"/>
  <c r="AB312" i="10"/>
  <c r="R292" i="10"/>
  <c r="AB319" i="10"/>
  <c r="AB288" i="10"/>
  <c r="S315" i="10"/>
  <c r="S291" i="10"/>
  <c r="Q309" i="10"/>
  <c r="R306" i="10"/>
  <c r="AA270" i="10"/>
  <c r="AB307" i="10"/>
  <c r="S316" i="10"/>
  <c r="Q313" i="10"/>
  <c r="Q307" i="10"/>
  <c r="AB308" i="10"/>
  <c r="AB301" i="10"/>
  <c r="T252" i="10"/>
  <c r="T253" i="10"/>
  <c r="Q303" i="10"/>
  <c r="S310" i="10"/>
  <c r="S287" i="10"/>
  <c r="Q315" i="10"/>
  <c r="Q298" i="10"/>
  <c r="Q290" i="10"/>
  <c r="S317" i="10"/>
  <c r="Q305" i="10"/>
  <c r="S299" i="10"/>
  <c r="R315" i="10"/>
  <c r="R299" i="10"/>
  <c r="R301" i="10"/>
  <c r="R291" i="10"/>
  <c r="R289" i="10"/>
  <c r="S304" i="10"/>
  <c r="AB293" i="10"/>
  <c r="AB315" i="10"/>
  <c r="AB310" i="10"/>
  <c r="S300" i="10"/>
  <c r="Q310" i="10"/>
  <c r="S301" i="10"/>
  <c r="R302" i="10"/>
  <c r="AB296" i="10"/>
  <c r="Q296" i="10"/>
  <c r="AB318" i="10"/>
  <c r="AB317" i="10"/>
  <c r="AB300" i="10"/>
  <c r="AB311" i="10"/>
  <c r="AB283" i="10"/>
  <c r="S311" i="10"/>
  <c r="Q308" i="10"/>
  <c r="Q302" i="10"/>
  <c r="R303" i="10"/>
  <c r="S283" i="10"/>
  <c r="S309" i="10"/>
  <c r="Q292" i="10"/>
  <c r="Q299" i="10"/>
  <c r="R317" i="10"/>
  <c r="R318" i="10"/>
  <c r="R293" i="10"/>
  <c r="S319" i="10"/>
  <c r="R312" i="10"/>
  <c r="T265" i="10"/>
  <c r="F279" i="10"/>
  <c r="F320" i="10" s="1"/>
  <c r="T259" i="10"/>
  <c r="T250" i="10"/>
  <c r="AB302" i="10"/>
  <c r="Q283" i="10"/>
  <c r="T233" i="10"/>
  <c r="R308" i="10"/>
  <c r="T258" i="10"/>
  <c r="Q306" i="10"/>
  <c r="T256" i="10"/>
  <c r="Q287" i="10"/>
  <c r="T237" i="10"/>
  <c r="R288" i="10"/>
  <c r="T238" i="10"/>
  <c r="R298" i="10"/>
  <c r="T248" i="10"/>
  <c r="R305" i="10"/>
  <c r="T255" i="10"/>
  <c r="R319" i="10"/>
  <c r="T269" i="10"/>
  <c r="Q311" i="10"/>
  <c r="T261" i="10"/>
  <c r="T245" i="10"/>
  <c r="S292" i="10"/>
  <c r="T242" i="10"/>
  <c r="AB291" i="10"/>
  <c r="R297" i="10"/>
  <c r="T247" i="10"/>
  <c r="Q316" i="10"/>
  <c r="T266" i="10"/>
  <c r="T236" i="10"/>
  <c r="Q286" i="10"/>
  <c r="S312" i="10"/>
  <c r="T262" i="10"/>
  <c r="AB286" i="10"/>
  <c r="T243" i="10"/>
  <c r="Q293" i="10"/>
  <c r="E279" i="10"/>
  <c r="E320" i="10" s="1"/>
  <c r="Y279" i="10"/>
  <c r="Y320" i="10" s="1"/>
  <c r="R307" i="10"/>
  <c r="T257" i="10"/>
  <c r="R313" i="10"/>
  <c r="T263" i="10"/>
  <c r="T246" i="10"/>
  <c r="R296" i="10"/>
  <c r="R314" i="10"/>
  <c r="T264" i="10"/>
  <c r="Q304" i="10"/>
  <c r="T254" i="10"/>
  <c r="D279" i="10"/>
  <c r="D320" i="10" s="1"/>
  <c r="T239" i="10"/>
  <c r="Q289" i="10"/>
  <c r="G321" i="10"/>
  <c r="G322" i="10" s="1"/>
  <c r="AD231" i="10"/>
  <c r="AA279" i="10"/>
  <c r="AA320" i="10" s="1"/>
  <c r="AK166" i="10"/>
  <c r="S170" i="10"/>
  <c r="F220" i="10"/>
  <c r="F221" i="10" s="1"/>
  <c r="S179" i="10"/>
  <c r="AK153" i="10"/>
  <c r="AK150" i="10"/>
  <c r="S171" i="10"/>
  <c r="R170" i="10"/>
  <c r="E220" i="10"/>
  <c r="E221" i="10" s="1"/>
  <c r="R179" i="10"/>
  <c r="Q170" i="10"/>
  <c r="T129" i="10"/>
  <c r="W270" i="10"/>
  <c r="AB229" i="10"/>
  <c r="R171" i="10"/>
  <c r="Y221" i="10"/>
  <c r="W221" i="10"/>
  <c r="AA221" i="10"/>
  <c r="Q171" i="10"/>
  <c r="AB170" i="10"/>
  <c r="AK144" i="10"/>
  <c r="AK131" i="10"/>
  <c r="D270" i="10"/>
  <c r="D271" i="10" s="1"/>
  <c r="Q229" i="10"/>
  <c r="AK162" i="10"/>
  <c r="AK156" i="10"/>
  <c r="AK136" i="10"/>
  <c r="W279" i="10"/>
  <c r="W320" i="10" s="1"/>
  <c r="AB171" i="10"/>
  <c r="W172" i="10"/>
  <c r="E270" i="10"/>
  <c r="E271" i="10" s="1"/>
  <c r="R229" i="10"/>
  <c r="Y172" i="10"/>
  <c r="AK157" i="10"/>
  <c r="W220" i="10"/>
  <c r="AB179" i="10"/>
  <c r="F270" i="10"/>
  <c r="F271" i="10" s="1"/>
  <c r="S229" i="10"/>
  <c r="AA172" i="10"/>
  <c r="AA271" i="10"/>
  <c r="Y271" i="10"/>
  <c r="W271" i="10"/>
  <c r="D220" i="10"/>
  <c r="D221" i="10" s="1"/>
  <c r="Q179" i="10"/>
  <c r="AK145" i="10"/>
  <c r="G84" i="4"/>
  <c r="F84" i="4" l="1"/>
  <c r="T280" i="10"/>
  <c r="AK165" i="10"/>
  <c r="AD215" i="10"/>
  <c r="AD191" i="10"/>
  <c r="AF191" i="10" s="1"/>
  <c r="AK134" i="10"/>
  <c r="AD216" i="10"/>
  <c r="AF216" i="10" s="1"/>
  <c r="AK135" i="10"/>
  <c r="AD209" i="10"/>
  <c r="AF209" i="10" s="1"/>
  <c r="AD189" i="10"/>
  <c r="AF189" i="10" s="1"/>
  <c r="AK139" i="10"/>
  <c r="AK154" i="10"/>
  <c r="AK132" i="10"/>
  <c r="AK167" i="10"/>
  <c r="AK151" i="10"/>
  <c r="AD200" i="10"/>
  <c r="AD201" i="10"/>
  <c r="AD212" i="10"/>
  <c r="AF212" i="10" s="1"/>
  <c r="AK168" i="10"/>
  <c r="AD195" i="10"/>
  <c r="AK146" i="10"/>
  <c r="AD186" i="10"/>
  <c r="AD184" i="10"/>
  <c r="AD196" i="10"/>
  <c r="AD198" i="10"/>
  <c r="AF198" i="10" s="1"/>
  <c r="AK158" i="10"/>
  <c r="AD208" i="10"/>
  <c r="AF208" i="10" s="1"/>
  <c r="AD214" i="10"/>
  <c r="AD203" i="10"/>
  <c r="AK161" i="10"/>
  <c r="AK137" i="10"/>
  <c r="AK180" i="10"/>
  <c r="T285" i="10"/>
  <c r="AD235" i="10"/>
  <c r="AK155" i="10"/>
  <c r="AD192" i="10"/>
  <c r="AF192" i="10" s="1"/>
  <c r="AD202" i="10"/>
  <c r="AK141" i="10"/>
  <c r="T281" i="10"/>
  <c r="AD181" i="10"/>
  <c r="AD281" i="10" s="1"/>
  <c r="AD213" i="10"/>
  <c r="AF213" i="10" s="1"/>
  <c r="AD206" i="10"/>
  <c r="AF206" i="10" s="1"/>
  <c r="AD204" i="10"/>
  <c r="AK140" i="10"/>
  <c r="AD183" i="10"/>
  <c r="AF183" i="10" s="1"/>
  <c r="AD190" i="10"/>
  <c r="AF190" i="10" s="1"/>
  <c r="AD207" i="10"/>
  <c r="AD218" i="10"/>
  <c r="T282" i="10"/>
  <c r="AD193" i="10"/>
  <c r="AD219" i="10"/>
  <c r="AD182" i="10"/>
  <c r="AD217" i="10"/>
  <c r="AF217" i="10" s="1"/>
  <c r="AD197" i="10"/>
  <c r="AF197" i="10" s="1"/>
  <c r="AD187" i="10"/>
  <c r="AF187" i="10" s="1"/>
  <c r="AD211" i="10"/>
  <c r="AD205" i="10"/>
  <c r="AK152" i="10"/>
  <c r="AD194" i="10"/>
  <c r="AF188" i="10"/>
  <c r="AF199" i="10"/>
  <c r="AD265" i="10"/>
  <c r="AF232" i="10"/>
  <c r="T299" i="10"/>
  <c r="AK130" i="10"/>
  <c r="T318" i="10"/>
  <c r="AD252" i="10"/>
  <c r="T310" i="10"/>
  <c r="AD210" i="10"/>
  <c r="AK142" i="10"/>
  <c r="AK148" i="10"/>
  <c r="AD280" i="10"/>
  <c r="AD268" i="10"/>
  <c r="AF230" i="10"/>
  <c r="T294" i="10"/>
  <c r="AD244" i="10"/>
  <c r="AK159" i="10"/>
  <c r="AD234" i="10"/>
  <c r="AK147" i="10"/>
  <c r="AD241" i="10"/>
  <c r="AK143" i="10"/>
  <c r="T284" i="10"/>
  <c r="T291" i="10"/>
  <c r="T290" i="10"/>
  <c r="T317" i="10"/>
  <c r="AK160" i="10"/>
  <c r="AD267" i="10"/>
  <c r="AD240" i="10"/>
  <c r="AD249" i="10"/>
  <c r="AK163" i="10"/>
  <c r="AK138" i="10"/>
  <c r="AD251" i="10"/>
  <c r="T301" i="10"/>
  <c r="AD260" i="10"/>
  <c r="T300" i="10"/>
  <c r="AD250" i="10"/>
  <c r="AA272" i="10"/>
  <c r="Y222" i="10"/>
  <c r="AD253" i="10"/>
  <c r="T303" i="10"/>
  <c r="R270" i="10"/>
  <c r="AA222" i="10"/>
  <c r="AB220" i="10"/>
  <c r="R220" i="10"/>
  <c r="R221" i="10"/>
  <c r="T286" i="10"/>
  <c r="Q221" i="10"/>
  <c r="S270" i="10"/>
  <c r="Q271" i="10"/>
  <c r="AB270" i="10"/>
  <c r="T309" i="10"/>
  <c r="AD245" i="10"/>
  <c r="T302" i="10"/>
  <c r="S271" i="10"/>
  <c r="AD259" i="10"/>
  <c r="AD243" i="10"/>
  <c r="S220" i="10"/>
  <c r="T315" i="10"/>
  <c r="Y272" i="10"/>
  <c r="R271" i="10"/>
  <c r="S221" i="10"/>
  <c r="AF185" i="10"/>
  <c r="T283" i="10"/>
  <c r="AD233" i="10"/>
  <c r="T308" i="10"/>
  <c r="AD258" i="10"/>
  <c r="T288" i="10"/>
  <c r="AD238" i="10"/>
  <c r="AD256" i="10"/>
  <c r="T306" i="10"/>
  <c r="AD237" i="10"/>
  <c r="T287" i="10"/>
  <c r="AD248" i="10"/>
  <c r="T298" i="10"/>
  <c r="AD269" i="10"/>
  <c r="T319" i="10"/>
  <c r="T305" i="10"/>
  <c r="AD255" i="10"/>
  <c r="T295" i="10"/>
  <c r="AD261" i="10"/>
  <c r="T311" i="10"/>
  <c r="AD236" i="10"/>
  <c r="AD242" i="10"/>
  <c r="T292" i="10"/>
  <c r="AD247" i="10"/>
  <c r="T297" i="10"/>
  <c r="AD266" i="10"/>
  <c r="T316" i="10"/>
  <c r="T293" i="10"/>
  <c r="AD262" i="10"/>
  <c r="T312" i="10"/>
  <c r="T307" i="10"/>
  <c r="AD257" i="10"/>
  <c r="AD264" i="10"/>
  <c r="T314" i="10"/>
  <c r="T296" i="10"/>
  <c r="AD246" i="10"/>
  <c r="T313" i="10"/>
  <c r="AD263" i="10"/>
  <c r="T304" i="10"/>
  <c r="AD254" i="10"/>
  <c r="Q279" i="10"/>
  <c r="Q320" i="10" s="1"/>
  <c r="T170" i="10"/>
  <c r="W321" i="10"/>
  <c r="W322" i="10" s="1"/>
  <c r="F321" i="10"/>
  <c r="F322" i="10" s="1"/>
  <c r="AA321" i="10"/>
  <c r="AA322" i="10" s="1"/>
  <c r="AD239" i="10"/>
  <c r="T289" i="10"/>
  <c r="AB279" i="10"/>
  <c r="AB320" i="10" s="1"/>
  <c r="AF231" i="10"/>
  <c r="AB172" i="10"/>
  <c r="R172" i="10"/>
  <c r="AD129" i="10"/>
  <c r="R279" i="10"/>
  <c r="R320" i="10" s="1"/>
  <c r="Q270" i="10"/>
  <c r="T229" i="10"/>
  <c r="E321" i="10"/>
  <c r="E322" i="10" s="1"/>
  <c r="S172" i="10"/>
  <c r="T171" i="10"/>
  <c r="Q172" i="10"/>
  <c r="Y321" i="10"/>
  <c r="Y322" i="10" s="1"/>
  <c r="D321" i="10"/>
  <c r="D322" i="10" s="1"/>
  <c r="AB271" i="10"/>
  <c r="W272" i="10"/>
  <c r="Q220" i="10"/>
  <c r="T179" i="10"/>
  <c r="W222" i="10"/>
  <c r="AB221" i="10"/>
  <c r="S279" i="10"/>
  <c r="S320" i="10" s="1"/>
  <c r="AF215" i="10" l="1"/>
  <c r="AD285" i="10"/>
  <c r="AF207" i="10"/>
  <c r="AF201" i="10"/>
  <c r="AK201" i="10" s="1"/>
  <c r="AD282" i="10"/>
  <c r="AF182" i="10"/>
  <c r="AK209" i="10"/>
  <c r="AF202" i="10"/>
  <c r="AF203" i="10"/>
  <c r="AF200" i="10"/>
  <c r="AF186" i="10"/>
  <c r="AF219" i="10"/>
  <c r="AK208" i="10"/>
  <c r="AF204" i="10"/>
  <c r="AF195" i="10"/>
  <c r="AF214" i="10"/>
  <c r="AF194" i="10"/>
  <c r="AF184" i="10"/>
  <c r="AF196" i="10"/>
  <c r="AF205" i="10"/>
  <c r="AF193" i="10"/>
  <c r="AF181" i="10"/>
  <c r="AK191" i="10"/>
  <c r="AK213" i="10"/>
  <c r="AF235" i="10"/>
  <c r="AK192" i="10"/>
  <c r="AK190" i="10"/>
  <c r="AF218" i="10"/>
  <c r="AF252" i="10"/>
  <c r="AK252" i="10" s="1"/>
  <c r="AD302" i="10"/>
  <c r="AK197" i="10"/>
  <c r="AK183" i="10"/>
  <c r="AK206" i="10"/>
  <c r="AK199" i="10"/>
  <c r="AK198" i="10"/>
  <c r="AK188" i="10"/>
  <c r="AF211" i="10"/>
  <c r="AD315" i="10"/>
  <c r="AF265" i="10"/>
  <c r="AK232" i="10"/>
  <c r="AK212" i="10"/>
  <c r="AK187" i="10"/>
  <c r="AF280" i="10"/>
  <c r="AF260" i="10"/>
  <c r="AD318" i="10"/>
  <c r="AF234" i="10"/>
  <c r="AK216" i="10"/>
  <c r="AK217" i="10"/>
  <c r="AD301" i="10"/>
  <c r="AF210" i="10"/>
  <c r="AK189" i="10"/>
  <c r="AK230" i="10"/>
  <c r="AD284" i="10"/>
  <c r="AF268" i="10"/>
  <c r="AF244" i="10"/>
  <c r="AD294" i="10"/>
  <c r="AF249" i="10"/>
  <c r="AD317" i="10"/>
  <c r="AF267" i="10"/>
  <c r="AD291" i="10"/>
  <c r="AF241" i="10"/>
  <c r="AD299" i="10"/>
  <c r="AF250" i="10"/>
  <c r="AF240" i="10"/>
  <c r="AF251" i="10"/>
  <c r="R222" i="10"/>
  <c r="AD300" i="10"/>
  <c r="AD290" i="10"/>
  <c r="AD310" i="10"/>
  <c r="R272" i="10"/>
  <c r="T220" i="10"/>
  <c r="T270" i="10"/>
  <c r="S222" i="10"/>
  <c r="Q321" i="10"/>
  <c r="Q322" i="10" s="1"/>
  <c r="T271" i="10"/>
  <c r="R321" i="10"/>
  <c r="R322" i="10" s="1"/>
  <c r="S272" i="10"/>
  <c r="S321" i="10"/>
  <c r="S322" i="10" s="1"/>
  <c r="T221" i="10"/>
  <c r="AD295" i="10"/>
  <c r="AF245" i="10"/>
  <c r="AD309" i="10"/>
  <c r="AF259" i="10"/>
  <c r="AF243" i="10"/>
  <c r="AK185" i="10"/>
  <c r="AB222" i="10"/>
  <c r="AD229" i="10"/>
  <c r="AF253" i="10"/>
  <c r="AD303" i="10"/>
  <c r="AD179" i="10"/>
  <c r="AD286" i="10"/>
  <c r="AB272" i="10"/>
  <c r="AD293" i="10"/>
  <c r="AF236" i="10"/>
  <c r="AF233" i="10"/>
  <c r="AD283" i="10"/>
  <c r="AF258" i="10"/>
  <c r="AD308" i="10"/>
  <c r="AF256" i="10"/>
  <c r="AD306" i="10"/>
  <c r="AF248" i="10"/>
  <c r="AD298" i="10"/>
  <c r="AF237" i="10"/>
  <c r="AD287" i="10"/>
  <c r="AF238" i="10"/>
  <c r="AD288" i="10"/>
  <c r="AF255" i="10"/>
  <c r="AD305" i="10"/>
  <c r="AF269" i="10"/>
  <c r="AD319" i="10"/>
  <c r="AF261" i="10"/>
  <c r="AD311" i="10"/>
  <c r="AF242" i="10"/>
  <c r="AD292" i="10"/>
  <c r="AF266" i="10"/>
  <c r="AD316" i="10"/>
  <c r="AF247" i="10"/>
  <c r="AD297" i="10"/>
  <c r="AF262" i="10"/>
  <c r="AD312" i="10"/>
  <c r="AF257" i="10"/>
  <c r="AD307" i="10"/>
  <c r="AF246" i="10"/>
  <c r="AD296" i="10"/>
  <c r="AF263" i="10"/>
  <c r="AD313" i="10"/>
  <c r="AF264" i="10"/>
  <c r="AD314" i="10"/>
  <c r="AF254" i="10"/>
  <c r="AD304" i="10"/>
  <c r="T279" i="10"/>
  <c r="T320" i="10" s="1"/>
  <c r="Q272" i="10"/>
  <c r="AF239" i="10"/>
  <c r="AD289" i="10"/>
  <c r="AK231" i="10"/>
  <c r="AD170" i="10"/>
  <c r="AF129" i="10"/>
  <c r="Q222" i="10"/>
  <c r="T172" i="10"/>
  <c r="AD171" i="10"/>
  <c r="AB321" i="10"/>
  <c r="AB322" i="10" s="1"/>
  <c r="AK202" i="10" l="1"/>
  <c r="AK302" i="10" s="1"/>
  <c r="AK195" i="10"/>
  <c r="AK215" i="10"/>
  <c r="AK207" i="10"/>
  <c r="AK184" i="10"/>
  <c r="AK200" i="10"/>
  <c r="AK182" i="10"/>
  <c r="AF282" i="10"/>
  <c r="AK204" i="10"/>
  <c r="AF285" i="10"/>
  <c r="AK214" i="10"/>
  <c r="AK181" i="10"/>
  <c r="AK203" i="10"/>
  <c r="AK194" i="10"/>
  <c r="AK186" i="10"/>
  <c r="AK196" i="10"/>
  <c r="AK235" i="10"/>
  <c r="AK193" i="10"/>
  <c r="AK218" i="10"/>
  <c r="AK219" i="10"/>
  <c r="AK205" i="10"/>
  <c r="AF284" i="10"/>
  <c r="AF281" i="10"/>
  <c r="AF315" i="10"/>
  <c r="AF302" i="10"/>
  <c r="AK234" i="10"/>
  <c r="AK260" i="10"/>
  <c r="AK265" i="10"/>
  <c r="AF310" i="10"/>
  <c r="AK211" i="10"/>
  <c r="AD271" i="10"/>
  <c r="AK280" i="10"/>
  <c r="AF301" i="10"/>
  <c r="AK249" i="10"/>
  <c r="AF290" i="10"/>
  <c r="AF318" i="10"/>
  <c r="AK210" i="10"/>
  <c r="AK268" i="10"/>
  <c r="AF317" i="10"/>
  <c r="AK267" i="10"/>
  <c r="AF294" i="10"/>
  <c r="AK244" i="10"/>
  <c r="AF299" i="10"/>
  <c r="AF291" i="10"/>
  <c r="AK241" i="10"/>
  <c r="AK250" i="10"/>
  <c r="AF300" i="10"/>
  <c r="AK240" i="10"/>
  <c r="T272" i="10"/>
  <c r="AK251" i="10"/>
  <c r="AF295" i="10"/>
  <c r="AF179" i="10"/>
  <c r="AK243" i="10"/>
  <c r="AF293" i="10"/>
  <c r="AD221" i="10"/>
  <c r="AD220" i="10"/>
  <c r="T321" i="10"/>
  <c r="T322" i="10" s="1"/>
  <c r="AK259" i="10"/>
  <c r="T222" i="10"/>
  <c r="AD270" i="10"/>
  <c r="AK245" i="10"/>
  <c r="AF229" i="10"/>
  <c r="AF309" i="10"/>
  <c r="AK236" i="10"/>
  <c r="AD279" i="10"/>
  <c r="AD320" i="10" s="1"/>
  <c r="AK253" i="10"/>
  <c r="AF303" i="10"/>
  <c r="AF286" i="10"/>
  <c r="AK233" i="10"/>
  <c r="AF283" i="10"/>
  <c r="AK258" i="10"/>
  <c r="AF308" i="10"/>
  <c r="AK237" i="10"/>
  <c r="AF287" i="10"/>
  <c r="AK248" i="10"/>
  <c r="AF298" i="10"/>
  <c r="AK238" i="10"/>
  <c r="AF288" i="10"/>
  <c r="AK256" i="10"/>
  <c r="AF306" i="10"/>
  <c r="AK269" i="10"/>
  <c r="AF319" i="10"/>
  <c r="AK255" i="10"/>
  <c r="AF305" i="10"/>
  <c r="AK261" i="10"/>
  <c r="AF311" i="10"/>
  <c r="AK242" i="10"/>
  <c r="AF292" i="10"/>
  <c r="AK266" i="10"/>
  <c r="AF316" i="10"/>
  <c r="AK247" i="10"/>
  <c r="AF297" i="10"/>
  <c r="AK262" i="10"/>
  <c r="AF312" i="10"/>
  <c r="AK257" i="10"/>
  <c r="AF307" i="10"/>
  <c r="AK264" i="10"/>
  <c r="AF314" i="10"/>
  <c r="AK263" i="10"/>
  <c r="AF313" i="10"/>
  <c r="AK246" i="10"/>
  <c r="AF296" i="10"/>
  <c r="AK254" i="10"/>
  <c r="AF304" i="10"/>
  <c r="AK239" i="10"/>
  <c r="AF289" i="10"/>
  <c r="AF171" i="10"/>
  <c r="AD172" i="10"/>
  <c r="AF170" i="10"/>
  <c r="AK129" i="10"/>
  <c r="AK282" i="10" l="1"/>
  <c r="AK281" i="10"/>
  <c r="AK285" i="10"/>
  <c r="AK284" i="10"/>
  <c r="AK315" i="10"/>
  <c r="AD272" i="10"/>
  <c r="AF271" i="10"/>
  <c r="AK300" i="10"/>
  <c r="AK318" i="10"/>
  <c r="AK299" i="10"/>
  <c r="AK293" i="10"/>
  <c r="AK291" i="10"/>
  <c r="AK294" i="10"/>
  <c r="AK317" i="10"/>
  <c r="AK310" i="10"/>
  <c r="AD321" i="10"/>
  <c r="AD322" i="10" s="1"/>
  <c r="AK295" i="10"/>
  <c r="AF221" i="10"/>
  <c r="AK290" i="10"/>
  <c r="AF220" i="10"/>
  <c r="AK301" i="10"/>
  <c r="AD222" i="10"/>
  <c r="AK179" i="10"/>
  <c r="AK309" i="10"/>
  <c r="AK229" i="10"/>
  <c r="AF279" i="10"/>
  <c r="AF320" i="10" s="1"/>
  <c r="AF270" i="10"/>
  <c r="AK289" i="10"/>
  <c r="AK304" i="10"/>
  <c r="AK307" i="10"/>
  <c r="AK292" i="10"/>
  <c r="AK306" i="10"/>
  <c r="AK308" i="10"/>
  <c r="AK303" i="10"/>
  <c r="AK286" i="10"/>
  <c r="AK314" i="10"/>
  <c r="AK296" i="10"/>
  <c r="AK311" i="10"/>
  <c r="AK312" i="10"/>
  <c r="AK283" i="10"/>
  <c r="AK288" i="10"/>
  <c r="AK313" i="10"/>
  <c r="AK297" i="10"/>
  <c r="AK305" i="10"/>
  <c r="AK298" i="10"/>
  <c r="AK316" i="10"/>
  <c r="AK319" i="10"/>
  <c r="AK287" i="10"/>
  <c r="AK170" i="10"/>
  <c r="AF172" i="10"/>
  <c r="AK171" i="10"/>
  <c r="AK271" i="10" l="1"/>
  <c r="AF272" i="10"/>
  <c r="AF321" i="10"/>
  <c r="AF322" i="10" s="1"/>
  <c r="AK220" i="10"/>
  <c r="AF222" i="10"/>
  <c r="AK221" i="10"/>
  <c r="AK270" i="10"/>
  <c r="AK279" i="10"/>
  <c r="AK320" i="10" s="1"/>
  <c r="AK172" i="10"/>
  <c r="AK272" i="10" l="1"/>
  <c r="AK222" i="10"/>
  <c r="AK321" i="10"/>
  <c r="AK322" i="10" s="1"/>
  <c r="H84" i="4"/>
  <c r="AE29" i="12" l="1"/>
  <c r="AE229" i="12" l="1" a="1"/>
  <c r="AE271" i="12"/>
  <c r="AE271" i="11" s="1"/>
  <c r="G272" i="12"/>
  <c r="G265" i="12"/>
  <c r="G242" i="12"/>
  <c r="G234" i="12"/>
  <c r="G254" i="12"/>
  <c r="G249" i="12"/>
  <c r="G268" i="12"/>
  <c r="G236" i="12"/>
  <c r="G260" i="12"/>
  <c r="G256" i="12"/>
  <c r="G244" i="12"/>
  <c r="G264" i="12"/>
  <c r="G239" i="12"/>
  <c r="G269" i="12"/>
  <c r="G246" i="12"/>
  <c r="G241" i="12"/>
  <c r="G259" i="12"/>
  <c r="G243" i="12"/>
  <c r="G252" i="12"/>
  <c r="G253" i="12"/>
  <c r="G263" i="12"/>
  <c r="G266" i="12"/>
  <c r="G237" i="12"/>
  <c r="G235" i="12"/>
  <c r="G238" i="12"/>
  <c r="G248" i="12"/>
  <c r="G251" i="12"/>
  <c r="G230" i="12"/>
  <c r="G245" i="12"/>
  <c r="G261" i="12"/>
  <c r="G255" i="12"/>
  <c r="G233" i="12"/>
  <c r="G231" i="12"/>
  <c r="G257" i="12"/>
  <c r="G232" i="12"/>
  <c r="G247" i="12"/>
  <c r="G240" i="12"/>
  <c r="G258" i="12"/>
  <c r="G262" i="12"/>
  <c r="G267" i="12"/>
  <c r="G250" i="12"/>
  <c r="G229" i="12"/>
  <c r="AE179" i="12" a="1"/>
  <c r="AE221" i="12"/>
  <c r="AE221" i="11" s="1"/>
  <c r="G222" i="12"/>
  <c r="G204" i="12"/>
  <c r="G185" i="12"/>
  <c r="G216" i="12"/>
  <c r="G217" i="12"/>
  <c r="G206" i="12"/>
  <c r="G197" i="12"/>
  <c r="G184" i="12"/>
  <c r="G186" i="12"/>
  <c r="G209" i="12"/>
  <c r="G191" i="12"/>
  <c r="G199" i="12"/>
  <c r="G215" i="12"/>
  <c r="G182" i="12"/>
  <c r="G195" i="12"/>
  <c r="G183" i="12"/>
  <c r="G212" i="12"/>
  <c r="G190" i="12"/>
  <c r="G187" i="12"/>
  <c r="G208" i="12"/>
  <c r="G192" i="12"/>
  <c r="G210" i="12"/>
  <c r="G218" i="12"/>
  <c r="G207" i="12"/>
  <c r="G205" i="12"/>
  <c r="G201" i="12"/>
  <c r="G202" i="12"/>
  <c r="G219" i="12"/>
  <c r="G196" i="12"/>
  <c r="G198" i="12"/>
  <c r="G194" i="12"/>
  <c r="G211" i="12"/>
  <c r="G188" i="12"/>
  <c r="G214" i="12"/>
  <c r="G189" i="12"/>
  <c r="G200" i="12"/>
  <c r="G203" i="12"/>
  <c r="G180" i="12"/>
  <c r="G213" i="12"/>
  <c r="G181" i="12"/>
  <c r="G193" i="12"/>
  <c r="G179" i="12"/>
  <c r="AE171" i="12"/>
  <c r="AE171" i="11" s="1"/>
  <c r="AE129" i="12" a="1"/>
  <c r="G172" i="12"/>
  <c r="G136" i="12"/>
  <c r="G164" i="12"/>
  <c r="G153" i="12"/>
  <c r="G157" i="12"/>
  <c r="G134" i="12"/>
  <c r="G135" i="12"/>
  <c r="G141" i="12"/>
  <c r="G140" i="12"/>
  <c r="G145" i="12"/>
  <c r="G165" i="12"/>
  <c r="G146" i="12"/>
  <c r="G147" i="12"/>
  <c r="G132" i="12"/>
  <c r="G168" i="12"/>
  <c r="G143" i="12"/>
  <c r="G144" i="12"/>
  <c r="G148" i="12"/>
  <c r="G163" i="12"/>
  <c r="G151" i="12"/>
  <c r="G149" i="12"/>
  <c r="G131" i="12"/>
  <c r="G155" i="12"/>
  <c r="G150" i="12"/>
  <c r="G137" i="12"/>
  <c r="G142" i="12"/>
  <c r="G139" i="12"/>
  <c r="G152" i="12"/>
  <c r="G160" i="12"/>
  <c r="G138" i="12"/>
  <c r="G130" i="12"/>
  <c r="W130" i="12" s="1"/>
  <c r="G162" i="12"/>
  <c r="G166" i="12"/>
  <c r="G161" i="12"/>
  <c r="G169" i="12"/>
  <c r="G156" i="12"/>
  <c r="G167" i="12"/>
  <c r="G133" i="12"/>
  <c r="G154" i="12"/>
  <c r="G158" i="12"/>
  <c r="G159" i="12"/>
  <c r="G129" i="12"/>
  <c r="AF29" i="12"/>
  <c r="G7" i="12"/>
  <c r="AY10" i="12"/>
  <c r="AX10" i="12"/>
  <c r="AY11" i="12"/>
  <c r="AX11" i="12"/>
  <c r="AY9" i="12"/>
  <c r="AX9" i="12"/>
  <c r="G30" i="12" l="1"/>
  <c r="Y30" i="12" s="1"/>
  <c r="F249" i="12"/>
  <c r="S249" i="12" s="1"/>
  <c r="E249" i="12"/>
  <c r="R249" i="12" s="1"/>
  <c r="D249" i="12"/>
  <c r="Q249" i="12" s="1"/>
  <c r="Y249" i="12"/>
  <c r="Y249" i="11" s="1"/>
  <c r="AA249" i="12"/>
  <c r="AA249" i="11" s="1"/>
  <c r="W249" i="12"/>
  <c r="F240" i="12"/>
  <c r="S240" i="12" s="1"/>
  <c r="Y240" i="12"/>
  <c r="Y240" i="11" s="1"/>
  <c r="E240" i="12"/>
  <c r="R240" i="12" s="1"/>
  <c r="D240" i="12"/>
  <c r="Q240" i="12" s="1"/>
  <c r="W240" i="12"/>
  <c r="AA240" i="12"/>
  <c r="AA240" i="11" s="1"/>
  <c r="E245" i="12"/>
  <c r="R245" i="12" s="1"/>
  <c r="D245" i="12"/>
  <c r="Q245" i="12" s="1"/>
  <c r="F245" i="12"/>
  <c r="S245" i="12" s="1"/>
  <c r="AA245" i="12"/>
  <c r="AA245" i="11" s="1"/>
  <c r="Y245" i="12"/>
  <c r="Y245" i="11" s="1"/>
  <c r="W245" i="12"/>
  <c r="F263" i="12"/>
  <c r="S263" i="12" s="1"/>
  <c r="E263" i="12"/>
  <c r="R263" i="12" s="1"/>
  <c r="D263" i="12"/>
  <c r="Q263" i="12" s="1"/>
  <c r="Y263" i="12"/>
  <c r="Y263" i="11" s="1"/>
  <c r="W263" i="12"/>
  <c r="AA263" i="12"/>
  <c r="AA263" i="11" s="1"/>
  <c r="F239" i="12"/>
  <c r="S239" i="12" s="1"/>
  <c r="E239" i="12"/>
  <c r="R239" i="12" s="1"/>
  <c r="D239" i="12"/>
  <c r="Q239" i="12" s="1"/>
  <c r="Y239" i="12"/>
  <c r="Y239" i="11" s="1"/>
  <c r="W239" i="12"/>
  <c r="AA239" i="12"/>
  <c r="AA239" i="11" s="1"/>
  <c r="F254" i="12"/>
  <c r="S254" i="12" s="1"/>
  <c r="E254" i="12"/>
  <c r="R254" i="12" s="1"/>
  <c r="D254" i="12"/>
  <c r="Q254" i="12" s="1"/>
  <c r="W254" i="12"/>
  <c r="AA254" i="12"/>
  <c r="AA254" i="11" s="1"/>
  <c r="Y254" i="12"/>
  <c r="Y254" i="11" s="1"/>
  <c r="AA266" i="12"/>
  <c r="AA266" i="11" s="1"/>
  <c r="F266" i="12"/>
  <c r="S266" i="12" s="1"/>
  <c r="D266" i="12"/>
  <c r="Q266" i="12" s="1"/>
  <c r="E266" i="12"/>
  <c r="R266" i="12" s="1"/>
  <c r="W266" i="12"/>
  <c r="Y266" i="12"/>
  <c r="Y266" i="11" s="1"/>
  <c r="F232" i="12"/>
  <c r="S232" i="12" s="1"/>
  <c r="E232" i="12"/>
  <c r="R232" i="12" s="1"/>
  <c r="D232" i="12"/>
  <c r="Q232" i="12" s="1"/>
  <c r="AA232" i="12"/>
  <c r="AA232" i="11" s="1"/>
  <c r="W232" i="12"/>
  <c r="Y232" i="12"/>
  <c r="Y232" i="11" s="1"/>
  <c r="E251" i="12"/>
  <c r="R251" i="12" s="1"/>
  <c r="F251" i="12"/>
  <c r="S251" i="12" s="1"/>
  <c r="D251" i="12"/>
  <c r="Q251" i="12" s="1"/>
  <c r="W251" i="12"/>
  <c r="AA251" i="12"/>
  <c r="AA251" i="11" s="1"/>
  <c r="Y251" i="12"/>
  <c r="Y251" i="11" s="1"/>
  <c r="D252" i="12"/>
  <c r="Q252" i="12" s="1"/>
  <c r="W252" i="12"/>
  <c r="F252" i="12"/>
  <c r="S252" i="12" s="1"/>
  <c r="AA252" i="12"/>
  <c r="AA252" i="11" s="1"/>
  <c r="E252" i="12"/>
  <c r="R252" i="12" s="1"/>
  <c r="Y252" i="12"/>
  <c r="Y252" i="11" s="1"/>
  <c r="D244" i="12"/>
  <c r="Q244" i="12" s="1"/>
  <c r="F244" i="12"/>
  <c r="S244" i="12" s="1"/>
  <c r="AA244" i="12"/>
  <c r="AA244" i="11" s="1"/>
  <c r="E244" i="12"/>
  <c r="R244" i="12" s="1"/>
  <c r="Y244" i="12"/>
  <c r="Y244" i="11" s="1"/>
  <c r="W244" i="12"/>
  <c r="F242" i="12"/>
  <c r="S242" i="12" s="1"/>
  <c r="D242" i="12"/>
  <c r="Q242" i="12" s="1"/>
  <c r="W242" i="12"/>
  <c r="E242" i="12"/>
  <c r="R242" i="12" s="1"/>
  <c r="Y242" i="12"/>
  <c r="Y242" i="11" s="1"/>
  <c r="AA242" i="12"/>
  <c r="AA242" i="11" s="1"/>
  <c r="F230" i="12"/>
  <c r="S230" i="12" s="1"/>
  <c r="E230" i="12"/>
  <c r="R230" i="12" s="1"/>
  <c r="D230" i="12"/>
  <c r="Q230" i="12" s="1"/>
  <c r="W230" i="12"/>
  <c r="AA230" i="12"/>
  <c r="AA230" i="11" s="1"/>
  <c r="Y230" i="12"/>
  <c r="Y230" i="11" s="1"/>
  <c r="F264" i="12"/>
  <c r="S264" i="12" s="1"/>
  <c r="Y264" i="12"/>
  <c r="Y264" i="11" s="1"/>
  <c r="E264" i="12"/>
  <c r="R264" i="12" s="1"/>
  <c r="D264" i="12"/>
  <c r="Q264" i="12" s="1"/>
  <c r="W264" i="12"/>
  <c r="AA264" i="12"/>
  <c r="AA264" i="11" s="1"/>
  <c r="AA229" i="12"/>
  <c r="F229" i="12"/>
  <c r="Y229" i="12"/>
  <c r="E229" i="12"/>
  <c r="G270" i="12"/>
  <c r="G271" i="12" s="1"/>
  <c r="D229" i="12"/>
  <c r="W229" i="12"/>
  <c r="F257" i="12"/>
  <c r="S257" i="12" s="1"/>
  <c r="E257" i="12"/>
  <c r="R257" i="12" s="1"/>
  <c r="D257" i="12"/>
  <c r="Q257" i="12" s="1"/>
  <c r="Y257" i="12"/>
  <c r="Y257" i="11" s="1"/>
  <c r="W257" i="12"/>
  <c r="AA257" i="12"/>
  <c r="AA257" i="11" s="1"/>
  <c r="F248" i="12"/>
  <c r="S248" i="12" s="1"/>
  <c r="Y248" i="12"/>
  <c r="Y248" i="11" s="1"/>
  <c r="E248" i="12"/>
  <c r="R248" i="12" s="1"/>
  <c r="D248" i="12"/>
  <c r="Q248" i="12" s="1"/>
  <c r="W248" i="12"/>
  <c r="AA248" i="12"/>
  <c r="AA248" i="11" s="1"/>
  <c r="E243" i="12"/>
  <c r="R243" i="12" s="1"/>
  <c r="F243" i="12"/>
  <c r="S243" i="12" s="1"/>
  <c r="D243" i="12"/>
  <c r="Q243" i="12" s="1"/>
  <c r="AA243" i="12"/>
  <c r="AA243" i="11" s="1"/>
  <c r="Y243" i="12"/>
  <c r="Y243" i="11" s="1"/>
  <c r="W243" i="12"/>
  <c r="F256" i="12"/>
  <c r="S256" i="12" s="1"/>
  <c r="Y256" i="12"/>
  <c r="Y256" i="11" s="1"/>
  <c r="E256" i="12"/>
  <c r="R256" i="12" s="1"/>
  <c r="D256" i="12"/>
  <c r="Q256" i="12" s="1"/>
  <c r="W256" i="12"/>
  <c r="AA256" i="12"/>
  <c r="AA256" i="11" s="1"/>
  <c r="F265" i="12"/>
  <c r="S265" i="12" s="1"/>
  <c r="E265" i="12"/>
  <c r="R265" i="12" s="1"/>
  <c r="D265" i="12"/>
  <c r="Q265" i="12" s="1"/>
  <c r="Y265" i="12"/>
  <c r="Y265" i="11" s="1"/>
  <c r="AA265" i="12"/>
  <c r="AA265" i="11" s="1"/>
  <c r="W265" i="12"/>
  <c r="E269" i="12"/>
  <c r="R269" i="12" s="1"/>
  <c r="D269" i="12"/>
  <c r="Q269" i="12" s="1"/>
  <c r="F269" i="12"/>
  <c r="S269" i="12" s="1"/>
  <c r="Y269" i="12"/>
  <c r="Y269" i="11" s="1"/>
  <c r="W269" i="12"/>
  <c r="AA269" i="12"/>
  <c r="AA269" i="11" s="1"/>
  <c r="AA250" i="12"/>
  <c r="AA250" i="11" s="1"/>
  <c r="F250" i="12"/>
  <c r="S250" i="12" s="1"/>
  <c r="D250" i="12"/>
  <c r="Q250" i="12" s="1"/>
  <c r="E250" i="12"/>
  <c r="R250" i="12" s="1"/>
  <c r="W250" i="12"/>
  <c r="Y250" i="12"/>
  <c r="Y250" i="11" s="1"/>
  <c r="AA231" i="12"/>
  <c r="AA231" i="11" s="1"/>
  <c r="F231" i="12"/>
  <c r="S231" i="12" s="1"/>
  <c r="Y231" i="12"/>
  <c r="Y231" i="11" s="1"/>
  <c r="E231" i="12"/>
  <c r="R231" i="12" s="1"/>
  <c r="D231" i="12"/>
  <c r="Q231" i="12" s="1"/>
  <c r="W231" i="12"/>
  <c r="F238" i="12"/>
  <c r="S238" i="12" s="1"/>
  <c r="E238" i="12"/>
  <c r="R238" i="12" s="1"/>
  <c r="D238" i="12"/>
  <c r="Q238" i="12" s="1"/>
  <c r="AA238" i="12"/>
  <c r="AA238" i="11" s="1"/>
  <c r="W238" i="12"/>
  <c r="Y238" i="12"/>
  <c r="Y238" i="11" s="1"/>
  <c r="E259" i="12"/>
  <c r="R259" i="12" s="1"/>
  <c r="F259" i="12"/>
  <c r="S259" i="12" s="1"/>
  <c r="D259" i="12"/>
  <c r="Q259" i="12" s="1"/>
  <c r="AA259" i="12"/>
  <c r="AA259" i="11" s="1"/>
  <c r="W259" i="12"/>
  <c r="Y259" i="12"/>
  <c r="Y259" i="11" s="1"/>
  <c r="D260" i="12"/>
  <c r="Q260" i="12" s="1"/>
  <c r="F260" i="12"/>
  <c r="S260" i="12" s="1"/>
  <c r="AA260" i="12"/>
  <c r="AA260" i="11" s="1"/>
  <c r="E260" i="12"/>
  <c r="R260" i="12" s="1"/>
  <c r="Y260" i="12"/>
  <c r="Y260" i="11" s="1"/>
  <c r="W260" i="12"/>
  <c r="F272" i="12"/>
  <c r="D272" i="12"/>
  <c r="E272" i="12"/>
  <c r="E261" i="12"/>
  <c r="R261" i="12" s="1"/>
  <c r="D261" i="12"/>
  <c r="Q261" i="12" s="1"/>
  <c r="F261" i="12"/>
  <c r="S261" i="12" s="1"/>
  <c r="Y261" i="12"/>
  <c r="Y261" i="11" s="1"/>
  <c r="AA261" i="12"/>
  <c r="AA261" i="11" s="1"/>
  <c r="W261" i="12"/>
  <c r="F247" i="12"/>
  <c r="S247" i="12" s="1"/>
  <c r="E247" i="12"/>
  <c r="R247" i="12" s="1"/>
  <c r="D247" i="12"/>
  <c r="Q247" i="12" s="1"/>
  <c r="AA247" i="12"/>
  <c r="AA247" i="11" s="1"/>
  <c r="Y247" i="12"/>
  <c r="Y247" i="11" s="1"/>
  <c r="W247" i="12"/>
  <c r="D234" i="12"/>
  <c r="Q234" i="12" s="1"/>
  <c r="F234" i="12"/>
  <c r="S234" i="12" s="1"/>
  <c r="E234" i="12"/>
  <c r="R234" i="12" s="1"/>
  <c r="W234" i="12"/>
  <c r="Y234" i="12"/>
  <c r="Y234" i="11" s="1"/>
  <c r="AA234" i="12"/>
  <c r="AA234" i="11" s="1"/>
  <c r="E267" i="12"/>
  <c r="R267" i="12" s="1"/>
  <c r="F267" i="12"/>
  <c r="S267" i="12" s="1"/>
  <c r="D267" i="12"/>
  <c r="Q267" i="12" s="1"/>
  <c r="W267" i="12"/>
  <c r="Y267" i="12"/>
  <c r="Y267" i="11" s="1"/>
  <c r="AA267" i="12"/>
  <c r="AA267" i="11" s="1"/>
  <c r="AA233" i="12"/>
  <c r="AA233" i="11" s="1"/>
  <c r="F233" i="12"/>
  <c r="S233" i="12" s="1"/>
  <c r="Y233" i="12"/>
  <c r="Y233" i="11" s="1"/>
  <c r="E233" i="12"/>
  <c r="R233" i="12" s="1"/>
  <c r="D233" i="12"/>
  <c r="Q233" i="12" s="1"/>
  <c r="W233" i="12"/>
  <c r="W235" i="12"/>
  <c r="D235" i="12"/>
  <c r="Q235" i="12" s="1"/>
  <c r="AA235" i="12"/>
  <c r="AA235" i="11" s="1"/>
  <c r="F235" i="12"/>
  <c r="S235" i="12" s="1"/>
  <c r="E235" i="12"/>
  <c r="R235" i="12" s="1"/>
  <c r="Y235" i="12"/>
  <c r="Y235" i="11" s="1"/>
  <c r="F241" i="12"/>
  <c r="S241" i="12" s="1"/>
  <c r="E241" i="12"/>
  <c r="R241" i="12" s="1"/>
  <c r="D241" i="12"/>
  <c r="Q241" i="12" s="1"/>
  <c r="Y241" i="12"/>
  <c r="Y241" i="11" s="1"/>
  <c r="W241" i="12"/>
  <c r="AA241" i="12"/>
  <c r="AA241" i="11" s="1"/>
  <c r="D236" i="12"/>
  <c r="Q236" i="12" s="1"/>
  <c r="F236" i="12"/>
  <c r="S236" i="12" s="1"/>
  <c r="E236" i="12"/>
  <c r="R236" i="12" s="1"/>
  <c r="Y236" i="12"/>
  <c r="Y236" i="11" s="1"/>
  <c r="W236" i="12"/>
  <c r="AA236" i="12"/>
  <c r="AA236" i="11" s="1"/>
  <c r="AA258" i="12"/>
  <c r="AA258" i="11" s="1"/>
  <c r="F258" i="12"/>
  <c r="S258" i="12" s="1"/>
  <c r="D258" i="12"/>
  <c r="Q258" i="12" s="1"/>
  <c r="W258" i="12"/>
  <c r="E258" i="12"/>
  <c r="R258" i="12" s="1"/>
  <c r="Y258" i="12"/>
  <c r="Y258" i="11" s="1"/>
  <c r="Y253" i="12"/>
  <c r="Y253" i="11" s="1"/>
  <c r="E253" i="12"/>
  <c r="R253" i="12" s="1"/>
  <c r="D253" i="12"/>
  <c r="Q253" i="12" s="1"/>
  <c r="F253" i="12"/>
  <c r="S253" i="12" s="1"/>
  <c r="W253" i="12"/>
  <c r="AA253" i="12"/>
  <c r="AA253" i="11" s="1"/>
  <c r="F262" i="12"/>
  <c r="S262" i="12" s="1"/>
  <c r="E262" i="12"/>
  <c r="R262" i="12" s="1"/>
  <c r="D262" i="12"/>
  <c r="Q262" i="12" s="1"/>
  <c r="W262" i="12"/>
  <c r="AA262" i="12"/>
  <c r="AA262" i="11" s="1"/>
  <c r="Y262" i="12"/>
  <c r="Y262" i="11" s="1"/>
  <c r="F255" i="12"/>
  <c r="S255" i="12" s="1"/>
  <c r="E255" i="12"/>
  <c r="R255" i="12" s="1"/>
  <c r="D255" i="12"/>
  <c r="Q255" i="12" s="1"/>
  <c r="W255" i="12"/>
  <c r="Y255" i="12"/>
  <c r="Y255" i="11" s="1"/>
  <c r="AA255" i="12"/>
  <c r="AA255" i="11" s="1"/>
  <c r="Y237" i="12"/>
  <c r="Y237" i="11" s="1"/>
  <c r="E237" i="12"/>
  <c r="R237" i="12" s="1"/>
  <c r="D237" i="12"/>
  <c r="Q237" i="12" s="1"/>
  <c r="F237" i="12"/>
  <c r="S237" i="12" s="1"/>
  <c r="W237" i="12"/>
  <c r="AA237" i="12"/>
  <c r="AA237" i="11" s="1"/>
  <c r="F246" i="12"/>
  <c r="S246" i="12" s="1"/>
  <c r="Y246" i="12"/>
  <c r="Y246" i="11" s="1"/>
  <c r="E246" i="12"/>
  <c r="R246" i="12" s="1"/>
  <c r="D246" i="12"/>
  <c r="Q246" i="12" s="1"/>
  <c r="AA246" i="12"/>
  <c r="AA246" i="11" s="1"/>
  <c r="W246" i="12"/>
  <c r="D268" i="12"/>
  <c r="Q268" i="12" s="1"/>
  <c r="F268" i="12"/>
  <c r="S268" i="12" s="1"/>
  <c r="Y268" i="12"/>
  <c r="Y268" i="11" s="1"/>
  <c r="AA268" i="12"/>
  <c r="AA268" i="11" s="1"/>
  <c r="E268" i="12"/>
  <c r="R268" i="12" s="1"/>
  <c r="W268" i="12"/>
  <c r="AE265" i="12"/>
  <c r="AE265" i="11" s="1"/>
  <c r="AE257" i="12"/>
  <c r="AE257" i="11" s="1"/>
  <c r="AE249" i="12"/>
  <c r="AE249" i="11" s="1"/>
  <c r="AE241" i="12"/>
  <c r="AE241" i="11" s="1"/>
  <c r="AE233" i="12"/>
  <c r="AE233" i="11" s="1"/>
  <c r="AE267" i="12"/>
  <c r="AE267" i="11" s="1"/>
  <c r="AE243" i="12"/>
  <c r="AE243" i="11" s="1"/>
  <c r="AE264" i="12"/>
  <c r="AE264" i="11" s="1"/>
  <c r="AE256" i="12"/>
  <c r="AE256" i="11" s="1"/>
  <c r="AE248" i="12"/>
  <c r="AE248" i="11" s="1"/>
  <c r="AE240" i="12"/>
  <c r="AE240" i="11" s="1"/>
  <c r="AE232" i="12"/>
  <c r="AE232" i="11" s="1"/>
  <c r="AE263" i="12"/>
  <c r="AE263" i="11" s="1"/>
  <c r="AE250" i="12"/>
  <c r="AE250" i="11" s="1"/>
  <c r="AE255" i="12"/>
  <c r="AE255" i="11" s="1"/>
  <c r="AE247" i="12"/>
  <c r="AE247" i="11" s="1"/>
  <c r="AE239" i="12"/>
  <c r="AE239" i="11" s="1"/>
  <c r="AE231" i="12"/>
  <c r="AE231" i="11" s="1"/>
  <c r="AE258" i="12"/>
  <c r="AE258" i="11" s="1"/>
  <c r="AE262" i="12"/>
  <c r="AE262" i="11" s="1"/>
  <c r="AE254" i="12"/>
  <c r="AE254" i="11" s="1"/>
  <c r="AE246" i="12"/>
  <c r="AE246" i="11" s="1"/>
  <c r="AE238" i="12"/>
  <c r="AE238" i="11" s="1"/>
  <c r="AE230" i="12"/>
  <c r="AE230" i="11" s="1"/>
  <c r="AE235" i="12"/>
  <c r="AE235" i="11" s="1"/>
  <c r="AE234" i="12"/>
  <c r="AE234" i="11" s="1"/>
  <c r="AE269" i="12"/>
  <c r="AE269" i="11" s="1"/>
  <c r="AE261" i="12"/>
  <c r="AE261" i="11" s="1"/>
  <c r="AE253" i="12"/>
  <c r="AE253" i="11" s="1"/>
  <c r="AE245" i="12"/>
  <c r="AE245" i="11" s="1"/>
  <c r="AE237" i="12"/>
  <c r="AE237" i="11" s="1"/>
  <c r="AE229" i="12"/>
  <c r="AE251" i="12"/>
  <c r="AE251" i="11" s="1"/>
  <c r="AE266" i="12"/>
  <c r="AE266" i="11" s="1"/>
  <c r="AE268" i="12"/>
  <c r="AE268" i="11" s="1"/>
  <c r="AE260" i="12"/>
  <c r="AE260" i="11" s="1"/>
  <c r="AE252" i="12"/>
  <c r="AE252" i="11" s="1"/>
  <c r="AE244" i="12"/>
  <c r="AE244" i="11" s="1"/>
  <c r="AE236" i="12"/>
  <c r="AE236" i="11" s="1"/>
  <c r="AE259" i="12"/>
  <c r="AE259" i="11" s="1"/>
  <c r="AE242" i="12"/>
  <c r="AE242" i="11" s="1"/>
  <c r="E203" i="12"/>
  <c r="R203" i="12" s="1"/>
  <c r="D203" i="12"/>
  <c r="Q203" i="12" s="1"/>
  <c r="AA203" i="12"/>
  <c r="AA203" i="11" s="1"/>
  <c r="F203" i="12"/>
  <c r="S203" i="12" s="1"/>
  <c r="Y203" i="12"/>
  <c r="Y203" i="11" s="1"/>
  <c r="W203" i="12"/>
  <c r="F196" i="12"/>
  <c r="S196" i="12" s="1"/>
  <c r="Y196" i="12"/>
  <c r="Y196" i="11" s="1"/>
  <c r="D196" i="12"/>
  <c r="Q196" i="12" s="1"/>
  <c r="E196" i="12"/>
  <c r="R196" i="12" s="1"/>
  <c r="W196" i="12"/>
  <c r="AA196" i="12"/>
  <c r="AA196" i="11" s="1"/>
  <c r="F192" i="12"/>
  <c r="S192" i="12" s="1"/>
  <c r="D192" i="12"/>
  <c r="Q192" i="12" s="1"/>
  <c r="Y192" i="12"/>
  <c r="Y192" i="11" s="1"/>
  <c r="E192" i="12"/>
  <c r="R192" i="12" s="1"/>
  <c r="W192" i="12"/>
  <c r="AA192" i="12"/>
  <c r="AA192" i="11" s="1"/>
  <c r="AA215" i="12"/>
  <c r="AA215" i="11" s="1"/>
  <c r="F215" i="12"/>
  <c r="S215" i="12" s="1"/>
  <c r="E215" i="12"/>
  <c r="R215" i="12" s="1"/>
  <c r="D215" i="12"/>
  <c r="Q215" i="12" s="1"/>
  <c r="Y215" i="12"/>
  <c r="Y215" i="11" s="1"/>
  <c r="W215" i="12"/>
  <c r="F217" i="12"/>
  <c r="S217" i="12" s="1"/>
  <c r="E217" i="12"/>
  <c r="R217" i="12" s="1"/>
  <c r="D217" i="12"/>
  <c r="Q217" i="12" s="1"/>
  <c r="Y217" i="12"/>
  <c r="Y217" i="11" s="1"/>
  <c r="W217" i="12"/>
  <c r="AA217" i="12"/>
  <c r="AA217" i="11" s="1"/>
  <c r="W180" i="12"/>
  <c r="F180" i="12"/>
  <c r="S180" i="12" s="1"/>
  <c r="Y180" i="12"/>
  <c r="Y180" i="11" s="1"/>
  <c r="E180" i="12"/>
  <c r="R180" i="12" s="1"/>
  <c r="D180" i="12"/>
  <c r="Q180" i="12" s="1"/>
  <c r="AA180" i="12"/>
  <c r="AA180" i="11" s="1"/>
  <c r="AA198" i="12"/>
  <c r="AA198" i="11" s="1"/>
  <c r="F198" i="12"/>
  <c r="S198" i="12" s="1"/>
  <c r="E198" i="12"/>
  <c r="R198" i="12" s="1"/>
  <c r="D198" i="12"/>
  <c r="Q198" i="12" s="1"/>
  <c r="W198" i="12"/>
  <c r="Y198" i="12"/>
  <c r="Y198" i="11" s="1"/>
  <c r="D210" i="12"/>
  <c r="Q210" i="12" s="1"/>
  <c r="W210" i="12"/>
  <c r="AA210" i="12"/>
  <c r="AA210" i="11" s="1"/>
  <c r="F210" i="12"/>
  <c r="S210" i="12" s="1"/>
  <c r="E210" i="12"/>
  <c r="R210" i="12" s="1"/>
  <c r="Y210" i="12"/>
  <c r="Y210" i="11" s="1"/>
  <c r="E182" i="12"/>
  <c r="R182" i="12" s="1"/>
  <c r="AA182" i="12"/>
  <c r="AA182" i="11" s="1"/>
  <c r="F182" i="12"/>
  <c r="S182" i="12" s="1"/>
  <c r="Y182" i="12"/>
  <c r="Y182" i="11" s="1"/>
  <c r="D182" i="12"/>
  <c r="Q182" i="12" s="1"/>
  <c r="W182" i="12"/>
  <c r="AA206" i="12"/>
  <c r="AA206" i="11" s="1"/>
  <c r="F206" i="12"/>
  <c r="S206" i="12" s="1"/>
  <c r="Y206" i="12"/>
  <c r="Y206" i="11" s="1"/>
  <c r="E206" i="12"/>
  <c r="R206" i="12" s="1"/>
  <c r="D206" i="12"/>
  <c r="Q206" i="12" s="1"/>
  <c r="W206" i="12"/>
  <c r="F200" i="12"/>
  <c r="S200" i="12" s="1"/>
  <c r="Y200" i="12"/>
  <c r="Y200" i="11" s="1"/>
  <c r="D200" i="12"/>
  <c r="Q200" i="12" s="1"/>
  <c r="E200" i="12"/>
  <c r="R200" i="12" s="1"/>
  <c r="W200" i="12"/>
  <c r="AA200" i="12"/>
  <c r="AA200" i="11" s="1"/>
  <c r="E219" i="12"/>
  <c r="R219" i="12" s="1"/>
  <c r="D219" i="12"/>
  <c r="Q219" i="12" s="1"/>
  <c r="W219" i="12"/>
  <c r="F219" i="12"/>
  <c r="S219" i="12" s="1"/>
  <c r="AA219" i="12"/>
  <c r="AA219" i="11" s="1"/>
  <c r="Y219" i="12"/>
  <c r="Y219" i="11" s="1"/>
  <c r="F208" i="12"/>
  <c r="S208" i="12" s="1"/>
  <c r="Y208" i="12"/>
  <c r="Y208" i="11" s="1"/>
  <c r="E208" i="12"/>
  <c r="R208" i="12" s="1"/>
  <c r="D208" i="12"/>
  <c r="Q208" i="12" s="1"/>
  <c r="W208" i="12"/>
  <c r="AA208" i="12"/>
  <c r="AA208" i="11" s="1"/>
  <c r="F199" i="12"/>
  <c r="S199" i="12" s="1"/>
  <c r="E199" i="12"/>
  <c r="R199" i="12" s="1"/>
  <c r="W199" i="12"/>
  <c r="D199" i="12"/>
  <c r="Q199" i="12" s="1"/>
  <c r="Y199" i="12"/>
  <c r="Y199" i="11" s="1"/>
  <c r="AA199" i="12"/>
  <c r="AA199" i="11" s="1"/>
  <c r="F216" i="12"/>
  <c r="S216" i="12" s="1"/>
  <c r="Y216" i="12"/>
  <c r="Y216" i="11" s="1"/>
  <c r="E216" i="12"/>
  <c r="R216" i="12" s="1"/>
  <c r="D216" i="12"/>
  <c r="Q216" i="12" s="1"/>
  <c r="W216" i="12"/>
  <c r="AA216" i="12"/>
  <c r="AA216" i="11" s="1"/>
  <c r="E189" i="12"/>
  <c r="R189" i="12" s="1"/>
  <c r="D189" i="12"/>
  <c r="Q189" i="12" s="1"/>
  <c r="F189" i="12"/>
  <c r="S189" i="12" s="1"/>
  <c r="W189" i="12"/>
  <c r="AA189" i="12"/>
  <c r="AA189" i="11" s="1"/>
  <c r="Y189" i="12"/>
  <c r="Y189" i="11" s="1"/>
  <c r="D202" i="12"/>
  <c r="Q202" i="12" s="1"/>
  <c r="W202" i="12"/>
  <c r="AA202" i="12"/>
  <c r="AA202" i="11" s="1"/>
  <c r="F202" i="12"/>
  <c r="S202" i="12" s="1"/>
  <c r="E202" i="12"/>
  <c r="R202" i="12" s="1"/>
  <c r="Y202" i="12"/>
  <c r="Y202" i="11" s="1"/>
  <c r="AA187" i="12"/>
  <c r="AA187" i="11" s="1"/>
  <c r="F187" i="12"/>
  <c r="S187" i="12" s="1"/>
  <c r="E187" i="12"/>
  <c r="R187" i="12" s="1"/>
  <c r="D187" i="12"/>
  <c r="Q187" i="12" s="1"/>
  <c r="Y187" i="12"/>
  <c r="Y187" i="11" s="1"/>
  <c r="W187" i="12"/>
  <c r="F191" i="12"/>
  <c r="S191" i="12" s="1"/>
  <c r="E191" i="12"/>
  <c r="R191" i="12" s="1"/>
  <c r="W191" i="12"/>
  <c r="D191" i="12"/>
  <c r="Q191" i="12" s="1"/>
  <c r="Y191" i="12"/>
  <c r="Y191" i="11" s="1"/>
  <c r="AA191" i="12"/>
  <c r="AA191" i="11" s="1"/>
  <c r="F185" i="12"/>
  <c r="S185" i="12" s="1"/>
  <c r="Y185" i="12"/>
  <c r="Y185" i="11" s="1"/>
  <c r="E185" i="12"/>
  <c r="R185" i="12" s="1"/>
  <c r="D185" i="12"/>
  <c r="Q185" i="12" s="1"/>
  <c r="AA185" i="12"/>
  <c r="AA185" i="11" s="1"/>
  <c r="W185" i="12"/>
  <c r="G220" i="12"/>
  <c r="G221" i="12" s="1"/>
  <c r="D179" i="12"/>
  <c r="F179" i="12"/>
  <c r="E179" i="12"/>
  <c r="W179" i="12"/>
  <c r="Y179" i="12"/>
  <c r="AA179" i="12"/>
  <c r="AA214" i="12"/>
  <c r="AA214" i="11" s="1"/>
  <c r="F214" i="12"/>
  <c r="S214" i="12" s="1"/>
  <c r="E214" i="12"/>
  <c r="R214" i="12" s="1"/>
  <c r="D214" i="12"/>
  <c r="Q214" i="12" s="1"/>
  <c r="W214" i="12"/>
  <c r="Y214" i="12"/>
  <c r="Y214" i="11" s="1"/>
  <c r="F201" i="12"/>
  <c r="S201" i="12" s="1"/>
  <c r="Y201" i="12"/>
  <c r="Y201" i="11" s="1"/>
  <c r="E201" i="12"/>
  <c r="R201" i="12" s="1"/>
  <c r="D201" i="12"/>
  <c r="Q201" i="12" s="1"/>
  <c r="W201" i="12"/>
  <c r="AA201" i="12"/>
  <c r="AA201" i="11" s="1"/>
  <c r="F190" i="12"/>
  <c r="S190" i="12" s="1"/>
  <c r="Y190" i="12"/>
  <c r="Y190" i="11" s="1"/>
  <c r="E190" i="12"/>
  <c r="R190" i="12" s="1"/>
  <c r="D190" i="12"/>
  <c r="Q190" i="12" s="1"/>
  <c r="W190" i="12"/>
  <c r="AA190" i="12"/>
  <c r="AA190" i="11" s="1"/>
  <c r="F209" i="12"/>
  <c r="S209" i="12" s="1"/>
  <c r="Y209" i="12"/>
  <c r="Y209" i="11" s="1"/>
  <c r="E209" i="12"/>
  <c r="R209" i="12" s="1"/>
  <c r="D209" i="12"/>
  <c r="Q209" i="12" s="1"/>
  <c r="W209" i="12"/>
  <c r="AA209" i="12"/>
  <c r="AA209" i="11" s="1"/>
  <c r="F204" i="12"/>
  <c r="S204" i="12" s="1"/>
  <c r="Y204" i="12"/>
  <c r="Y204" i="11" s="1"/>
  <c r="E204" i="12"/>
  <c r="R204" i="12" s="1"/>
  <c r="D204" i="12"/>
  <c r="Q204" i="12" s="1"/>
  <c r="W204" i="12"/>
  <c r="AA204" i="12"/>
  <c r="AA204" i="11" s="1"/>
  <c r="Y193" i="12"/>
  <c r="Y193" i="11" s="1"/>
  <c r="E193" i="12"/>
  <c r="R193" i="12" s="1"/>
  <c r="D193" i="12"/>
  <c r="Q193" i="12" s="1"/>
  <c r="F193" i="12"/>
  <c r="S193" i="12" s="1"/>
  <c r="W193" i="12"/>
  <c r="AA193" i="12"/>
  <c r="AA193" i="11" s="1"/>
  <c r="F188" i="12"/>
  <c r="S188" i="12" s="1"/>
  <c r="Y188" i="12"/>
  <c r="Y188" i="11" s="1"/>
  <c r="E188" i="12"/>
  <c r="R188" i="12" s="1"/>
  <c r="D188" i="12"/>
  <c r="Q188" i="12" s="1"/>
  <c r="W188" i="12"/>
  <c r="AA188" i="12"/>
  <c r="AA188" i="11" s="1"/>
  <c r="F205" i="12"/>
  <c r="S205" i="12" s="1"/>
  <c r="E205" i="12"/>
  <c r="R205" i="12" s="1"/>
  <c r="D205" i="12"/>
  <c r="Q205" i="12" s="1"/>
  <c r="Y205" i="12"/>
  <c r="Y205" i="11" s="1"/>
  <c r="W205" i="12"/>
  <c r="AA205" i="12"/>
  <c r="AA205" i="11" s="1"/>
  <c r="F212" i="12"/>
  <c r="S212" i="12" s="1"/>
  <c r="Y212" i="12"/>
  <c r="Y212" i="11" s="1"/>
  <c r="E212" i="12"/>
  <c r="R212" i="12" s="1"/>
  <c r="D212" i="12"/>
  <c r="Q212" i="12" s="1"/>
  <c r="AA212" i="12"/>
  <c r="AA212" i="11" s="1"/>
  <c r="W212" i="12"/>
  <c r="F186" i="12"/>
  <c r="S186" i="12" s="1"/>
  <c r="E186" i="12"/>
  <c r="R186" i="12" s="1"/>
  <c r="D186" i="12"/>
  <c r="Q186" i="12" s="1"/>
  <c r="W186" i="12"/>
  <c r="AA186" i="12"/>
  <c r="AA186" i="11" s="1"/>
  <c r="Y186" i="12"/>
  <c r="Y186" i="11" s="1"/>
  <c r="F222" i="12"/>
  <c r="E222" i="12"/>
  <c r="D222" i="12"/>
  <c r="F181" i="12"/>
  <c r="S181" i="12" s="1"/>
  <c r="E181" i="12"/>
  <c r="R181" i="12" s="1"/>
  <c r="D181" i="12"/>
  <c r="Q181" i="12" s="1"/>
  <c r="AA181" i="12"/>
  <c r="AA181" i="11" s="1"/>
  <c r="W181" i="12"/>
  <c r="Y181" i="12"/>
  <c r="Y181" i="11" s="1"/>
  <c r="E211" i="12"/>
  <c r="R211" i="12" s="1"/>
  <c r="D211" i="12"/>
  <c r="Q211" i="12" s="1"/>
  <c r="W211" i="12"/>
  <c r="AA211" i="12"/>
  <c r="AA211" i="11" s="1"/>
  <c r="F211" i="12"/>
  <c r="S211" i="12" s="1"/>
  <c r="Y211" i="12"/>
  <c r="Y211" i="11" s="1"/>
  <c r="F207" i="12"/>
  <c r="S207" i="12" s="1"/>
  <c r="E207" i="12"/>
  <c r="R207" i="12" s="1"/>
  <c r="D207" i="12"/>
  <c r="Q207" i="12" s="1"/>
  <c r="W207" i="12"/>
  <c r="Y207" i="12"/>
  <c r="Y207" i="11" s="1"/>
  <c r="AA207" i="12"/>
  <c r="AA207" i="11" s="1"/>
  <c r="D183" i="12"/>
  <c r="Q183" i="12" s="1"/>
  <c r="W183" i="12"/>
  <c r="F183" i="12"/>
  <c r="S183" i="12" s="1"/>
  <c r="E183" i="12"/>
  <c r="R183" i="12" s="1"/>
  <c r="Y183" i="12"/>
  <c r="Y183" i="11" s="1"/>
  <c r="AA183" i="12"/>
  <c r="AA183" i="11" s="1"/>
  <c r="E184" i="12"/>
  <c r="R184" i="12" s="1"/>
  <c r="D184" i="12"/>
  <c r="Q184" i="12" s="1"/>
  <c r="AA184" i="12"/>
  <c r="AA184" i="11" s="1"/>
  <c r="F184" i="12"/>
  <c r="S184" i="12" s="1"/>
  <c r="W184" i="12"/>
  <c r="Y184" i="12"/>
  <c r="Y184" i="11" s="1"/>
  <c r="F213" i="12"/>
  <c r="S213" i="12" s="1"/>
  <c r="Y213" i="12"/>
  <c r="Y213" i="11" s="1"/>
  <c r="E213" i="12"/>
  <c r="R213" i="12" s="1"/>
  <c r="D213" i="12"/>
  <c r="Q213" i="12" s="1"/>
  <c r="AA213" i="12"/>
  <c r="AA213" i="11" s="1"/>
  <c r="W213" i="12"/>
  <c r="D194" i="12"/>
  <c r="Q194" i="12" s="1"/>
  <c r="F194" i="12"/>
  <c r="S194" i="12" s="1"/>
  <c r="Y194" i="12"/>
  <c r="Y194" i="11" s="1"/>
  <c r="E194" i="12"/>
  <c r="R194" i="12" s="1"/>
  <c r="W194" i="12"/>
  <c r="AA194" i="12"/>
  <c r="AA194" i="11" s="1"/>
  <c r="D218" i="12"/>
  <c r="Q218" i="12" s="1"/>
  <c r="W218" i="12"/>
  <c r="AA218" i="12"/>
  <c r="AA218" i="11" s="1"/>
  <c r="F218" i="12"/>
  <c r="S218" i="12" s="1"/>
  <c r="E218" i="12"/>
  <c r="R218" i="12" s="1"/>
  <c r="Y218" i="12"/>
  <c r="Y218" i="11" s="1"/>
  <c r="E195" i="12"/>
  <c r="R195" i="12" s="1"/>
  <c r="AA195" i="12"/>
  <c r="AA195" i="11" s="1"/>
  <c r="F195" i="12"/>
  <c r="S195" i="12" s="1"/>
  <c r="D195" i="12"/>
  <c r="Q195" i="12" s="1"/>
  <c r="Y195" i="12"/>
  <c r="Y195" i="11" s="1"/>
  <c r="W195" i="12"/>
  <c r="F197" i="12"/>
  <c r="S197" i="12" s="1"/>
  <c r="E197" i="12"/>
  <c r="R197" i="12" s="1"/>
  <c r="D197" i="12"/>
  <c r="Q197" i="12" s="1"/>
  <c r="W197" i="12"/>
  <c r="Y197" i="12"/>
  <c r="Y197" i="11" s="1"/>
  <c r="AA197" i="12"/>
  <c r="AA197" i="11" s="1"/>
  <c r="AE218" i="12"/>
  <c r="AE218" i="11" s="1"/>
  <c r="AE210" i="12"/>
  <c r="AE210" i="11" s="1"/>
  <c r="AE202" i="12"/>
  <c r="AE202" i="11" s="1"/>
  <c r="AE194" i="12"/>
  <c r="AE194" i="11" s="1"/>
  <c r="AE186" i="12"/>
  <c r="AE186" i="11" s="1"/>
  <c r="AE217" i="12"/>
  <c r="AE217" i="11" s="1"/>
  <c r="AE209" i="12"/>
  <c r="AE209" i="11" s="1"/>
  <c r="AE201" i="12"/>
  <c r="AE201" i="11" s="1"/>
  <c r="AE193" i="12"/>
  <c r="AE193" i="11" s="1"/>
  <c r="AE185" i="12"/>
  <c r="AE185" i="11" s="1"/>
  <c r="AE216" i="12"/>
  <c r="AE216" i="11" s="1"/>
  <c r="AE208" i="12"/>
  <c r="AE208" i="11" s="1"/>
  <c r="AE200" i="12"/>
  <c r="AE200" i="11" s="1"/>
  <c r="AE192" i="12"/>
  <c r="AE192" i="11" s="1"/>
  <c r="AE184" i="12"/>
  <c r="AE184" i="11" s="1"/>
  <c r="AE215" i="12"/>
  <c r="AE215" i="11" s="1"/>
  <c r="AE207" i="12"/>
  <c r="AE207" i="11" s="1"/>
  <c r="AE199" i="12"/>
  <c r="AE199" i="11" s="1"/>
  <c r="AE191" i="12"/>
  <c r="AE191" i="11" s="1"/>
  <c r="AE183" i="12"/>
  <c r="AE183" i="11" s="1"/>
  <c r="AE204" i="12"/>
  <c r="AE204" i="11" s="1"/>
  <c r="AE180" i="12"/>
  <c r="AE180" i="11" s="1"/>
  <c r="AE214" i="12"/>
  <c r="AE214" i="11" s="1"/>
  <c r="AE206" i="12"/>
  <c r="AE206" i="11" s="1"/>
  <c r="AE198" i="12"/>
  <c r="AE198" i="11" s="1"/>
  <c r="AE190" i="12"/>
  <c r="AE190" i="11" s="1"/>
  <c r="AE182" i="12"/>
  <c r="AE182" i="11" s="1"/>
  <c r="AE196" i="12"/>
  <c r="AE196" i="11" s="1"/>
  <c r="AE213" i="12"/>
  <c r="AE213" i="11" s="1"/>
  <c r="AE205" i="12"/>
  <c r="AE205" i="11" s="1"/>
  <c r="AE197" i="12"/>
  <c r="AE197" i="11" s="1"/>
  <c r="AE189" i="12"/>
  <c r="AE189" i="11" s="1"/>
  <c r="AE181" i="12"/>
  <c r="AE181" i="11" s="1"/>
  <c r="AE212" i="12"/>
  <c r="AE212" i="11" s="1"/>
  <c r="AE188" i="12"/>
  <c r="AE188" i="11" s="1"/>
  <c r="AE219" i="12"/>
  <c r="AE219" i="11" s="1"/>
  <c r="AE211" i="12"/>
  <c r="AE211" i="11" s="1"/>
  <c r="AE203" i="12"/>
  <c r="AE203" i="11" s="1"/>
  <c r="AE195" i="12"/>
  <c r="AE195" i="11" s="1"/>
  <c r="AE187" i="12"/>
  <c r="AE187" i="11" s="1"/>
  <c r="AE179" i="12"/>
  <c r="F162" i="12"/>
  <c r="S162" i="12" s="1"/>
  <c r="E162" i="12"/>
  <c r="R162" i="12" s="1"/>
  <c r="D162" i="12"/>
  <c r="Q162" i="12" s="1"/>
  <c r="AA162" i="12"/>
  <c r="AA162" i="11" s="1"/>
  <c r="W162" i="12"/>
  <c r="Y162" i="12"/>
  <c r="Y162" i="11" s="1"/>
  <c r="AA133" i="12"/>
  <c r="AA133" i="11" s="1"/>
  <c r="F133" i="12"/>
  <c r="S133" i="12" s="1"/>
  <c r="E133" i="12"/>
  <c r="R133" i="12" s="1"/>
  <c r="D133" i="12"/>
  <c r="Q133" i="12" s="1"/>
  <c r="W133" i="12"/>
  <c r="Y133" i="12"/>
  <c r="Y133" i="11" s="1"/>
  <c r="E138" i="12"/>
  <c r="R138" i="12" s="1"/>
  <c r="D138" i="12"/>
  <c r="Q138" i="12" s="1"/>
  <c r="W138" i="12"/>
  <c r="F138" i="12"/>
  <c r="S138" i="12" s="1"/>
  <c r="Y138" i="12"/>
  <c r="Y138" i="11" s="1"/>
  <c r="AA138" i="12"/>
  <c r="AA138" i="11" s="1"/>
  <c r="F131" i="12"/>
  <c r="S131" i="12" s="1"/>
  <c r="Y131" i="12"/>
  <c r="E131" i="12"/>
  <c r="R131" i="12" s="1"/>
  <c r="D131" i="12"/>
  <c r="Q131" i="12" s="1"/>
  <c r="AA131" i="12"/>
  <c r="AA131" i="11" s="1"/>
  <c r="W131" i="12"/>
  <c r="F132" i="12"/>
  <c r="S132" i="12" s="1"/>
  <c r="Y132" i="12"/>
  <c r="E132" i="12"/>
  <c r="R132" i="12" s="1"/>
  <c r="D132" i="12"/>
  <c r="Q132" i="12" s="1"/>
  <c r="W132" i="12"/>
  <c r="AA132" i="12"/>
  <c r="AA132" i="11" s="1"/>
  <c r="AA134" i="12"/>
  <c r="AA134" i="11" s="1"/>
  <c r="F134" i="12"/>
  <c r="S134" i="12" s="1"/>
  <c r="Y134" i="12"/>
  <c r="Y134" i="11" s="1"/>
  <c r="E134" i="12"/>
  <c r="R134" i="12" s="1"/>
  <c r="D134" i="12"/>
  <c r="Q134" i="12" s="1"/>
  <c r="W134" i="12"/>
  <c r="W167" i="12"/>
  <c r="F167" i="12"/>
  <c r="S167" i="12" s="1"/>
  <c r="E167" i="12"/>
  <c r="R167" i="12" s="1"/>
  <c r="D167" i="12"/>
  <c r="Q167" i="12" s="1"/>
  <c r="AA167" i="12"/>
  <c r="AA167" i="11" s="1"/>
  <c r="Y167" i="12"/>
  <c r="Y167" i="11" s="1"/>
  <c r="D160" i="12"/>
  <c r="Q160" i="12" s="1"/>
  <c r="AA160" i="12"/>
  <c r="AA160" i="11" s="1"/>
  <c r="F160" i="12"/>
  <c r="S160" i="12" s="1"/>
  <c r="Y160" i="12"/>
  <c r="Y160" i="11" s="1"/>
  <c r="E160" i="12"/>
  <c r="R160" i="12" s="1"/>
  <c r="W160" i="12"/>
  <c r="F149" i="12"/>
  <c r="S149" i="12" s="1"/>
  <c r="Y149" i="12"/>
  <c r="Y149" i="11" s="1"/>
  <c r="E149" i="12"/>
  <c r="R149" i="12" s="1"/>
  <c r="D149" i="12"/>
  <c r="Q149" i="12" s="1"/>
  <c r="AA149" i="12"/>
  <c r="AA149" i="11" s="1"/>
  <c r="W149" i="12"/>
  <c r="AA147" i="12"/>
  <c r="AA147" i="11" s="1"/>
  <c r="F147" i="12"/>
  <c r="S147" i="12" s="1"/>
  <c r="E147" i="12"/>
  <c r="R147" i="12" s="1"/>
  <c r="D147" i="12"/>
  <c r="Q147" i="12" s="1"/>
  <c r="W147" i="12"/>
  <c r="Y147" i="12"/>
  <c r="Y147" i="11" s="1"/>
  <c r="F157" i="12"/>
  <c r="S157" i="12" s="1"/>
  <c r="D157" i="12"/>
  <c r="Q157" i="12" s="1"/>
  <c r="Y157" i="12"/>
  <c r="Y157" i="11" s="1"/>
  <c r="E157" i="12"/>
  <c r="R157" i="12" s="1"/>
  <c r="W157" i="12"/>
  <c r="AA157" i="12"/>
  <c r="AA157" i="11" s="1"/>
  <c r="W151" i="12"/>
  <c r="F151" i="12"/>
  <c r="S151" i="12" s="1"/>
  <c r="E151" i="12"/>
  <c r="R151" i="12" s="1"/>
  <c r="D151" i="12"/>
  <c r="Q151" i="12" s="1"/>
  <c r="AA151" i="12"/>
  <c r="AA151" i="11" s="1"/>
  <c r="Y151" i="12"/>
  <c r="Y151" i="11" s="1"/>
  <c r="D152" i="12"/>
  <c r="Q152" i="12" s="1"/>
  <c r="AA152" i="12"/>
  <c r="AA152" i="11" s="1"/>
  <c r="F152" i="12"/>
  <c r="S152" i="12" s="1"/>
  <c r="Y152" i="12"/>
  <c r="Y152" i="11" s="1"/>
  <c r="E152" i="12"/>
  <c r="R152" i="12" s="1"/>
  <c r="W152" i="12"/>
  <c r="F146" i="12"/>
  <c r="S146" i="12" s="1"/>
  <c r="Y146" i="12"/>
  <c r="Y146" i="11" s="1"/>
  <c r="E146" i="12"/>
  <c r="R146" i="12" s="1"/>
  <c r="D146" i="12"/>
  <c r="Q146" i="12" s="1"/>
  <c r="AA146" i="12"/>
  <c r="AA146" i="11" s="1"/>
  <c r="W146" i="12"/>
  <c r="Y169" i="12"/>
  <c r="Y169" i="11" s="1"/>
  <c r="E169" i="12"/>
  <c r="R169" i="12" s="1"/>
  <c r="D169" i="12"/>
  <c r="Q169" i="12" s="1"/>
  <c r="F169" i="12"/>
  <c r="S169" i="12" s="1"/>
  <c r="W169" i="12"/>
  <c r="AA169" i="12"/>
  <c r="AA169" i="11" s="1"/>
  <c r="F139" i="12"/>
  <c r="S139" i="12" s="1"/>
  <c r="E139" i="12"/>
  <c r="R139" i="12" s="1"/>
  <c r="D139" i="12"/>
  <c r="Q139" i="12" s="1"/>
  <c r="AA139" i="12"/>
  <c r="AA139" i="11" s="1"/>
  <c r="W139" i="12"/>
  <c r="Y139" i="12"/>
  <c r="Y139" i="11" s="1"/>
  <c r="AA163" i="12"/>
  <c r="AA163" i="11" s="1"/>
  <c r="F163" i="12"/>
  <c r="S163" i="12" s="1"/>
  <c r="E163" i="12"/>
  <c r="R163" i="12" s="1"/>
  <c r="D163" i="12"/>
  <c r="Q163" i="12" s="1"/>
  <c r="W163" i="12"/>
  <c r="Y163" i="12"/>
  <c r="Y163" i="11" s="1"/>
  <c r="F165" i="12"/>
  <c r="S165" i="12" s="1"/>
  <c r="D165" i="12"/>
  <c r="Q165" i="12" s="1"/>
  <c r="Y165" i="12"/>
  <c r="Y165" i="11" s="1"/>
  <c r="E165" i="12"/>
  <c r="R165" i="12" s="1"/>
  <c r="AA165" i="12"/>
  <c r="AA165" i="11" s="1"/>
  <c r="W165" i="12"/>
  <c r="F164" i="12"/>
  <c r="S164" i="12" s="1"/>
  <c r="E164" i="12"/>
  <c r="R164" i="12" s="1"/>
  <c r="W164" i="12"/>
  <c r="D164" i="12"/>
  <c r="Q164" i="12" s="1"/>
  <c r="Y164" i="12"/>
  <c r="Y164" i="11" s="1"/>
  <c r="AA164" i="12"/>
  <c r="AA164" i="11" s="1"/>
  <c r="F141" i="12"/>
  <c r="S141" i="12" s="1"/>
  <c r="W141" i="12"/>
  <c r="E141" i="12"/>
  <c r="R141" i="12" s="1"/>
  <c r="D141" i="12"/>
  <c r="Q141" i="12" s="1"/>
  <c r="Y141" i="12"/>
  <c r="Y141" i="11" s="1"/>
  <c r="AA141" i="12"/>
  <c r="AA141" i="11" s="1"/>
  <c r="E130" i="12"/>
  <c r="R130" i="12" s="1"/>
  <c r="D130" i="12"/>
  <c r="Q130" i="12" s="1"/>
  <c r="F130" i="12"/>
  <c r="S130" i="12" s="1"/>
  <c r="AA130" i="12"/>
  <c r="AA130" i="11" s="1"/>
  <c r="Y130" i="12"/>
  <c r="F129" i="12"/>
  <c r="E129" i="12"/>
  <c r="D129" i="12"/>
  <c r="G170" i="12"/>
  <c r="G171" i="12" s="1"/>
  <c r="AA129" i="12"/>
  <c r="Y129" i="12"/>
  <c r="W129" i="12"/>
  <c r="Y161" i="12"/>
  <c r="Y161" i="11" s="1"/>
  <c r="E161" i="12"/>
  <c r="R161" i="12" s="1"/>
  <c r="D161" i="12"/>
  <c r="Q161" i="12" s="1"/>
  <c r="F161" i="12"/>
  <c r="S161" i="12" s="1"/>
  <c r="AA161" i="12"/>
  <c r="AA161" i="11" s="1"/>
  <c r="W161" i="12"/>
  <c r="Y142" i="12"/>
  <c r="Y142" i="11" s="1"/>
  <c r="F142" i="12"/>
  <c r="S142" i="12" s="1"/>
  <c r="E142" i="12"/>
  <c r="R142" i="12" s="1"/>
  <c r="W142" i="12"/>
  <c r="D142" i="12"/>
  <c r="Q142" i="12" s="1"/>
  <c r="AA142" i="12"/>
  <c r="AA142" i="11" s="1"/>
  <c r="F148" i="12"/>
  <c r="S148" i="12" s="1"/>
  <c r="E148" i="12"/>
  <c r="R148" i="12" s="1"/>
  <c r="D148" i="12"/>
  <c r="Q148" i="12" s="1"/>
  <c r="W148" i="12"/>
  <c r="AA148" i="12"/>
  <c r="AA148" i="11" s="1"/>
  <c r="Y148" i="12"/>
  <c r="Y148" i="11" s="1"/>
  <c r="Y145" i="12"/>
  <c r="Y145" i="11" s="1"/>
  <c r="E145" i="12"/>
  <c r="R145" i="12" s="1"/>
  <c r="D145" i="12"/>
  <c r="Q145" i="12" s="1"/>
  <c r="F145" i="12"/>
  <c r="S145" i="12" s="1"/>
  <c r="AA145" i="12"/>
  <c r="AA145" i="11" s="1"/>
  <c r="W145" i="12"/>
  <c r="E136" i="12"/>
  <c r="R136" i="12" s="1"/>
  <c r="AA136" i="12"/>
  <c r="AA136" i="11" s="1"/>
  <c r="F136" i="12"/>
  <c r="S136" i="12" s="1"/>
  <c r="D136" i="12"/>
  <c r="Q136" i="12" s="1"/>
  <c r="W136" i="12"/>
  <c r="Y136" i="12"/>
  <c r="Y136" i="11" s="1"/>
  <c r="Y150" i="12"/>
  <c r="Y150" i="11" s="1"/>
  <c r="E150" i="12"/>
  <c r="R150" i="12" s="1"/>
  <c r="D150" i="12"/>
  <c r="Q150" i="12" s="1"/>
  <c r="W150" i="12"/>
  <c r="F150" i="12"/>
  <c r="S150" i="12" s="1"/>
  <c r="AA150" i="12"/>
  <c r="AA150" i="11" s="1"/>
  <c r="F154" i="12"/>
  <c r="S154" i="12" s="1"/>
  <c r="E154" i="12"/>
  <c r="R154" i="12" s="1"/>
  <c r="D154" i="12"/>
  <c r="Q154" i="12" s="1"/>
  <c r="AA154" i="12"/>
  <c r="AA154" i="11" s="1"/>
  <c r="W154" i="12"/>
  <c r="Y154" i="12"/>
  <c r="Y154" i="11" s="1"/>
  <c r="D168" i="12"/>
  <c r="Q168" i="12" s="1"/>
  <c r="W168" i="12"/>
  <c r="AA168" i="12"/>
  <c r="AA168" i="11" s="1"/>
  <c r="F168" i="12"/>
  <c r="S168" i="12" s="1"/>
  <c r="Y168" i="12"/>
  <c r="Y168" i="11" s="1"/>
  <c r="E168" i="12"/>
  <c r="R168" i="12" s="1"/>
  <c r="F156" i="12"/>
  <c r="S156" i="12" s="1"/>
  <c r="E156" i="12"/>
  <c r="R156" i="12" s="1"/>
  <c r="W156" i="12"/>
  <c r="D156" i="12"/>
  <c r="Q156" i="12" s="1"/>
  <c r="AA156" i="12"/>
  <c r="AA156" i="11" s="1"/>
  <c r="Y156" i="12"/>
  <c r="Y156" i="11" s="1"/>
  <c r="Y153" i="12"/>
  <c r="Y153" i="11" s="1"/>
  <c r="E153" i="12"/>
  <c r="R153" i="12" s="1"/>
  <c r="D153" i="12"/>
  <c r="Q153" i="12" s="1"/>
  <c r="F153" i="12"/>
  <c r="S153" i="12" s="1"/>
  <c r="AA153" i="12"/>
  <c r="AA153" i="11" s="1"/>
  <c r="W153" i="12"/>
  <c r="W159" i="12"/>
  <c r="F159" i="12"/>
  <c r="S159" i="12" s="1"/>
  <c r="E159" i="12"/>
  <c r="R159" i="12" s="1"/>
  <c r="D159" i="12"/>
  <c r="Q159" i="12" s="1"/>
  <c r="AA159" i="12"/>
  <c r="AA159" i="11" s="1"/>
  <c r="Y159" i="12"/>
  <c r="Y159" i="11" s="1"/>
  <c r="Y166" i="12"/>
  <c r="Y166" i="11" s="1"/>
  <c r="E166" i="12"/>
  <c r="R166" i="12" s="1"/>
  <c r="D166" i="12"/>
  <c r="Q166" i="12" s="1"/>
  <c r="W166" i="12"/>
  <c r="F166" i="12"/>
  <c r="S166" i="12" s="1"/>
  <c r="AA166" i="12"/>
  <c r="AA166" i="11" s="1"/>
  <c r="D137" i="12"/>
  <c r="Q137" i="12" s="1"/>
  <c r="F137" i="12"/>
  <c r="S137" i="12" s="1"/>
  <c r="E137" i="12"/>
  <c r="R137" i="12" s="1"/>
  <c r="Y137" i="12"/>
  <c r="Y137" i="11" s="1"/>
  <c r="AA137" i="12"/>
  <c r="AA137" i="11" s="1"/>
  <c r="W137" i="12"/>
  <c r="D144" i="12"/>
  <c r="Q144" i="12" s="1"/>
  <c r="F144" i="12"/>
  <c r="S144" i="12" s="1"/>
  <c r="AA144" i="12"/>
  <c r="AA144" i="11" s="1"/>
  <c r="Y144" i="12"/>
  <c r="Y144" i="11" s="1"/>
  <c r="E144" i="12"/>
  <c r="R144" i="12" s="1"/>
  <c r="W144" i="12"/>
  <c r="F140" i="12"/>
  <c r="S140" i="12" s="1"/>
  <c r="E140" i="12"/>
  <c r="R140" i="12" s="1"/>
  <c r="W140" i="12"/>
  <c r="D140" i="12"/>
  <c r="Q140" i="12" s="1"/>
  <c r="Y140" i="12"/>
  <c r="Y140" i="11" s="1"/>
  <c r="AA140" i="12"/>
  <c r="AA140" i="11" s="1"/>
  <c r="E172" i="12"/>
  <c r="D172" i="12"/>
  <c r="F172" i="12"/>
  <c r="AE164" i="12"/>
  <c r="AE164" i="11" s="1"/>
  <c r="AE156" i="12"/>
  <c r="AE156" i="11" s="1"/>
  <c r="AE148" i="12"/>
  <c r="AE148" i="11" s="1"/>
  <c r="AE140" i="12"/>
  <c r="AE140" i="11" s="1"/>
  <c r="AE132" i="12"/>
  <c r="AE132" i="11" s="1"/>
  <c r="AE163" i="12"/>
  <c r="AE163" i="11" s="1"/>
  <c r="AE155" i="12"/>
  <c r="AE155" i="11" s="1"/>
  <c r="AE147" i="12"/>
  <c r="AE147" i="11" s="1"/>
  <c r="AE139" i="12"/>
  <c r="AE139" i="11" s="1"/>
  <c r="AE131" i="12"/>
  <c r="AE131" i="11" s="1"/>
  <c r="AE162" i="12"/>
  <c r="AE162" i="11" s="1"/>
  <c r="AE154" i="12"/>
  <c r="AE154" i="11" s="1"/>
  <c r="AE146" i="12"/>
  <c r="AE146" i="11" s="1"/>
  <c r="AE138" i="12"/>
  <c r="AE138" i="11" s="1"/>
  <c r="AE130" i="12"/>
  <c r="AE130" i="11" s="1"/>
  <c r="AE169" i="12"/>
  <c r="AE169" i="11" s="1"/>
  <c r="AE161" i="12"/>
  <c r="AE161" i="11" s="1"/>
  <c r="AE153" i="12"/>
  <c r="AE153" i="11" s="1"/>
  <c r="AE145" i="12"/>
  <c r="AE145" i="11" s="1"/>
  <c r="AE137" i="12"/>
  <c r="AE137" i="11" s="1"/>
  <c r="AE129" i="12"/>
  <c r="AE160" i="12"/>
  <c r="AE160" i="11" s="1"/>
  <c r="AE152" i="12"/>
  <c r="AE152" i="11" s="1"/>
  <c r="AE136" i="12"/>
  <c r="AE136" i="11" s="1"/>
  <c r="AE168" i="12"/>
  <c r="AE168" i="11" s="1"/>
  <c r="AE144" i="12"/>
  <c r="AE144" i="11" s="1"/>
  <c r="AE167" i="12"/>
  <c r="AE167" i="11" s="1"/>
  <c r="AE159" i="12"/>
  <c r="AE159" i="11" s="1"/>
  <c r="AE151" i="12"/>
  <c r="AE151" i="11" s="1"/>
  <c r="AE143" i="12"/>
  <c r="AE143" i="11" s="1"/>
  <c r="AE135" i="12"/>
  <c r="AE135" i="11" s="1"/>
  <c r="AE157" i="12"/>
  <c r="AE157" i="11" s="1"/>
  <c r="AE134" i="12"/>
  <c r="AE134" i="11" s="1"/>
  <c r="AE133" i="12"/>
  <c r="AE133" i="11" s="1"/>
  <c r="AE150" i="12"/>
  <c r="AE150" i="11" s="1"/>
  <c r="AE149" i="12"/>
  <c r="AE149" i="11" s="1"/>
  <c r="AE158" i="12"/>
  <c r="AE158" i="11" s="1"/>
  <c r="AE142" i="12"/>
  <c r="AE142" i="11" s="1"/>
  <c r="AE141" i="12"/>
  <c r="AE141" i="11" s="1"/>
  <c r="AE165" i="12"/>
  <c r="AE165" i="11" s="1"/>
  <c r="AE166" i="12"/>
  <c r="AE166" i="11" s="1"/>
  <c r="Y158" i="12"/>
  <c r="Y158" i="11" s="1"/>
  <c r="E158" i="12"/>
  <c r="R158" i="12" s="1"/>
  <c r="D158" i="12"/>
  <c r="Q158" i="12" s="1"/>
  <c r="W158" i="12"/>
  <c r="F158" i="12"/>
  <c r="S158" i="12" s="1"/>
  <c r="AA158" i="12"/>
  <c r="AA158" i="11" s="1"/>
  <c r="W143" i="12"/>
  <c r="E143" i="12"/>
  <c r="R143" i="12" s="1"/>
  <c r="F143" i="12"/>
  <c r="S143" i="12" s="1"/>
  <c r="D143" i="12"/>
  <c r="Q143" i="12" s="1"/>
  <c r="Y143" i="12"/>
  <c r="Y143" i="11" s="1"/>
  <c r="AA143" i="12"/>
  <c r="AA143" i="11" s="1"/>
  <c r="AA155" i="12"/>
  <c r="AA155" i="11" s="1"/>
  <c r="F155" i="12"/>
  <c r="S155" i="12" s="1"/>
  <c r="E155" i="12"/>
  <c r="R155" i="12" s="1"/>
  <c r="D155" i="12"/>
  <c r="Q155" i="12" s="1"/>
  <c r="W155" i="12"/>
  <c r="Y155" i="12"/>
  <c r="Y155" i="11" s="1"/>
  <c r="D135" i="12"/>
  <c r="Q135" i="12" s="1"/>
  <c r="F135" i="12"/>
  <c r="S135" i="12" s="1"/>
  <c r="E135" i="12"/>
  <c r="R135" i="12" s="1"/>
  <c r="W135" i="12"/>
  <c r="Y135" i="12"/>
  <c r="Y135" i="11" s="1"/>
  <c r="AA135" i="12"/>
  <c r="AA135" i="11" s="1"/>
  <c r="AK29" i="12"/>
  <c r="E72" i="12"/>
  <c r="D72" i="12"/>
  <c r="F72" i="12"/>
  <c r="AY12" i="12"/>
  <c r="G164" i="11"/>
  <c r="G233" i="11"/>
  <c r="G234" i="11"/>
  <c r="G254" i="11"/>
  <c r="G256" i="11"/>
  <c r="G241" i="11"/>
  <c r="G189" i="11"/>
  <c r="G217" i="11"/>
  <c r="G202" i="11"/>
  <c r="G207" i="11"/>
  <c r="G188" i="11"/>
  <c r="G165" i="11"/>
  <c r="G261" i="11"/>
  <c r="G205" i="11"/>
  <c r="G181" i="11"/>
  <c r="G131" i="11"/>
  <c r="G134" i="11"/>
  <c r="G138" i="11"/>
  <c r="G158" i="11"/>
  <c r="G146" i="11"/>
  <c r="G133" i="11"/>
  <c r="AX12" i="12"/>
  <c r="G267" i="11"/>
  <c r="G269" i="11"/>
  <c r="G258" i="11"/>
  <c r="G263" i="11"/>
  <c r="G235" i="11"/>
  <c r="G179" i="11"/>
  <c r="G198" i="11"/>
  <c r="G194" i="11"/>
  <c r="G197" i="11"/>
  <c r="G199" i="11"/>
  <c r="G196" i="11"/>
  <c r="G160" i="11"/>
  <c r="G239" i="11"/>
  <c r="G253" i="11"/>
  <c r="G152" i="11"/>
  <c r="G145" i="11"/>
  <c r="G151" i="11"/>
  <c r="G166" i="11"/>
  <c r="G136" i="11"/>
  <c r="G156" i="11"/>
  <c r="G149" i="11"/>
  <c r="G247" i="11"/>
  <c r="G259" i="11"/>
  <c r="G262" i="11"/>
  <c r="G249" i="11"/>
  <c r="G240" i="11"/>
  <c r="G203" i="11"/>
  <c r="G218" i="11"/>
  <c r="G214" i="11"/>
  <c r="G211" i="11"/>
  <c r="G192" i="11"/>
  <c r="G182" i="11"/>
  <c r="G135" i="11"/>
  <c r="G245" i="11"/>
  <c r="G215" i="11"/>
  <c r="G185" i="11"/>
  <c r="G148" i="11"/>
  <c r="G137" i="11"/>
  <c r="G153" i="11"/>
  <c r="G167" i="11"/>
  <c r="G150" i="11"/>
  <c r="G142" i="11"/>
  <c r="G155" i="11"/>
  <c r="G229" i="11"/>
  <c r="G251" i="11"/>
  <c r="G238" i="11"/>
  <c r="G250" i="11"/>
  <c r="G244" i="11"/>
  <c r="G232" i="11"/>
  <c r="G206" i="11"/>
  <c r="G213" i="11"/>
  <c r="G200" i="11"/>
  <c r="G209" i="11"/>
  <c r="G208" i="11"/>
  <c r="G168" i="11"/>
  <c r="G159" i="11"/>
  <c r="G154" i="11"/>
  <c r="G141" i="11"/>
  <c r="G231" i="11"/>
  <c r="G243" i="11"/>
  <c r="G248" i="11"/>
  <c r="G255" i="11"/>
  <c r="G246" i="11"/>
  <c r="G201" i="11"/>
  <c r="G216" i="11"/>
  <c r="G187" i="11"/>
  <c r="G193" i="11"/>
  <c r="G190" i="11"/>
  <c r="G279" i="12"/>
  <c r="G29" i="11"/>
  <c r="G163" i="11"/>
  <c r="G129" i="11"/>
  <c r="G143" i="11"/>
  <c r="G161" i="11"/>
  <c r="G140" i="11"/>
  <c r="G139" i="11"/>
  <c r="G157" i="11"/>
  <c r="G260" i="11"/>
  <c r="G264" i="11"/>
  <c r="G268" i="11"/>
  <c r="G237" i="11"/>
  <c r="G257" i="11"/>
  <c r="G191" i="11"/>
  <c r="G219" i="11"/>
  <c r="G183" i="11"/>
  <c r="G212" i="11"/>
  <c r="G180" i="11"/>
  <c r="G230" i="11"/>
  <c r="G132" i="11"/>
  <c r="G169" i="11"/>
  <c r="G162" i="11"/>
  <c r="G144" i="11"/>
  <c r="G147" i="11"/>
  <c r="G130" i="11"/>
  <c r="G252" i="11"/>
  <c r="G242" i="11"/>
  <c r="G266" i="11"/>
  <c r="G265" i="11"/>
  <c r="G236" i="11"/>
  <c r="G210" i="11"/>
  <c r="G195" i="11"/>
  <c r="G186" i="11"/>
  <c r="G184" i="11"/>
  <c r="G204" i="11"/>
  <c r="F30" i="12" l="1"/>
  <c r="S30" i="12" s="1"/>
  <c r="W30" i="12"/>
  <c r="E30" i="12"/>
  <c r="R30" i="12" s="1"/>
  <c r="AE30" i="12"/>
  <c r="G31" i="12"/>
  <c r="W31" i="12" s="1"/>
  <c r="AA30" i="12"/>
  <c r="D254" i="11"/>
  <c r="D231" i="11"/>
  <c r="E260" i="11"/>
  <c r="D269" i="11"/>
  <c r="F261" i="11"/>
  <c r="F269" i="11"/>
  <c r="E250" i="11"/>
  <c r="E252" i="11"/>
  <c r="D230" i="11"/>
  <c r="F180" i="11"/>
  <c r="D191" i="11"/>
  <c r="F206" i="11"/>
  <c r="D239" i="11"/>
  <c r="D186" i="11"/>
  <c r="D236" i="11"/>
  <c r="F212" i="11"/>
  <c r="D237" i="11"/>
  <c r="D193" i="11"/>
  <c r="E235" i="11"/>
  <c r="E200" i="11"/>
  <c r="E192" i="11"/>
  <c r="F239" i="11"/>
  <c r="F252" i="11"/>
  <c r="D185" i="11"/>
  <c r="F251" i="11"/>
  <c r="E249" i="11"/>
  <c r="F181" i="11"/>
  <c r="F248" i="11"/>
  <c r="E230" i="11"/>
  <c r="F253" i="11"/>
  <c r="E184" i="11"/>
  <c r="D216" i="11"/>
  <c r="Y131" i="11"/>
  <c r="X131" i="11" s="1"/>
  <c r="Y132" i="11"/>
  <c r="X132" i="11" s="1"/>
  <c r="Y130" i="11"/>
  <c r="X130" i="11" s="1"/>
  <c r="D244" i="11"/>
  <c r="E248" i="11"/>
  <c r="E245" i="11"/>
  <c r="D218" i="11"/>
  <c r="F217" i="11"/>
  <c r="E232" i="11"/>
  <c r="D234" i="11"/>
  <c r="F205" i="11"/>
  <c r="E180" i="11"/>
  <c r="D248" i="11"/>
  <c r="E214" i="11"/>
  <c r="E238" i="11"/>
  <c r="D181" i="11"/>
  <c r="E212" i="11"/>
  <c r="D255" i="11"/>
  <c r="E203" i="11"/>
  <c r="E204" i="11"/>
  <c r="E187" i="11"/>
  <c r="E255" i="11"/>
  <c r="E206" i="11"/>
  <c r="D267" i="11"/>
  <c r="F236" i="11"/>
  <c r="F209" i="11"/>
  <c r="F211" i="11"/>
  <c r="E196" i="11"/>
  <c r="F267" i="11"/>
  <c r="F213" i="11"/>
  <c r="F186" i="11"/>
  <c r="F260" i="11"/>
  <c r="E246" i="11"/>
  <c r="F198" i="11"/>
  <c r="E261" i="11"/>
  <c r="D215" i="11"/>
  <c r="E268" i="11"/>
  <c r="F243" i="11"/>
  <c r="D247" i="11"/>
  <c r="F219" i="11"/>
  <c r="D256" i="11"/>
  <c r="F250" i="11"/>
  <c r="F208" i="11"/>
  <c r="D196" i="11"/>
  <c r="F234" i="11"/>
  <c r="F237" i="11"/>
  <c r="E182" i="11"/>
  <c r="AB235" i="12"/>
  <c r="AB235" i="11" s="1"/>
  <c r="F235" i="11"/>
  <c r="E197" i="11"/>
  <c r="F233" i="11"/>
  <c r="E153" i="11"/>
  <c r="E253" i="11"/>
  <c r="E168" i="11"/>
  <c r="E148" i="11"/>
  <c r="F191" i="11"/>
  <c r="D132" i="11"/>
  <c r="F151" i="11"/>
  <c r="D149" i="11"/>
  <c r="F244" i="11"/>
  <c r="F185" i="11"/>
  <c r="T214" i="12"/>
  <c r="D184" i="11"/>
  <c r="F214" i="11"/>
  <c r="T258" i="12"/>
  <c r="E143" i="11"/>
  <c r="F216" i="11"/>
  <c r="E139" i="11"/>
  <c r="D163" i="11"/>
  <c r="D140" i="11"/>
  <c r="F142" i="11"/>
  <c r="T206" i="12"/>
  <c r="T211" i="12"/>
  <c r="AB191" i="12"/>
  <c r="AB191" i="11" s="1"/>
  <c r="E215" i="11"/>
  <c r="F189" i="11"/>
  <c r="D209" i="11"/>
  <c r="E185" i="11"/>
  <c r="D182" i="11"/>
  <c r="F240" i="11"/>
  <c r="D235" i="11"/>
  <c r="AB236" i="12"/>
  <c r="AB236" i="11" s="1"/>
  <c r="T241" i="12"/>
  <c r="F130" i="11"/>
  <c r="D257" i="11"/>
  <c r="E241" i="11"/>
  <c r="D238" i="11"/>
  <c r="T200" i="12"/>
  <c r="E213" i="11"/>
  <c r="F215" i="11"/>
  <c r="D189" i="11"/>
  <c r="F164" i="11"/>
  <c r="AB208" i="12"/>
  <c r="T260" i="12"/>
  <c r="AB238" i="12"/>
  <c r="AB238" i="11" s="1"/>
  <c r="AB257" i="12"/>
  <c r="AB257" i="11" s="1"/>
  <c r="AB252" i="12"/>
  <c r="AB252" i="11" s="1"/>
  <c r="F202" i="11"/>
  <c r="T195" i="12"/>
  <c r="T204" i="12"/>
  <c r="AB233" i="12"/>
  <c r="AB233" i="11" s="1"/>
  <c r="AB249" i="12"/>
  <c r="AB249" i="11" s="1"/>
  <c r="F132" i="11"/>
  <c r="F245" i="11"/>
  <c r="AB243" i="12"/>
  <c r="AB243" i="11" s="1"/>
  <c r="T248" i="12"/>
  <c r="T232" i="12"/>
  <c r="F246" i="11"/>
  <c r="T237" i="12"/>
  <c r="T249" i="12"/>
  <c r="D208" i="11"/>
  <c r="D194" i="11"/>
  <c r="AB207" i="12"/>
  <c r="AB207" i="11" s="1"/>
  <c r="F203" i="11"/>
  <c r="AB255" i="12"/>
  <c r="AB255" i="11" s="1"/>
  <c r="AB247" i="12"/>
  <c r="AB247" i="11" s="1"/>
  <c r="AB260" i="12"/>
  <c r="AB260" i="11" s="1"/>
  <c r="AB239" i="12"/>
  <c r="AB239" i="11" s="1"/>
  <c r="T263" i="12"/>
  <c r="AB253" i="12"/>
  <c r="AB253" i="11" s="1"/>
  <c r="T188" i="12"/>
  <c r="T190" i="12"/>
  <c r="AB180" i="12"/>
  <c r="AB180" i="11" s="1"/>
  <c r="AB268" i="12"/>
  <c r="AB268" i="11" s="1"/>
  <c r="T246" i="12"/>
  <c r="T261" i="12"/>
  <c r="T269" i="12"/>
  <c r="T230" i="12"/>
  <c r="T251" i="12"/>
  <c r="T239" i="12"/>
  <c r="AB182" i="12"/>
  <c r="AB182" i="11" s="1"/>
  <c r="T231" i="12"/>
  <c r="T240" i="12"/>
  <c r="T209" i="12"/>
  <c r="F184" i="11"/>
  <c r="F139" i="11"/>
  <c r="E149" i="11"/>
  <c r="F131" i="11"/>
  <c r="T268" i="12"/>
  <c r="AB237" i="12"/>
  <c r="AB237" i="11" s="1"/>
  <c r="T255" i="12"/>
  <c r="AB267" i="12"/>
  <c r="AB267" i="11" s="1"/>
  <c r="AB261" i="12"/>
  <c r="Y270" i="12"/>
  <c r="T252" i="12"/>
  <c r="AB232" i="12"/>
  <c r="T266" i="12"/>
  <c r="AB263" i="12"/>
  <c r="AB263" i="11" s="1"/>
  <c r="E163" i="11"/>
  <c r="F141" i="11"/>
  <c r="D206" i="11"/>
  <c r="D148" i="11"/>
  <c r="AB197" i="12"/>
  <c r="AB197" i="11" s="1"/>
  <c r="AB246" i="12"/>
  <c r="AB246" i="11" s="1"/>
  <c r="AB258" i="12"/>
  <c r="AB258" i="11" s="1"/>
  <c r="T233" i="12"/>
  <c r="T267" i="12"/>
  <c r="T234" i="12"/>
  <c r="W271" i="12"/>
  <c r="Y271" i="12"/>
  <c r="AA271" i="12"/>
  <c r="AA271" i="11" s="1"/>
  <c r="AB259" i="12"/>
  <c r="AB259" i="11" s="1"/>
  <c r="T238" i="12"/>
  <c r="AB269" i="12"/>
  <c r="T265" i="12"/>
  <c r="AB248" i="12"/>
  <c r="AB248" i="11" s="1"/>
  <c r="T257" i="12"/>
  <c r="F270" i="12"/>
  <c r="F271" i="12" s="1"/>
  <c r="S271" i="12" s="1"/>
  <c r="S229" i="12"/>
  <c r="S270" i="12" s="1"/>
  <c r="T245" i="12"/>
  <c r="D210" i="11"/>
  <c r="E132" i="11"/>
  <c r="D180" i="11"/>
  <c r="D260" i="11"/>
  <c r="E244" i="11"/>
  <c r="F152" i="11"/>
  <c r="E254" i="11"/>
  <c r="AB211" i="12"/>
  <c r="AA270" i="12"/>
  <c r="AB242" i="12"/>
  <c r="AB242" i="11" s="1"/>
  <c r="T244" i="12"/>
  <c r="E270" i="12"/>
  <c r="E271" i="12" s="1"/>
  <c r="R271" i="12" s="1"/>
  <c r="R229" i="12"/>
  <c r="R270" i="12" s="1"/>
  <c r="D144" i="11"/>
  <c r="D154" i="11"/>
  <c r="D214" i="11"/>
  <c r="AE270" i="12"/>
  <c r="AE272" i="12" s="1"/>
  <c r="T236" i="12"/>
  <c r="T259" i="12"/>
  <c r="AB250" i="12"/>
  <c r="AB250" i="11" s="1"/>
  <c r="AB230" i="12"/>
  <c r="AB230" i="11" s="1"/>
  <c r="T242" i="12"/>
  <c r="AB251" i="12"/>
  <c r="AB251" i="11" s="1"/>
  <c r="D204" i="11"/>
  <c r="D241" i="11"/>
  <c r="AB203" i="12"/>
  <c r="AB203" i="11" s="1"/>
  <c r="T253" i="12"/>
  <c r="AB231" i="12"/>
  <c r="AB231" i="11" s="1"/>
  <c r="W270" i="12"/>
  <c r="AB229" i="12"/>
  <c r="AB264" i="12"/>
  <c r="AB264" i="11" s="1"/>
  <c r="AB240" i="12"/>
  <c r="AB240" i="11" s="1"/>
  <c r="F268" i="11"/>
  <c r="E243" i="11"/>
  <c r="D160" i="11"/>
  <c r="D134" i="11"/>
  <c r="D217" i="11"/>
  <c r="AB212" i="12"/>
  <c r="T182" i="12"/>
  <c r="AB217" i="12"/>
  <c r="AB217" i="11" s="1"/>
  <c r="AB262" i="12"/>
  <c r="AB262" i="11" s="1"/>
  <c r="AB241" i="12"/>
  <c r="AB241" i="11" s="1"/>
  <c r="T247" i="12"/>
  <c r="T250" i="12"/>
  <c r="AB256" i="12"/>
  <c r="AB256" i="11" s="1"/>
  <c r="T243" i="12"/>
  <c r="D270" i="12"/>
  <c r="D271" i="12" s="1"/>
  <c r="Q271" i="12" s="1"/>
  <c r="Q229" i="12"/>
  <c r="T264" i="12"/>
  <c r="AB244" i="12"/>
  <c r="AB244" i="11" s="1"/>
  <c r="AB254" i="12"/>
  <c r="AB254" i="11" s="1"/>
  <c r="AB245" i="12"/>
  <c r="D162" i="11"/>
  <c r="E262" i="11"/>
  <c r="E234" i="11"/>
  <c r="T194" i="12"/>
  <c r="T262" i="12"/>
  <c r="T235" i="12"/>
  <c r="AB234" i="12"/>
  <c r="AB234" i="11" s="1"/>
  <c r="AB265" i="12"/>
  <c r="AB265" i="11" s="1"/>
  <c r="T256" i="12"/>
  <c r="AB266" i="12"/>
  <c r="AB266" i="11" s="1"/>
  <c r="T254" i="12"/>
  <c r="D250" i="11"/>
  <c r="F149" i="11"/>
  <c r="D166" i="11"/>
  <c r="E269" i="11"/>
  <c r="T186" i="12"/>
  <c r="AB188" i="12"/>
  <c r="AB188" i="11" s="1"/>
  <c r="T193" i="12"/>
  <c r="AB190" i="12"/>
  <c r="AB190" i="11" s="1"/>
  <c r="AB185" i="12"/>
  <c r="AB185" i="11" s="1"/>
  <c r="T191" i="12"/>
  <c r="T216" i="12"/>
  <c r="T198" i="12"/>
  <c r="AB215" i="12"/>
  <c r="AB215" i="11" s="1"/>
  <c r="D211" i="11"/>
  <c r="AB195" i="12"/>
  <c r="T207" i="12"/>
  <c r="AB205" i="12"/>
  <c r="AB205" i="11" s="1"/>
  <c r="AB209" i="12"/>
  <c r="Y220" i="12"/>
  <c r="T185" i="12"/>
  <c r="AB189" i="12"/>
  <c r="AB189" i="11" s="1"/>
  <c r="T215" i="12"/>
  <c r="T192" i="12"/>
  <c r="E236" i="11"/>
  <c r="E130" i="11"/>
  <c r="E263" i="11"/>
  <c r="E133" i="11"/>
  <c r="AE220" i="12"/>
  <c r="AE222" i="12" s="1"/>
  <c r="W220" i="12"/>
  <c r="AB179" i="12"/>
  <c r="AB219" i="12"/>
  <c r="AB219" i="11" s="1"/>
  <c r="AA220" i="12"/>
  <c r="F162" i="11"/>
  <c r="F230" i="11"/>
  <c r="E193" i="11"/>
  <c r="F148" i="11"/>
  <c r="D262" i="11"/>
  <c r="D145" i="11"/>
  <c r="F197" i="11"/>
  <c r="AB218" i="12"/>
  <c r="AB218" i="11" s="1"/>
  <c r="AB213" i="12"/>
  <c r="AB213" i="11" s="1"/>
  <c r="AB184" i="12"/>
  <c r="AB184" i="11" s="1"/>
  <c r="AB181" i="12"/>
  <c r="AB181" i="11" s="1"/>
  <c r="W221" i="12"/>
  <c r="AA221" i="12"/>
  <c r="AA221" i="11" s="1"/>
  <c r="Y221" i="12"/>
  <c r="T205" i="12"/>
  <c r="AB204" i="12"/>
  <c r="AB204" i="11" s="1"/>
  <c r="AB214" i="12"/>
  <c r="AB214" i="11" s="1"/>
  <c r="E220" i="12"/>
  <c r="E221" i="12" s="1"/>
  <c r="R221" i="12" s="1"/>
  <c r="R179" i="12"/>
  <c r="R220" i="12" s="1"/>
  <c r="AB187" i="12"/>
  <c r="T189" i="12"/>
  <c r="T208" i="12"/>
  <c r="T219" i="12"/>
  <c r="AB206" i="12"/>
  <c r="AB206" i="11" s="1"/>
  <c r="AB210" i="12"/>
  <c r="AB210" i="11" s="1"/>
  <c r="F140" i="11"/>
  <c r="F154" i="11"/>
  <c r="E218" i="11"/>
  <c r="E247" i="11"/>
  <c r="T218" i="12"/>
  <c r="AB183" i="12"/>
  <c r="AB183" i="11" s="1"/>
  <c r="T212" i="12"/>
  <c r="F220" i="12"/>
  <c r="F221" i="12" s="1"/>
  <c r="S221" i="12" s="1"/>
  <c r="S179" i="12"/>
  <c r="S220" i="12" s="1"/>
  <c r="T210" i="12"/>
  <c r="T180" i="12"/>
  <c r="T217" i="12"/>
  <c r="AB196" i="12"/>
  <c r="AB196" i="11" s="1"/>
  <c r="E147" i="11"/>
  <c r="F257" i="11"/>
  <c r="F155" i="11"/>
  <c r="E267" i="11"/>
  <c r="E146" i="11"/>
  <c r="D188" i="11"/>
  <c r="T213" i="12"/>
  <c r="T183" i="12"/>
  <c r="T181" i="12"/>
  <c r="AB193" i="12"/>
  <c r="AB193" i="11" s="1"/>
  <c r="AB201" i="12"/>
  <c r="D220" i="12"/>
  <c r="D221" i="12" s="1"/>
  <c r="Q221" i="12" s="1"/>
  <c r="Q179" i="12"/>
  <c r="T187" i="12"/>
  <c r="AB202" i="12"/>
  <c r="AB202" i="11" s="1"/>
  <c r="T199" i="12"/>
  <c r="T203" i="12"/>
  <c r="F266" i="11"/>
  <c r="D152" i="11"/>
  <c r="T197" i="12"/>
  <c r="AB194" i="12"/>
  <c r="T184" i="12"/>
  <c r="AB186" i="12"/>
  <c r="AB186" i="11" s="1"/>
  <c r="T201" i="12"/>
  <c r="T202" i="12"/>
  <c r="AB216" i="12"/>
  <c r="AB199" i="12"/>
  <c r="AB199" i="11" s="1"/>
  <c r="AB200" i="12"/>
  <c r="AB200" i="11" s="1"/>
  <c r="AB198" i="12"/>
  <c r="AB198" i="11" s="1"/>
  <c r="AB192" i="12"/>
  <c r="AB192" i="11" s="1"/>
  <c r="T196" i="12"/>
  <c r="E237" i="11"/>
  <c r="F255" i="11"/>
  <c r="D213" i="11"/>
  <c r="E155" i="11"/>
  <c r="D263" i="11"/>
  <c r="E165" i="11"/>
  <c r="E207" i="11"/>
  <c r="D130" i="11"/>
  <c r="E219" i="11"/>
  <c r="F264" i="11"/>
  <c r="F163" i="11"/>
  <c r="E216" i="11"/>
  <c r="F262" i="11"/>
  <c r="F168" i="11"/>
  <c r="F249" i="11"/>
  <c r="F159" i="11"/>
  <c r="F182" i="11"/>
  <c r="F256" i="11"/>
  <c r="D133" i="11"/>
  <c r="E265" i="11"/>
  <c r="E162" i="11"/>
  <c r="D268" i="11"/>
  <c r="D187" i="11"/>
  <c r="F145" i="11"/>
  <c r="D146" i="11"/>
  <c r="E154" i="11"/>
  <c r="E195" i="11"/>
  <c r="D266" i="11"/>
  <c r="D252" i="11"/>
  <c r="D147" i="11"/>
  <c r="E140" i="11"/>
  <c r="E208" i="11"/>
  <c r="F218" i="11"/>
  <c r="D240" i="11"/>
  <c r="E134" i="11"/>
  <c r="E205" i="11"/>
  <c r="E186" i="11"/>
  <c r="E266" i="11"/>
  <c r="D212" i="11"/>
  <c r="E264" i="11"/>
  <c r="F187" i="11"/>
  <c r="D246" i="11"/>
  <c r="D243" i="11"/>
  <c r="E240" i="11"/>
  <c r="E259" i="11"/>
  <c r="D251" i="11"/>
  <c r="D201" i="11"/>
  <c r="D258" i="11"/>
  <c r="D202" i="11"/>
  <c r="F210" i="11"/>
  <c r="F193" i="11"/>
  <c r="F201" i="11"/>
  <c r="F200" i="11"/>
  <c r="F238" i="11"/>
  <c r="F150" i="11"/>
  <c r="F192" i="11"/>
  <c r="F247" i="11"/>
  <c r="E258" i="11"/>
  <c r="E202" i="11"/>
  <c r="E198" i="11"/>
  <c r="E188" i="11"/>
  <c r="F265" i="11"/>
  <c r="F204" i="11"/>
  <c r="D195" i="11"/>
  <c r="F242" i="11"/>
  <c r="E190" i="11"/>
  <c r="D232" i="11"/>
  <c r="D249" i="11"/>
  <c r="E152" i="11"/>
  <c r="F160" i="11"/>
  <c r="F199" i="11"/>
  <c r="F254" i="11"/>
  <c r="E242" i="11"/>
  <c r="D183" i="11"/>
  <c r="F190" i="11"/>
  <c r="F231" i="11"/>
  <c r="E209" i="11"/>
  <c r="D245" i="11"/>
  <c r="D207" i="11"/>
  <c r="E233" i="11"/>
  <c r="D219" i="11"/>
  <c r="F195" i="11"/>
  <c r="F183" i="11"/>
  <c r="D264" i="11"/>
  <c r="E194" i="11"/>
  <c r="D261" i="11"/>
  <c r="E189" i="11"/>
  <c r="E211" i="11"/>
  <c r="E257" i="11"/>
  <c r="D192" i="11"/>
  <c r="D203" i="11"/>
  <c r="D259" i="11"/>
  <c r="F196" i="11"/>
  <c r="E181" i="11"/>
  <c r="E217" i="11"/>
  <c r="E210" i="11"/>
  <c r="D242" i="11"/>
  <c r="E191" i="11"/>
  <c r="E231" i="11"/>
  <c r="D200" i="11"/>
  <c r="F259" i="11"/>
  <c r="D197" i="11"/>
  <c r="F194" i="11"/>
  <c r="E256" i="11"/>
  <c r="D190" i="11"/>
  <c r="E201" i="11"/>
  <c r="F232" i="11"/>
  <c r="F258" i="11"/>
  <c r="E199" i="11"/>
  <c r="F241" i="11"/>
  <c r="D265" i="11"/>
  <c r="F161" i="11"/>
  <c r="E251" i="11"/>
  <c r="D199" i="11"/>
  <c r="F263" i="11"/>
  <c r="D205" i="11"/>
  <c r="F188" i="11"/>
  <c r="F207" i="11"/>
  <c r="D233" i="11"/>
  <c r="E183" i="11"/>
  <c r="D135" i="11"/>
  <c r="E166" i="11"/>
  <c r="D253" i="11"/>
  <c r="E239" i="11"/>
  <c r="D198" i="11"/>
  <c r="AB158" i="12"/>
  <c r="AB158" i="11" s="1"/>
  <c r="D156" i="11"/>
  <c r="E135" i="11"/>
  <c r="D136" i="11"/>
  <c r="F158" i="11"/>
  <c r="T154" i="12"/>
  <c r="T148" i="12"/>
  <c r="E145" i="11"/>
  <c r="D143" i="11"/>
  <c r="E169" i="11"/>
  <c r="D142" i="11"/>
  <c r="F135" i="11"/>
  <c r="D168" i="11"/>
  <c r="F156" i="11"/>
  <c r="D131" i="11"/>
  <c r="F147" i="11"/>
  <c r="F169" i="11"/>
  <c r="F143" i="11"/>
  <c r="E142" i="11"/>
  <c r="D150" i="11"/>
  <c r="D153" i="11"/>
  <c r="F134" i="11"/>
  <c r="E144" i="11"/>
  <c r="F157" i="11"/>
  <c r="D139" i="11"/>
  <c r="E141" i="11"/>
  <c r="F136" i="11"/>
  <c r="D138" i="11"/>
  <c r="T155" i="12"/>
  <c r="T144" i="12"/>
  <c r="AB155" i="12"/>
  <c r="AB155" i="11" s="1"/>
  <c r="D157" i="11"/>
  <c r="D161" i="11"/>
  <c r="D159" i="11"/>
  <c r="D167" i="11"/>
  <c r="E136" i="11"/>
  <c r="D151" i="11"/>
  <c r="F138" i="11"/>
  <c r="F144" i="11"/>
  <c r="E157" i="11"/>
  <c r="F167" i="11"/>
  <c r="E137" i="11"/>
  <c r="F133" i="11"/>
  <c r="E138" i="11"/>
  <c r="E131" i="11"/>
  <c r="D165" i="11"/>
  <c r="D164" i="11"/>
  <c r="D141" i="11"/>
  <c r="E150" i="11"/>
  <c r="D137" i="11"/>
  <c r="E151" i="11"/>
  <c r="E158" i="11"/>
  <c r="E164" i="11"/>
  <c r="T142" i="12"/>
  <c r="AB165" i="12"/>
  <c r="AB165" i="11" s="1"/>
  <c r="T163" i="12"/>
  <c r="AB146" i="12"/>
  <c r="AB146" i="11" s="1"/>
  <c r="T149" i="12"/>
  <c r="T132" i="12"/>
  <c r="F146" i="11"/>
  <c r="AB156" i="12"/>
  <c r="AB156" i="11" s="1"/>
  <c r="T161" i="12"/>
  <c r="T165" i="12"/>
  <c r="T167" i="12"/>
  <c r="E167" i="11"/>
  <c r="D169" i="11"/>
  <c r="T140" i="12"/>
  <c r="AB148" i="12"/>
  <c r="AB163" i="12"/>
  <c r="AB163" i="11" s="1"/>
  <c r="AB167" i="12"/>
  <c r="AB167" i="11" s="1"/>
  <c r="AB132" i="12"/>
  <c r="AB132" i="11" s="1"/>
  <c r="E161" i="11"/>
  <c r="F137" i="11"/>
  <c r="E160" i="11"/>
  <c r="AB140" i="12"/>
  <c r="AB140" i="11" s="1"/>
  <c r="AB141" i="12"/>
  <c r="AB141" i="11" s="1"/>
  <c r="AB134" i="12"/>
  <c r="AB134" i="11" s="1"/>
  <c r="AB137" i="12"/>
  <c r="AB137" i="11" s="1"/>
  <c r="AB161" i="12"/>
  <c r="AB161" i="11" s="1"/>
  <c r="D158" i="11"/>
  <c r="F165" i="11"/>
  <c r="F153" i="11"/>
  <c r="E156" i="11"/>
  <c r="AB157" i="12"/>
  <c r="AB157" i="11" s="1"/>
  <c r="E159" i="11"/>
  <c r="T135" i="12"/>
  <c r="T158" i="12"/>
  <c r="AB150" i="12"/>
  <c r="AB150" i="11" s="1"/>
  <c r="AB142" i="12"/>
  <c r="AB142" i="11" s="1"/>
  <c r="F170" i="12"/>
  <c r="F171" i="12" s="1"/>
  <c r="S129" i="12"/>
  <c r="S170" i="12" s="1"/>
  <c r="AB164" i="12"/>
  <c r="AB164" i="11" s="1"/>
  <c r="AB139" i="12"/>
  <c r="AB139" i="11" s="1"/>
  <c r="T169" i="12"/>
  <c r="AB138" i="12"/>
  <c r="AB138" i="11" s="1"/>
  <c r="T143" i="12"/>
  <c r="T137" i="12"/>
  <c r="T153" i="12"/>
  <c r="AB154" i="12"/>
  <c r="AB154" i="11" s="1"/>
  <c r="T150" i="12"/>
  <c r="T141" i="12"/>
  <c r="AB152" i="12"/>
  <c r="AB152" i="11" s="1"/>
  <c r="T151" i="12"/>
  <c r="T157" i="12"/>
  <c r="AB149" i="12"/>
  <c r="AB149" i="11" s="1"/>
  <c r="T131" i="12"/>
  <c r="T138" i="12"/>
  <c r="T159" i="12"/>
  <c r="AB145" i="12"/>
  <c r="AB145" i="11" s="1"/>
  <c r="W170" i="12"/>
  <c r="AB129" i="12"/>
  <c r="T139" i="12"/>
  <c r="Y170" i="12"/>
  <c r="AB162" i="12"/>
  <c r="AB162" i="11" s="1"/>
  <c r="AB143" i="12"/>
  <c r="AB143" i="11" s="1"/>
  <c r="AB166" i="12"/>
  <c r="AB166" i="11" s="1"/>
  <c r="AA170" i="12"/>
  <c r="AB130" i="12"/>
  <c r="AB130" i="11" s="1"/>
  <c r="AB151" i="12"/>
  <c r="AB151" i="11" s="1"/>
  <c r="AB147" i="12"/>
  <c r="AB147" i="11" s="1"/>
  <c r="T160" i="12"/>
  <c r="T134" i="12"/>
  <c r="AB133" i="12"/>
  <c r="AB133" i="11" s="1"/>
  <c r="AB135" i="12"/>
  <c r="AB135" i="11" s="1"/>
  <c r="T166" i="12"/>
  <c r="AB159" i="12"/>
  <c r="AB159" i="11" s="1"/>
  <c r="AB136" i="12"/>
  <c r="AB136" i="11" s="1"/>
  <c r="T145" i="12"/>
  <c r="T130" i="12"/>
  <c r="T146" i="12"/>
  <c r="T147" i="12"/>
  <c r="T133" i="12"/>
  <c r="T162" i="12"/>
  <c r="F166" i="11"/>
  <c r="AB144" i="12"/>
  <c r="AB144" i="11" s="1"/>
  <c r="AB153" i="12"/>
  <c r="AB153" i="11" s="1"/>
  <c r="T156" i="12"/>
  <c r="AB168" i="12"/>
  <c r="AB168" i="11" s="1"/>
  <c r="T136" i="12"/>
  <c r="D170" i="12"/>
  <c r="D171" i="12" s="1"/>
  <c r="Q129" i="12"/>
  <c r="AB169" i="12"/>
  <c r="AB169" i="11" s="1"/>
  <c r="T152" i="12"/>
  <c r="D155" i="11"/>
  <c r="AE170" i="12"/>
  <c r="AE172" i="12" s="1"/>
  <c r="Y171" i="12"/>
  <c r="W171" i="12"/>
  <c r="AA171" i="12"/>
  <c r="AA171" i="11" s="1"/>
  <c r="T168" i="12"/>
  <c r="E170" i="12"/>
  <c r="E171" i="12" s="1"/>
  <c r="R129" i="12"/>
  <c r="R170" i="12" s="1"/>
  <c r="T164" i="12"/>
  <c r="AB160" i="12"/>
  <c r="AB160" i="11" s="1"/>
  <c r="AB131" i="12"/>
  <c r="AB131" i="11" s="1"/>
  <c r="D30" i="12"/>
  <c r="Q30" i="12" s="1"/>
  <c r="X196" i="11"/>
  <c r="X192" i="11"/>
  <c r="Z192" i="11"/>
  <c r="Z259" i="11"/>
  <c r="X258" i="11"/>
  <c r="X259" i="11"/>
  <c r="X269" i="11"/>
  <c r="Z196" i="11"/>
  <c r="Z249" i="11"/>
  <c r="X152" i="11"/>
  <c r="X160" i="11"/>
  <c r="Z263" i="11"/>
  <c r="X263" i="11"/>
  <c r="X135" i="11"/>
  <c r="Z152" i="11"/>
  <c r="Z239" i="11"/>
  <c r="X163" i="11"/>
  <c r="Z151" i="11"/>
  <c r="Z131" i="11"/>
  <c r="X217" i="11"/>
  <c r="Z205" i="11"/>
  <c r="X141" i="11"/>
  <c r="X205" i="11"/>
  <c r="X266" i="11"/>
  <c r="Z200" i="11"/>
  <c r="Z213" i="11"/>
  <c r="X142" i="11"/>
  <c r="Z215" i="11"/>
  <c r="X203" i="11"/>
  <c r="X198" i="11"/>
  <c r="X207" i="11"/>
  <c r="X233" i="11"/>
  <c r="Z243" i="11"/>
  <c r="X155" i="11"/>
  <c r="Z136" i="11"/>
  <c r="Z198" i="11"/>
  <c r="X138" i="11"/>
  <c r="Z266" i="11"/>
  <c r="X201" i="11"/>
  <c r="X243" i="11"/>
  <c r="X200" i="11"/>
  <c r="Z155" i="11"/>
  <c r="X215" i="11"/>
  <c r="Z203" i="11"/>
  <c r="X136" i="11"/>
  <c r="Z138" i="11"/>
  <c r="Z207" i="11"/>
  <c r="Z233" i="11"/>
  <c r="Z252" i="11"/>
  <c r="Z180" i="11"/>
  <c r="Z212" i="11"/>
  <c r="X264" i="11"/>
  <c r="Z255" i="11"/>
  <c r="Z208" i="11"/>
  <c r="X238" i="11"/>
  <c r="Z251" i="11"/>
  <c r="X187" i="11"/>
  <c r="Z216" i="11"/>
  <c r="X248" i="11"/>
  <c r="X184" i="11"/>
  <c r="Z204" i="11"/>
  <c r="X252" i="11"/>
  <c r="X237" i="11"/>
  <c r="X143" i="11"/>
  <c r="X208" i="11"/>
  <c r="X137" i="11"/>
  <c r="X211" i="11"/>
  <c r="Z267" i="11"/>
  <c r="Z133" i="11"/>
  <c r="X261" i="11"/>
  <c r="X241" i="11"/>
  <c r="X260" i="11"/>
  <c r="Z132" i="11"/>
  <c r="Z237" i="11"/>
  <c r="Z143" i="11"/>
  <c r="X204" i="11"/>
  <c r="Z217" i="11"/>
  <c r="Z169" i="11"/>
  <c r="Z257" i="11"/>
  <c r="X161" i="11"/>
  <c r="X216" i="11"/>
  <c r="Z248" i="11"/>
  <c r="Z246" i="11"/>
  <c r="X156" i="11"/>
  <c r="X147" i="11"/>
  <c r="Z144" i="11"/>
  <c r="X157" i="11"/>
  <c r="X139" i="11"/>
  <c r="Z244" i="11"/>
  <c r="Z156" i="11"/>
  <c r="X158" i="11"/>
  <c r="Z165" i="11"/>
  <c r="X234" i="11"/>
  <c r="Z193" i="11"/>
  <c r="Z194" i="11"/>
  <c r="Z186" i="11"/>
  <c r="X195" i="11"/>
  <c r="X183" i="11"/>
  <c r="X219" i="11"/>
  <c r="Z139" i="11"/>
  <c r="X193" i="11"/>
  <c r="X154" i="11"/>
  <c r="Z168" i="11"/>
  <c r="X232" i="11"/>
  <c r="X244" i="11"/>
  <c r="Z167" i="11"/>
  <c r="Z153" i="11"/>
  <c r="X254" i="11"/>
  <c r="X218" i="11"/>
  <c r="X186" i="11"/>
  <c r="Z147" i="11"/>
  <c r="Z183" i="11"/>
  <c r="Z157" i="11"/>
  <c r="G170" i="11"/>
  <c r="X153" i="11"/>
  <c r="X197" i="11"/>
  <c r="Z146" i="11"/>
  <c r="X165" i="11"/>
  <c r="Z158" i="11"/>
  <c r="Z154" i="11"/>
  <c r="Z137" i="11"/>
  <c r="X182" i="11"/>
  <c r="X262" i="11"/>
  <c r="X247" i="11"/>
  <c r="Z199" i="11"/>
  <c r="Z269" i="11"/>
  <c r="Z261" i="11"/>
  <c r="X189" i="11"/>
  <c r="Z241" i="11"/>
  <c r="Z189" i="11"/>
  <c r="G171" i="11"/>
  <c r="W168" i="11"/>
  <c r="V168" i="11" s="1"/>
  <c r="Z182" i="11"/>
  <c r="W196" i="11"/>
  <c r="V196" i="11" s="1"/>
  <c r="X181" i="11"/>
  <c r="W204" i="11"/>
  <c r="V204" i="11" s="1"/>
  <c r="Z184" i="11"/>
  <c r="W242" i="11"/>
  <c r="V242" i="11" s="1"/>
  <c r="W252" i="11"/>
  <c r="V252" i="11" s="1"/>
  <c r="Z130" i="11"/>
  <c r="W230" i="11"/>
  <c r="V230" i="11" s="1"/>
  <c r="X180" i="11"/>
  <c r="X212" i="11"/>
  <c r="X268" i="11"/>
  <c r="Z264" i="11"/>
  <c r="Z260" i="11"/>
  <c r="Y129" i="11"/>
  <c r="D279" i="12"/>
  <c r="D29" i="11"/>
  <c r="AE179" i="11"/>
  <c r="AE220" i="11" s="1"/>
  <c r="AE222" i="11" s="1"/>
  <c r="W190" i="11"/>
  <c r="V190" i="11" s="1"/>
  <c r="W193" i="11"/>
  <c r="V193" i="11" s="1"/>
  <c r="Z187" i="11"/>
  <c r="X246" i="11"/>
  <c r="X255" i="11"/>
  <c r="Z159" i="11"/>
  <c r="X168" i="11"/>
  <c r="W208" i="11"/>
  <c r="V208" i="11" s="1"/>
  <c r="X209" i="11"/>
  <c r="W250" i="11"/>
  <c r="V250" i="11" s="1"/>
  <c r="Z238" i="11"/>
  <c r="X251" i="11"/>
  <c r="D229" i="11"/>
  <c r="X245" i="11"/>
  <c r="Z135" i="11"/>
  <c r="W182" i="11"/>
  <c r="W240" i="11"/>
  <c r="V240" i="11" s="1"/>
  <c r="W249" i="11"/>
  <c r="V249" i="11" s="1"/>
  <c r="Z262" i="11"/>
  <c r="W166" i="11"/>
  <c r="V166" i="11" s="1"/>
  <c r="X151" i="11"/>
  <c r="Z145" i="11"/>
  <c r="Z253" i="11"/>
  <c r="X239" i="11"/>
  <c r="Z160" i="11"/>
  <c r="AA179" i="11"/>
  <c r="X235" i="11"/>
  <c r="W263" i="11"/>
  <c r="V263" i="11" s="1"/>
  <c r="Z258" i="11"/>
  <c r="X134" i="11"/>
  <c r="W131" i="11"/>
  <c r="V131" i="11" s="1"/>
  <c r="Z181" i="11"/>
  <c r="Z202" i="11"/>
  <c r="W217" i="11"/>
  <c r="V217" i="11" s="1"/>
  <c r="W189" i="11"/>
  <c r="V189" i="11" s="1"/>
  <c r="AA229" i="11"/>
  <c r="W262" i="11"/>
  <c r="V262" i="11" s="1"/>
  <c r="X242" i="11"/>
  <c r="W132" i="11"/>
  <c r="V132" i="11" s="1"/>
  <c r="X230" i="11"/>
  <c r="W180" i="11"/>
  <c r="V180" i="11" s="1"/>
  <c r="W268" i="11"/>
  <c r="V268" i="11" s="1"/>
  <c r="W264" i="11"/>
  <c r="V264" i="11" s="1"/>
  <c r="W129" i="11"/>
  <c r="E279" i="12"/>
  <c r="E29" i="11"/>
  <c r="Z190" i="11"/>
  <c r="W246" i="11"/>
  <c r="V246" i="11" s="1"/>
  <c r="X159" i="11"/>
  <c r="X250" i="11"/>
  <c r="W238" i="11"/>
  <c r="V238" i="11" s="1"/>
  <c r="E229" i="11"/>
  <c r="W153" i="11"/>
  <c r="V153" i="11" s="1"/>
  <c r="Z245" i="11"/>
  <c r="W135" i="11"/>
  <c r="V135" i="11" s="1"/>
  <c r="X240" i="11"/>
  <c r="X249" i="11"/>
  <c r="W136" i="11"/>
  <c r="V136" i="11" s="1"/>
  <c r="X166" i="11"/>
  <c r="W151" i="11"/>
  <c r="V151" i="11" s="1"/>
  <c r="W253" i="11"/>
  <c r="V253" i="11" s="1"/>
  <c r="W239" i="11"/>
  <c r="V239" i="11" s="1"/>
  <c r="W179" i="11"/>
  <c r="Z235" i="11"/>
  <c r="W138" i="11"/>
  <c r="V138" i="11" s="1"/>
  <c r="Z134" i="11"/>
  <c r="X202" i="11"/>
  <c r="W164" i="11"/>
  <c r="V164" i="11" s="1"/>
  <c r="Z242" i="11"/>
  <c r="Z230" i="11"/>
  <c r="Z268" i="11"/>
  <c r="AA129" i="11"/>
  <c r="G279" i="11"/>
  <c r="F279" i="12"/>
  <c r="F29" i="11"/>
  <c r="X190" i="11"/>
  <c r="G271" i="11"/>
  <c r="W154" i="11"/>
  <c r="V154" i="11" s="1"/>
  <c r="W159" i="11"/>
  <c r="V159" i="11" s="1"/>
  <c r="Z250" i="11"/>
  <c r="F229" i="11"/>
  <c r="W185" i="11"/>
  <c r="V185" i="11" s="1"/>
  <c r="W215" i="11"/>
  <c r="V215" i="11" s="1"/>
  <c r="W245" i="11"/>
  <c r="V245" i="11" s="1"/>
  <c r="W203" i="11"/>
  <c r="V203" i="11" s="1"/>
  <c r="Z240" i="11"/>
  <c r="Z166" i="11"/>
  <c r="X253" i="11"/>
  <c r="Y179" i="11"/>
  <c r="W235" i="11"/>
  <c r="W134" i="11"/>
  <c r="V134" i="11" s="1"/>
  <c r="X188" i="11"/>
  <c r="W207" i="11"/>
  <c r="V207" i="11" s="1"/>
  <c r="W202" i="11"/>
  <c r="V202" i="11" s="1"/>
  <c r="Z234" i="11"/>
  <c r="W233" i="11"/>
  <c r="V233" i="11" s="1"/>
  <c r="X164" i="11"/>
  <c r="W260" i="11"/>
  <c r="V260" i="11" s="1"/>
  <c r="W259" i="11"/>
  <c r="V259" i="11" s="1"/>
  <c r="W145" i="11"/>
  <c r="V145" i="11" s="1"/>
  <c r="W266" i="11"/>
  <c r="V266" i="11" s="1"/>
  <c r="Z265" i="11"/>
  <c r="Z162" i="11"/>
  <c r="W169" i="11"/>
  <c r="V169" i="11" s="1"/>
  <c r="X191" i="11"/>
  <c r="W257" i="11"/>
  <c r="V257" i="11" s="1"/>
  <c r="W237" i="11"/>
  <c r="V237" i="11" s="1"/>
  <c r="Z140" i="11"/>
  <c r="W161" i="11"/>
  <c r="V161" i="11" s="1"/>
  <c r="W143" i="11"/>
  <c r="V143" i="11" s="1"/>
  <c r="D129" i="11"/>
  <c r="AA279" i="12"/>
  <c r="AA29" i="11"/>
  <c r="G280" i="12"/>
  <c r="G30" i="11"/>
  <c r="G280" i="11" s="1"/>
  <c r="X231" i="11"/>
  <c r="W141" i="11"/>
  <c r="V141" i="11" s="1"/>
  <c r="Z206" i="11"/>
  <c r="W232" i="11"/>
  <c r="V232" i="11" s="1"/>
  <c r="W244" i="11"/>
  <c r="V244" i="11" s="1"/>
  <c r="W150" i="11"/>
  <c r="V150" i="11" s="1"/>
  <c r="W167" i="11"/>
  <c r="V167" i="11" s="1"/>
  <c r="X148" i="11"/>
  <c r="X185" i="11"/>
  <c r="X214" i="11"/>
  <c r="Z218" i="11"/>
  <c r="X149" i="11"/>
  <c r="G221" i="11"/>
  <c r="W197" i="11"/>
  <c r="V197" i="11" s="1"/>
  <c r="W194" i="11"/>
  <c r="V194" i="11" s="1"/>
  <c r="W198" i="11"/>
  <c r="V198" i="11" s="1"/>
  <c r="D179" i="11"/>
  <c r="W146" i="11"/>
  <c r="V146" i="11" s="1"/>
  <c r="W188" i="11"/>
  <c r="V188" i="11" s="1"/>
  <c r="W254" i="11"/>
  <c r="V254" i="11" s="1"/>
  <c r="Z164" i="11"/>
  <c r="W209" i="11"/>
  <c r="V209" i="11" s="1"/>
  <c r="W192" i="11"/>
  <c r="V192" i="11" s="1"/>
  <c r="G220" i="11"/>
  <c r="W241" i="11"/>
  <c r="V241" i="11" s="1"/>
  <c r="W265" i="11"/>
  <c r="V265" i="11" s="1"/>
  <c r="X210" i="11"/>
  <c r="W236" i="11"/>
  <c r="V236" i="11" s="1"/>
  <c r="Z195" i="11"/>
  <c r="W210" i="11"/>
  <c r="V210" i="11" s="1"/>
  <c r="X236" i="11"/>
  <c r="X265" i="11"/>
  <c r="X144" i="11"/>
  <c r="W162" i="11"/>
  <c r="V162" i="11" s="1"/>
  <c r="X169" i="11"/>
  <c r="Z219" i="11"/>
  <c r="W191" i="11"/>
  <c r="V191" i="11" s="1"/>
  <c r="X257" i="11"/>
  <c r="W139" i="11"/>
  <c r="V139" i="11" s="1"/>
  <c r="W140" i="11"/>
  <c r="V140" i="11" s="1"/>
  <c r="Z161" i="11"/>
  <c r="F129" i="11"/>
  <c r="Z163" i="11"/>
  <c r="Y279" i="12"/>
  <c r="Y29" i="11"/>
  <c r="Z201" i="11"/>
  <c r="W243" i="11"/>
  <c r="V243" i="11" s="1"/>
  <c r="W231" i="11"/>
  <c r="V231" i="11" s="1"/>
  <c r="Z141" i="11"/>
  <c r="X213" i="11"/>
  <c r="W206" i="11"/>
  <c r="V206" i="11" s="1"/>
  <c r="Z232" i="11"/>
  <c r="G270" i="11"/>
  <c r="Z142" i="11"/>
  <c r="Z150" i="11"/>
  <c r="X167" i="11"/>
  <c r="W137" i="11"/>
  <c r="V137" i="11" s="1"/>
  <c r="W148" i="11"/>
  <c r="V148" i="11" s="1"/>
  <c r="Z185" i="11"/>
  <c r="Z211" i="11"/>
  <c r="W214" i="11"/>
  <c r="V214" i="11" s="1"/>
  <c r="W218" i="11"/>
  <c r="V218" i="11" s="1"/>
  <c r="Z247" i="11"/>
  <c r="W149" i="11"/>
  <c r="V149" i="11" s="1"/>
  <c r="W156" i="11"/>
  <c r="V156" i="11" s="1"/>
  <c r="X199" i="11"/>
  <c r="Z197" i="11"/>
  <c r="X194" i="11"/>
  <c r="E179" i="11"/>
  <c r="X267" i="11"/>
  <c r="W133" i="11"/>
  <c r="V133" i="11" s="1"/>
  <c r="X146" i="11"/>
  <c r="W158" i="11"/>
  <c r="V158" i="11" s="1"/>
  <c r="W261" i="11"/>
  <c r="V261" i="11" s="1"/>
  <c r="W165" i="11"/>
  <c r="V165" i="11" s="1"/>
  <c r="Z188" i="11"/>
  <c r="W256" i="11"/>
  <c r="V256" i="11" s="1"/>
  <c r="W234" i="11"/>
  <c r="V234" i="11" s="1"/>
  <c r="AE279" i="12"/>
  <c r="AE29" i="11"/>
  <c r="W186" i="11"/>
  <c r="V186" i="11" s="1"/>
  <c r="W195" i="11"/>
  <c r="V195" i="11" s="1"/>
  <c r="Z210" i="11"/>
  <c r="AE229" i="11"/>
  <c r="AE270" i="11" s="1"/>
  <c r="AE272" i="11" s="1"/>
  <c r="Z236" i="11"/>
  <c r="X162" i="11"/>
  <c r="W183" i="11"/>
  <c r="V183" i="11" s="1"/>
  <c r="W219" i="11"/>
  <c r="V219" i="11" s="1"/>
  <c r="Z191" i="11"/>
  <c r="X140" i="11"/>
  <c r="E129" i="11"/>
  <c r="W279" i="12"/>
  <c r="W29" i="11"/>
  <c r="W201" i="11"/>
  <c r="V201" i="11" s="1"/>
  <c r="Z231" i="11"/>
  <c r="X206" i="11"/>
  <c r="W229" i="11"/>
  <c r="W155" i="11"/>
  <c r="V155" i="11" s="1"/>
  <c r="X150" i="11"/>
  <c r="Z148" i="11"/>
  <c r="Z214" i="11"/>
  <c r="W247" i="11"/>
  <c r="V247" i="11" s="1"/>
  <c r="Z149" i="11"/>
  <c r="W199" i="11"/>
  <c r="V199" i="11" s="1"/>
  <c r="F179" i="11"/>
  <c r="W269" i="11"/>
  <c r="V269" i="11" s="1"/>
  <c r="X256" i="11"/>
  <c r="Z254" i="11"/>
  <c r="AE129" i="11"/>
  <c r="AE170" i="11" s="1"/>
  <c r="AE172" i="11" s="1"/>
  <c r="W255" i="11"/>
  <c r="V255" i="11" s="1"/>
  <c r="W184" i="11"/>
  <c r="V184" i="11" s="1"/>
  <c r="W130" i="11"/>
  <c r="V130" i="11" s="1"/>
  <c r="W147" i="11"/>
  <c r="V147" i="11" s="1"/>
  <c r="W144" i="11"/>
  <c r="V144" i="11" s="1"/>
  <c r="W212" i="11"/>
  <c r="V212" i="11" s="1"/>
  <c r="W157" i="11"/>
  <c r="V157" i="11" s="1"/>
  <c r="W163" i="11"/>
  <c r="V163" i="11" s="1"/>
  <c r="W187" i="11"/>
  <c r="V187" i="11" s="1"/>
  <c r="W216" i="11"/>
  <c r="V216" i="11" s="1"/>
  <c r="W248" i="11"/>
  <c r="V248" i="11" s="1"/>
  <c r="Z209" i="11"/>
  <c r="W200" i="11"/>
  <c r="V200" i="11" s="1"/>
  <c r="W213" i="11"/>
  <c r="V213" i="11" s="1"/>
  <c r="W251" i="11"/>
  <c r="V251" i="11" s="1"/>
  <c r="Y229" i="11"/>
  <c r="W142" i="11"/>
  <c r="V142" i="11" s="1"/>
  <c r="W211" i="11"/>
  <c r="V211" i="11" s="1"/>
  <c r="X145" i="11"/>
  <c r="W152" i="11"/>
  <c r="V152" i="11" s="1"/>
  <c r="W160" i="11"/>
  <c r="V160" i="11" s="1"/>
  <c r="W258" i="11"/>
  <c r="V258" i="11" s="1"/>
  <c r="W267" i="11"/>
  <c r="V267" i="11" s="1"/>
  <c r="X133" i="11"/>
  <c r="W181" i="11"/>
  <c r="V181" i="11" s="1"/>
  <c r="W205" i="11"/>
  <c r="V205" i="11" s="1"/>
  <c r="Z256" i="11"/>
  <c r="AB30" i="12" l="1"/>
  <c r="Y31" i="12"/>
  <c r="AE31" i="12"/>
  <c r="G32" i="12"/>
  <c r="Y32" i="12" s="1"/>
  <c r="AA31" i="12"/>
  <c r="AD165" i="12"/>
  <c r="AF165" i="12" s="1"/>
  <c r="AD249" i="12"/>
  <c r="AF249" i="12" s="1"/>
  <c r="AD235" i="12"/>
  <c r="AF235" i="12" s="1"/>
  <c r="AD258" i="12"/>
  <c r="AF258" i="12" s="1"/>
  <c r="AD182" i="12"/>
  <c r="AF182" i="12" s="1"/>
  <c r="AD195" i="12"/>
  <c r="AF195" i="12" s="1"/>
  <c r="AD208" i="12"/>
  <c r="AF208" i="12" s="1"/>
  <c r="AD214" i="12"/>
  <c r="AF214" i="12" s="1"/>
  <c r="AD148" i="12"/>
  <c r="AF148" i="12" s="1"/>
  <c r="AD261" i="12"/>
  <c r="AF261" i="12" s="1"/>
  <c r="AD209" i="12"/>
  <c r="AF209" i="12" s="1"/>
  <c r="AD267" i="12"/>
  <c r="AF267" i="12" s="1"/>
  <c r="AD260" i="12"/>
  <c r="AF260" i="12" s="1"/>
  <c r="AD252" i="12"/>
  <c r="AF252" i="12" s="1"/>
  <c r="AD211" i="12"/>
  <c r="AF211" i="12" s="1"/>
  <c r="AD239" i="12"/>
  <c r="AF239" i="12" s="1"/>
  <c r="AD232" i="12"/>
  <c r="AF232" i="12" s="1"/>
  <c r="AD180" i="12"/>
  <c r="AF180" i="12" s="1"/>
  <c r="AD240" i="12"/>
  <c r="AF240" i="12" s="1"/>
  <c r="AD196" i="12"/>
  <c r="AF196" i="12" s="1"/>
  <c r="Y272" i="12"/>
  <c r="AD197" i="12"/>
  <c r="AF197" i="12" s="1"/>
  <c r="AD191" i="12"/>
  <c r="AF191" i="12" s="1"/>
  <c r="AD241" i="12"/>
  <c r="AF241" i="12" s="1"/>
  <c r="AB195" i="11"/>
  <c r="AD236" i="12"/>
  <c r="AF236" i="12" s="1"/>
  <c r="AD255" i="12"/>
  <c r="AF255" i="12" s="1"/>
  <c r="AD248" i="12"/>
  <c r="AF248" i="12" s="1"/>
  <c r="AD190" i="12"/>
  <c r="AF190" i="12" s="1"/>
  <c r="AB232" i="11"/>
  <c r="AD217" i="12"/>
  <c r="AF217" i="12" s="1"/>
  <c r="AD259" i="12"/>
  <c r="AF259" i="12" s="1"/>
  <c r="AD194" i="12"/>
  <c r="AF194" i="12" s="1"/>
  <c r="AD200" i="12"/>
  <c r="AF200" i="12" s="1"/>
  <c r="AD246" i="12"/>
  <c r="AF246" i="12" s="1"/>
  <c r="AD257" i="12"/>
  <c r="AF257" i="12" s="1"/>
  <c r="AB211" i="11"/>
  <c r="AD206" i="12"/>
  <c r="AF206" i="12" s="1"/>
  <c r="AD218" i="12"/>
  <c r="AF218" i="12" s="1"/>
  <c r="AD202" i="12"/>
  <c r="AF202" i="12" s="1"/>
  <c r="AD231" i="12"/>
  <c r="AF231" i="12" s="1"/>
  <c r="Y271" i="11"/>
  <c r="X271" i="11" s="1"/>
  <c r="Y222" i="12"/>
  <c r="AD242" i="12"/>
  <c r="AF242" i="12" s="1"/>
  <c r="AD230" i="12"/>
  <c r="AF230" i="12" s="1"/>
  <c r="AD233" i="12"/>
  <c r="AF233" i="12" s="1"/>
  <c r="AD237" i="12"/>
  <c r="AF237" i="12" s="1"/>
  <c r="AD187" i="12"/>
  <c r="AF187" i="12" s="1"/>
  <c r="AD184" i="12"/>
  <c r="AF184" i="12" s="1"/>
  <c r="AB261" i="11"/>
  <c r="S272" i="12"/>
  <c r="AD213" i="12"/>
  <c r="AF213" i="12" s="1"/>
  <c r="AD212" i="12"/>
  <c r="AF212" i="12" s="1"/>
  <c r="AD204" i="12"/>
  <c r="AF204" i="12" s="1"/>
  <c r="AD262" i="12"/>
  <c r="AF262" i="12" s="1"/>
  <c r="AD247" i="12"/>
  <c r="AF247" i="12" s="1"/>
  <c r="AD251" i="12"/>
  <c r="AF251" i="12" s="1"/>
  <c r="AD219" i="12"/>
  <c r="AF219" i="12" s="1"/>
  <c r="AD207" i="12"/>
  <c r="AF207" i="12" s="1"/>
  <c r="AD254" i="12"/>
  <c r="AF254" i="12" s="1"/>
  <c r="AD269" i="12"/>
  <c r="AF269" i="12" s="1"/>
  <c r="AD210" i="12"/>
  <c r="AF210" i="12" s="1"/>
  <c r="AD188" i="12"/>
  <c r="AF188" i="12" s="1"/>
  <c r="AD256" i="12"/>
  <c r="AF256" i="12" s="1"/>
  <c r="AD238" i="12"/>
  <c r="AF238" i="12" s="1"/>
  <c r="AD243" i="12"/>
  <c r="AF243" i="12" s="1"/>
  <c r="AA272" i="12"/>
  <c r="AD264" i="12"/>
  <c r="AF264" i="12" s="1"/>
  <c r="AD189" i="12"/>
  <c r="AF189" i="12" s="1"/>
  <c r="AA222" i="12"/>
  <c r="AD215" i="12"/>
  <c r="AF215" i="12" s="1"/>
  <c r="AD181" i="12"/>
  <c r="AF181" i="12" s="1"/>
  <c r="AD253" i="12"/>
  <c r="AF253" i="12" s="1"/>
  <c r="AD268" i="12"/>
  <c r="AF268" i="12" s="1"/>
  <c r="AD250" i="12"/>
  <c r="AF250" i="12" s="1"/>
  <c r="T271" i="12"/>
  <c r="AD266" i="12"/>
  <c r="AF266" i="12" s="1"/>
  <c r="Y221" i="11"/>
  <c r="X221" i="11" s="1"/>
  <c r="AB194" i="11"/>
  <c r="Q270" i="12"/>
  <c r="T270" i="12" s="1"/>
  <c r="T229" i="12"/>
  <c r="AD229" i="12" s="1"/>
  <c r="AB270" i="12"/>
  <c r="AD263" i="12"/>
  <c r="AF263" i="12" s="1"/>
  <c r="AD245" i="12"/>
  <c r="AF245" i="12" s="1"/>
  <c r="AD203" i="12"/>
  <c r="AF203" i="12" s="1"/>
  <c r="S222" i="12"/>
  <c r="R222" i="12"/>
  <c r="AD244" i="12"/>
  <c r="AF244" i="12" s="1"/>
  <c r="AD185" i="12"/>
  <c r="AF185" i="12" s="1"/>
  <c r="R272" i="12"/>
  <c r="AB271" i="12"/>
  <c r="AB271" i="11" s="1"/>
  <c r="W272" i="12"/>
  <c r="AD234" i="12"/>
  <c r="AF234" i="12" s="1"/>
  <c r="AD205" i="12"/>
  <c r="AF205" i="12" s="1"/>
  <c r="AD265" i="12"/>
  <c r="AF265" i="12" s="1"/>
  <c r="T221" i="12"/>
  <c r="AD193" i="12"/>
  <c r="AF193" i="12" s="1"/>
  <c r="AD186" i="12"/>
  <c r="AF186" i="12" s="1"/>
  <c r="AD198" i="12"/>
  <c r="AF198" i="12" s="1"/>
  <c r="AD201" i="12"/>
  <c r="AF201" i="12" s="1"/>
  <c r="AD199" i="12"/>
  <c r="AF199" i="12" s="1"/>
  <c r="AD183" i="12"/>
  <c r="AF183" i="12" s="1"/>
  <c r="AB221" i="12"/>
  <c r="AB221" i="11" s="1"/>
  <c r="W222" i="12"/>
  <c r="AD216" i="12"/>
  <c r="AF216" i="12" s="1"/>
  <c r="AB220" i="12"/>
  <c r="Q220" i="12"/>
  <c r="T220" i="12" s="1"/>
  <c r="T179" i="12"/>
  <c r="AD179" i="12" s="1"/>
  <c r="AD192" i="12"/>
  <c r="AF192" i="12" s="1"/>
  <c r="D271" i="11"/>
  <c r="AB212" i="11"/>
  <c r="AD149" i="12"/>
  <c r="AF149" i="12" s="1"/>
  <c r="AB201" i="11"/>
  <c r="AB208" i="11"/>
  <c r="F271" i="11"/>
  <c r="F270" i="11"/>
  <c r="AB187" i="11"/>
  <c r="AB148" i="11"/>
  <c r="AB269" i="11"/>
  <c r="AB245" i="11"/>
  <c r="D270" i="11"/>
  <c r="AB216" i="11"/>
  <c r="E270" i="11"/>
  <c r="AD158" i="12"/>
  <c r="AF158" i="12" s="1"/>
  <c r="D220" i="11"/>
  <c r="F220" i="11"/>
  <c r="E220" i="11"/>
  <c r="AB209" i="11"/>
  <c r="E271" i="11"/>
  <c r="F221" i="11"/>
  <c r="D221" i="11"/>
  <c r="E221" i="11"/>
  <c r="AD142" i="12"/>
  <c r="AF142" i="12" s="1"/>
  <c r="AD150" i="12"/>
  <c r="AF150" i="12" s="1"/>
  <c r="AD146" i="12"/>
  <c r="AF146" i="12" s="1"/>
  <c r="AD167" i="12"/>
  <c r="AF167" i="12" s="1"/>
  <c r="AD155" i="12"/>
  <c r="AF155" i="12" s="1"/>
  <c r="AD134" i="12"/>
  <c r="AF134" i="12" s="1"/>
  <c r="AD152" i="12"/>
  <c r="AF152" i="12" s="1"/>
  <c r="AD144" i="12"/>
  <c r="AF144" i="12" s="1"/>
  <c r="AD140" i="12"/>
  <c r="AF140" i="12" s="1"/>
  <c r="AD154" i="12"/>
  <c r="AF154" i="12" s="1"/>
  <c r="F170" i="11"/>
  <c r="AD162" i="12"/>
  <c r="AF162" i="12" s="1"/>
  <c r="AD164" i="12"/>
  <c r="AF164" i="12" s="1"/>
  <c r="AD163" i="12"/>
  <c r="AF163" i="12" s="1"/>
  <c r="AD131" i="12"/>
  <c r="AF131" i="12" s="1"/>
  <c r="AD147" i="12"/>
  <c r="AF147" i="12" s="1"/>
  <c r="AD132" i="12"/>
  <c r="AF132" i="12" s="1"/>
  <c r="Y172" i="12"/>
  <c r="S171" i="12"/>
  <c r="S172" i="12" s="1"/>
  <c r="F171" i="11"/>
  <c r="Y171" i="11"/>
  <c r="X171" i="11" s="1"/>
  <c r="AD136" i="12"/>
  <c r="AF136" i="12" s="1"/>
  <c r="AD157" i="12"/>
  <c r="AF157" i="12" s="1"/>
  <c r="AD156" i="12"/>
  <c r="AF156" i="12" s="1"/>
  <c r="D170" i="11"/>
  <c r="AD145" i="12"/>
  <c r="AF145" i="12" s="1"/>
  <c r="AD141" i="12"/>
  <c r="AF141" i="12" s="1"/>
  <c r="AD138" i="12"/>
  <c r="AF138" i="12" s="1"/>
  <c r="AD161" i="12"/>
  <c r="AF161" i="12" s="1"/>
  <c r="E170" i="11"/>
  <c r="AA172" i="12"/>
  <c r="AD133" i="12"/>
  <c r="AF133" i="12" s="1"/>
  <c r="AD139" i="12"/>
  <c r="AF139" i="12" s="1"/>
  <c r="AD137" i="12"/>
  <c r="AF137" i="12" s="1"/>
  <c r="Q171" i="12"/>
  <c r="D171" i="11"/>
  <c r="R171" i="12"/>
  <c r="R172" i="12" s="1"/>
  <c r="E171" i="11"/>
  <c r="AD166" i="12"/>
  <c r="AF166" i="12" s="1"/>
  <c r="AB171" i="12"/>
  <c r="AB171" i="11" s="1"/>
  <c r="W172" i="12"/>
  <c r="AD153" i="12"/>
  <c r="AF153" i="12" s="1"/>
  <c r="AD130" i="12"/>
  <c r="AF130" i="12" s="1"/>
  <c r="AB170" i="12"/>
  <c r="AD143" i="12"/>
  <c r="AF143" i="12" s="1"/>
  <c r="AD160" i="12"/>
  <c r="AF160" i="12" s="1"/>
  <c r="AD151" i="12"/>
  <c r="AF151" i="12" s="1"/>
  <c r="AD169" i="12"/>
  <c r="AF169" i="12" s="1"/>
  <c r="AD135" i="12"/>
  <c r="AF135" i="12" s="1"/>
  <c r="AD168" i="12"/>
  <c r="AF168" i="12" s="1"/>
  <c r="Q170" i="12"/>
  <c r="T170" i="12" s="1"/>
  <c r="T129" i="12"/>
  <c r="AD129" i="12" s="1"/>
  <c r="AD159" i="12"/>
  <c r="AF159" i="12" s="1"/>
  <c r="T30" i="12"/>
  <c r="D31" i="12"/>
  <c r="Q31" i="12" s="1"/>
  <c r="E31" i="12"/>
  <c r="R31" i="12" s="1"/>
  <c r="F31" i="12"/>
  <c r="S31" i="12" s="1"/>
  <c r="G172" i="11"/>
  <c r="G76" i="4" s="1"/>
  <c r="V29" i="11"/>
  <c r="W279" i="11"/>
  <c r="G281" i="12"/>
  <c r="G31" i="11"/>
  <c r="G281" i="11" s="1"/>
  <c r="Z129" i="11"/>
  <c r="AA170" i="11"/>
  <c r="AA172" i="11" s="1"/>
  <c r="E279" i="11"/>
  <c r="AB279" i="12"/>
  <c r="AB29" i="11"/>
  <c r="X29" i="11"/>
  <c r="Y279" i="11"/>
  <c r="AA280" i="12"/>
  <c r="AA30" i="11"/>
  <c r="F279" i="11"/>
  <c r="V179" i="11"/>
  <c r="W220" i="11"/>
  <c r="G222" i="11"/>
  <c r="G77" i="4" s="1"/>
  <c r="F77" i="4" s="1"/>
  <c r="Y280" i="12"/>
  <c r="Y30" i="11"/>
  <c r="Z29" i="11"/>
  <c r="AA279" i="11"/>
  <c r="G272" i="11"/>
  <c r="G78" i="4" s="1"/>
  <c r="F78" i="4" s="1"/>
  <c r="AB179" i="11"/>
  <c r="V182" i="11"/>
  <c r="AE279" i="11"/>
  <c r="W280" i="12"/>
  <c r="W30" i="11"/>
  <c r="V235" i="11"/>
  <c r="W271" i="11"/>
  <c r="W170" i="11"/>
  <c r="V129" i="11"/>
  <c r="Z229" i="11"/>
  <c r="AA270" i="11"/>
  <c r="AA272" i="11" s="1"/>
  <c r="D279" i="11"/>
  <c r="Z221" i="11"/>
  <c r="D280" i="12"/>
  <c r="D30" i="11"/>
  <c r="D280" i="11" s="1"/>
  <c r="AB129" i="11"/>
  <c r="W171" i="11"/>
  <c r="V229" i="11"/>
  <c r="W270" i="11"/>
  <c r="W221" i="11"/>
  <c r="E280" i="12"/>
  <c r="E30" i="11"/>
  <c r="E280" i="11" s="1"/>
  <c r="Y220" i="11"/>
  <c r="X179" i="11"/>
  <c r="Z271" i="11"/>
  <c r="AE280" i="12"/>
  <c r="AE30" i="11"/>
  <c r="AE280" i="11" s="1"/>
  <c r="Y270" i="11"/>
  <c r="X229" i="11"/>
  <c r="AB229" i="11"/>
  <c r="F280" i="12"/>
  <c r="F30" i="11"/>
  <c r="F280" i="11" s="1"/>
  <c r="Z179" i="11"/>
  <c r="AA220" i="11"/>
  <c r="AA222" i="11" s="1"/>
  <c r="Y170" i="11"/>
  <c r="X129" i="11"/>
  <c r="Z171" i="11"/>
  <c r="AB31" i="12" l="1"/>
  <c r="W32" i="12"/>
  <c r="AE32" i="12"/>
  <c r="E32" i="12"/>
  <c r="R32" i="12" s="1"/>
  <c r="F32" i="12"/>
  <c r="S32" i="12" s="1"/>
  <c r="D32" i="12"/>
  <c r="Q32" i="12" s="1"/>
  <c r="G33" i="12"/>
  <c r="AE33" i="12" s="1"/>
  <c r="AA32" i="12"/>
  <c r="F76" i="4"/>
  <c r="G83" i="4"/>
  <c r="F83" i="4" s="1"/>
  <c r="Y272" i="11"/>
  <c r="D272" i="11"/>
  <c r="Y222" i="11"/>
  <c r="AB170" i="11"/>
  <c r="AB172" i="11" s="1"/>
  <c r="E272" i="11"/>
  <c r="F272" i="11"/>
  <c r="E222" i="11"/>
  <c r="F222" i="11"/>
  <c r="D222" i="11"/>
  <c r="AD270" i="12"/>
  <c r="AF229" i="12"/>
  <c r="AF270" i="12" s="1"/>
  <c r="Q272" i="12"/>
  <c r="AB272" i="12"/>
  <c r="AD271" i="12"/>
  <c r="T272" i="12"/>
  <c r="AB222" i="12"/>
  <c r="Q222" i="12"/>
  <c r="AD220" i="12"/>
  <c r="AF179" i="12"/>
  <c r="AF220" i="12" s="1"/>
  <c r="AD221" i="12"/>
  <c r="T222" i="12"/>
  <c r="AB270" i="11"/>
  <c r="AB272" i="11" s="1"/>
  <c r="AB220" i="11"/>
  <c r="AB222" i="11" s="1"/>
  <c r="E172" i="11"/>
  <c r="F172" i="11"/>
  <c r="Y172" i="11"/>
  <c r="D172" i="11"/>
  <c r="AB172" i="12"/>
  <c r="AD170" i="12"/>
  <c r="AF129" i="12"/>
  <c r="AF170" i="12" s="1"/>
  <c r="T171" i="12"/>
  <c r="Q172" i="12"/>
  <c r="AD30" i="12"/>
  <c r="AF30" i="12" s="1"/>
  <c r="T31" i="12"/>
  <c r="W172" i="11"/>
  <c r="V171" i="11"/>
  <c r="V271" i="11"/>
  <c r="W272" i="11"/>
  <c r="Z30" i="11"/>
  <c r="AA280" i="11"/>
  <c r="Z280" i="11" s="1"/>
  <c r="Y281" i="12"/>
  <c r="Y31" i="11"/>
  <c r="D281" i="12"/>
  <c r="D31" i="11"/>
  <c r="X279" i="11"/>
  <c r="AE281" i="12"/>
  <c r="AE31" i="11"/>
  <c r="AE281" i="11" s="1"/>
  <c r="V279" i="11"/>
  <c r="V221" i="11"/>
  <c r="W222" i="11"/>
  <c r="E281" i="12"/>
  <c r="E31" i="11"/>
  <c r="E281" i="11" s="1"/>
  <c r="Z279" i="11"/>
  <c r="F281" i="12"/>
  <c r="F31" i="11"/>
  <c r="V30" i="11"/>
  <c r="W280" i="11"/>
  <c r="V280" i="11" s="1"/>
  <c r="AB279" i="11"/>
  <c r="G282" i="12"/>
  <c r="G32" i="11"/>
  <c r="G282" i="11" s="1"/>
  <c r="X30" i="11"/>
  <c r="Y280" i="11"/>
  <c r="X280" i="11" s="1"/>
  <c r="W281" i="12"/>
  <c r="W31" i="11"/>
  <c r="AB280" i="12"/>
  <c r="AB30" i="11"/>
  <c r="AB280" i="11" s="1"/>
  <c r="AA281" i="12"/>
  <c r="AA31" i="11"/>
  <c r="AB32" i="12" l="1"/>
  <c r="T32" i="12"/>
  <c r="D33" i="12"/>
  <c r="Q33" i="12" s="1"/>
  <c r="F33" i="12"/>
  <c r="S33" i="12" s="1"/>
  <c r="E33" i="12"/>
  <c r="R33" i="12" s="1"/>
  <c r="Y33" i="12"/>
  <c r="W33" i="12"/>
  <c r="G34" i="12"/>
  <c r="W34" i="12" s="1"/>
  <c r="AA33" i="12"/>
  <c r="AD31" i="12"/>
  <c r="AF31" i="12" s="1"/>
  <c r="AK31" i="12" s="1"/>
  <c r="AD272" i="12"/>
  <c r="AF271" i="12"/>
  <c r="AF272" i="12" s="1"/>
  <c r="AD222" i="12"/>
  <c r="AF221" i="12"/>
  <c r="AF222" i="12" s="1"/>
  <c r="AD171" i="12"/>
  <c r="T172" i="12"/>
  <c r="AK30" i="12"/>
  <c r="W282" i="12"/>
  <c r="W32" i="11"/>
  <c r="F281" i="11"/>
  <c r="X31" i="11"/>
  <c r="Y281" i="11"/>
  <c r="X281" i="11" s="1"/>
  <c r="E282" i="12"/>
  <c r="E32" i="11"/>
  <c r="E282" i="11" s="1"/>
  <c r="D281" i="11"/>
  <c r="AB281" i="12"/>
  <c r="AB31" i="11"/>
  <c r="F282" i="12"/>
  <c r="F32" i="11"/>
  <c r="F282" i="11" s="1"/>
  <c r="AE282" i="12"/>
  <c r="AE32" i="11"/>
  <c r="Z31" i="11"/>
  <c r="AA281" i="11"/>
  <c r="G283" i="12"/>
  <c r="G33" i="11"/>
  <c r="G283" i="11" s="1"/>
  <c r="Y282" i="12"/>
  <c r="Y32" i="11"/>
  <c r="D282" i="12"/>
  <c r="D32" i="11"/>
  <c r="D282" i="11" s="1"/>
  <c r="V31" i="11"/>
  <c r="W281" i="11"/>
  <c r="AA282" i="12"/>
  <c r="AA32" i="11"/>
  <c r="AD32" i="12" l="1"/>
  <c r="AF32" i="12" s="1"/>
  <c r="T33" i="12"/>
  <c r="AB33" i="12"/>
  <c r="E34" i="12"/>
  <c r="R34" i="12" s="1"/>
  <c r="F34" i="12"/>
  <c r="S34" i="12" s="1"/>
  <c r="AE34" i="12"/>
  <c r="Y34" i="12"/>
  <c r="D34" i="12"/>
  <c r="Q34" i="12" s="1"/>
  <c r="G35" i="12"/>
  <c r="AE35" i="12" s="1"/>
  <c r="AA34" i="12"/>
  <c r="AD172" i="12"/>
  <c r="AF171" i="12"/>
  <c r="AF172" i="12" s="1"/>
  <c r="W283" i="12"/>
  <c r="W33" i="11"/>
  <c r="Y283" i="12"/>
  <c r="Y33" i="11"/>
  <c r="V32" i="11"/>
  <c r="W282" i="11"/>
  <c r="V282" i="11" s="1"/>
  <c r="X32" i="11"/>
  <c r="Y282" i="11"/>
  <c r="X282" i="11" s="1"/>
  <c r="D283" i="12"/>
  <c r="D33" i="11"/>
  <c r="D283" i="11" s="1"/>
  <c r="Z32" i="11"/>
  <c r="AA282" i="11"/>
  <c r="Z282" i="11" s="1"/>
  <c r="E283" i="12"/>
  <c r="E33" i="11"/>
  <c r="E283" i="11" s="1"/>
  <c r="Z281" i="11"/>
  <c r="AB281" i="11"/>
  <c r="F283" i="12"/>
  <c r="F33" i="11"/>
  <c r="F283" i="11" s="1"/>
  <c r="V281" i="11"/>
  <c r="G284" i="12"/>
  <c r="G34" i="11"/>
  <c r="G284" i="11" s="1"/>
  <c r="AE283" i="12"/>
  <c r="AE33" i="11"/>
  <c r="AE283" i="11" s="1"/>
  <c r="AB282" i="12"/>
  <c r="AB32" i="11"/>
  <c r="AB282" i="11" s="1"/>
  <c r="AA283" i="12"/>
  <c r="AA33" i="11"/>
  <c r="AE282" i="11"/>
  <c r="AD33" i="12" l="1"/>
  <c r="AF33" i="12" s="1"/>
  <c r="AK33" i="12" s="1"/>
  <c r="T34" i="12"/>
  <c r="AB34" i="12"/>
  <c r="Y35" i="12"/>
  <c r="E35" i="12"/>
  <c r="R35" i="12" s="1"/>
  <c r="W35" i="12"/>
  <c r="F35" i="12"/>
  <c r="S35" i="12" s="1"/>
  <c r="D35" i="12"/>
  <c r="Q35" i="12" s="1"/>
  <c r="G36" i="12"/>
  <c r="W36" i="12" s="1"/>
  <c r="AA35" i="12"/>
  <c r="AK32" i="12"/>
  <c r="W284" i="12"/>
  <c r="W34" i="11"/>
  <c r="V33" i="11"/>
  <c r="W283" i="11"/>
  <c r="Y284" i="12"/>
  <c r="Y34" i="11"/>
  <c r="AB283" i="12"/>
  <c r="AB33" i="11"/>
  <c r="AB283" i="11" s="1"/>
  <c r="D284" i="12"/>
  <c r="D34" i="11"/>
  <c r="Z33" i="11"/>
  <c r="AA283" i="11"/>
  <c r="E284" i="12"/>
  <c r="E34" i="11"/>
  <c r="E284" i="11" s="1"/>
  <c r="AE284" i="12"/>
  <c r="AE34" i="11"/>
  <c r="F284" i="12"/>
  <c r="F34" i="11"/>
  <c r="X33" i="11"/>
  <c r="Y283" i="11"/>
  <c r="G285" i="12"/>
  <c r="G35" i="11"/>
  <c r="G285" i="11" s="1"/>
  <c r="AA284" i="12"/>
  <c r="AA34" i="11"/>
  <c r="AD34" i="12" l="1"/>
  <c r="AF34" i="12" s="1"/>
  <c r="AK34" i="12" s="1"/>
  <c r="AB35" i="12"/>
  <c r="T35" i="12"/>
  <c r="F36" i="12"/>
  <c r="S36" i="12" s="1"/>
  <c r="G37" i="12"/>
  <c r="AE37" i="12" s="1"/>
  <c r="AA36" i="12"/>
  <c r="AE36" i="12"/>
  <c r="D36" i="12"/>
  <c r="Q36" i="12" s="1"/>
  <c r="E36" i="12"/>
  <c r="R36" i="12" s="1"/>
  <c r="Y36" i="12"/>
  <c r="AE284" i="11"/>
  <c r="W285" i="12"/>
  <c r="W35" i="11"/>
  <c r="D284" i="11"/>
  <c r="V283" i="11"/>
  <c r="Y285" i="12"/>
  <c r="Y35" i="11"/>
  <c r="Z34" i="11"/>
  <c r="AA284" i="11"/>
  <c r="Z284" i="11" s="1"/>
  <c r="D285" i="12"/>
  <c r="D35" i="11"/>
  <c r="D285" i="11" s="1"/>
  <c r="V34" i="11"/>
  <c r="W284" i="11"/>
  <c r="V284" i="11" s="1"/>
  <c r="E285" i="12"/>
  <c r="E35" i="11"/>
  <c r="E285" i="11" s="1"/>
  <c r="AB284" i="12"/>
  <c r="AB34" i="11"/>
  <c r="AE285" i="12"/>
  <c r="AE35" i="11"/>
  <c r="AE285" i="11" s="1"/>
  <c r="F284" i="11"/>
  <c r="AA285" i="12"/>
  <c r="AA35" i="11"/>
  <c r="X283" i="11"/>
  <c r="F285" i="12"/>
  <c r="F35" i="11"/>
  <c r="F285" i="11" s="1"/>
  <c r="Z283" i="11"/>
  <c r="X34" i="11"/>
  <c r="Y284" i="11"/>
  <c r="X284" i="11" s="1"/>
  <c r="G286" i="12"/>
  <c r="G36" i="11"/>
  <c r="G286" i="11" s="1"/>
  <c r="AD35" i="12" l="1"/>
  <c r="AF35" i="12" s="1"/>
  <c r="AK35" i="12" s="1"/>
  <c r="AB36" i="12"/>
  <c r="E37" i="12"/>
  <c r="R37" i="12" s="1"/>
  <c r="T36" i="12"/>
  <c r="Y37" i="12"/>
  <c r="F37" i="12"/>
  <c r="S37" i="12" s="1"/>
  <c r="G38" i="12"/>
  <c r="AE38" i="12" s="1"/>
  <c r="AA37" i="12"/>
  <c r="D37" i="12"/>
  <c r="Q37" i="12" s="1"/>
  <c r="W37" i="12"/>
  <c r="AE286" i="12"/>
  <c r="AE36" i="11"/>
  <c r="AE286" i="11" s="1"/>
  <c r="AA286" i="12"/>
  <c r="AA36" i="11"/>
  <c r="AB284" i="11"/>
  <c r="V35" i="11"/>
  <c r="W285" i="11"/>
  <c r="V285" i="11" s="1"/>
  <c r="Y286" i="12"/>
  <c r="Y36" i="11"/>
  <c r="AB285" i="12"/>
  <c r="AB35" i="11"/>
  <c r="AB285" i="11" s="1"/>
  <c r="F286" i="12"/>
  <c r="F36" i="11"/>
  <c r="F286" i="11" s="1"/>
  <c r="G287" i="12"/>
  <c r="G37" i="11"/>
  <c r="G287" i="11" s="1"/>
  <c r="W286" i="12"/>
  <c r="W36" i="11"/>
  <c r="Z35" i="11"/>
  <c r="AA285" i="11"/>
  <c r="Z285" i="11" s="1"/>
  <c r="X35" i="11"/>
  <c r="Y285" i="11"/>
  <c r="D286" i="12"/>
  <c r="D36" i="11"/>
  <c r="D286" i="11" s="1"/>
  <c r="E286" i="12"/>
  <c r="E36" i="11"/>
  <c r="E286" i="11" s="1"/>
  <c r="AD36" i="12" l="1"/>
  <c r="AF36" i="12" s="1"/>
  <c r="AK36" i="12" s="1"/>
  <c r="T37" i="12"/>
  <c r="AB37" i="12"/>
  <c r="E38" i="12"/>
  <c r="R38" i="12" s="1"/>
  <c r="W38" i="12"/>
  <c r="Y38" i="12"/>
  <c r="F38" i="12"/>
  <c r="S38" i="12" s="1"/>
  <c r="D38" i="12"/>
  <c r="Q38" i="12" s="1"/>
  <c r="G39" i="12"/>
  <c r="F39" i="12" s="1"/>
  <c r="S39" i="12" s="1"/>
  <c r="AA38" i="12"/>
  <c r="W287" i="12"/>
  <c r="W37" i="11"/>
  <c r="Y287" i="12"/>
  <c r="Y37" i="11"/>
  <c r="V36" i="11"/>
  <c r="W286" i="11"/>
  <c r="AE287" i="12"/>
  <c r="AE37" i="11"/>
  <c r="AE287" i="11" s="1"/>
  <c r="Z36" i="11"/>
  <c r="AA286" i="11"/>
  <c r="AB286" i="12"/>
  <c r="AB36" i="11"/>
  <c r="D287" i="12"/>
  <c r="D37" i="11"/>
  <c r="D287" i="11" s="1"/>
  <c r="E287" i="12"/>
  <c r="E37" i="11"/>
  <c r="E287" i="11" s="1"/>
  <c r="X36" i="11"/>
  <c r="Y286" i="11"/>
  <c r="X286" i="11" s="1"/>
  <c r="F287" i="12"/>
  <c r="F37" i="11"/>
  <c r="F287" i="11" s="1"/>
  <c r="AA287" i="12"/>
  <c r="AA37" i="11"/>
  <c r="X285" i="11"/>
  <c r="G288" i="12"/>
  <c r="G38" i="11"/>
  <c r="G288" i="11" s="1"/>
  <c r="AD37" i="12" l="1"/>
  <c r="AF37" i="12" s="1"/>
  <c r="AK37" i="12" s="1"/>
  <c r="T38" i="12"/>
  <c r="AB38" i="12"/>
  <c r="D39" i="12"/>
  <c r="Q39" i="12" s="1"/>
  <c r="Y39" i="12"/>
  <c r="E39" i="12"/>
  <c r="R39" i="12" s="1"/>
  <c r="W39" i="12"/>
  <c r="G40" i="12"/>
  <c r="Y40" i="12" s="1"/>
  <c r="AA39" i="12"/>
  <c r="AE39" i="12"/>
  <c r="E288" i="12"/>
  <c r="E38" i="11"/>
  <c r="E288" i="11" s="1"/>
  <c r="AE288" i="12"/>
  <c r="AE38" i="11"/>
  <c r="AE288" i="11" s="1"/>
  <c r="AB286" i="11"/>
  <c r="Z37" i="11"/>
  <c r="AA287" i="11"/>
  <c r="Z287" i="11" s="1"/>
  <c r="F288" i="12"/>
  <c r="F38" i="11"/>
  <c r="F288" i="11" s="1"/>
  <c r="X37" i="11"/>
  <c r="Y287" i="11"/>
  <c r="X287" i="11" s="1"/>
  <c r="G289" i="12"/>
  <c r="G39" i="11"/>
  <c r="G289" i="11" s="1"/>
  <c r="Z286" i="11"/>
  <c r="AA288" i="12"/>
  <c r="AA38" i="11"/>
  <c r="V37" i="11"/>
  <c r="W287" i="11"/>
  <c r="V287" i="11" s="1"/>
  <c r="V286" i="11"/>
  <c r="W288" i="12"/>
  <c r="W38" i="11"/>
  <c r="AB287" i="12"/>
  <c r="AB37" i="11"/>
  <c r="AB287" i="11" s="1"/>
  <c r="D288" i="12"/>
  <c r="D38" i="11"/>
  <c r="D288" i="11" s="1"/>
  <c r="Y288" i="12"/>
  <c r="Y38" i="11"/>
  <c r="AB39" i="12" l="1"/>
  <c r="AD38" i="12"/>
  <c r="AF38" i="12" s="1"/>
  <c r="AK38" i="12" s="1"/>
  <c r="T39" i="12"/>
  <c r="D40" i="12"/>
  <c r="Q40" i="12" s="1"/>
  <c r="E40" i="12"/>
  <c r="R40" i="12" s="1"/>
  <c r="F40" i="12"/>
  <c r="S40" i="12" s="1"/>
  <c r="W40" i="12"/>
  <c r="AE40" i="12"/>
  <c r="G41" i="12"/>
  <c r="D41" i="12" s="1"/>
  <c r="Q41" i="12" s="1"/>
  <c r="AA40" i="12"/>
  <c r="X38" i="11"/>
  <c r="Y288" i="11"/>
  <c r="X288" i="11" s="1"/>
  <c r="F289" i="12"/>
  <c r="F39" i="11"/>
  <c r="F289" i="11" s="1"/>
  <c r="G290" i="12"/>
  <c r="G40" i="11"/>
  <c r="G290" i="11" s="1"/>
  <c r="AA289" i="12"/>
  <c r="AA39" i="11"/>
  <c r="AB288" i="12"/>
  <c r="AB38" i="11"/>
  <c r="AB288" i="11" s="1"/>
  <c r="W289" i="12"/>
  <c r="W39" i="11"/>
  <c r="Y289" i="12"/>
  <c r="Y39" i="11"/>
  <c r="Z38" i="11"/>
  <c r="AA288" i="11"/>
  <c r="Z288" i="11" s="1"/>
  <c r="AE289" i="12"/>
  <c r="AE39" i="11"/>
  <c r="AE289" i="11" s="1"/>
  <c r="E289" i="12"/>
  <c r="E39" i="11"/>
  <c r="E289" i="11" s="1"/>
  <c r="V38" i="11"/>
  <c r="W288" i="11"/>
  <c r="V288" i="11" s="1"/>
  <c r="D289" i="12"/>
  <c r="D39" i="11"/>
  <c r="D289" i="11" s="1"/>
  <c r="AD39" i="12" l="1"/>
  <c r="AF39" i="12" s="1"/>
  <c r="AK39" i="12" s="1"/>
  <c r="T40" i="12"/>
  <c r="Y41" i="12"/>
  <c r="AB40" i="12"/>
  <c r="F41" i="12"/>
  <c r="S41" i="12" s="1"/>
  <c r="AE41" i="12"/>
  <c r="W41" i="12"/>
  <c r="E41" i="12"/>
  <c r="R41" i="12" s="1"/>
  <c r="G42" i="12"/>
  <c r="AE42" i="12" s="1"/>
  <c r="AA41" i="12"/>
  <c r="X39" i="11"/>
  <c r="Y289" i="11"/>
  <c r="X289" i="11" s="1"/>
  <c r="F290" i="12"/>
  <c r="F40" i="11"/>
  <c r="F290" i="11" s="1"/>
  <c r="Y290" i="12"/>
  <c r="Y40" i="11"/>
  <c r="G291" i="12"/>
  <c r="G41" i="11"/>
  <c r="G291" i="11" s="1"/>
  <c r="V39" i="11"/>
  <c r="W289" i="11"/>
  <c r="V289" i="11" s="1"/>
  <c r="AA290" i="12"/>
  <c r="AA40" i="11"/>
  <c r="AB289" i="12"/>
  <c r="AB39" i="11"/>
  <c r="AB289" i="11" s="1"/>
  <c r="W290" i="12"/>
  <c r="W40" i="11"/>
  <c r="Z39" i="11"/>
  <c r="AA289" i="11"/>
  <c r="Z289" i="11" s="1"/>
  <c r="D290" i="12"/>
  <c r="D40" i="11"/>
  <c r="D290" i="11" s="1"/>
  <c r="E290" i="12"/>
  <c r="E40" i="11"/>
  <c r="E290" i="11" s="1"/>
  <c r="AE290" i="12"/>
  <c r="AE40" i="11"/>
  <c r="AE290" i="11" s="1"/>
  <c r="AD40" i="12" l="1"/>
  <c r="AF40" i="12" s="1"/>
  <c r="AK40" i="12" s="1"/>
  <c r="T41" i="12"/>
  <c r="AB41" i="12"/>
  <c r="Y42" i="12"/>
  <c r="W42" i="12"/>
  <c r="D42" i="12"/>
  <c r="Q42" i="12" s="1"/>
  <c r="E42" i="12"/>
  <c r="R42" i="12" s="1"/>
  <c r="F42" i="12"/>
  <c r="S42" i="12" s="1"/>
  <c r="G43" i="12"/>
  <c r="AE43" i="12" s="1"/>
  <c r="AA42" i="12"/>
  <c r="AA291" i="12"/>
  <c r="AA41" i="11"/>
  <c r="W291" i="12"/>
  <c r="W41" i="11"/>
  <c r="X40" i="11"/>
  <c r="Y290" i="11"/>
  <c r="X290" i="11" s="1"/>
  <c r="D291" i="12"/>
  <c r="D41" i="11"/>
  <c r="D291" i="11" s="1"/>
  <c r="Z40" i="11"/>
  <c r="AA290" i="11"/>
  <c r="Z290" i="11" s="1"/>
  <c r="E291" i="12"/>
  <c r="E41" i="11"/>
  <c r="E291" i="11" s="1"/>
  <c r="G292" i="12"/>
  <c r="G42" i="11"/>
  <c r="G292" i="11" s="1"/>
  <c r="Y291" i="12"/>
  <c r="Y41" i="11"/>
  <c r="F291" i="12"/>
  <c r="F41" i="11"/>
  <c r="F291" i="11" s="1"/>
  <c r="AB290" i="12"/>
  <c r="AB40" i="11"/>
  <c r="AB290" i="11" s="1"/>
  <c r="V40" i="11"/>
  <c r="W290" i="11"/>
  <c r="V290" i="11" s="1"/>
  <c r="AE291" i="12"/>
  <c r="AE41" i="11"/>
  <c r="AE291" i="11" s="1"/>
  <c r="AD41" i="12" l="1"/>
  <c r="AF41" i="12" s="1"/>
  <c r="AK41" i="12" s="1"/>
  <c r="T42" i="12"/>
  <c r="AB42" i="12"/>
  <c r="E43" i="12"/>
  <c r="R43" i="12" s="1"/>
  <c r="D43" i="12"/>
  <c r="Q43" i="12" s="1"/>
  <c r="F43" i="12"/>
  <c r="S43" i="12" s="1"/>
  <c r="Y43" i="12"/>
  <c r="W43" i="12"/>
  <c r="G44" i="12"/>
  <c r="E44" i="12" s="1"/>
  <c r="R44" i="12" s="1"/>
  <c r="AA43" i="12"/>
  <c r="G293" i="12"/>
  <c r="G43" i="11"/>
  <c r="G293" i="11" s="1"/>
  <c r="AA292" i="12"/>
  <c r="AA42" i="11"/>
  <c r="W292" i="12"/>
  <c r="W42" i="11"/>
  <c r="V41" i="11"/>
  <c r="W291" i="11"/>
  <c r="V291" i="11" s="1"/>
  <c r="AE292" i="12"/>
  <c r="AE42" i="11"/>
  <c r="AE292" i="11" s="1"/>
  <c r="AB291" i="12"/>
  <c r="AB41" i="11"/>
  <c r="AB291" i="11" s="1"/>
  <c r="F292" i="12"/>
  <c r="F42" i="11"/>
  <c r="F292" i="11" s="1"/>
  <c r="D292" i="12"/>
  <c r="D42" i="11"/>
  <c r="D292" i="11" s="1"/>
  <c r="E292" i="12"/>
  <c r="E42" i="11"/>
  <c r="E292" i="11" s="1"/>
  <c r="Z41" i="11"/>
  <c r="AA291" i="11"/>
  <c r="Z291" i="11" s="1"/>
  <c r="X41" i="11"/>
  <c r="Y291" i="11"/>
  <c r="X291" i="11" s="1"/>
  <c r="Y292" i="12"/>
  <c r="Y42" i="11"/>
  <c r="AD42" i="12" l="1"/>
  <c r="AF42" i="12" s="1"/>
  <c r="AK42" i="12" s="1"/>
  <c r="AB43" i="12"/>
  <c r="T43" i="12"/>
  <c r="F44" i="12"/>
  <c r="S44" i="12" s="1"/>
  <c r="AE44" i="12"/>
  <c r="W44" i="12"/>
  <c r="D44" i="12"/>
  <c r="Q44" i="12" s="1"/>
  <c r="Y44" i="12"/>
  <c r="G45" i="12"/>
  <c r="F45" i="12" s="1"/>
  <c r="S45" i="12" s="1"/>
  <c r="AA44" i="12"/>
  <c r="V42" i="11"/>
  <c r="W292" i="11"/>
  <c r="V292" i="11" s="1"/>
  <c r="D293" i="12"/>
  <c r="D43" i="11"/>
  <c r="D293" i="11" s="1"/>
  <c r="AB292" i="12"/>
  <c r="AB42" i="11"/>
  <c r="AB292" i="11" s="1"/>
  <c r="Y293" i="12"/>
  <c r="Y43" i="11"/>
  <c r="AE293" i="12"/>
  <c r="AE43" i="11"/>
  <c r="AE293" i="11" s="1"/>
  <c r="Z42" i="11"/>
  <c r="AA292" i="11"/>
  <c r="Z292" i="11" s="1"/>
  <c r="E293" i="12"/>
  <c r="E43" i="11"/>
  <c r="E293" i="11" s="1"/>
  <c r="F293" i="12"/>
  <c r="F43" i="11"/>
  <c r="F293" i="11" s="1"/>
  <c r="W293" i="12"/>
  <c r="W43" i="11"/>
  <c r="G294" i="12"/>
  <c r="G44" i="11"/>
  <c r="G294" i="11" s="1"/>
  <c r="X42" i="11"/>
  <c r="Y292" i="11"/>
  <c r="X292" i="11" s="1"/>
  <c r="AA293" i="12"/>
  <c r="AA43" i="11"/>
  <c r="AD43" i="12" l="1"/>
  <c r="AF43" i="12" s="1"/>
  <c r="AK43" i="12" s="1"/>
  <c r="T44" i="12"/>
  <c r="D45" i="12"/>
  <c r="Q45" i="12" s="1"/>
  <c r="E45" i="12"/>
  <c r="R45" i="12" s="1"/>
  <c r="Y45" i="12"/>
  <c r="AB44" i="12"/>
  <c r="AE45" i="12"/>
  <c r="W45" i="12"/>
  <c r="G46" i="12"/>
  <c r="E46" i="12" s="1"/>
  <c r="R46" i="12" s="1"/>
  <c r="AA45" i="12"/>
  <c r="AE294" i="12"/>
  <c r="AE44" i="11"/>
  <c r="AE294" i="11" s="1"/>
  <c r="F294" i="12"/>
  <c r="F44" i="11"/>
  <c r="F294" i="11" s="1"/>
  <c r="Y294" i="12"/>
  <c r="Y44" i="11"/>
  <c r="G295" i="12"/>
  <c r="G45" i="11"/>
  <c r="G295" i="11" s="1"/>
  <c r="AA294" i="12"/>
  <c r="AA44" i="11"/>
  <c r="X43" i="11"/>
  <c r="Y293" i="11"/>
  <c r="X293" i="11" s="1"/>
  <c r="W294" i="12"/>
  <c r="W44" i="11"/>
  <c r="V43" i="11"/>
  <c r="W293" i="11"/>
  <c r="V293" i="11" s="1"/>
  <c r="D294" i="12"/>
  <c r="D44" i="11"/>
  <c r="D294" i="11" s="1"/>
  <c r="AB293" i="12"/>
  <c r="AB43" i="11"/>
  <c r="AB293" i="11" s="1"/>
  <c r="Z43" i="11"/>
  <c r="AA293" i="11"/>
  <c r="Z293" i="11" s="1"/>
  <c r="E294" i="12"/>
  <c r="E44" i="11"/>
  <c r="E294" i="11" s="1"/>
  <c r="AD44" i="12" l="1"/>
  <c r="AF44" i="12" s="1"/>
  <c r="AK44" i="12" s="1"/>
  <c r="T45" i="12"/>
  <c r="AB45" i="12"/>
  <c r="W46" i="12"/>
  <c r="Y46" i="12"/>
  <c r="D46" i="12"/>
  <c r="Q46" i="12" s="1"/>
  <c r="AE46" i="12"/>
  <c r="F46" i="12"/>
  <c r="S46" i="12" s="1"/>
  <c r="G47" i="12"/>
  <c r="F47" i="12" s="1"/>
  <c r="S47" i="12" s="1"/>
  <c r="AA46" i="12"/>
  <c r="V44" i="11"/>
  <c r="W294" i="11"/>
  <c r="V294" i="11" s="1"/>
  <c r="AA295" i="12"/>
  <c r="AA45" i="11"/>
  <c r="AB294" i="12"/>
  <c r="AB44" i="11"/>
  <c r="AB294" i="11" s="1"/>
  <c r="W295" i="12"/>
  <c r="W45" i="11"/>
  <c r="X44" i="11"/>
  <c r="Y294" i="11"/>
  <c r="X294" i="11" s="1"/>
  <c r="AE295" i="12"/>
  <c r="AE45" i="11"/>
  <c r="AE295" i="11" s="1"/>
  <c r="G296" i="12"/>
  <c r="G46" i="11"/>
  <c r="G296" i="11" s="1"/>
  <c r="D295" i="12"/>
  <c r="D45" i="11"/>
  <c r="D295" i="11" s="1"/>
  <c r="E295" i="12"/>
  <c r="E45" i="11"/>
  <c r="E295" i="11" s="1"/>
  <c r="Z44" i="11"/>
  <c r="AA294" i="11"/>
  <c r="Z294" i="11" s="1"/>
  <c r="Y295" i="12"/>
  <c r="Y45" i="11"/>
  <c r="F295" i="12"/>
  <c r="F45" i="11"/>
  <c r="F295" i="11" s="1"/>
  <c r="AD45" i="12" l="1"/>
  <c r="AF45" i="12" s="1"/>
  <c r="AK45" i="12" s="1"/>
  <c r="AB46" i="12"/>
  <c r="T46" i="12"/>
  <c r="Y47" i="12"/>
  <c r="E47" i="12"/>
  <c r="R47" i="12" s="1"/>
  <c r="AE47" i="12"/>
  <c r="W47" i="12"/>
  <c r="D47" i="12"/>
  <c r="Q47" i="12" s="1"/>
  <c r="G48" i="12"/>
  <c r="E48" i="12" s="1"/>
  <c r="R48" i="12" s="1"/>
  <c r="AA47" i="12"/>
  <c r="AB295" i="12"/>
  <c r="AB45" i="11"/>
  <c r="AB295" i="11" s="1"/>
  <c r="X45" i="11"/>
  <c r="Y295" i="11"/>
  <c r="X295" i="11" s="1"/>
  <c r="G297" i="12"/>
  <c r="G47" i="11"/>
  <c r="G297" i="11" s="1"/>
  <c r="AE296" i="12"/>
  <c r="AE46" i="11"/>
  <c r="AE296" i="11" s="1"/>
  <c r="AA296" i="12"/>
  <c r="AA46" i="11"/>
  <c r="W296" i="12"/>
  <c r="W46" i="11"/>
  <c r="D296" i="12"/>
  <c r="D46" i="11"/>
  <c r="D296" i="11" s="1"/>
  <c r="Z45" i="11"/>
  <c r="AA295" i="11"/>
  <c r="Z295" i="11" s="1"/>
  <c r="E296" i="12"/>
  <c r="E46" i="11"/>
  <c r="E296" i="11" s="1"/>
  <c r="Y296" i="12"/>
  <c r="Y46" i="11"/>
  <c r="F296" i="12"/>
  <c r="F46" i="11"/>
  <c r="F296" i="11" s="1"/>
  <c r="V45" i="11"/>
  <c r="W295" i="11"/>
  <c r="V295" i="11" s="1"/>
  <c r="AD46" i="12" l="1"/>
  <c r="AF46" i="12" s="1"/>
  <c r="AK46" i="12" s="1"/>
  <c r="AB47" i="12"/>
  <c r="T47" i="12"/>
  <c r="W48" i="12"/>
  <c r="Y48" i="12"/>
  <c r="F48" i="12"/>
  <c r="S48" i="12" s="1"/>
  <c r="AE48" i="12"/>
  <c r="D48" i="12"/>
  <c r="Q48" i="12" s="1"/>
  <c r="G49" i="12"/>
  <c r="D49" i="12" s="1"/>
  <c r="Q49" i="12" s="1"/>
  <c r="AA48" i="12"/>
  <c r="F297" i="12"/>
  <c r="F47" i="11"/>
  <c r="F297" i="11" s="1"/>
  <c r="G298" i="12"/>
  <c r="G48" i="11"/>
  <c r="G298" i="11" s="1"/>
  <c r="E297" i="12"/>
  <c r="E47" i="11"/>
  <c r="E297" i="11" s="1"/>
  <c r="X46" i="11"/>
  <c r="Y296" i="11"/>
  <c r="X296" i="11" s="1"/>
  <c r="V46" i="11"/>
  <c r="W296" i="11"/>
  <c r="V296" i="11" s="1"/>
  <c r="AA297" i="12"/>
  <c r="AA47" i="11"/>
  <c r="AB296" i="12"/>
  <c r="AB46" i="11"/>
  <c r="AB296" i="11" s="1"/>
  <c r="Y297" i="12"/>
  <c r="Y47" i="11"/>
  <c r="W297" i="12"/>
  <c r="W47" i="11"/>
  <c r="Z46" i="11"/>
  <c r="AA296" i="11"/>
  <c r="Z296" i="11" s="1"/>
  <c r="AE297" i="12"/>
  <c r="AE47" i="11"/>
  <c r="AE297" i="11" s="1"/>
  <c r="D297" i="12"/>
  <c r="D47" i="11"/>
  <c r="D297" i="11" s="1"/>
  <c r="AD47" i="12" l="1"/>
  <c r="AF47" i="12" s="1"/>
  <c r="AK47" i="12" s="1"/>
  <c r="AB48" i="12"/>
  <c r="T48" i="12"/>
  <c r="E49" i="12"/>
  <c r="R49" i="12" s="1"/>
  <c r="Y49" i="12"/>
  <c r="AE49" i="12"/>
  <c r="F49" i="12"/>
  <c r="S49" i="12" s="1"/>
  <c r="W49" i="12"/>
  <c r="G50" i="12"/>
  <c r="F50" i="12" s="1"/>
  <c r="S50" i="12" s="1"/>
  <c r="AA49" i="12"/>
  <c r="X47" i="11"/>
  <c r="Y297" i="11"/>
  <c r="X297" i="11" s="1"/>
  <c r="D298" i="12"/>
  <c r="D48" i="11"/>
  <c r="D298" i="11" s="1"/>
  <c r="E298" i="12"/>
  <c r="E48" i="11"/>
  <c r="E298" i="11" s="1"/>
  <c r="F298" i="12"/>
  <c r="F48" i="11"/>
  <c r="F298" i="11" s="1"/>
  <c r="Z47" i="11"/>
  <c r="AA297" i="11"/>
  <c r="Z297" i="11" s="1"/>
  <c r="G299" i="12"/>
  <c r="G49" i="11"/>
  <c r="G299" i="11" s="1"/>
  <c r="V47" i="11"/>
  <c r="W297" i="11"/>
  <c r="V297" i="11" s="1"/>
  <c r="AA298" i="12"/>
  <c r="AA48" i="11"/>
  <c r="AB297" i="12"/>
  <c r="AB47" i="11"/>
  <c r="AB297" i="11" s="1"/>
  <c r="Y298" i="12"/>
  <c r="Y48" i="11"/>
  <c r="AE298" i="12"/>
  <c r="AE48" i="11"/>
  <c r="AE298" i="11" s="1"/>
  <c r="W298" i="12"/>
  <c r="W48" i="11"/>
  <c r="AD48" i="12" l="1"/>
  <c r="AF48" i="12" s="1"/>
  <c r="AK48" i="12" s="1"/>
  <c r="T49" i="12"/>
  <c r="AB49" i="12"/>
  <c r="D50" i="12"/>
  <c r="Q50" i="12" s="1"/>
  <c r="W50" i="12"/>
  <c r="AE50" i="12"/>
  <c r="E50" i="12"/>
  <c r="R50" i="12" s="1"/>
  <c r="Y50" i="12"/>
  <c r="G51" i="12"/>
  <c r="E51" i="12" s="1"/>
  <c r="R51" i="12" s="1"/>
  <c r="AA50" i="12"/>
  <c r="D299" i="12"/>
  <c r="D49" i="11"/>
  <c r="D299" i="11" s="1"/>
  <c r="E299" i="12"/>
  <c r="E49" i="11"/>
  <c r="E299" i="11" s="1"/>
  <c r="G300" i="12"/>
  <c r="G50" i="11"/>
  <c r="G300" i="11" s="1"/>
  <c r="AE299" i="12"/>
  <c r="AE49" i="11"/>
  <c r="AE299" i="11" s="1"/>
  <c r="X48" i="11"/>
  <c r="Y298" i="11"/>
  <c r="X298" i="11" s="1"/>
  <c r="F299" i="12"/>
  <c r="F49" i="11"/>
  <c r="F299" i="11" s="1"/>
  <c r="AB298" i="12"/>
  <c r="AB48" i="11"/>
  <c r="AB298" i="11" s="1"/>
  <c r="Y299" i="12"/>
  <c r="Y49" i="11"/>
  <c r="Z48" i="11"/>
  <c r="AA298" i="11"/>
  <c r="Z298" i="11" s="1"/>
  <c r="AA299" i="12"/>
  <c r="AA49" i="11"/>
  <c r="V48" i="11"/>
  <c r="W298" i="11"/>
  <c r="V298" i="11" s="1"/>
  <c r="W299" i="12"/>
  <c r="W49" i="11"/>
  <c r="AD49" i="12" l="1"/>
  <c r="AF49" i="12" s="1"/>
  <c r="AK49" i="12" s="1"/>
  <c r="T50" i="12"/>
  <c r="AB50" i="12"/>
  <c r="F51" i="12"/>
  <c r="S51" i="12" s="1"/>
  <c r="AE51" i="12"/>
  <c r="D51" i="12"/>
  <c r="Q51" i="12" s="1"/>
  <c r="Y51" i="12"/>
  <c r="W51" i="12"/>
  <c r="G52" i="12"/>
  <c r="D52" i="12" s="1"/>
  <c r="Q52" i="12" s="1"/>
  <c r="AA51" i="12"/>
  <c r="F300" i="12"/>
  <c r="F50" i="11"/>
  <c r="F300" i="11" s="1"/>
  <c r="X49" i="11"/>
  <c r="Y299" i="11"/>
  <c r="X299" i="11" s="1"/>
  <c r="D300" i="12"/>
  <c r="D50" i="11"/>
  <c r="D300" i="11" s="1"/>
  <c r="AB299" i="12"/>
  <c r="AB49" i="11"/>
  <c r="AB299" i="11" s="1"/>
  <c r="W300" i="12"/>
  <c r="W50" i="11"/>
  <c r="AE300" i="12"/>
  <c r="AE50" i="11"/>
  <c r="AE300" i="11" s="1"/>
  <c r="Z49" i="11"/>
  <c r="AA299" i="11"/>
  <c r="Z299" i="11" s="1"/>
  <c r="AA300" i="12"/>
  <c r="AA50" i="11"/>
  <c r="Y300" i="12"/>
  <c r="Y50" i="11"/>
  <c r="G301" i="12"/>
  <c r="G51" i="11"/>
  <c r="G301" i="11" s="1"/>
  <c r="V49" i="11"/>
  <c r="W299" i="11"/>
  <c r="V299" i="11" s="1"/>
  <c r="E300" i="12"/>
  <c r="E50" i="11"/>
  <c r="E300" i="11" s="1"/>
  <c r="AD50" i="12" l="1"/>
  <c r="AF50" i="12" s="1"/>
  <c r="AK50" i="12" s="1"/>
  <c r="AB51" i="12"/>
  <c r="T51" i="12"/>
  <c r="E52" i="12"/>
  <c r="R52" i="12" s="1"/>
  <c r="Y52" i="12"/>
  <c r="AE52" i="12"/>
  <c r="F52" i="12"/>
  <c r="S52" i="12" s="1"/>
  <c r="W52" i="12"/>
  <c r="G53" i="12"/>
  <c r="F53" i="12" s="1"/>
  <c r="S53" i="12" s="1"/>
  <c r="AA52" i="12"/>
  <c r="AE301" i="12"/>
  <c r="AE51" i="11"/>
  <c r="AE301" i="11" s="1"/>
  <c r="E301" i="12"/>
  <c r="E51" i="11"/>
  <c r="E301" i="11" s="1"/>
  <c r="F301" i="12"/>
  <c r="F51" i="11"/>
  <c r="F301" i="11" s="1"/>
  <c r="D301" i="12"/>
  <c r="D51" i="11"/>
  <c r="D301" i="11" s="1"/>
  <c r="W301" i="12"/>
  <c r="W51" i="11"/>
  <c r="Y301" i="12"/>
  <c r="Y51" i="11"/>
  <c r="X50" i="11"/>
  <c r="Y300" i="11"/>
  <c r="X300" i="11" s="1"/>
  <c r="V50" i="11"/>
  <c r="W300" i="11"/>
  <c r="V300" i="11" s="1"/>
  <c r="AA301" i="12"/>
  <c r="AA51" i="11"/>
  <c r="AB300" i="12"/>
  <c r="AB50" i="11"/>
  <c r="AB300" i="11" s="1"/>
  <c r="G302" i="12"/>
  <c r="G52" i="11"/>
  <c r="G302" i="11" s="1"/>
  <c r="Z50" i="11"/>
  <c r="AA300" i="11"/>
  <c r="Z300" i="11" s="1"/>
  <c r="AD51" i="12" l="1"/>
  <c r="AF51" i="12" s="1"/>
  <c r="AK51" i="12" s="1"/>
  <c r="T52" i="12"/>
  <c r="D53" i="12"/>
  <c r="Q53" i="12" s="1"/>
  <c r="AB52" i="12"/>
  <c r="E53" i="12"/>
  <c r="R53" i="12" s="1"/>
  <c r="Y53" i="12"/>
  <c r="AE53" i="12"/>
  <c r="W53" i="12"/>
  <c r="G54" i="12"/>
  <c r="D54" i="12" s="1"/>
  <c r="Q54" i="12" s="1"/>
  <c r="AA53" i="12"/>
  <c r="AA302" i="12"/>
  <c r="AA52" i="11"/>
  <c r="D302" i="12"/>
  <c r="D52" i="11"/>
  <c r="D302" i="11" s="1"/>
  <c r="Y302" i="12"/>
  <c r="Y52" i="11"/>
  <c r="X51" i="11"/>
  <c r="Y301" i="11"/>
  <c r="X301" i="11" s="1"/>
  <c r="W302" i="12"/>
  <c r="W52" i="11"/>
  <c r="E302" i="12"/>
  <c r="E52" i="11"/>
  <c r="E302" i="11" s="1"/>
  <c r="Z51" i="11"/>
  <c r="AA301" i="11"/>
  <c r="Z301" i="11" s="1"/>
  <c r="V51" i="11"/>
  <c r="W301" i="11"/>
  <c r="V301" i="11" s="1"/>
  <c r="AE302" i="12"/>
  <c r="AE52" i="11"/>
  <c r="AE302" i="11" s="1"/>
  <c r="AB301" i="12"/>
  <c r="AB51" i="11"/>
  <c r="AB301" i="11" s="1"/>
  <c r="G303" i="12"/>
  <c r="G53" i="11"/>
  <c r="G303" i="11" s="1"/>
  <c r="F302" i="12"/>
  <c r="F52" i="11"/>
  <c r="F302" i="11" s="1"/>
  <c r="AD52" i="12" l="1"/>
  <c r="AF52" i="12" s="1"/>
  <c r="AK52" i="12" s="1"/>
  <c r="T53" i="12"/>
  <c r="AB53" i="12"/>
  <c r="W54" i="12"/>
  <c r="AE54" i="12"/>
  <c r="Y54" i="12"/>
  <c r="E54" i="12"/>
  <c r="R54" i="12" s="1"/>
  <c r="F54" i="12"/>
  <c r="S54" i="12" s="1"/>
  <c r="G55" i="12"/>
  <c r="F55" i="12" s="1"/>
  <c r="S55" i="12" s="1"/>
  <c r="AA54" i="12"/>
  <c r="D303" i="12"/>
  <c r="D53" i="11"/>
  <c r="D303" i="11" s="1"/>
  <c r="F303" i="12"/>
  <c r="F53" i="11"/>
  <c r="F303" i="11" s="1"/>
  <c r="AA303" i="12"/>
  <c r="AA53" i="11"/>
  <c r="X52" i="11"/>
  <c r="Y302" i="11"/>
  <c r="X302" i="11" s="1"/>
  <c r="Y303" i="12"/>
  <c r="Y53" i="11"/>
  <c r="W303" i="12"/>
  <c r="W53" i="11"/>
  <c r="G304" i="12"/>
  <c r="G54" i="11"/>
  <c r="G304" i="11" s="1"/>
  <c r="V52" i="11"/>
  <c r="W302" i="11"/>
  <c r="V302" i="11" s="1"/>
  <c r="E303" i="12"/>
  <c r="E53" i="11"/>
  <c r="E303" i="11" s="1"/>
  <c r="AB302" i="12"/>
  <c r="AB52" i="11"/>
  <c r="AB302" i="11" s="1"/>
  <c r="Z52" i="11"/>
  <c r="AA302" i="11"/>
  <c r="Z302" i="11" s="1"/>
  <c r="AE303" i="12"/>
  <c r="AE53" i="11"/>
  <c r="AE303" i="11" s="1"/>
  <c r="AD53" i="12" l="1"/>
  <c r="AF53" i="12" s="1"/>
  <c r="AK53" i="12" s="1"/>
  <c r="AB54" i="12"/>
  <c r="T54" i="12"/>
  <c r="E55" i="12"/>
  <c r="R55" i="12" s="1"/>
  <c r="AE55" i="12"/>
  <c r="W55" i="12"/>
  <c r="Y55" i="12"/>
  <c r="D55" i="12"/>
  <c r="Q55" i="12" s="1"/>
  <c r="G56" i="12"/>
  <c r="E56" i="12" s="1"/>
  <c r="R56" i="12" s="1"/>
  <c r="AA55" i="12"/>
  <c r="D304" i="12"/>
  <c r="D54" i="11"/>
  <c r="D304" i="11" s="1"/>
  <c r="W304" i="12"/>
  <c r="W54" i="11"/>
  <c r="Z53" i="11"/>
  <c r="AA303" i="11"/>
  <c r="Z303" i="11" s="1"/>
  <c r="AA304" i="12"/>
  <c r="AA54" i="11"/>
  <c r="V53" i="11"/>
  <c r="W303" i="11"/>
  <c r="V303" i="11" s="1"/>
  <c r="Y304" i="12"/>
  <c r="Y54" i="11"/>
  <c r="AB303" i="12"/>
  <c r="AB53" i="11"/>
  <c r="AB303" i="11" s="1"/>
  <c r="AE304" i="12"/>
  <c r="AE54" i="11"/>
  <c r="AE304" i="11" s="1"/>
  <c r="E304" i="12"/>
  <c r="E54" i="11"/>
  <c r="E304" i="11" s="1"/>
  <c r="G305" i="12"/>
  <c r="G55" i="11"/>
  <c r="G305" i="11" s="1"/>
  <c r="X53" i="11"/>
  <c r="Y303" i="11"/>
  <c r="X303" i="11" s="1"/>
  <c r="F304" i="12"/>
  <c r="F54" i="11"/>
  <c r="F304" i="11" s="1"/>
  <c r="AD54" i="12" l="1"/>
  <c r="AF54" i="12" s="1"/>
  <c r="AK54" i="12" s="1"/>
  <c r="T55" i="12"/>
  <c r="AB55" i="12"/>
  <c r="AE56" i="12"/>
  <c r="W56" i="12"/>
  <c r="D56" i="12"/>
  <c r="Q56" i="12" s="1"/>
  <c r="Y56" i="12"/>
  <c r="F56" i="12"/>
  <c r="S56" i="12" s="1"/>
  <c r="G57" i="12"/>
  <c r="AE57" i="12" s="1"/>
  <c r="AA56" i="12"/>
  <c r="F305" i="12"/>
  <c r="F55" i="11"/>
  <c r="F305" i="11" s="1"/>
  <c r="AE305" i="12"/>
  <c r="AE55" i="11"/>
  <c r="AE305" i="11" s="1"/>
  <c r="D305" i="12"/>
  <c r="D55" i="11"/>
  <c r="D305" i="11" s="1"/>
  <c r="X54" i="11"/>
  <c r="Y304" i="11"/>
  <c r="X304" i="11" s="1"/>
  <c r="V54" i="11"/>
  <c r="W304" i="11"/>
  <c r="V304" i="11" s="1"/>
  <c r="G306" i="12"/>
  <c r="G56" i="11"/>
  <c r="G306" i="11" s="1"/>
  <c r="AA305" i="12"/>
  <c r="AA55" i="11"/>
  <c r="AB304" i="12"/>
  <c r="AB54" i="11"/>
  <c r="AB304" i="11" s="1"/>
  <c r="Y305" i="12"/>
  <c r="Y55" i="11"/>
  <c r="W305" i="12"/>
  <c r="W55" i="11"/>
  <c r="E305" i="12"/>
  <c r="E55" i="11"/>
  <c r="E305" i="11" s="1"/>
  <c r="Z54" i="11"/>
  <c r="AA304" i="11"/>
  <c r="Z304" i="11" s="1"/>
  <c r="AD55" i="12" l="1"/>
  <c r="AF55" i="12" s="1"/>
  <c r="AK55" i="12" s="1"/>
  <c r="AB56" i="12"/>
  <c r="T56" i="12"/>
  <c r="W57" i="12"/>
  <c r="D57" i="12"/>
  <c r="Q57" i="12" s="1"/>
  <c r="Y57" i="12"/>
  <c r="F57" i="12"/>
  <c r="S57" i="12" s="1"/>
  <c r="E57" i="12"/>
  <c r="R57" i="12" s="1"/>
  <c r="G58" i="12"/>
  <c r="E58" i="12" s="1"/>
  <c r="R58" i="12" s="1"/>
  <c r="AA57" i="12"/>
  <c r="G307" i="12"/>
  <c r="G57" i="11"/>
  <c r="G307" i="11" s="1"/>
  <c r="E306" i="12"/>
  <c r="E56" i="11"/>
  <c r="E306" i="11" s="1"/>
  <c r="Z55" i="11"/>
  <c r="AA305" i="11"/>
  <c r="Z305" i="11" s="1"/>
  <c r="F306" i="12"/>
  <c r="F56" i="11"/>
  <c r="F306" i="11" s="1"/>
  <c r="AE306" i="12"/>
  <c r="AE56" i="11"/>
  <c r="AE306" i="11" s="1"/>
  <c r="V55" i="11"/>
  <c r="W305" i="11"/>
  <c r="V305" i="11" s="1"/>
  <c r="AB305" i="12"/>
  <c r="AB55" i="11"/>
  <c r="AB305" i="11" s="1"/>
  <c r="D306" i="12"/>
  <c r="D56" i="11"/>
  <c r="D306" i="11" s="1"/>
  <c r="Y306" i="12"/>
  <c r="Y56" i="11"/>
  <c r="X55" i="11"/>
  <c r="Y305" i="11"/>
  <c r="X305" i="11" s="1"/>
  <c r="W306" i="12"/>
  <c r="W56" i="11"/>
  <c r="AA306" i="12"/>
  <c r="AA56" i="11"/>
  <c r="AD56" i="12" l="1"/>
  <c r="AF56" i="12" s="1"/>
  <c r="AK56" i="12" s="1"/>
  <c r="AB57" i="12"/>
  <c r="T57" i="12"/>
  <c r="W58" i="12"/>
  <c r="Y58" i="12"/>
  <c r="F58" i="12"/>
  <c r="S58" i="12" s="1"/>
  <c r="AE58" i="12"/>
  <c r="D58" i="12"/>
  <c r="Q58" i="12" s="1"/>
  <c r="G59" i="12"/>
  <c r="D59" i="12" s="1"/>
  <c r="Q59" i="12" s="1"/>
  <c r="AA58" i="12"/>
  <c r="AA307" i="12"/>
  <c r="AA57" i="11"/>
  <c r="V56" i="11"/>
  <c r="W306" i="11"/>
  <c r="V306" i="11" s="1"/>
  <c r="Y307" i="12"/>
  <c r="Y57" i="11"/>
  <c r="AB306" i="12"/>
  <c r="AB56" i="11"/>
  <c r="AB306" i="11" s="1"/>
  <c r="E307" i="12"/>
  <c r="E57" i="11"/>
  <c r="E307" i="11" s="1"/>
  <c r="G308" i="12"/>
  <c r="G58" i="11"/>
  <c r="G308" i="11" s="1"/>
  <c r="F307" i="12"/>
  <c r="F57" i="11"/>
  <c r="F307" i="11" s="1"/>
  <c r="AE307" i="12"/>
  <c r="AE57" i="11"/>
  <c r="AE307" i="11" s="1"/>
  <c r="X56" i="11"/>
  <c r="Y306" i="11"/>
  <c r="X306" i="11" s="1"/>
  <c r="D307" i="12"/>
  <c r="D57" i="11"/>
  <c r="D307" i="11" s="1"/>
  <c r="Z56" i="11"/>
  <c r="AA306" i="11"/>
  <c r="Z306" i="11" s="1"/>
  <c r="W307" i="12"/>
  <c r="W57" i="11"/>
  <c r="AD57" i="12" l="1"/>
  <c r="AF57" i="12" s="1"/>
  <c r="AK57" i="12" s="1"/>
  <c r="AB58" i="12"/>
  <c r="T58" i="12"/>
  <c r="Y59" i="12"/>
  <c r="W59" i="12"/>
  <c r="F59" i="12"/>
  <c r="S59" i="12" s="1"/>
  <c r="E59" i="12"/>
  <c r="R59" i="12" s="1"/>
  <c r="AE59" i="12"/>
  <c r="G60" i="12"/>
  <c r="F60" i="12" s="1"/>
  <c r="S60" i="12" s="1"/>
  <c r="AA59" i="12"/>
  <c r="E308" i="12"/>
  <c r="E58" i="11"/>
  <c r="E308" i="11" s="1"/>
  <c r="F308" i="12"/>
  <c r="F58" i="11"/>
  <c r="F308" i="11" s="1"/>
  <c r="X57" i="11"/>
  <c r="Y307" i="11"/>
  <c r="X307" i="11" s="1"/>
  <c r="AE308" i="12"/>
  <c r="AE58" i="11"/>
  <c r="AE308" i="11" s="1"/>
  <c r="D308" i="12"/>
  <c r="D58" i="11"/>
  <c r="D308" i="11" s="1"/>
  <c r="AB307" i="12"/>
  <c r="AB57" i="11"/>
  <c r="AB307" i="11" s="1"/>
  <c r="AA308" i="12"/>
  <c r="AA58" i="11"/>
  <c r="Y308" i="12"/>
  <c r="Y58" i="11"/>
  <c r="Z57" i="11"/>
  <c r="AA307" i="11"/>
  <c r="Z307" i="11" s="1"/>
  <c r="G309" i="12"/>
  <c r="G59" i="11"/>
  <c r="G309" i="11" s="1"/>
  <c r="V57" i="11"/>
  <c r="W307" i="11"/>
  <c r="V307" i="11" s="1"/>
  <c r="W308" i="12"/>
  <c r="W58" i="11"/>
  <c r="T59" i="12" l="1"/>
  <c r="AD58" i="12"/>
  <c r="AF58" i="12" s="1"/>
  <c r="AK58" i="12" s="1"/>
  <c r="AB59" i="12"/>
  <c r="D60" i="12"/>
  <c r="Q60" i="12" s="1"/>
  <c r="W60" i="12"/>
  <c r="E60" i="12"/>
  <c r="R60" i="12" s="1"/>
  <c r="Y60" i="12"/>
  <c r="AE60" i="12"/>
  <c r="G61" i="12"/>
  <c r="E61" i="12" s="1"/>
  <c r="R61" i="12" s="1"/>
  <c r="AA60" i="12"/>
  <c r="AB308" i="12"/>
  <c r="AB58" i="11"/>
  <c r="AB308" i="11" s="1"/>
  <c r="G310" i="12"/>
  <c r="G60" i="11"/>
  <c r="G310" i="11" s="1"/>
  <c r="F309" i="12"/>
  <c r="F59" i="11"/>
  <c r="F309" i="11" s="1"/>
  <c r="Z58" i="11"/>
  <c r="AA308" i="11"/>
  <c r="Z308" i="11" s="1"/>
  <c r="AE309" i="12"/>
  <c r="AE59" i="11"/>
  <c r="AE309" i="11" s="1"/>
  <c r="E309" i="12"/>
  <c r="E59" i="11"/>
  <c r="E309" i="11" s="1"/>
  <c r="D309" i="12"/>
  <c r="D59" i="11"/>
  <c r="D309" i="11" s="1"/>
  <c r="X58" i="11"/>
  <c r="Y308" i="11"/>
  <c r="X308" i="11" s="1"/>
  <c r="Y309" i="12"/>
  <c r="Y59" i="11"/>
  <c r="AA309" i="12"/>
  <c r="AA59" i="11"/>
  <c r="V58" i="11"/>
  <c r="W308" i="11"/>
  <c r="V308" i="11" s="1"/>
  <c r="W309" i="12"/>
  <c r="W59" i="11"/>
  <c r="AD59" i="12" l="1"/>
  <c r="AF59" i="12" s="1"/>
  <c r="AK59" i="12" s="1"/>
  <c r="T60" i="12"/>
  <c r="AB60" i="12"/>
  <c r="AE61" i="12"/>
  <c r="D61" i="12"/>
  <c r="Q61" i="12" s="1"/>
  <c r="F61" i="12"/>
  <c r="S61" i="12" s="1"/>
  <c r="W61" i="12"/>
  <c r="Y61" i="12"/>
  <c r="G62" i="12"/>
  <c r="F62" i="12" s="1"/>
  <c r="S62" i="12" s="1"/>
  <c r="AA61" i="12"/>
  <c r="E310" i="12"/>
  <c r="E60" i="11"/>
  <c r="E310" i="11" s="1"/>
  <c r="F310" i="12"/>
  <c r="F60" i="11"/>
  <c r="F310" i="11" s="1"/>
  <c r="AB309" i="12"/>
  <c r="AB59" i="11"/>
  <c r="AB309" i="11" s="1"/>
  <c r="AE310" i="12"/>
  <c r="AE60" i="11"/>
  <c r="AE310" i="11" s="1"/>
  <c r="Z59" i="11"/>
  <c r="AA309" i="11"/>
  <c r="Z309" i="11" s="1"/>
  <c r="D310" i="12"/>
  <c r="D60" i="11"/>
  <c r="D310" i="11" s="1"/>
  <c r="AA310" i="12"/>
  <c r="AA60" i="11"/>
  <c r="X59" i="11"/>
  <c r="Y309" i="11"/>
  <c r="X309" i="11" s="1"/>
  <c r="W310" i="12"/>
  <c r="W60" i="11"/>
  <c r="G311" i="12"/>
  <c r="G61" i="11"/>
  <c r="G311" i="11" s="1"/>
  <c r="V59" i="11"/>
  <c r="W309" i="11"/>
  <c r="V309" i="11" s="1"/>
  <c r="Y310" i="12"/>
  <c r="Y60" i="11"/>
  <c r="T61" i="12" l="1"/>
  <c r="AD60" i="12"/>
  <c r="AF60" i="12" s="1"/>
  <c r="AK60" i="12" s="1"/>
  <c r="AB61" i="12"/>
  <c r="AE62" i="12"/>
  <c r="D62" i="12"/>
  <c r="Q62" i="12" s="1"/>
  <c r="W62" i="12"/>
  <c r="E62" i="12"/>
  <c r="R62" i="12" s="1"/>
  <c r="Y62" i="12"/>
  <c r="G63" i="12"/>
  <c r="F63" i="12" s="1"/>
  <c r="S63" i="12" s="1"/>
  <c r="AA62" i="12"/>
  <c r="F311" i="12"/>
  <c r="F61" i="11"/>
  <c r="F311" i="11" s="1"/>
  <c r="AE311" i="12"/>
  <c r="AE61" i="11"/>
  <c r="AE311" i="11" s="1"/>
  <c r="Z60" i="11"/>
  <c r="AA310" i="11"/>
  <c r="Z310" i="11" s="1"/>
  <c r="D311" i="12"/>
  <c r="D61" i="11"/>
  <c r="D311" i="11" s="1"/>
  <c r="AA311" i="12"/>
  <c r="AA61" i="11"/>
  <c r="W311" i="12"/>
  <c r="W61" i="11"/>
  <c r="V60" i="11"/>
  <c r="W310" i="11"/>
  <c r="V310" i="11" s="1"/>
  <c r="Y311" i="12"/>
  <c r="Y61" i="11"/>
  <c r="AB310" i="12"/>
  <c r="AB60" i="11"/>
  <c r="AB310" i="11" s="1"/>
  <c r="G312" i="12"/>
  <c r="G62" i="11"/>
  <c r="G312" i="11" s="1"/>
  <c r="X60" i="11"/>
  <c r="Y310" i="11"/>
  <c r="X310" i="11" s="1"/>
  <c r="E311" i="12"/>
  <c r="E61" i="11"/>
  <c r="E311" i="11" s="1"/>
  <c r="AD61" i="12" l="1"/>
  <c r="AF61" i="12" s="1"/>
  <c r="AK61" i="12" s="1"/>
  <c r="T62" i="12"/>
  <c r="AB62" i="12"/>
  <c r="AE63" i="12"/>
  <c r="E63" i="12"/>
  <c r="R63" i="12" s="1"/>
  <c r="Y63" i="12"/>
  <c r="D63" i="12"/>
  <c r="Q63" i="12" s="1"/>
  <c r="W63" i="12"/>
  <c r="G64" i="12"/>
  <c r="D64" i="12" s="1"/>
  <c r="Q64" i="12" s="1"/>
  <c r="AA63" i="12"/>
  <c r="E312" i="12"/>
  <c r="E62" i="11"/>
  <c r="E312" i="11" s="1"/>
  <c r="F312" i="12"/>
  <c r="F62" i="11"/>
  <c r="F312" i="11" s="1"/>
  <c r="AE312" i="12"/>
  <c r="AE62" i="11"/>
  <c r="AE312" i="11" s="1"/>
  <c r="D312" i="12"/>
  <c r="D62" i="11"/>
  <c r="D312" i="11" s="1"/>
  <c r="V61" i="11"/>
  <c r="W311" i="11"/>
  <c r="V311" i="11" s="1"/>
  <c r="AA312" i="12"/>
  <c r="AA62" i="11"/>
  <c r="AB311" i="12"/>
  <c r="AB61" i="11"/>
  <c r="AB311" i="11" s="1"/>
  <c r="W312" i="12"/>
  <c r="W62" i="11"/>
  <c r="Y312" i="12"/>
  <c r="Y62" i="11"/>
  <c r="Z61" i="11"/>
  <c r="AA311" i="11"/>
  <c r="Z311" i="11" s="1"/>
  <c r="G313" i="12"/>
  <c r="G63" i="11"/>
  <c r="G313" i="11" s="1"/>
  <c r="X61" i="11"/>
  <c r="Y311" i="11"/>
  <c r="X311" i="11" s="1"/>
  <c r="AD62" i="12" l="1"/>
  <c r="AF62" i="12" s="1"/>
  <c r="AK62" i="12" s="1"/>
  <c r="T63" i="12"/>
  <c r="AB63" i="12"/>
  <c r="F64" i="12"/>
  <c r="S64" i="12" s="1"/>
  <c r="W64" i="12"/>
  <c r="AE64" i="12"/>
  <c r="Y64" i="12"/>
  <c r="E64" i="12"/>
  <c r="R64" i="12" s="1"/>
  <c r="G65" i="12"/>
  <c r="F65" i="12" s="1"/>
  <c r="S65" i="12" s="1"/>
  <c r="AA64" i="12"/>
  <c r="D313" i="12"/>
  <c r="D63" i="11"/>
  <c r="D313" i="11" s="1"/>
  <c r="AA313" i="12"/>
  <c r="AA63" i="11"/>
  <c r="AB312" i="12"/>
  <c r="AB62" i="11"/>
  <c r="AB312" i="11" s="1"/>
  <c r="Y313" i="12"/>
  <c r="Y63" i="11"/>
  <c r="W313" i="12"/>
  <c r="W63" i="11"/>
  <c r="Z62" i="11"/>
  <c r="AA312" i="11"/>
  <c r="Z312" i="11" s="1"/>
  <c r="AE313" i="12"/>
  <c r="AE63" i="11"/>
  <c r="AE313" i="11" s="1"/>
  <c r="E313" i="12"/>
  <c r="E63" i="11"/>
  <c r="E313" i="11" s="1"/>
  <c r="X62" i="11"/>
  <c r="Y312" i="11"/>
  <c r="X312" i="11" s="1"/>
  <c r="G314" i="12"/>
  <c r="G64" i="11"/>
  <c r="G314" i="11" s="1"/>
  <c r="F313" i="12"/>
  <c r="F63" i="11"/>
  <c r="F313" i="11" s="1"/>
  <c r="V62" i="11"/>
  <c r="W312" i="11"/>
  <c r="V312" i="11" s="1"/>
  <c r="AD63" i="12" l="1"/>
  <c r="AF63" i="12" s="1"/>
  <c r="AK63" i="12" s="1"/>
  <c r="AB64" i="12"/>
  <c r="T64" i="12"/>
  <c r="D65" i="12"/>
  <c r="Q65" i="12" s="1"/>
  <c r="E65" i="12"/>
  <c r="R65" i="12" s="1"/>
  <c r="AE65" i="12"/>
  <c r="W65" i="12"/>
  <c r="Y65" i="12"/>
  <c r="G66" i="12"/>
  <c r="F66" i="12" s="1"/>
  <c r="S66" i="12" s="1"/>
  <c r="AA65" i="12"/>
  <c r="F314" i="12"/>
  <c r="F64" i="11"/>
  <c r="F314" i="11" s="1"/>
  <c r="AE314" i="12"/>
  <c r="AE64" i="11"/>
  <c r="AE314" i="11" s="1"/>
  <c r="D314" i="12"/>
  <c r="D64" i="11"/>
  <c r="D314" i="11" s="1"/>
  <c r="AA314" i="12"/>
  <c r="AA64" i="11"/>
  <c r="Z63" i="11"/>
  <c r="AA313" i="11"/>
  <c r="Z313" i="11" s="1"/>
  <c r="E314" i="12"/>
  <c r="E64" i="11"/>
  <c r="E314" i="11" s="1"/>
  <c r="Y314" i="12"/>
  <c r="Y64" i="11"/>
  <c r="V63" i="11"/>
  <c r="W313" i="11"/>
  <c r="V313" i="11" s="1"/>
  <c r="X63" i="11"/>
  <c r="Y313" i="11"/>
  <c r="X313" i="11" s="1"/>
  <c r="W314" i="12"/>
  <c r="W64" i="11"/>
  <c r="AB313" i="12"/>
  <c r="AB63" i="11"/>
  <c r="AB313" i="11" s="1"/>
  <c r="G315" i="12"/>
  <c r="G65" i="11"/>
  <c r="G315" i="11" s="1"/>
  <c r="AD64" i="12" l="1"/>
  <c r="AF64" i="12" s="1"/>
  <c r="AK64" i="12" s="1"/>
  <c r="T65" i="12"/>
  <c r="AB65" i="12"/>
  <c r="Y66" i="12"/>
  <c r="E66" i="12"/>
  <c r="R66" i="12" s="1"/>
  <c r="W66" i="12"/>
  <c r="AE66" i="12"/>
  <c r="D66" i="12"/>
  <c r="Q66" i="12" s="1"/>
  <c r="G67" i="12"/>
  <c r="E67" i="12" s="1"/>
  <c r="R67" i="12" s="1"/>
  <c r="AA66" i="12"/>
  <c r="Y315" i="12"/>
  <c r="Y65" i="11"/>
  <c r="AA315" i="12"/>
  <c r="AA65" i="11"/>
  <c r="X64" i="11"/>
  <c r="Y314" i="11"/>
  <c r="X314" i="11" s="1"/>
  <c r="E315" i="12"/>
  <c r="E65" i="11"/>
  <c r="E315" i="11" s="1"/>
  <c r="V64" i="11"/>
  <c r="W314" i="11"/>
  <c r="V314" i="11" s="1"/>
  <c r="G316" i="12"/>
  <c r="G66" i="11"/>
  <c r="G316" i="11" s="1"/>
  <c r="AB314" i="12"/>
  <c r="AB64" i="11"/>
  <c r="AB314" i="11" s="1"/>
  <c r="W315" i="12"/>
  <c r="W65" i="11"/>
  <c r="F315" i="12"/>
  <c r="F65" i="11"/>
  <c r="F315" i="11" s="1"/>
  <c r="AE315" i="12"/>
  <c r="AE65" i="11"/>
  <c r="AE315" i="11" s="1"/>
  <c r="Z64" i="11"/>
  <c r="AA314" i="11"/>
  <c r="Z314" i="11" s="1"/>
  <c r="D315" i="12"/>
  <c r="D65" i="11"/>
  <c r="D315" i="11" s="1"/>
  <c r="AD65" i="12" l="1"/>
  <c r="AF65" i="12" s="1"/>
  <c r="AK65" i="12" s="1"/>
  <c r="AB66" i="12"/>
  <c r="T66" i="12"/>
  <c r="F67" i="12"/>
  <c r="S67" i="12" s="1"/>
  <c r="D67" i="12"/>
  <c r="Q67" i="12" s="1"/>
  <c r="W67" i="12"/>
  <c r="Y67" i="12"/>
  <c r="AE67" i="12"/>
  <c r="G68" i="12"/>
  <c r="W68" i="12" s="1"/>
  <c r="AA67" i="12"/>
  <c r="E316" i="12"/>
  <c r="E66" i="11"/>
  <c r="E316" i="11" s="1"/>
  <c r="F316" i="12"/>
  <c r="F66" i="11"/>
  <c r="F316" i="11" s="1"/>
  <c r="AE316" i="12"/>
  <c r="AE66" i="11"/>
  <c r="AE316" i="11" s="1"/>
  <c r="G317" i="12"/>
  <c r="G67" i="11"/>
  <c r="G317" i="11" s="1"/>
  <c r="D316" i="12"/>
  <c r="D66" i="11"/>
  <c r="D316" i="11" s="1"/>
  <c r="Z65" i="11"/>
  <c r="AA315" i="11"/>
  <c r="Z315" i="11" s="1"/>
  <c r="AA316" i="12"/>
  <c r="AA66" i="11"/>
  <c r="Y316" i="12"/>
  <c r="Y66" i="11"/>
  <c r="X65" i="11"/>
  <c r="Y315" i="11"/>
  <c r="X315" i="11" s="1"/>
  <c r="AB315" i="12"/>
  <c r="AB65" i="11"/>
  <c r="AB315" i="11" s="1"/>
  <c r="V65" i="11"/>
  <c r="W315" i="11"/>
  <c r="V315" i="11" s="1"/>
  <c r="W316" i="12"/>
  <c r="W66" i="11"/>
  <c r="AD66" i="12" l="1"/>
  <c r="AF66" i="12" s="1"/>
  <c r="AK66" i="12" s="1"/>
  <c r="T67" i="12"/>
  <c r="AB67" i="12"/>
  <c r="D68" i="12"/>
  <c r="Q68" i="12" s="1"/>
  <c r="F68" i="12"/>
  <c r="S68" i="12" s="1"/>
  <c r="E68" i="12"/>
  <c r="R68" i="12" s="1"/>
  <c r="Y68" i="12"/>
  <c r="AE68" i="12"/>
  <c r="G69" i="12"/>
  <c r="F69" i="12" s="1"/>
  <c r="S69" i="12" s="1"/>
  <c r="AA68" i="12"/>
  <c r="X66" i="11"/>
  <c r="Y316" i="11"/>
  <c r="X316" i="11" s="1"/>
  <c r="Y317" i="12"/>
  <c r="Y67" i="11"/>
  <c r="AB316" i="12"/>
  <c r="AB66" i="11"/>
  <c r="AB316" i="11" s="1"/>
  <c r="W317" i="12"/>
  <c r="W67" i="11"/>
  <c r="AA317" i="12"/>
  <c r="AA67" i="11"/>
  <c r="E317" i="12"/>
  <c r="E67" i="11"/>
  <c r="E317" i="11" s="1"/>
  <c r="G318" i="12"/>
  <c r="G68" i="11"/>
  <c r="G318" i="11" s="1"/>
  <c r="Z66" i="11"/>
  <c r="AA316" i="11"/>
  <c r="Z316" i="11" s="1"/>
  <c r="F317" i="12"/>
  <c r="F67" i="11"/>
  <c r="F317" i="11" s="1"/>
  <c r="D317" i="12"/>
  <c r="D67" i="11"/>
  <c r="D317" i="11" s="1"/>
  <c r="V66" i="11"/>
  <c r="W316" i="11"/>
  <c r="V316" i="11" s="1"/>
  <c r="AE317" i="12"/>
  <c r="AE67" i="11"/>
  <c r="AE317" i="11" s="1"/>
  <c r="AD67" i="12" l="1"/>
  <c r="AF67" i="12" s="1"/>
  <c r="AK67" i="12" s="1"/>
  <c r="S70" i="12"/>
  <c r="T68" i="12"/>
  <c r="G9" i="12"/>
  <c r="AB68" i="12"/>
  <c r="AE69" i="12"/>
  <c r="AE70" i="12" s="1"/>
  <c r="Y69" i="12"/>
  <c r="Y70" i="12" s="1"/>
  <c r="D69" i="12"/>
  <c r="Q69" i="12" s="1"/>
  <c r="Q70" i="12" s="1"/>
  <c r="W69" i="12"/>
  <c r="W70" i="12" s="1"/>
  <c r="E69" i="12"/>
  <c r="R69" i="12" s="1"/>
  <c r="R70" i="12" s="1"/>
  <c r="G70" i="12"/>
  <c r="G71" i="12" s="1"/>
  <c r="AA71" i="12" s="1"/>
  <c r="AA69" i="12"/>
  <c r="AA70" i="12" s="1"/>
  <c r="F70" i="12"/>
  <c r="F71" i="12" s="1"/>
  <c r="S71" i="12" s="1"/>
  <c r="D318" i="12"/>
  <c r="D68" i="11"/>
  <c r="D318" i="11" s="1"/>
  <c r="AB317" i="12"/>
  <c r="AB67" i="11"/>
  <c r="AB317" i="11" s="1"/>
  <c r="AE318" i="12"/>
  <c r="AE68" i="11"/>
  <c r="AE318" i="11" s="1"/>
  <c r="W318" i="12"/>
  <c r="W68" i="11"/>
  <c r="Y318" i="12"/>
  <c r="Y68" i="11"/>
  <c r="X67" i="11"/>
  <c r="Y317" i="11"/>
  <c r="X317" i="11" s="1"/>
  <c r="AA318" i="12"/>
  <c r="AA68" i="11"/>
  <c r="G319" i="12"/>
  <c r="G320" i="12" s="1"/>
  <c r="G69" i="11"/>
  <c r="Z67" i="11"/>
  <c r="AA317" i="11"/>
  <c r="Z317" i="11" s="1"/>
  <c r="E318" i="12"/>
  <c r="E68" i="11"/>
  <c r="E318" i="11" s="1"/>
  <c r="F318" i="12"/>
  <c r="F68" i="11"/>
  <c r="F318" i="11" s="1"/>
  <c r="V67" i="11"/>
  <c r="W317" i="11"/>
  <c r="V317" i="11" s="1"/>
  <c r="S72" i="12" l="1"/>
  <c r="AD68" i="12"/>
  <c r="AF68" i="12" s="1"/>
  <c r="AK68" i="12" s="1"/>
  <c r="D70" i="12"/>
  <c r="D71" i="12" s="1"/>
  <c r="Q71" i="12" s="1"/>
  <c r="Q72" i="12" s="1"/>
  <c r="E70" i="12"/>
  <c r="E71" i="12" s="1"/>
  <c r="R71" i="12" s="1"/>
  <c r="R72" i="12" s="1"/>
  <c r="T70" i="12"/>
  <c r="T69" i="12"/>
  <c r="W71" i="12"/>
  <c r="W72" i="12" s="1"/>
  <c r="Y71" i="12"/>
  <c r="Y72" i="12" s="1"/>
  <c r="AE71" i="12"/>
  <c r="AE72" i="12" s="1"/>
  <c r="AB69" i="12"/>
  <c r="AB70" i="12" s="1"/>
  <c r="AA72" i="12"/>
  <c r="AA319" i="12"/>
  <c r="AA320" i="12" s="1"/>
  <c r="AA69" i="11"/>
  <c r="Z68" i="11"/>
  <c r="AA318" i="11"/>
  <c r="Z318" i="11" s="1"/>
  <c r="W319" i="12"/>
  <c r="W320" i="12" s="1"/>
  <c r="W69" i="11"/>
  <c r="G319" i="11"/>
  <c r="G320" i="11" s="1"/>
  <c r="G70" i="11"/>
  <c r="Y319" i="12"/>
  <c r="Y320" i="12" s="1"/>
  <c r="Y69" i="11"/>
  <c r="AB318" i="12"/>
  <c r="AB68" i="11"/>
  <c r="AB318" i="11" s="1"/>
  <c r="E319" i="12"/>
  <c r="E320" i="12" s="1"/>
  <c r="E69" i="11"/>
  <c r="F319" i="12"/>
  <c r="F320" i="12" s="1"/>
  <c r="F69" i="11"/>
  <c r="X68" i="11"/>
  <c r="Y318" i="11"/>
  <c r="X318" i="11" s="1"/>
  <c r="AE319" i="12"/>
  <c r="AE320" i="12" s="1"/>
  <c r="AE69" i="11"/>
  <c r="G321" i="12"/>
  <c r="G322" i="12" s="1"/>
  <c r="G71" i="11"/>
  <c r="G321" i="11" s="1"/>
  <c r="D319" i="12"/>
  <c r="D320" i="12" s="1"/>
  <c r="D69" i="11"/>
  <c r="V68" i="11"/>
  <c r="W318" i="11"/>
  <c r="V318" i="11" s="1"/>
  <c r="G86" i="4"/>
  <c r="T71" i="12" l="1"/>
  <c r="T72" i="12" s="1"/>
  <c r="AD69" i="12"/>
  <c r="AF69" i="12" s="1"/>
  <c r="AF70" i="12" s="1"/>
  <c r="AB71" i="12"/>
  <c r="AB72" i="12" s="1"/>
  <c r="F86" i="4"/>
  <c r="G322" i="11"/>
  <c r="W321" i="12"/>
  <c r="W322" i="12" s="1"/>
  <c r="W71" i="11"/>
  <c r="F321" i="12"/>
  <c r="F322" i="12" s="1"/>
  <c r="F71" i="11"/>
  <c r="AE321" i="12"/>
  <c r="AE322" i="12" s="1"/>
  <c r="AE71" i="11"/>
  <c r="F319" i="11"/>
  <c r="F320" i="11" s="1"/>
  <c r="F70" i="11"/>
  <c r="X69" i="11"/>
  <c r="Y319" i="11"/>
  <c r="Y70" i="11"/>
  <c r="D319" i="11"/>
  <c r="D320" i="11" s="1"/>
  <c r="D70" i="11"/>
  <c r="E321" i="12"/>
  <c r="E322" i="12" s="1"/>
  <c r="E71" i="11"/>
  <c r="G72" i="11"/>
  <c r="AA321" i="12"/>
  <c r="AA322" i="12" s="1"/>
  <c r="AA71" i="11"/>
  <c r="AB319" i="12"/>
  <c r="AB320" i="12" s="1"/>
  <c r="AB69" i="11"/>
  <c r="AE319" i="11"/>
  <c r="AE320" i="11" s="1"/>
  <c r="AE70" i="11"/>
  <c r="E319" i="11"/>
  <c r="E320" i="11" s="1"/>
  <c r="E70" i="11"/>
  <c r="Z69" i="11"/>
  <c r="AA319" i="11"/>
  <c r="AA70" i="11"/>
  <c r="D321" i="12"/>
  <c r="D322" i="12" s="1"/>
  <c r="D71" i="11"/>
  <c r="Y321" i="12"/>
  <c r="Y322" i="12" s="1"/>
  <c r="Y71" i="11"/>
  <c r="V69" i="11"/>
  <c r="W319" i="11"/>
  <c r="W70" i="11"/>
  <c r="AD70" i="12" l="1"/>
  <c r="AD71" i="12"/>
  <c r="AF71" i="12" s="1"/>
  <c r="AF72" i="12" s="1"/>
  <c r="K33" i="4"/>
  <c r="F85" i="14" s="1"/>
  <c r="G82" i="14" s="1"/>
  <c r="G74" i="4"/>
  <c r="AK69" i="12"/>
  <c r="AK70" i="12" s="1"/>
  <c r="AA72" i="11"/>
  <c r="Z71" i="11"/>
  <c r="AA321" i="11"/>
  <c r="F72" i="11"/>
  <c r="F321" i="11"/>
  <c r="F322" i="11" s="1"/>
  <c r="X319" i="11"/>
  <c r="Y320" i="11"/>
  <c r="AE72" i="11"/>
  <c r="AE321" i="11"/>
  <c r="AE322" i="11" s="1"/>
  <c r="V319" i="11"/>
  <c r="W320" i="11"/>
  <c r="E72" i="11"/>
  <c r="E321" i="11"/>
  <c r="E322" i="11" s="1"/>
  <c r="W72" i="11"/>
  <c r="V71" i="11"/>
  <c r="W321" i="11"/>
  <c r="D72" i="11"/>
  <c r="D321" i="11"/>
  <c r="D322" i="11" s="1"/>
  <c r="Y72" i="11"/>
  <c r="X71" i="11"/>
  <c r="Y321" i="11"/>
  <c r="AB321" i="12"/>
  <c r="AB322" i="12" s="1"/>
  <c r="AB71" i="11"/>
  <c r="Z319" i="11"/>
  <c r="AA320" i="11"/>
  <c r="AB319" i="11"/>
  <c r="AB320" i="11" s="1"/>
  <c r="AB70" i="11"/>
  <c r="AD72" i="12" l="1"/>
  <c r="F74" i="4"/>
  <c r="G82" i="4"/>
  <c r="G79" i="4"/>
  <c r="K34" i="4"/>
  <c r="F79" i="14" s="1"/>
  <c r="G75" i="14" s="1"/>
  <c r="G76" i="14" a="1"/>
  <c r="Q76" i="14" s="1"/>
  <c r="G53" i="14" a="1"/>
  <c r="K36" i="4"/>
  <c r="G16" i="14" a="1"/>
  <c r="AE16" i="14" s="1"/>
  <c r="AK71" i="12"/>
  <c r="AK72" i="12" s="1"/>
  <c r="Y322" i="11"/>
  <c r="G32" i="14" s="1" a="1"/>
  <c r="X321" i="11"/>
  <c r="Z321" i="11"/>
  <c r="AA322" i="11"/>
  <c r="G33" i="14" s="1" a="1"/>
  <c r="V321" i="11"/>
  <c r="W322" i="11"/>
  <c r="G31" i="14" s="1" a="1"/>
  <c r="AB72" i="11"/>
  <c r="AB321" i="11"/>
  <c r="AB322" i="11" s="1"/>
  <c r="G87" i="4" l="1"/>
  <c r="F82" i="4"/>
  <c r="K35" i="4"/>
  <c r="E77" i="14" s="1"/>
  <c r="G77" i="14" s="1"/>
  <c r="H77" i="14" s="1"/>
  <c r="I77" i="14" s="1"/>
  <c r="J77" i="14" s="1"/>
  <c r="K77" i="14" s="1"/>
  <c r="L77" i="14" s="1"/>
  <c r="M77" i="14" s="1"/>
  <c r="N77" i="14" s="1"/>
  <c r="O77" i="14" s="1"/>
  <c r="P77" i="14" s="1"/>
  <c r="Q77" i="14" s="1"/>
  <c r="R77" i="14" s="1"/>
  <c r="S77" i="14" s="1"/>
  <c r="T77" i="14" s="1"/>
  <c r="U77" i="14" s="1"/>
  <c r="V77" i="14" s="1"/>
  <c r="W77" i="14" s="1"/>
  <c r="X77" i="14" s="1"/>
  <c r="Y77" i="14" s="1"/>
  <c r="Z77" i="14" s="1"/>
  <c r="AA77" i="14" s="1"/>
  <c r="AB77" i="14" s="1"/>
  <c r="AC77" i="14" s="1"/>
  <c r="AD77" i="14" s="1"/>
  <c r="AE77" i="14" s="1"/>
  <c r="AF77" i="14" s="1"/>
  <c r="AG77" i="14" s="1"/>
  <c r="AH77" i="14" s="1"/>
  <c r="AI77" i="14" s="1"/>
  <c r="AJ77" i="14" s="1"/>
  <c r="AK77" i="14" s="1"/>
  <c r="AL77" i="14" s="1"/>
  <c r="AM77" i="14" s="1"/>
  <c r="AN77" i="14" s="1"/>
  <c r="AO77" i="14" s="1"/>
  <c r="AP77" i="14" s="1"/>
  <c r="AQ77" i="14" s="1"/>
  <c r="AR77" i="14" s="1"/>
  <c r="AS77" i="14" s="1"/>
  <c r="AT77" i="14" s="1"/>
  <c r="AU77" i="14" s="1"/>
  <c r="AW77" i="14" s="1"/>
  <c r="G76" i="14"/>
  <c r="AC76" i="14"/>
  <c r="U76" i="14"/>
  <c r="K76" i="14"/>
  <c r="AH76" i="14"/>
  <c r="AV76" i="14"/>
  <c r="AP76" i="14"/>
  <c r="AX76" i="14"/>
  <c r="I76" i="14"/>
  <c r="O76" i="14"/>
  <c r="R76" i="14"/>
  <c r="AT76" i="14"/>
  <c r="AR76" i="14"/>
  <c r="Z76" i="14"/>
  <c r="AN76" i="14"/>
  <c r="AK76" i="14"/>
  <c r="J76" i="14"/>
  <c r="AL76" i="14"/>
  <c r="AB76" i="14"/>
  <c r="AW76" i="14"/>
  <c r="AF76" i="14"/>
  <c r="M76" i="14"/>
  <c r="AU76" i="14"/>
  <c r="AD76" i="14"/>
  <c r="L76" i="14"/>
  <c r="AO76" i="14"/>
  <c r="X76" i="14"/>
  <c r="AJ76" i="14"/>
  <c r="AM76" i="14"/>
  <c r="V76" i="14"/>
  <c r="AI76" i="14"/>
  <c r="AG76" i="14"/>
  <c r="P76" i="14"/>
  <c r="T76" i="14"/>
  <c r="AE76" i="14"/>
  <c r="N76" i="14"/>
  <c r="AA76" i="14"/>
  <c r="Y76" i="14"/>
  <c r="H76" i="14"/>
  <c r="AQ76" i="14"/>
  <c r="W76" i="14"/>
  <c r="AS76" i="14"/>
  <c r="S76" i="14"/>
  <c r="K53" i="14"/>
  <c r="S53" i="14"/>
  <c r="AA53" i="14"/>
  <c r="AI53" i="14"/>
  <c r="AQ53" i="14"/>
  <c r="L53" i="14"/>
  <c r="T53" i="14"/>
  <c r="AB53" i="14"/>
  <c r="AJ53" i="14"/>
  <c r="AR53" i="14"/>
  <c r="M53" i="14"/>
  <c r="U53" i="14"/>
  <c r="AC53" i="14"/>
  <c r="AK53" i="14"/>
  <c r="AS53" i="14"/>
  <c r="N53" i="14"/>
  <c r="V53" i="14"/>
  <c r="AD53" i="14"/>
  <c r="AL53" i="14"/>
  <c r="AT53" i="14"/>
  <c r="G53" i="14"/>
  <c r="O53" i="14"/>
  <c r="W53" i="14"/>
  <c r="AE53" i="14"/>
  <c r="AM53" i="14"/>
  <c r="AU53" i="14"/>
  <c r="H53" i="14"/>
  <c r="P53" i="14"/>
  <c r="X53" i="14"/>
  <c r="AF53" i="14"/>
  <c r="AN53" i="14"/>
  <c r="AV53" i="14"/>
  <c r="AV93" i="14" s="1"/>
  <c r="I53" i="14"/>
  <c r="Q53" i="14"/>
  <c r="Y53" i="14"/>
  <c r="AG53" i="14"/>
  <c r="AO53" i="14"/>
  <c r="AW53" i="14"/>
  <c r="J53" i="14"/>
  <c r="R53" i="14"/>
  <c r="Z53" i="14"/>
  <c r="AH53" i="14"/>
  <c r="AP53" i="14"/>
  <c r="AX53" i="14"/>
  <c r="AX93" i="14" s="1"/>
  <c r="G17" i="14"/>
  <c r="AD18" i="14"/>
  <c r="AQ16" i="14"/>
  <c r="AT16" i="14"/>
  <c r="AH16" i="14"/>
  <c r="AL16" i="14"/>
  <c r="Q18" i="14"/>
  <c r="Q17" i="14"/>
  <c r="U17" i="14"/>
  <c r="AJ18" i="14"/>
  <c r="X18" i="14"/>
  <c r="AB18" i="14"/>
  <c r="P16" i="14"/>
  <c r="AU17" i="14"/>
  <c r="H16" i="14"/>
  <c r="R17" i="14"/>
  <c r="M16" i="14"/>
  <c r="O17" i="14"/>
  <c r="Z16" i="14"/>
  <c r="AV16" i="14"/>
  <c r="N16" i="14"/>
  <c r="P17" i="14"/>
  <c r="AP18" i="14"/>
  <c r="M17" i="14"/>
  <c r="AI17" i="14"/>
  <c r="U18" i="14"/>
  <c r="AR16" i="14"/>
  <c r="Z18" i="14"/>
  <c r="AW16" i="14"/>
  <c r="S17" i="14"/>
  <c r="AA18" i="14"/>
  <c r="AG17" i="14"/>
  <c r="AJ16" i="14"/>
  <c r="R18" i="14"/>
  <c r="AV18" i="14"/>
  <c r="K17" i="14"/>
  <c r="AL18" i="14"/>
  <c r="Y17" i="14"/>
  <c r="L16" i="14"/>
  <c r="AX16" i="14"/>
  <c r="AF18" i="14"/>
  <c r="AU16" i="14"/>
  <c r="AT18" i="14"/>
  <c r="J17" i="14"/>
  <c r="M18" i="14"/>
  <c r="AR18" i="14"/>
  <c r="H17" i="14"/>
  <c r="AM17" i="14"/>
  <c r="AH18" i="14"/>
  <c r="AP16" i="14"/>
  <c r="AC17" i="14"/>
  <c r="AN18" i="14"/>
  <c r="AN16" i="14"/>
  <c r="AA17" i="14"/>
  <c r="AH17" i="14"/>
  <c r="AK18" i="14"/>
  <c r="AS16" i="14"/>
  <c r="AF17" i="14"/>
  <c r="S18" i="14"/>
  <c r="AA16" i="14"/>
  <c r="V17" i="14"/>
  <c r="AG18" i="14"/>
  <c r="AG16" i="14"/>
  <c r="T17" i="14"/>
  <c r="AE18" i="14"/>
  <c r="O16" i="14"/>
  <c r="V18" i="14"/>
  <c r="T18" i="14"/>
  <c r="J18" i="14"/>
  <c r="AW18" i="14"/>
  <c r="AJ17" i="14"/>
  <c r="AU18" i="14"/>
  <c r="N18" i="14"/>
  <c r="AS18" i="14"/>
  <c r="I17" i="14"/>
  <c r="L18" i="14"/>
  <c r="AI18" i="14"/>
  <c r="AI16" i="14"/>
  <c r="AT17" i="14"/>
  <c r="AO18" i="14"/>
  <c r="AO16" i="14"/>
  <c r="AB17" i="14"/>
  <c r="AM18" i="14"/>
  <c r="W16" i="14"/>
  <c r="Z17" i="14"/>
  <c r="AC18" i="14"/>
  <c r="AK16" i="14"/>
  <c r="X17" i="14"/>
  <c r="K18" i="14"/>
  <c r="S16" i="14"/>
  <c r="N17" i="14"/>
  <c r="Y18" i="14"/>
  <c r="I16" i="14"/>
  <c r="L17" i="14"/>
  <c r="AQ17" i="14"/>
  <c r="G16" i="14"/>
  <c r="I18" i="14"/>
  <c r="P18" i="14"/>
  <c r="W18" i="14"/>
  <c r="AX17" i="14"/>
  <c r="AD16" i="14"/>
  <c r="AW17" i="14"/>
  <c r="AC16" i="14"/>
  <c r="AV17" i="14"/>
  <c r="AB16" i="14"/>
  <c r="AE17" i="14"/>
  <c r="K16" i="14"/>
  <c r="AL17" i="14"/>
  <c r="R16" i="14"/>
  <c r="AS17" i="14"/>
  <c r="Y16" i="14"/>
  <c r="H18" i="14"/>
  <c r="AF16" i="14"/>
  <c r="O18" i="14"/>
  <c r="AM16" i="14"/>
  <c r="AQ18" i="14"/>
  <c r="AP17" i="14"/>
  <c r="V16" i="14"/>
  <c r="AO17" i="14"/>
  <c r="U16" i="14"/>
  <c r="AN17" i="14"/>
  <c r="T16" i="14"/>
  <c r="W17" i="14"/>
  <c r="AX18" i="14"/>
  <c r="AD17" i="14"/>
  <c r="J16" i="14"/>
  <c r="AK17" i="14"/>
  <c r="Q16" i="14"/>
  <c r="AR17" i="14"/>
  <c r="X16" i="14"/>
  <c r="G18" i="14"/>
  <c r="G33" i="14"/>
  <c r="O33" i="14"/>
  <c r="W33" i="14"/>
  <c r="AE33" i="14"/>
  <c r="AM33" i="14"/>
  <c r="AU33" i="14"/>
  <c r="H33" i="14"/>
  <c r="P33" i="14"/>
  <c r="X33" i="14"/>
  <c r="AF33" i="14"/>
  <c r="AN33" i="14"/>
  <c r="AV33" i="14"/>
  <c r="I33" i="14"/>
  <c r="Q33" i="14"/>
  <c r="Y33" i="14"/>
  <c r="AG33" i="14"/>
  <c r="AO33" i="14"/>
  <c r="AW33" i="14"/>
  <c r="J33" i="14"/>
  <c r="R33" i="14"/>
  <c r="Z33" i="14"/>
  <c r="AH33" i="14"/>
  <c r="AP33" i="14"/>
  <c r="AX33" i="14"/>
  <c r="K33" i="14"/>
  <c r="S33" i="14"/>
  <c r="AA33" i="14"/>
  <c r="AI33" i="14"/>
  <c r="AQ33" i="14"/>
  <c r="L33" i="14"/>
  <c r="T33" i="14"/>
  <c r="AB33" i="14"/>
  <c r="AJ33" i="14"/>
  <c r="AR33" i="14"/>
  <c r="M33" i="14"/>
  <c r="U33" i="14"/>
  <c r="AC33" i="14"/>
  <c r="AK33" i="14"/>
  <c r="AS33" i="14"/>
  <c r="N33" i="14"/>
  <c r="V33" i="14"/>
  <c r="AD33" i="14"/>
  <c r="AL33" i="14"/>
  <c r="AT33" i="14"/>
  <c r="N32" i="14"/>
  <c r="V32" i="14"/>
  <c r="AD32" i="14"/>
  <c r="AL32" i="14"/>
  <c r="AT32" i="14"/>
  <c r="G32" i="14"/>
  <c r="O32" i="14"/>
  <c r="W32" i="14"/>
  <c r="AE32" i="14"/>
  <c r="AM32" i="14"/>
  <c r="AU32" i="14"/>
  <c r="H32" i="14"/>
  <c r="P32" i="14"/>
  <c r="X32" i="14"/>
  <c r="AF32" i="14"/>
  <c r="AN32" i="14"/>
  <c r="AV32" i="14"/>
  <c r="I32" i="14"/>
  <c r="Q32" i="14"/>
  <c r="Y32" i="14"/>
  <c r="AG32" i="14"/>
  <c r="AO32" i="14"/>
  <c r="AW32" i="14"/>
  <c r="J32" i="14"/>
  <c r="R32" i="14"/>
  <c r="Z32" i="14"/>
  <c r="AH32" i="14"/>
  <c r="AP32" i="14"/>
  <c r="AX32" i="14"/>
  <c r="K32" i="14"/>
  <c r="S32" i="14"/>
  <c r="AA32" i="14"/>
  <c r="AI32" i="14"/>
  <c r="AQ32" i="14"/>
  <c r="L32" i="14"/>
  <c r="T32" i="14"/>
  <c r="AB32" i="14"/>
  <c r="AJ32" i="14"/>
  <c r="AR32" i="14"/>
  <c r="M32" i="14"/>
  <c r="U32" i="14"/>
  <c r="AC32" i="14"/>
  <c r="AK32" i="14"/>
  <c r="AS32" i="14"/>
  <c r="K31" i="14"/>
  <c r="S31" i="14"/>
  <c r="AA31" i="14"/>
  <c r="AI31" i="14"/>
  <c r="AQ31" i="14"/>
  <c r="N31" i="14"/>
  <c r="V31" i="14"/>
  <c r="AD31" i="14"/>
  <c r="AL31" i="14"/>
  <c r="AT31" i="14"/>
  <c r="G31" i="14"/>
  <c r="O31" i="14"/>
  <c r="W31" i="14"/>
  <c r="AE31" i="14"/>
  <c r="AM31" i="14"/>
  <c r="AU31" i="14"/>
  <c r="H31" i="14"/>
  <c r="P31" i="14"/>
  <c r="X31" i="14"/>
  <c r="AF31" i="14"/>
  <c r="AN31" i="14"/>
  <c r="AV31" i="14"/>
  <c r="I31" i="14"/>
  <c r="Q31" i="14"/>
  <c r="Y31" i="14"/>
  <c r="AG31" i="14"/>
  <c r="AO31" i="14"/>
  <c r="AW31" i="14"/>
  <c r="J31" i="14"/>
  <c r="R31" i="14"/>
  <c r="Z31" i="14"/>
  <c r="AH31" i="14"/>
  <c r="AP31" i="14"/>
  <c r="AX31" i="14"/>
  <c r="L31" i="14"/>
  <c r="T31" i="14"/>
  <c r="AB31" i="14"/>
  <c r="AJ31" i="14"/>
  <c r="AR31" i="14"/>
  <c r="M31" i="14"/>
  <c r="U31" i="14"/>
  <c r="AC31" i="14"/>
  <c r="AK31" i="14"/>
  <c r="AS31" i="14"/>
  <c r="J288" i="12"/>
  <c r="K288" i="12"/>
  <c r="Q58" i="11"/>
  <c r="Q153" i="11"/>
  <c r="M153" i="11" s="1"/>
  <c r="J307" i="12"/>
  <c r="K307" i="12"/>
  <c r="J293" i="12"/>
  <c r="K293" i="12"/>
  <c r="J303" i="12"/>
  <c r="K303" i="12"/>
  <c r="J312" i="12"/>
  <c r="K312" i="12"/>
  <c r="Q129" i="11"/>
  <c r="Q35" i="11"/>
  <c r="Q43" i="11"/>
  <c r="Q60" i="11"/>
  <c r="Q51" i="11"/>
  <c r="Q55" i="11"/>
  <c r="Q147" i="11"/>
  <c r="M147" i="11" s="1"/>
  <c r="Q141" i="11"/>
  <c r="M141" i="11" s="1"/>
  <c r="Q166" i="11"/>
  <c r="M166" i="11" s="1"/>
  <c r="Q144" i="11"/>
  <c r="M144" i="11" s="1"/>
  <c r="Q161" i="11"/>
  <c r="M161" i="11" s="1"/>
  <c r="Q189" i="11"/>
  <c r="M189" i="11" s="1"/>
  <c r="Q197" i="11"/>
  <c r="M197" i="11" s="1"/>
  <c r="Q208" i="11"/>
  <c r="M208" i="11" s="1"/>
  <c r="Q217" i="11"/>
  <c r="M217" i="11" s="1"/>
  <c r="I287" i="12"/>
  <c r="I293" i="12"/>
  <c r="I301" i="12"/>
  <c r="I310" i="12"/>
  <c r="Q183" i="11"/>
  <c r="M183" i="11" s="1"/>
  <c r="Q132" i="11"/>
  <c r="M132" i="11" s="1"/>
  <c r="J316" i="12"/>
  <c r="K316" i="12"/>
  <c r="Q134" i="11"/>
  <c r="M134" i="11" s="1"/>
  <c r="Q162" i="11"/>
  <c r="M162" i="11" s="1"/>
  <c r="I313" i="12"/>
  <c r="J299" i="12"/>
  <c r="K299" i="12"/>
  <c r="J294" i="12"/>
  <c r="K294" i="12"/>
  <c r="J308" i="12"/>
  <c r="K308" i="12"/>
  <c r="J317" i="12"/>
  <c r="K317" i="12"/>
  <c r="Q179" i="11"/>
  <c r="Q36" i="11"/>
  <c r="Q44" i="11"/>
  <c r="Q62" i="11"/>
  <c r="Q54" i="11"/>
  <c r="Q155" i="11"/>
  <c r="M155" i="11" s="1"/>
  <c r="Q149" i="11"/>
  <c r="M149" i="11" s="1"/>
  <c r="Q185" i="11"/>
  <c r="M185" i="11" s="1"/>
  <c r="Q187" i="11"/>
  <c r="M187" i="11" s="1"/>
  <c r="Q152" i="11"/>
  <c r="M152" i="11" s="1"/>
  <c r="Q191" i="11"/>
  <c r="M191" i="11" s="1"/>
  <c r="Q199" i="11"/>
  <c r="M199" i="11" s="1"/>
  <c r="Q210" i="11"/>
  <c r="M210" i="11" s="1"/>
  <c r="Q218" i="11"/>
  <c r="M218" i="11" s="1"/>
  <c r="I288" i="12"/>
  <c r="I294" i="12"/>
  <c r="I306" i="12"/>
  <c r="I314" i="12"/>
  <c r="Q133" i="11"/>
  <c r="M133" i="11" s="1"/>
  <c r="Q182" i="11"/>
  <c r="M182" i="11" s="1"/>
  <c r="Q42" i="11"/>
  <c r="Q203" i="11"/>
  <c r="M203" i="11" s="1"/>
  <c r="Q216" i="11"/>
  <c r="M216" i="11" s="1"/>
  <c r="I292" i="12"/>
  <c r="J281" i="12"/>
  <c r="K281" i="12"/>
  <c r="J300" i="12"/>
  <c r="K300" i="12"/>
  <c r="J295" i="12"/>
  <c r="K295" i="12"/>
  <c r="K302" i="12"/>
  <c r="J302" i="12"/>
  <c r="J306" i="12"/>
  <c r="K306" i="12"/>
  <c r="I279" i="12"/>
  <c r="Q37" i="11"/>
  <c r="Q45" i="11"/>
  <c r="Q64" i="11"/>
  <c r="Q61" i="11"/>
  <c r="Q52" i="11"/>
  <c r="Q138" i="11"/>
  <c r="M138" i="11" s="1"/>
  <c r="Q148" i="11"/>
  <c r="M148" i="11" s="1"/>
  <c r="Q143" i="11"/>
  <c r="M143" i="11" s="1"/>
  <c r="Q160" i="11"/>
  <c r="M160" i="11" s="1"/>
  <c r="Q184" i="11"/>
  <c r="M184" i="11" s="1"/>
  <c r="Q205" i="11"/>
  <c r="M205" i="11" s="1"/>
  <c r="Q200" i="11"/>
  <c r="M200" i="11" s="1"/>
  <c r="Q211" i="11"/>
  <c r="M211" i="11" s="1"/>
  <c r="I302" i="12"/>
  <c r="I295" i="12"/>
  <c r="I308" i="12"/>
  <c r="I307" i="12"/>
  <c r="I283" i="12"/>
  <c r="J283" i="12"/>
  <c r="K283" i="12"/>
  <c r="I282" i="12"/>
  <c r="Q34" i="11"/>
  <c r="Q135" i="11"/>
  <c r="M135" i="11" s="1"/>
  <c r="Q206" i="11"/>
  <c r="M206" i="11" s="1"/>
  <c r="I300" i="12"/>
  <c r="J284" i="12"/>
  <c r="K284" i="12"/>
  <c r="J313" i="12"/>
  <c r="K313" i="12"/>
  <c r="J296" i="12"/>
  <c r="K296" i="12"/>
  <c r="J304" i="12"/>
  <c r="K304" i="12"/>
  <c r="J310" i="12"/>
  <c r="K310" i="12"/>
  <c r="Q38" i="11"/>
  <c r="Q46" i="11"/>
  <c r="Q66" i="11"/>
  <c r="Q63" i="11"/>
  <c r="Q50" i="11"/>
  <c r="Q157" i="11"/>
  <c r="M157" i="11" s="1"/>
  <c r="Q156" i="11"/>
  <c r="M156" i="11" s="1"/>
  <c r="Q151" i="11"/>
  <c r="M151" i="11" s="1"/>
  <c r="Q168" i="11"/>
  <c r="M168" i="11" s="1"/>
  <c r="Q186" i="11"/>
  <c r="M186" i="11" s="1"/>
  <c r="Q190" i="11"/>
  <c r="M190" i="11" s="1"/>
  <c r="Q201" i="11"/>
  <c r="M201" i="11" s="1"/>
  <c r="Q212" i="11"/>
  <c r="M212" i="11" s="1"/>
  <c r="I289" i="12"/>
  <c r="I303" i="12"/>
  <c r="I296" i="12"/>
  <c r="I316" i="12"/>
  <c r="I311" i="12"/>
  <c r="Q31" i="11"/>
  <c r="M31" i="11" s="1"/>
  <c r="Q30" i="11"/>
  <c r="J292" i="12"/>
  <c r="K292" i="12"/>
  <c r="Q136" i="11"/>
  <c r="M136" i="11" s="1"/>
  <c r="Q32" i="11"/>
  <c r="J285" i="12"/>
  <c r="K285" i="12"/>
  <c r="J289" i="12"/>
  <c r="K289" i="12"/>
  <c r="J297" i="12"/>
  <c r="K297" i="12"/>
  <c r="J315" i="12"/>
  <c r="K315" i="12"/>
  <c r="J314" i="12"/>
  <c r="K314" i="12"/>
  <c r="Q39" i="11"/>
  <c r="Q47" i="11"/>
  <c r="Q68" i="11"/>
  <c r="Q65" i="11"/>
  <c r="Q56" i="11"/>
  <c r="Q139" i="11"/>
  <c r="M139" i="11" s="1"/>
  <c r="Q164" i="11"/>
  <c r="M164" i="11" s="1"/>
  <c r="Q159" i="11"/>
  <c r="M159" i="11" s="1"/>
  <c r="Q188" i="11"/>
  <c r="M188" i="11" s="1"/>
  <c r="Q192" i="11"/>
  <c r="M192" i="11" s="1"/>
  <c r="Q194" i="11"/>
  <c r="M194" i="11" s="1"/>
  <c r="Q198" i="11"/>
  <c r="M198" i="11" s="1"/>
  <c r="Q213" i="11"/>
  <c r="M213" i="11" s="1"/>
  <c r="I290" i="12"/>
  <c r="I317" i="12"/>
  <c r="I297" i="12"/>
  <c r="I305" i="12"/>
  <c r="I315" i="12"/>
  <c r="Q181" i="11"/>
  <c r="Q130" i="11"/>
  <c r="M130" i="11" s="1"/>
  <c r="Q29" i="11"/>
  <c r="Q165" i="11"/>
  <c r="M165" i="11" s="1"/>
  <c r="Q193" i="11"/>
  <c r="M193" i="11" s="1"/>
  <c r="I286" i="12"/>
  <c r="J286" i="12"/>
  <c r="K286" i="12"/>
  <c r="J290" i="12"/>
  <c r="K290" i="12"/>
  <c r="J298" i="12"/>
  <c r="K298" i="12"/>
  <c r="J309" i="12"/>
  <c r="K309" i="12"/>
  <c r="J318" i="12"/>
  <c r="K318" i="12"/>
  <c r="Q40" i="11"/>
  <c r="Q48" i="11"/>
  <c r="Q137" i="11"/>
  <c r="M137" i="11" s="1"/>
  <c r="Q67" i="11"/>
  <c r="Q49" i="11"/>
  <c r="Q163" i="11"/>
  <c r="M163" i="11" s="1"/>
  <c r="Q142" i="11"/>
  <c r="M142" i="11" s="1"/>
  <c r="Q167" i="11"/>
  <c r="M167" i="11" s="1"/>
  <c r="Q195" i="11"/>
  <c r="M195" i="11" s="1"/>
  <c r="Q146" i="11"/>
  <c r="M146" i="11" s="1"/>
  <c r="Q207" i="11"/>
  <c r="M207" i="11" s="1"/>
  <c r="Q202" i="11"/>
  <c r="M202" i="11" s="1"/>
  <c r="Q214" i="11"/>
  <c r="M214" i="11" s="1"/>
  <c r="I284" i="12"/>
  <c r="I304" i="12"/>
  <c r="I298" i="12"/>
  <c r="I312" i="12"/>
  <c r="I318" i="12"/>
  <c r="Q131" i="11"/>
  <c r="M131" i="11" s="1"/>
  <c r="Q180" i="11"/>
  <c r="M180" i="11" s="1"/>
  <c r="J311" i="12"/>
  <c r="K311" i="12"/>
  <c r="Q158" i="11"/>
  <c r="M158" i="11" s="1"/>
  <c r="Q33" i="11"/>
  <c r="J280" i="12"/>
  <c r="K280" i="12"/>
  <c r="J287" i="12"/>
  <c r="K287" i="12"/>
  <c r="J291" i="12"/>
  <c r="K291" i="12"/>
  <c r="J301" i="12"/>
  <c r="K301" i="12"/>
  <c r="J305" i="12"/>
  <c r="K305" i="12"/>
  <c r="J319" i="12"/>
  <c r="K319" i="12"/>
  <c r="J279" i="12"/>
  <c r="K279" i="12"/>
  <c r="Q41" i="11"/>
  <c r="Q53" i="11"/>
  <c r="Q59" i="11"/>
  <c r="Q57" i="11"/>
  <c r="Q140" i="11"/>
  <c r="M140" i="11" s="1"/>
  <c r="Q150" i="11"/>
  <c r="M150" i="11" s="1"/>
  <c r="Q196" i="11"/>
  <c r="M196" i="11" s="1"/>
  <c r="Q145" i="11"/>
  <c r="M145" i="11" s="1"/>
  <c r="Q154" i="11"/>
  <c r="M154" i="11" s="1"/>
  <c r="Q209" i="11"/>
  <c r="M209" i="11" s="1"/>
  <c r="Q204" i="11"/>
  <c r="M204" i="11" s="1"/>
  <c r="Q215" i="11"/>
  <c r="M215" i="11" s="1"/>
  <c r="I285" i="12"/>
  <c r="I291" i="12"/>
  <c r="I299" i="12"/>
  <c r="I309" i="12"/>
  <c r="I319" i="12"/>
  <c r="I281" i="12"/>
  <c r="J282" i="12"/>
  <c r="K282" i="12"/>
  <c r="I280" i="12"/>
  <c r="G78" i="14" l="1"/>
  <c r="G79" i="14" s="1"/>
  <c r="H75" i="14" s="1"/>
  <c r="H78" i="14" s="1"/>
  <c r="AW93" i="14"/>
  <c r="AW94" i="14" s="1"/>
  <c r="AW100" i="14"/>
  <c r="AP93" i="14"/>
  <c r="AP94" i="14" s="1"/>
  <c r="AP100" i="14"/>
  <c r="Y93" i="14"/>
  <c r="Y94" i="14" s="1"/>
  <c r="Y100" i="14"/>
  <c r="H93" i="14"/>
  <c r="H94" i="14" s="1"/>
  <c r="H100" i="14"/>
  <c r="AL93" i="14"/>
  <c r="AL94" i="14" s="1"/>
  <c r="AL100" i="14"/>
  <c r="M93" i="14"/>
  <c r="M94" i="14" s="1"/>
  <c r="M100" i="14"/>
  <c r="AA93" i="14"/>
  <c r="AA94" i="14" s="1"/>
  <c r="AA100" i="14"/>
  <c r="AH93" i="14"/>
  <c r="AH94" i="14" s="1"/>
  <c r="AH100" i="14"/>
  <c r="Q93" i="14"/>
  <c r="Q94" i="14" s="1"/>
  <c r="Q100" i="14"/>
  <c r="AU93" i="14"/>
  <c r="AU94" i="14" s="1"/>
  <c r="AU100" i="14"/>
  <c r="AD93" i="14"/>
  <c r="AD94" i="14" s="1"/>
  <c r="AD100" i="14"/>
  <c r="AR93" i="14"/>
  <c r="AR94" i="14" s="1"/>
  <c r="AR100" i="14"/>
  <c r="S93" i="14"/>
  <c r="S94" i="14" s="1"/>
  <c r="S100" i="14"/>
  <c r="AO93" i="14"/>
  <c r="AO94" i="14" s="1"/>
  <c r="AO100" i="14"/>
  <c r="X93" i="14"/>
  <c r="X94" i="14" s="1"/>
  <c r="X100" i="14"/>
  <c r="AQ93" i="14"/>
  <c r="AQ94" i="14" s="1"/>
  <c r="AQ100" i="14"/>
  <c r="I93" i="14"/>
  <c r="I94" i="14" s="1"/>
  <c r="I100" i="14"/>
  <c r="V93" i="14"/>
  <c r="V94" i="14" s="1"/>
  <c r="V100" i="14"/>
  <c r="R93" i="14"/>
  <c r="R94" i="14" s="1"/>
  <c r="R100" i="14"/>
  <c r="AE93" i="14"/>
  <c r="AE94" i="14" s="1"/>
  <c r="AE100" i="14"/>
  <c r="N93" i="14"/>
  <c r="N94" i="14" s="1"/>
  <c r="N100" i="14"/>
  <c r="AB93" i="14"/>
  <c r="AB94" i="14" s="1"/>
  <c r="AB100" i="14"/>
  <c r="AC93" i="14"/>
  <c r="AC94" i="14" s="1"/>
  <c r="AC100" i="14"/>
  <c r="P93" i="14"/>
  <c r="P94" i="14" s="1"/>
  <c r="P100" i="14"/>
  <c r="AT93" i="14"/>
  <c r="AT94" i="14" s="1"/>
  <c r="AT100" i="14"/>
  <c r="U93" i="14"/>
  <c r="U94" i="14" s="1"/>
  <c r="U100" i="14"/>
  <c r="AI93" i="14"/>
  <c r="AI94" i="14" s="1"/>
  <c r="AI100" i="14"/>
  <c r="AJ93" i="14"/>
  <c r="AJ94" i="14" s="1"/>
  <c r="AJ100" i="14"/>
  <c r="J93" i="14"/>
  <c r="J94" i="14" s="1"/>
  <c r="J100" i="14"/>
  <c r="AN93" i="14"/>
  <c r="AN94" i="14" s="1"/>
  <c r="AN100" i="14"/>
  <c r="W93" i="14"/>
  <c r="W94" i="14" s="1"/>
  <c r="W100" i="14"/>
  <c r="AS93" i="14"/>
  <c r="AS94" i="14" s="1"/>
  <c r="AS100" i="14"/>
  <c r="T93" i="14"/>
  <c r="T94" i="14" s="1"/>
  <c r="T100" i="14"/>
  <c r="AG93" i="14"/>
  <c r="AG94" i="14" s="1"/>
  <c r="AG100" i="14"/>
  <c r="Z93" i="14"/>
  <c r="Z94" i="14" s="1"/>
  <c r="Z100" i="14"/>
  <c r="AM93" i="14"/>
  <c r="AM94" i="14" s="1"/>
  <c r="AM100" i="14"/>
  <c r="K93" i="14"/>
  <c r="K94" i="14" s="1"/>
  <c r="K100" i="14"/>
  <c r="AF93" i="14"/>
  <c r="AF94" i="14" s="1"/>
  <c r="AF100" i="14"/>
  <c r="O93" i="14"/>
  <c r="O94" i="14" s="1"/>
  <c r="O100" i="14"/>
  <c r="AK93" i="14"/>
  <c r="AK94" i="14" s="1"/>
  <c r="AK100" i="14"/>
  <c r="L93" i="14"/>
  <c r="L94" i="14" s="1"/>
  <c r="L100" i="14"/>
  <c r="G93" i="14"/>
  <c r="G94" i="14" s="1"/>
  <c r="G100" i="14"/>
  <c r="AX94" i="14"/>
  <c r="AX95" i="14" s="1"/>
  <c r="AV94" i="14"/>
  <c r="AV95" i="14" s="1"/>
  <c r="U19" i="14"/>
  <c r="Q19" i="14"/>
  <c r="M19" i="14"/>
  <c r="AT19" i="14"/>
  <c r="AL19" i="14"/>
  <c r="Z19" i="14"/>
  <c r="AB19" i="14"/>
  <c r="AO19" i="14"/>
  <c r="AK19" i="14"/>
  <c r="AH19" i="14"/>
  <c r="AJ19" i="14"/>
  <c r="AS19" i="14"/>
  <c r="L19" i="14"/>
  <c r="AC19" i="14"/>
  <c r="AI19" i="14"/>
  <c r="AA19" i="14"/>
  <c r="Y19" i="14"/>
  <c r="S19" i="14"/>
  <c r="AP19" i="14"/>
  <c r="R19" i="14"/>
  <c r="AW19" i="14"/>
  <c r="AQ19" i="14"/>
  <c r="AD19" i="14"/>
  <c r="J19" i="14"/>
  <c r="V19" i="14"/>
  <c r="AG19" i="14"/>
  <c r="W19" i="14"/>
  <c r="AN19" i="14"/>
  <c r="P19" i="14"/>
  <c r="AV19" i="14"/>
  <c r="AV20" i="14" s="1"/>
  <c r="N19" i="14"/>
  <c r="AU19" i="14"/>
  <c r="G19" i="14"/>
  <c r="K19" i="14"/>
  <c r="AM19" i="14"/>
  <c r="X19" i="14"/>
  <c r="T19" i="14"/>
  <c r="O19" i="14"/>
  <c r="AE19" i="14"/>
  <c r="AX19" i="14"/>
  <c r="AX34" i="14" s="1"/>
  <c r="AR19" i="14"/>
  <c r="AF19" i="14"/>
  <c r="I19" i="14"/>
  <c r="H19" i="14"/>
  <c r="S153" i="11"/>
  <c r="O153" i="11" s="1"/>
  <c r="R219" i="11"/>
  <c r="N219" i="11" s="1"/>
  <c r="R221" i="11"/>
  <c r="M288" i="12"/>
  <c r="S131" i="11"/>
  <c r="O131" i="11" s="1"/>
  <c r="M281" i="12"/>
  <c r="M291" i="12"/>
  <c r="Q71" i="11"/>
  <c r="N318" i="12"/>
  <c r="R268" i="11"/>
  <c r="N268" i="11" s="1"/>
  <c r="N290" i="12"/>
  <c r="R240" i="11"/>
  <c r="N240" i="11" s="1"/>
  <c r="S159" i="11"/>
  <c r="O159" i="11" s="1"/>
  <c r="M29" i="11"/>
  <c r="M297" i="12"/>
  <c r="N314" i="12"/>
  <c r="R264" i="11"/>
  <c r="N264" i="11" s="1"/>
  <c r="N289" i="12"/>
  <c r="R239" i="11"/>
  <c r="N239" i="11" s="1"/>
  <c r="S151" i="11"/>
  <c r="O151" i="11" s="1"/>
  <c r="S130" i="11"/>
  <c r="O130" i="11" s="1"/>
  <c r="N292" i="12"/>
  <c r="R242" i="11"/>
  <c r="N242" i="11" s="1"/>
  <c r="M316" i="12"/>
  <c r="M50" i="11"/>
  <c r="N296" i="12"/>
  <c r="R246" i="11"/>
  <c r="N246" i="11" s="1"/>
  <c r="S213" i="11"/>
  <c r="O213" i="11" s="1"/>
  <c r="S164" i="11"/>
  <c r="O164" i="11" s="1"/>
  <c r="M307" i="12"/>
  <c r="Q221" i="11"/>
  <c r="M64" i="11"/>
  <c r="S137" i="11"/>
  <c r="O137" i="11" s="1"/>
  <c r="S187" i="11"/>
  <c r="O187" i="11" s="1"/>
  <c r="M62" i="11"/>
  <c r="N308" i="12"/>
  <c r="R258" i="11"/>
  <c r="N258" i="11" s="1"/>
  <c r="S215" i="11"/>
  <c r="O215" i="11" s="1"/>
  <c r="S195" i="11"/>
  <c r="O195" i="11" s="1"/>
  <c r="M51" i="11"/>
  <c r="N312" i="12"/>
  <c r="R262" i="11"/>
  <c r="N262" i="11" s="1"/>
  <c r="S196" i="11"/>
  <c r="O196" i="11" s="1"/>
  <c r="S150" i="11"/>
  <c r="O150" i="11" s="1"/>
  <c r="S161" i="11"/>
  <c r="O161" i="11" s="1"/>
  <c r="S198" i="11"/>
  <c r="O198" i="11" s="1"/>
  <c r="S147" i="11"/>
  <c r="O147" i="11" s="1"/>
  <c r="M293" i="12"/>
  <c r="M59" i="11"/>
  <c r="N305" i="12"/>
  <c r="R255" i="11"/>
  <c r="N255" i="11" s="1"/>
  <c r="S194" i="11"/>
  <c r="O194" i="11" s="1"/>
  <c r="S165" i="11"/>
  <c r="O165" i="11" s="1"/>
  <c r="S135" i="11"/>
  <c r="O135" i="11" s="1"/>
  <c r="M33" i="11"/>
  <c r="S212" i="11"/>
  <c r="O212" i="11" s="1"/>
  <c r="M298" i="12"/>
  <c r="S207" i="11"/>
  <c r="O207" i="11" s="1"/>
  <c r="S134" i="11"/>
  <c r="O134" i="11" s="1"/>
  <c r="S180" i="11"/>
  <c r="O180" i="11" s="1"/>
  <c r="S132" i="11"/>
  <c r="O132" i="11" s="1"/>
  <c r="M65" i="11"/>
  <c r="S205" i="11"/>
  <c r="O205" i="11" s="1"/>
  <c r="M46" i="11"/>
  <c r="S145" i="11"/>
  <c r="O145" i="11" s="1"/>
  <c r="M282" i="12"/>
  <c r="Q219" i="11"/>
  <c r="M219" i="11" s="1"/>
  <c r="M279" i="12"/>
  <c r="S168" i="11"/>
  <c r="O168" i="11" s="1"/>
  <c r="M314" i="12"/>
  <c r="Q169" i="11"/>
  <c r="M169" i="11" s="1"/>
  <c r="M179" i="11"/>
  <c r="S186" i="11"/>
  <c r="O186" i="11" s="1"/>
  <c r="M287" i="12"/>
  <c r="M35" i="11"/>
  <c r="N307" i="12"/>
  <c r="R257" i="11"/>
  <c r="N257" i="11" s="1"/>
  <c r="N288" i="12"/>
  <c r="R238" i="11"/>
  <c r="N238" i="11" s="1"/>
  <c r="M41" i="11"/>
  <c r="N311" i="12"/>
  <c r="R261" i="11"/>
  <c r="N261" i="11" s="1"/>
  <c r="M319" i="12"/>
  <c r="M321" i="12" s="1"/>
  <c r="Q321" i="12"/>
  <c r="M285" i="12"/>
  <c r="N287" i="12"/>
  <c r="R237" i="11"/>
  <c r="N237" i="11" s="1"/>
  <c r="S182" i="11"/>
  <c r="O182" i="11" s="1"/>
  <c r="M67" i="11"/>
  <c r="M40" i="11"/>
  <c r="M286" i="12"/>
  <c r="M181" i="11"/>
  <c r="M317" i="12"/>
  <c r="M39" i="11"/>
  <c r="M32" i="11"/>
  <c r="M296" i="12"/>
  <c r="N310" i="12"/>
  <c r="R260" i="11"/>
  <c r="N260" i="11" s="1"/>
  <c r="S143" i="11"/>
  <c r="O143" i="11" s="1"/>
  <c r="M34" i="11"/>
  <c r="M308" i="12"/>
  <c r="M52" i="11"/>
  <c r="N295" i="12"/>
  <c r="R245" i="11"/>
  <c r="N245" i="11" s="1"/>
  <c r="S209" i="11"/>
  <c r="O209" i="11" s="1"/>
  <c r="Q171" i="11"/>
  <c r="S218" i="11"/>
  <c r="O218" i="11" s="1"/>
  <c r="S160" i="11"/>
  <c r="O160" i="11" s="1"/>
  <c r="S141" i="11"/>
  <c r="O141" i="11" s="1"/>
  <c r="N303" i="12"/>
  <c r="R253" i="11"/>
  <c r="N253" i="11" s="1"/>
  <c r="S188" i="11"/>
  <c r="O188" i="11" s="1"/>
  <c r="S154" i="11"/>
  <c r="O154" i="11" s="1"/>
  <c r="N291" i="12"/>
  <c r="R241" i="11"/>
  <c r="N241" i="11" s="1"/>
  <c r="M49" i="11"/>
  <c r="M280" i="12"/>
  <c r="N279" i="12"/>
  <c r="N301" i="12"/>
  <c r="R251" i="11"/>
  <c r="N251" i="11" s="1"/>
  <c r="S208" i="11"/>
  <c r="O208" i="11" s="1"/>
  <c r="S148" i="11"/>
  <c r="O148" i="11" s="1"/>
  <c r="M304" i="12"/>
  <c r="N309" i="12"/>
  <c r="R259" i="11"/>
  <c r="N259" i="11" s="1"/>
  <c r="S193" i="11"/>
  <c r="O193" i="11" s="1"/>
  <c r="S157" i="11"/>
  <c r="O157" i="11" s="1"/>
  <c r="N315" i="12"/>
  <c r="R265" i="11"/>
  <c r="N265" i="11" s="1"/>
  <c r="S192" i="11"/>
  <c r="O192" i="11" s="1"/>
  <c r="S149" i="11"/>
  <c r="O149" i="11" s="1"/>
  <c r="S184" i="11"/>
  <c r="O184" i="11" s="1"/>
  <c r="M63" i="11"/>
  <c r="N313" i="12"/>
  <c r="R263" i="11"/>
  <c r="N263" i="11" s="1"/>
  <c r="S203" i="11"/>
  <c r="O203" i="11" s="1"/>
  <c r="M45" i="11"/>
  <c r="S214" i="11"/>
  <c r="O214" i="11" s="1"/>
  <c r="M306" i="12"/>
  <c r="M44" i="11"/>
  <c r="N294" i="12"/>
  <c r="R244" i="11"/>
  <c r="N244" i="11" s="1"/>
  <c r="M310" i="12"/>
  <c r="M60" i="11"/>
  <c r="S216" i="11"/>
  <c r="O216" i="11" s="1"/>
  <c r="S144" i="11"/>
  <c r="O144" i="11" s="1"/>
  <c r="S162" i="11"/>
  <c r="O162" i="11" s="1"/>
  <c r="M309" i="12"/>
  <c r="M57" i="11"/>
  <c r="M53" i="11"/>
  <c r="S211" i="11"/>
  <c r="O211" i="11" s="1"/>
  <c r="R171" i="11"/>
  <c r="R169" i="11"/>
  <c r="N169" i="11" s="1"/>
  <c r="S142" i="11"/>
  <c r="O142" i="11" s="1"/>
  <c r="N286" i="12"/>
  <c r="R236" i="11"/>
  <c r="N236" i="11" s="1"/>
  <c r="S139" i="11"/>
  <c r="O139" i="11" s="1"/>
  <c r="M315" i="12"/>
  <c r="M290" i="12"/>
  <c r="M68" i="11"/>
  <c r="N285" i="12"/>
  <c r="R235" i="11"/>
  <c r="M303" i="12"/>
  <c r="M38" i="11"/>
  <c r="N304" i="12"/>
  <c r="R254" i="11"/>
  <c r="N254" i="11" s="1"/>
  <c r="M300" i="12"/>
  <c r="N283" i="12"/>
  <c r="R233" i="11"/>
  <c r="N233" i="11" s="1"/>
  <c r="M295" i="12"/>
  <c r="N306" i="12"/>
  <c r="R256" i="11"/>
  <c r="N256" i="11" s="1"/>
  <c r="N300" i="12"/>
  <c r="R250" i="11"/>
  <c r="N250" i="11" s="1"/>
  <c r="S166" i="11"/>
  <c r="O166" i="11" s="1"/>
  <c r="N281" i="12"/>
  <c r="R231" i="11"/>
  <c r="N231" i="11" s="1"/>
  <c r="M42" i="11"/>
  <c r="S136" i="11"/>
  <c r="O136" i="11" s="1"/>
  <c r="M129" i="11"/>
  <c r="S185" i="11"/>
  <c r="O185" i="11" s="1"/>
  <c r="M48" i="11"/>
  <c r="M318" i="12"/>
  <c r="M284" i="12"/>
  <c r="N298" i="12"/>
  <c r="R248" i="11"/>
  <c r="N248" i="11" s="1"/>
  <c r="S206" i="11"/>
  <c r="O206" i="11" s="1"/>
  <c r="S140" i="11"/>
  <c r="O140" i="11" s="1"/>
  <c r="S204" i="11"/>
  <c r="O204" i="11" s="1"/>
  <c r="S146" i="11"/>
  <c r="O146" i="11" s="1"/>
  <c r="S191" i="11"/>
  <c r="O191" i="11" s="1"/>
  <c r="S163" i="11"/>
  <c r="O163" i="11" s="1"/>
  <c r="S156" i="11"/>
  <c r="O156" i="11" s="1"/>
  <c r="M61" i="11"/>
  <c r="M294" i="12"/>
  <c r="M54" i="11"/>
  <c r="N317" i="12"/>
  <c r="R267" i="11"/>
  <c r="N267" i="11" s="1"/>
  <c r="N299" i="12"/>
  <c r="R249" i="11"/>
  <c r="N249" i="11" s="1"/>
  <c r="S197" i="11"/>
  <c r="O197" i="11" s="1"/>
  <c r="S158" i="11"/>
  <c r="O158" i="11" s="1"/>
  <c r="S181" i="11"/>
  <c r="O181" i="11" s="1"/>
  <c r="N316" i="12"/>
  <c r="R266" i="11"/>
  <c r="N266" i="11" s="1"/>
  <c r="M301" i="12"/>
  <c r="M55" i="11"/>
  <c r="S152" i="11"/>
  <c r="O152" i="11" s="1"/>
  <c r="M58" i="11"/>
  <c r="Q319" i="12"/>
  <c r="Q69" i="11"/>
  <c r="S199" i="11"/>
  <c r="O199" i="11" s="1"/>
  <c r="N280" i="12"/>
  <c r="R230" i="11"/>
  <c r="N230" i="11" s="1"/>
  <c r="M312" i="12"/>
  <c r="M47" i="11"/>
  <c r="S202" i="11"/>
  <c r="O202" i="11" s="1"/>
  <c r="S189" i="11"/>
  <c r="O189" i="11" s="1"/>
  <c r="S133" i="11"/>
  <c r="O133" i="11" s="1"/>
  <c r="N282" i="12"/>
  <c r="R232" i="11"/>
  <c r="N232" i="11" s="1"/>
  <c r="M299" i="12"/>
  <c r="N319" i="12"/>
  <c r="N321" i="12" s="1"/>
  <c r="R269" i="11"/>
  <c r="N269" i="11" s="1"/>
  <c r="R271" i="11"/>
  <c r="S167" i="11"/>
  <c r="O167" i="11" s="1"/>
  <c r="S210" i="11"/>
  <c r="O210" i="11" s="1"/>
  <c r="M305" i="12"/>
  <c r="M56" i="11"/>
  <c r="N297" i="12"/>
  <c r="R247" i="11"/>
  <c r="N247" i="11" s="1"/>
  <c r="S217" i="11"/>
  <c r="O217" i="11" s="1"/>
  <c r="M30" i="11"/>
  <c r="M311" i="12"/>
  <c r="M289" i="12"/>
  <c r="M66" i="11"/>
  <c r="N284" i="12"/>
  <c r="R234" i="11"/>
  <c r="N234" i="11" s="1"/>
  <c r="S138" i="11"/>
  <c r="O138" i="11" s="1"/>
  <c r="S200" i="11"/>
  <c r="O200" i="11" s="1"/>
  <c r="M283" i="12"/>
  <c r="M302" i="12"/>
  <c r="M37" i="11"/>
  <c r="N302" i="12"/>
  <c r="R252" i="11"/>
  <c r="N252" i="11" s="1"/>
  <c r="S190" i="11"/>
  <c r="O190" i="11" s="1"/>
  <c r="S155" i="11"/>
  <c r="O155" i="11" s="1"/>
  <c r="M292" i="12"/>
  <c r="S183" i="11"/>
  <c r="O183" i="11" s="1"/>
  <c r="M36" i="11"/>
  <c r="M313" i="12"/>
  <c r="M43" i="11"/>
  <c r="N293" i="12"/>
  <c r="R243" i="11"/>
  <c r="N243" i="11" s="1"/>
  <c r="S201" i="11"/>
  <c r="O201" i="11" s="1"/>
  <c r="G84" i="14" l="1"/>
  <c r="AW95" i="14"/>
  <c r="AW102" i="14"/>
  <c r="Q95" i="14"/>
  <c r="Q102" i="14"/>
  <c r="K95" i="14"/>
  <c r="K102" i="14"/>
  <c r="N95" i="14"/>
  <c r="N102" i="14"/>
  <c r="AL95" i="14"/>
  <c r="AL102" i="14"/>
  <c r="AS95" i="14"/>
  <c r="AS102" i="14"/>
  <c r="AR95" i="14"/>
  <c r="AR102" i="14"/>
  <c r="L95" i="14"/>
  <c r="L102" i="14"/>
  <c r="AT95" i="14"/>
  <c r="AT102" i="14"/>
  <c r="S95" i="14"/>
  <c r="S102" i="14"/>
  <c r="AM95" i="14"/>
  <c r="AM102" i="14"/>
  <c r="AQ95" i="14"/>
  <c r="AQ102" i="14"/>
  <c r="T95" i="14"/>
  <c r="T102" i="14"/>
  <c r="I95" i="14"/>
  <c r="I102" i="14"/>
  <c r="AK95" i="14"/>
  <c r="AK102" i="14"/>
  <c r="P95" i="14"/>
  <c r="P102" i="14"/>
  <c r="H95" i="14"/>
  <c r="H102" i="14"/>
  <c r="AJ95" i="14"/>
  <c r="AJ102" i="14"/>
  <c r="Y95" i="14"/>
  <c r="Y102" i="14"/>
  <c r="X95" i="14"/>
  <c r="X102" i="14"/>
  <c r="Z95" i="14"/>
  <c r="Z102" i="14"/>
  <c r="R95" i="14"/>
  <c r="R102" i="14"/>
  <c r="AA95" i="14"/>
  <c r="AA102" i="14"/>
  <c r="J95" i="14"/>
  <c r="J102" i="14"/>
  <c r="AB95" i="14"/>
  <c r="AB102" i="14"/>
  <c r="AI95" i="14"/>
  <c r="AI102" i="14"/>
  <c r="AE95" i="14"/>
  <c r="AE102" i="14"/>
  <c r="O95" i="14"/>
  <c r="O102" i="14"/>
  <c r="M95" i="14"/>
  <c r="M102" i="14"/>
  <c r="AD95" i="14"/>
  <c r="AD102" i="14"/>
  <c r="V95" i="14"/>
  <c r="V102" i="14"/>
  <c r="AU95" i="14"/>
  <c r="AU102" i="14"/>
  <c r="AH95" i="14"/>
  <c r="AH102" i="14"/>
  <c r="AF95" i="14"/>
  <c r="AF102" i="14"/>
  <c r="W95" i="14"/>
  <c r="W102" i="14"/>
  <c r="AG95" i="14"/>
  <c r="AG102" i="14"/>
  <c r="AC95" i="14"/>
  <c r="AC102" i="14"/>
  <c r="AP95" i="14"/>
  <c r="AP102" i="14"/>
  <c r="AO95" i="14"/>
  <c r="AO102" i="14"/>
  <c r="U95" i="14"/>
  <c r="U102" i="14"/>
  <c r="AN95" i="14"/>
  <c r="AN102" i="14"/>
  <c r="G95" i="14"/>
  <c r="G102" i="14"/>
  <c r="AW20" i="14"/>
  <c r="AW83" i="14"/>
  <c r="J20" i="14"/>
  <c r="J83" i="14"/>
  <c r="H79" i="14"/>
  <c r="I75" i="14" s="1"/>
  <c r="I78" i="14" s="1"/>
  <c r="H84" i="14"/>
  <c r="O20" i="14"/>
  <c r="O83" i="14"/>
  <c r="AC20" i="14"/>
  <c r="AC83" i="14"/>
  <c r="T20" i="14"/>
  <c r="T83" i="14"/>
  <c r="AU20" i="14"/>
  <c r="AU83" i="14"/>
  <c r="AO20" i="14"/>
  <c r="AO83" i="14"/>
  <c r="AE20" i="14"/>
  <c r="AE83" i="14"/>
  <c r="AD20" i="14"/>
  <c r="AD83" i="14"/>
  <c r="AI20" i="14"/>
  <c r="AI83" i="14"/>
  <c r="Z20" i="14"/>
  <c r="Z83" i="14"/>
  <c r="P20" i="14"/>
  <c r="P83" i="14"/>
  <c r="AL34" i="14"/>
  <c r="AL83" i="14"/>
  <c r="H20" i="14"/>
  <c r="H83" i="14"/>
  <c r="AN34" i="14"/>
  <c r="AN83" i="14"/>
  <c r="AS20" i="14"/>
  <c r="AS83" i="14"/>
  <c r="I20" i="14"/>
  <c r="I83" i="14"/>
  <c r="AP34" i="14"/>
  <c r="AP83" i="14"/>
  <c r="M20" i="14"/>
  <c r="M83" i="14"/>
  <c r="AF20" i="14"/>
  <c r="AF83" i="14"/>
  <c r="K34" i="14"/>
  <c r="K83" i="14"/>
  <c r="AG20" i="14"/>
  <c r="AG83" i="14"/>
  <c r="S20" i="14"/>
  <c r="S83" i="14"/>
  <c r="AH20" i="14"/>
  <c r="AH83" i="14"/>
  <c r="Q20" i="14"/>
  <c r="Q83" i="14"/>
  <c r="AA20" i="14"/>
  <c r="AA83" i="14"/>
  <c r="N20" i="14"/>
  <c r="N83" i="14"/>
  <c r="AB34" i="14"/>
  <c r="AB83" i="14"/>
  <c r="AQ20" i="14"/>
  <c r="AQ83" i="14"/>
  <c r="L34" i="14"/>
  <c r="L83" i="14"/>
  <c r="X34" i="14"/>
  <c r="X83" i="14"/>
  <c r="R20" i="14"/>
  <c r="R83" i="14"/>
  <c r="AT20" i="14"/>
  <c r="AT83" i="14"/>
  <c r="AM20" i="14"/>
  <c r="AM83" i="14"/>
  <c r="W20" i="14"/>
  <c r="W83" i="14"/>
  <c r="AJ20" i="14"/>
  <c r="AJ83" i="14"/>
  <c r="AR34" i="14"/>
  <c r="AR83" i="14"/>
  <c r="V34" i="14"/>
  <c r="V83" i="14"/>
  <c r="Y34" i="14"/>
  <c r="Y83" i="14"/>
  <c r="AK20" i="14"/>
  <c r="AK83" i="14"/>
  <c r="U34" i="14"/>
  <c r="U83" i="14"/>
  <c r="G20" i="14"/>
  <c r="G83" i="14"/>
  <c r="AN20" i="14"/>
  <c r="AT34" i="14"/>
  <c r="AF34" i="14"/>
  <c r="Q34" i="14"/>
  <c r="L20" i="14"/>
  <c r="M34" i="14"/>
  <c r="U20" i="14"/>
  <c r="AL20" i="14"/>
  <c r="AO34" i="14"/>
  <c r="Z34" i="14"/>
  <c r="AJ34" i="14"/>
  <c r="AB20" i="14"/>
  <c r="AS34" i="14"/>
  <c r="H34" i="14"/>
  <c r="W34" i="14"/>
  <c r="AP20" i="14"/>
  <c r="Y20" i="14"/>
  <c r="S34" i="14"/>
  <c r="V20" i="14"/>
  <c r="AH34" i="14"/>
  <c r="X20" i="14"/>
  <c r="I34" i="14"/>
  <c r="AK34" i="14"/>
  <c r="R34" i="14"/>
  <c r="AU34" i="14"/>
  <c r="AG34" i="14"/>
  <c r="AR20" i="14"/>
  <c r="AI34" i="14"/>
  <c r="AW34" i="14"/>
  <c r="J34" i="14"/>
  <c r="AC34" i="14"/>
  <c r="AM34" i="14"/>
  <c r="N34" i="14"/>
  <c r="AQ34" i="14"/>
  <c r="AV34" i="14"/>
  <c r="AV35" i="14" s="1"/>
  <c r="AD34" i="14"/>
  <c r="AA34" i="14"/>
  <c r="O34" i="14"/>
  <c r="K20" i="14"/>
  <c r="P34" i="14"/>
  <c r="T34" i="14"/>
  <c r="AX20" i="14"/>
  <c r="AE34" i="14"/>
  <c r="G34" i="14"/>
  <c r="AX35" i="14"/>
  <c r="Q170" i="11"/>
  <c r="O281" i="12"/>
  <c r="S231" i="11"/>
  <c r="O231" i="11" s="1"/>
  <c r="R139" i="11"/>
  <c r="N139" i="11" s="1"/>
  <c r="R149" i="11"/>
  <c r="N149" i="11" s="1"/>
  <c r="Q254" i="11"/>
  <c r="Q304" i="12"/>
  <c r="S31" i="11"/>
  <c r="S36" i="11"/>
  <c r="Q264" i="11"/>
  <c r="Q314" i="12"/>
  <c r="R198" i="11"/>
  <c r="N198" i="11" s="1"/>
  <c r="R131" i="11"/>
  <c r="N131" i="11" s="1"/>
  <c r="Q263" i="11"/>
  <c r="Q313" i="12"/>
  <c r="S58" i="11"/>
  <c r="R200" i="11"/>
  <c r="N200" i="11" s="1"/>
  <c r="R167" i="11"/>
  <c r="N167" i="11" s="1"/>
  <c r="O282" i="12"/>
  <c r="S232" i="11"/>
  <c r="O232" i="11" s="1"/>
  <c r="S42" i="11"/>
  <c r="Q262" i="11"/>
  <c r="Q312" i="12"/>
  <c r="Q251" i="11"/>
  <c r="Q301" i="12"/>
  <c r="R158" i="11"/>
  <c r="N158" i="11" s="1"/>
  <c r="R146" i="11"/>
  <c r="N146" i="11" s="1"/>
  <c r="R206" i="11"/>
  <c r="N206" i="11" s="1"/>
  <c r="S39" i="11"/>
  <c r="S40" i="11"/>
  <c r="S49" i="11"/>
  <c r="Q250" i="11"/>
  <c r="Q300" i="12"/>
  <c r="Q240" i="11"/>
  <c r="Q290" i="12"/>
  <c r="R211" i="11"/>
  <c r="N211" i="11" s="1"/>
  <c r="Q260" i="11"/>
  <c r="Q310" i="12"/>
  <c r="S30" i="11"/>
  <c r="R157" i="11"/>
  <c r="N157" i="11" s="1"/>
  <c r="R141" i="11"/>
  <c r="N141" i="11" s="1"/>
  <c r="R281" i="12"/>
  <c r="R31" i="11"/>
  <c r="O287" i="12"/>
  <c r="S237" i="11"/>
  <c r="O237" i="11" s="1"/>
  <c r="R286" i="12"/>
  <c r="R36" i="11"/>
  <c r="R319" i="12"/>
  <c r="R69" i="11"/>
  <c r="R145" i="11"/>
  <c r="N145" i="11" s="1"/>
  <c r="R207" i="11"/>
  <c r="N207" i="11" s="1"/>
  <c r="R135" i="11"/>
  <c r="N135" i="11" s="1"/>
  <c r="S29" i="11"/>
  <c r="R195" i="11"/>
  <c r="N195" i="11" s="1"/>
  <c r="Q257" i="11"/>
  <c r="Q307" i="12"/>
  <c r="R130" i="11"/>
  <c r="N130" i="11" s="1"/>
  <c r="O314" i="12"/>
  <c r="S264" i="11"/>
  <c r="R159" i="11"/>
  <c r="N159" i="11" s="1"/>
  <c r="Q238" i="11"/>
  <c r="Q288" i="12"/>
  <c r="Q253" i="11"/>
  <c r="Q303" i="12"/>
  <c r="R309" i="12"/>
  <c r="R59" i="11"/>
  <c r="R154" i="11"/>
  <c r="N154" i="11" s="1"/>
  <c r="R143" i="11"/>
  <c r="N143" i="11" s="1"/>
  <c r="R201" i="11"/>
  <c r="N201" i="11" s="1"/>
  <c r="R308" i="12"/>
  <c r="R58" i="11"/>
  <c r="S43" i="11"/>
  <c r="R217" i="11"/>
  <c r="N217" i="11" s="1"/>
  <c r="S37" i="11"/>
  <c r="O319" i="12"/>
  <c r="O321" i="12" s="1"/>
  <c r="S271" i="11"/>
  <c r="S269" i="11"/>
  <c r="O269" i="11" s="1"/>
  <c r="R292" i="12"/>
  <c r="R42" i="11"/>
  <c r="O298" i="12"/>
  <c r="S248" i="11"/>
  <c r="O248" i="11" s="1"/>
  <c r="R289" i="12"/>
  <c r="R39" i="11"/>
  <c r="R290" i="12"/>
  <c r="R40" i="11"/>
  <c r="R299" i="12"/>
  <c r="R49" i="11"/>
  <c r="S55" i="11"/>
  <c r="O306" i="12"/>
  <c r="S256" i="11"/>
  <c r="O256" i="11" s="1"/>
  <c r="S47" i="11"/>
  <c r="O286" i="12"/>
  <c r="S236" i="11"/>
  <c r="O236" i="11" s="1"/>
  <c r="R162" i="11"/>
  <c r="N162" i="11" s="1"/>
  <c r="R280" i="12"/>
  <c r="R30" i="11"/>
  <c r="S46" i="11"/>
  <c r="S241" i="11"/>
  <c r="O241" i="11" s="1"/>
  <c r="O291" i="12"/>
  <c r="R188" i="11"/>
  <c r="N188" i="11" s="1"/>
  <c r="R312" i="12"/>
  <c r="R62" i="11"/>
  <c r="O310" i="12"/>
  <c r="S260" i="11"/>
  <c r="O260" i="11" s="1"/>
  <c r="S65" i="11"/>
  <c r="O288" i="12"/>
  <c r="S238" i="11"/>
  <c r="O238" i="11" s="1"/>
  <c r="S34" i="11"/>
  <c r="Q232" i="11"/>
  <c r="Q282" i="12"/>
  <c r="Q248" i="11"/>
  <c r="Q298" i="12"/>
  <c r="R165" i="11"/>
  <c r="N165" i="11" s="1"/>
  <c r="R279" i="12"/>
  <c r="R29" i="11"/>
  <c r="R196" i="11"/>
  <c r="N196" i="11" s="1"/>
  <c r="R187" i="11"/>
  <c r="N187" i="11" s="1"/>
  <c r="O313" i="12"/>
  <c r="S263" i="11"/>
  <c r="O263" i="11" s="1"/>
  <c r="S51" i="11"/>
  <c r="O293" i="12"/>
  <c r="S243" i="11"/>
  <c r="O243" i="11" s="1"/>
  <c r="R293" i="12"/>
  <c r="R43" i="11"/>
  <c r="Q239" i="11"/>
  <c r="Q289" i="12"/>
  <c r="O297" i="12"/>
  <c r="S247" i="11"/>
  <c r="O247" i="11" s="1"/>
  <c r="R287" i="12"/>
  <c r="R37" i="11"/>
  <c r="N271" i="11"/>
  <c r="R133" i="11"/>
  <c r="N133" i="11" s="1"/>
  <c r="R197" i="11"/>
  <c r="N197" i="11" s="1"/>
  <c r="R163" i="11"/>
  <c r="N163" i="11" s="1"/>
  <c r="R204" i="11"/>
  <c r="N204" i="11" s="1"/>
  <c r="S38" i="11"/>
  <c r="S68" i="11"/>
  <c r="R136" i="11"/>
  <c r="N136" i="11" s="1"/>
  <c r="R305" i="12"/>
  <c r="R55" i="11"/>
  <c r="O304" i="12"/>
  <c r="S254" i="11"/>
  <c r="O254" i="11" s="1"/>
  <c r="R297" i="12"/>
  <c r="R47" i="11"/>
  <c r="Q265" i="11"/>
  <c r="Q315" i="12"/>
  <c r="S61" i="11"/>
  <c r="Q256" i="11"/>
  <c r="Q306" i="12"/>
  <c r="R300" i="12"/>
  <c r="R50" i="11"/>
  <c r="R192" i="11"/>
  <c r="N192" i="11" s="1"/>
  <c r="R296" i="12"/>
  <c r="R46" i="11"/>
  <c r="R229" i="11"/>
  <c r="O303" i="12"/>
  <c r="S253" i="11"/>
  <c r="O253" i="11" s="1"/>
  <c r="R160" i="11"/>
  <c r="N160" i="11" s="1"/>
  <c r="S62" i="11"/>
  <c r="Q258" i="11"/>
  <c r="Q308" i="12"/>
  <c r="Q235" i="11"/>
  <c r="Q285" i="12"/>
  <c r="R315" i="12"/>
  <c r="R65" i="11"/>
  <c r="Q237" i="11"/>
  <c r="Q287" i="12"/>
  <c r="R186" i="11"/>
  <c r="N186" i="11" s="1"/>
  <c r="R284" i="12"/>
  <c r="R34" i="11"/>
  <c r="R132" i="11"/>
  <c r="N132" i="11" s="1"/>
  <c r="Q243" i="11"/>
  <c r="Q293" i="12"/>
  <c r="R215" i="11"/>
  <c r="N215" i="11" s="1"/>
  <c r="R164" i="11"/>
  <c r="N164" i="11" s="1"/>
  <c r="Q247" i="11"/>
  <c r="Q297" i="12"/>
  <c r="O290" i="12"/>
  <c r="S240" i="11"/>
  <c r="O240" i="11" s="1"/>
  <c r="Q241" i="11"/>
  <c r="Q291" i="12"/>
  <c r="N221" i="11"/>
  <c r="Q255" i="11"/>
  <c r="Q305" i="12"/>
  <c r="M69" i="11"/>
  <c r="R156" i="11"/>
  <c r="N156" i="11" s="1"/>
  <c r="R301" i="12"/>
  <c r="R51" i="11"/>
  <c r="R155" i="11"/>
  <c r="N155" i="11" s="1"/>
  <c r="Q252" i="11"/>
  <c r="Q302" i="12"/>
  <c r="R138" i="11"/>
  <c r="N138" i="11" s="1"/>
  <c r="R210" i="11"/>
  <c r="N210" i="11" s="1"/>
  <c r="R202" i="11"/>
  <c r="N202" i="11" s="1"/>
  <c r="O280" i="12"/>
  <c r="S230" i="11"/>
  <c r="O230" i="11" s="1"/>
  <c r="O316" i="12"/>
  <c r="S266" i="11"/>
  <c r="O266" i="11" s="1"/>
  <c r="O299" i="12"/>
  <c r="S249" i="11"/>
  <c r="O249" i="11" s="1"/>
  <c r="Q244" i="11"/>
  <c r="Q294" i="12"/>
  <c r="R129" i="11"/>
  <c r="R288" i="12"/>
  <c r="R38" i="11"/>
  <c r="R318" i="12"/>
  <c r="R68" i="11"/>
  <c r="Q245" i="11"/>
  <c r="Q295" i="12"/>
  <c r="N235" i="11"/>
  <c r="R144" i="11"/>
  <c r="N144" i="11" s="1"/>
  <c r="R311" i="12"/>
  <c r="R61" i="11"/>
  <c r="S50" i="11"/>
  <c r="R193" i="11"/>
  <c r="N193" i="11" s="1"/>
  <c r="R148" i="11"/>
  <c r="N148" i="11" s="1"/>
  <c r="O279" i="12"/>
  <c r="S279" i="12"/>
  <c r="Q246" i="11"/>
  <c r="Q296" i="12"/>
  <c r="Q267" i="11"/>
  <c r="Q317" i="12"/>
  <c r="S48" i="11"/>
  <c r="S35" i="11"/>
  <c r="O35" i="11" s="1"/>
  <c r="S56" i="11"/>
  <c r="R161" i="11"/>
  <c r="N161" i="11" s="1"/>
  <c r="O312" i="12"/>
  <c r="S262" i="11"/>
  <c r="O262" i="11" s="1"/>
  <c r="R137" i="11"/>
  <c r="N137" i="11" s="1"/>
  <c r="Q266" i="11"/>
  <c r="Q316" i="12"/>
  <c r="R151" i="11"/>
  <c r="N151" i="11" s="1"/>
  <c r="R189" i="11"/>
  <c r="N189" i="11" s="1"/>
  <c r="R307" i="12"/>
  <c r="R57" i="11"/>
  <c r="S53" i="11"/>
  <c r="R314" i="12"/>
  <c r="R64" i="11"/>
  <c r="R191" i="11"/>
  <c r="N191" i="11" s="1"/>
  <c r="S129" i="11"/>
  <c r="Q234" i="11"/>
  <c r="Q284" i="12"/>
  <c r="R316" i="12"/>
  <c r="R66" i="11"/>
  <c r="R166" i="11"/>
  <c r="N166" i="11" s="1"/>
  <c r="O285" i="12"/>
  <c r="S235" i="11"/>
  <c r="S45" i="11"/>
  <c r="R142" i="11"/>
  <c r="N142" i="11" s="1"/>
  <c r="O294" i="12"/>
  <c r="S244" i="11"/>
  <c r="R184" i="11"/>
  <c r="N184" i="11" s="1"/>
  <c r="O315" i="12"/>
  <c r="S265" i="11"/>
  <c r="O265" i="11" s="1"/>
  <c r="S33" i="11"/>
  <c r="R218" i="11"/>
  <c r="N218" i="11" s="1"/>
  <c r="R209" i="11"/>
  <c r="N209" i="11" s="1"/>
  <c r="Q271" i="11"/>
  <c r="Q321" i="11" s="1"/>
  <c r="O311" i="12"/>
  <c r="S261" i="11"/>
  <c r="O261" i="11" s="1"/>
  <c r="R298" i="12"/>
  <c r="R48" i="11"/>
  <c r="S41" i="11"/>
  <c r="Q220" i="11"/>
  <c r="Q222" i="11" s="1"/>
  <c r="R168" i="11"/>
  <c r="N168" i="11" s="1"/>
  <c r="R285" i="12"/>
  <c r="R35" i="11"/>
  <c r="N35" i="11" s="1"/>
  <c r="R306" i="12"/>
  <c r="R56" i="11"/>
  <c r="R180" i="11"/>
  <c r="N180" i="11" s="1"/>
  <c r="R212" i="11"/>
  <c r="N212" i="11" s="1"/>
  <c r="R194" i="11"/>
  <c r="N194" i="11" s="1"/>
  <c r="R304" i="12"/>
  <c r="R54" i="11"/>
  <c r="O308" i="12"/>
  <c r="S258" i="11"/>
  <c r="O258" i="11" s="1"/>
  <c r="O318" i="12"/>
  <c r="S268" i="11"/>
  <c r="O268" i="11" s="1"/>
  <c r="Q231" i="11"/>
  <c r="Q281" i="12"/>
  <c r="S60" i="11"/>
  <c r="N171" i="11"/>
  <c r="O301" i="12"/>
  <c r="S251" i="11"/>
  <c r="O251" i="11" s="1"/>
  <c r="Q236" i="11"/>
  <c r="Q286" i="12"/>
  <c r="S57" i="11"/>
  <c r="R183" i="11"/>
  <c r="N183" i="11" s="1"/>
  <c r="R190" i="11"/>
  <c r="N190" i="11" s="1"/>
  <c r="Q233" i="11"/>
  <c r="Q283" i="12"/>
  <c r="Q261" i="11"/>
  <c r="Q311" i="12"/>
  <c r="S179" i="11"/>
  <c r="Q249" i="11"/>
  <c r="Q299" i="12"/>
  <c r="R303" i="12"/>
  <c r="R53" i="11"/>
  <c r="S64" i="11"/>
  <c r="O64" i="11" s="1"/>
  <c r="R152" i="11"/>
  <c r="N152" i="11" s="1"/>
  <c r="S44" i="11"/>
  <c r="O44" i="11" s="1"/>
  <c r="S66" i="11"/>
  <c r="R185" i="11"/>
  <c r="N185" i="11" s="1"/>
  <c r="O300" i="12"/>
  <c r="S250" i="11"/>
  <c r="O250" i="11" s="1"/>
  <c r="R295" i="12"/>
  <c r="R45" i="11"/>
  <c r="S171" i="11"/>
  <c r="S169" i="11"/>
  <c r="O169" i="11" s="1"/>
  <c r="R216" i="11"/>
  <c r="N216" i="11" s="1"/>
  <c r="R214" i="11"/>
  <c r="N214" i="11" s="1"/>
  <c r="R203" i="11"/>
  <c r="N203" i="11" s="1"/>
  <c r="S52" i="11"/>
  <c r="O309" i="12"/>
  <c r="S259" i="11"/>
  <c r="O259" i="11" s="1"/>
  <c r="Q230" i="11"/>
  <c r="Q280" i="12"/>
  <c r="R283" i="12"/>
  <c r="R33" i="11"/>
  <c r="S67" i="11"/>
  <c r="Q172" i="11"/>
  <c r="M171" i="11"/>
  <c r="O295" i="12"/>
  <c r="S245" i="11"/>
  <c r="O245" i="11" s="1"/>
  <c r="S32" i="11"/>
  <c r="Q269" i="11"/>
  <c r="M269" i="11" s="1"/>
  <c r="R291" i="12"/>
  <c r="R41" i="11"/>
  <c r="Q229" i="11"/>
  <c r="Q279" i="12"/>
  <c r="S63" i="11"/>
  <c r="R147" i="11"/>
  <c r="N147" i="11" s="1"/>
  <c r="S54" i="11"/>
  <c r="R213" i="11"/>
  <c r="N213" i="11" s="1"/>
  <c r="O292" i="12"/>
  <c r="S242" i="11"/>
  <c r="O242" i="11" s="1"/>
  <c r="O289" i="12"/>
  <c r="S239" i="11"/>
  <c r="O239" i="11" s="1"/>
  <c r="Q70" i="11"/>
  <c r="Q72" i="11" s="1"/>
  <c r="M71" i="11"/>
  <c r="R310" i="12"/>
  <c r="R60" i="11"/>
  <c r="Q242" i="11"/>
  <c r="Q292" i="12"/>
  <c r="O302" i="12"/>
  <c r="S252" i="11"/>
  <c r="O252" i="11" s="1"/>
  <c r="O284" i="12"/>
  <c r="S234" i="11"/>
  <c r="O234" i="11" s="1"/>
  <c r="R179" i="11"/>
  <c r="R199" i="11"/>
  <c r="N199" i="11" s="1"/>
  <c r="R181" i="11"/>
  <c r="N181" i="11" s="1"/>
  <c r="O317" i="12"/>
  <c r="S267" i="11"/>
  <c r="O267" i="11" s="1"/>
  <c r="R294" i="12"/>
  <c r="R44" i="11"/>
  <c r="R140" i="11"/>
  <c r="N140" i="11" s="1"/>
  <c r="Q268" i="11"/>
  <c r="Q318" i="12"/>
  <c r="O283" i="12"/>
  <c r="S233" i="11"/>
  <c r="O233" i="11" s="1"/>
  <c r="Q259" i="11"/>
  <c r="Q309" i="12"/>
  <c r="R302" i="12"/>
  <c r="R52" i="11"/>
  <c r="S59" i="11"/>
  <c r="R208" i="11"/>
  <c r="N208" i="11" s="1"/>
  <c r="R317" i="12"/>
  <c r="R67" i="11"/>
  <c r="R282" i="12"/>
  <c r="R32" i="11"/>
  <c r="N32" i="11" s="1"/>
  <c r="R182" i="11"/>
  <c r="O307" i="12"/>
  <c r="S257" i="11"/>
  <c r="O257" i="11" s="1"/>
  <c r="R321" i="12"/>
  <c r="R71" i="11"/>
  <c r="R313" i="12"/>
  <c r="R63" i="11"/>
  <c r="R205" i="11"/>
  <c r="N205" i="11" s="1"/>
  <c r="R134" i="11"/>
  <c r="N134" i="11" s="1"/>
  <c r="O305" i="12"/>
  <c r="S255" i="11"/>
  <c r="O255" i="11" s="1"/>
  <c r="R150" i="11"/>
  <c r="N150" i="11" s="1"/>
  <c r="M221" i="11"/>
  <c r="O296" i="12"/>
  <c r="S246" i="11"/>
  <c r="O246" i="11" s="1"/>
  <c r="R153" i="11"/>
  <c r="N153" i="11" s="1"/>
  <c r="G86" i="14" l="1"/>
  <c r="G89" i="14" s="1"/>
  <c r="G101" i="14" s="1"/>
  <c r="AW35" i="14"/>
  <c r="AW68" i="14"/>
  <c r="H35" i="14"/>
  <c r="H68" i="14"/>
  <c r="AR35" i="14"/>
  <c r="AR68" i="14"/>
  <c r="Q35" i="14"/>
  <c r="Q68" i="14"/>
  <c r="AE35" i="14"/>
  <c r="AE68" i="14"/>
  <c r="AJ35" i="14"/>
  <c r="AJ68" i="14"/>
  <c r="AQ35" i="14"/>
  <c r="AQ68" i="14"/>
  <c r="AG35" i="14"/>
  <c r="AG68" i="14"/>
  <c r="S35" i="14"/>
  <c r="S68" i="14"/>
  <c r="Z35" i="14"/>
  <c r="Z68" i="14"/>
  <c r="AT35" i="14"/>
  <c r="AT68" i="14"/>
  <c r="O35" i="14"/>
  <c r="O68" i="14"/>
  <c r="AH35" i="14"/>
  <c r="AH68" i="14"/>
  <c r="AF35" i="14"/>
  <c r="AF68" i="14"/>
  <c r="T35" i="14"/>
  <c r="T68" i="14"/>
  <c r="N35" i="14"/>
  <c r="N68" i="14"/>
  <c r="AU35" i="14"/>
  <c r="AU68" i="14"/>
  <c r="AO35" i="14"/>
  <c r="AO68" i="14"/>
  <c r="Y35" i="14"/>
  <c r="Y68" i="14"/>
  <c r="X35" i="14"/>
  <c r="X68" i="14"/>
  <c r="AN35" i="14"/>
  <c r="AN68" i="14"/>
  <c r="I35" i="14"/>
  <c r="I68" i="14"/>
  <c r="AA35" i="14"/>
  <c r="AA68" i="14"/>
  <c r="U35" i="14"/>
  <c r="U68" i="14"/>
  <c r="K35" i="14"/>
  <c r="K68" i="14"/>
  <c r="AI35" i="14"/>
  <c r="AI68" i="14"/>
  <c r="AB35" i="14"/>
  <c r="AB68" i="14"/>
  <c r="P35" i="14"/>
  <c r="P68" i="14"/>
  <c r="AM35" i="14"/>
  <c r="AM68" i="14"/>
  <c r="R35" i="14"/>
  <c r="R68" i="14"/>
  <c r="J35" i="14"/>
  <c r="J68" i="14"/>
  <c r="M35" i="14"/>
  <c r="M68" i="14"/>
  <c r="AS35" i="14"/>
  <c r="AS68" i="14"/>
  <c r="AL35" i="14"/>
  <c r="AL68" i="14"/>
  <c r="AD35" i="14"/>
  <c r="AD68" i="14"/>
  <c r="AC35" i="14"/>
  <c r="AC68" i="14"/>
  <c r="AK35" i="14"/>
  <c r="AK68" i="14"/>
  <c r="W35" i="14"/>
  <c r="W68" i="14"/>
  <c r="V35" i="14"/>
  <c r="V68" i="14"/>
  <c r="L35" i="14"/>
  <c r="L68" i="14"/>
  <c r="AP35" i="14"/>
  <c r="AP68" i="14"/>
  <c r="G35" i="14"/>
  <c r="G68" i="14"/>
  <c r="F124" i="14" a="1"/>
  <c r="F135" i="14" s="1"/>
  <c r="G85" i="14"/>
  <c r="H82" i="14" s="1"/>
  <c r="H85" i="14" s="1"/>
  <c r="I82" i="14" s="1"/>
  <c r="I79" i="14"/>
  <c r="J75" i="14" s="1"/>
  <c r="J78" i="14" s="1"/>
  <c r="I84" i="14"/>
  <c r="S313" i="12"/>
  <c r="S314" i="12"/>
  <c r="T230" i="11"/>
  <c r="T318" i="12"/>
  <c r="S282" i="12"/>
  <c r="T293" i="12"/>
  <c r="S291" i="12"/>
  <c r="T291" i="12"/>
  <c r="S294" i="12"/>
  <c r="S287" i="12"/>
  <c r="S310" i="12"/>
  <c r="S317" i="12"/>
  <c r="S316" i="12"/>
  <c r="T309" i="12"/>
  <c r="S304" i="12"/>
  <c r="T316" i="12"/>
  <c r="S306" i="12"/>
  <c r="S309" i="12"/>
  <c r="S288" i="12"/>
  <c r="S295" i="12"/>
  <c r="S298" i="12"/>
  <c r="S303" i="12"/>
  <c r="S281" i="12"/>
  <c r="T134" i="11"/>
  <c r="N71" i="11"/>
  <c r="R321" i="11"/>
  <c r="R220" i="11"/>
  <c r="R222" i="11" s="1"/>
  <c r="N179" i="11"/>
  <c r="T147" i="11"/>
  <c r="T41" i="11"/>
  <c r="N45" i="11"/>
  <c r="R295" i="11"/>
  <c r="N295" i="11" s="1"/>
  <c r="O57" i="11"/>
  <c r="S307" i="11"/>
  <c r="O307" i="11" s="1"/>
  <c r="T57" i="11"/>
  <c r="T161" i="11"/>
  <c r="T148" i="11"/>
  <c r="T68" i="11"/>
  <c r="S319" i="12"/>
  <c r="S69" i="11"/>
  <c r="S70" i="11" s="1"/>
  <c r="T305" i="12"/>
  <c r="M243" i="11"/>
  <c r="Q293" i="11"/>
  <c r="M293" i="11" s="1"/>
  <c r="M235" i="11"/>
  <c r="Q285" i="11"/>
  <c r="M285" i="11" s="1"/>
  <c r="T192" i="11"/>
  <c r="O61" i="11"/>
  <c r="S311" i="11"/>
  <c r="O311" i="11" s="1"/>
  <c r="S318" i="12"/>
  <c r="T196" i="11"/>
  <c r="N30" i="11"/>
  <c r="R280" i="11"/>
  <c r="N280" i="11" s="1"/>
  <c r="N40" i="11"/>
  <c r="R290" i="11"/>
  <c r="N290" i="11" s="1"/>
  <c r="N42" i="11"/>
  <c r="R292" i="11"/>
  <c r="N292" i="11" s="1"/>
  <c r="T143" i="11"/>
  <c r="M253" i="11"/>
  <c r="Q303" i="11"/>
  <c r="M303" i="11" s="1"/>
  <c r="O29" i="11"/>
  <c r="T281" i="12"/>
  <c r="T31" i="11"/>
  <c r="S280" i="12"/>
  <c r="T290" i="12"/>
  <c r="O39" i="11"/>
  <c r="S289" i="11"/>
  <c r="O289" i="11" s="1"/>
  <c r="M264" i="11"/>
  <c r="Q314" i="11"/>
  <c r="M314" i="11" s="1"/>
  <c r="T304" i="12"/>
  <c r="T52" i="11"/>
  <c r="T60" i="11"/>
  <c r="N41" i="11"/>
  <c r="R291" i="11"/>
  <c r="N291" i="11" s="1"/>
  <c r="M230" i="11"/>
  <c r="Q280" i="11"/>
  <c r="M280" i="11" s="1"/>
  <c r="T214" i="11"/>
  <c r="S307" i="12"/>
  <c r="O60" i="11"/>
  <c r="S310" i="11"/>
  <c r="O310" i="11" s="1"/>
  <c r="T180" i="11"/>
  <c r="T168" i="11"/>
  <c r="O33" i="11"/>
  <c r="S283" i="11"/>
  <c r="O283" i="11" s="1"/>
  <c r="T142" i="11"/>
  <c r="T66" i="11"/>
  <c r="T191" i="11"/>
  <c r="N57" i="11"/>
  <c r="R307" i="11"/>
  <c r="N307" i="11" s="1"/>
  <c r="M267" i="11"/>
  <c r="Q317" i="11"/>
  <c r="M317" i="11" s="1"/>
  <c r="T144" i="11"/>
  <c r="N68" i="11"/>
  <c r="R318" i="11"/>
  <c r="N318" i="11" s="1"/>
  <c r="M252" i="11"/>
  <c r="Q302" i="11"/>
  <c r="M302" i="11" s="1"/>
  <c r="S321" i="12"/>
  <c r="S71" i="11"/>
  <c r="M247" i="11"/>
  <c r="Q297" i="11"/>
  <c r="M297" i="11" s="1"/>
  <c r="T285" i="12"/>
  <c r="S311" i="12"/>
  <c r="O38" i="11"/>
  <c r="S288" i="11"/>
  <c r="O288" i="11" s="1"/>
  <c r="T133" i="11"/>
  <c r="M248" i="11"/>
  <c r="Q298" i="11"/>
  <c r="M298" i="11" s="1"/>
  <c r="T188" i="11"/>
  <c r="O43" i="11"/>
  <c r="S293" i="11"/>
  <c r="O293" i="11" s="1"/>
  <c r="T303" i="12"/>
  <c r="T130" i="11"/>
  <c r="N69" i="11"/>
  <c r="R319" i="11"/>
  <c r="N319" i="11" s="1"/>
  <c r="N31" i="11"/>
  <c r="R281" i="11"/>
  <c r="N281" i="11" s="1"/>
  <c r="S289" i="12"/>
  <c r="M251" i="11"/>
  <c r="Q301" i="11"/>
  <c r="M301" i="11" s="1"/>
  <c r="M263" i="11"/>
  <c r="Q313" i="11"/>
  <c r="M313" i="11" s="1"/>
  <c r="T314" i="12"/>
  <c r="T149" i="11"/>
  <c r="T205" i="11"/>
  <c r="T67" i="11"/>
  <c r="N52" i="11"/>
  <c r="R302" i="11"/>
  <c r="N302" i="11" s="1"/>
  <c r="M268" i="11"/>
  <c r="Q318" i="11"/>
  <c r="M318" i="11" s="1"/>
  <c r="N60" i="11"/>
  <c r="R310" i="11"/>
  <c r="N310" i="11" s="1"/>
  <c r="O63" i="11"/>
  <c r="S313" i="11"/>
  <c r="O313" i="11" s="1"/>
  <c r="T152" i="11"/>
  <c r="M249" i="11"/>
  <c r="Q299" i="11"/>
  <c r="M299" i="11" s="1"/>
  <c r="M233" i="11"/>
  <c r="Q283" i="11"/>
  <c r="M283" i="11" s="1"/>
  <c r="T54" i="11"/>
  <c r="S283" i="12"/>
  <c r="N66" i="11"/>
  <c r="R316" i="11"/>
  <c r="N316" i="11" s="1"/>
  <c r="M266" i="11"/>
  <c r="Q316" i="11"/>
  <c r="M316" i="11" s="1"/>
  <c r="O56" i="11"/>
  <c r="S306" i="11"/>
  <c r="O306" i="11" s="1"/>
  <c r="T193" i="11"/>
  <c r="M244" i="11"/>
  <c r="Q294" i="11"/>
  <c r="M294" i="11" s="1"/>
  <c r="T202" i="11"/>
  <c r="T156" i="11"/>
  <c r="T247" i="11"/>
  <c r="T132" i="11"/>
  <c r="M237" i="11"/>
  <c r="Q287" i="11"/>
  <c r="M287" i="11" s="1"/>
  <c r="T50" i="11"/>
  <c r="T55" i="11"/>
  <c r="O51" i="11"/>
  <c r="S301" i="11"/>
  <c r="O301" i="11" s="1"/>
  <c r="T29" i="11"/>
  <c r="O65" i="11"/>
  <c r="S315" i="11"/>
  <c r="O315" i="11" s="1"/>
  <c r="T162" i="11"/>
  <c r="O55" i="11"/>
  <c r="S305" i="11"/>
  <c r="O305" i="11" s="1"/>
  <c r="T39" i="11"/>
  <c r="S293" i="12"/>
  <c r="T154" i="11"/>
  <c r="M260" i="11"/>
  <c r="Q310" i="11"/>
  <c r="M310" i="11" s="1"/>
  <c r="M250" i="11"/>
  <c r="Q300" i="11"/>
  <c r="M300" i="11" s="1"/>
  <c r="T206" i="11"/>
  <c r="T301" i="12"/>
  <c r="T167" i="11"/>
  <c r="T313" i="12"/>
  <c r="O36" i="11"/>
  <c r="S286" i="11"/>
  <c r="O286" i="11" s="1"/>
  <c r="N67" i="11"/>
  <c r="R317" i="11"/>
  <c r="N317" i="11" s="1"/>
  <c r="T181" i="11"/>
  <c r="O67" i="11"/>
  <c r="S317" i="11"/>
  <c r="O317" i="11" s="1"/>
  <c r="T216" i="11"/>
  <c r="T249" i="11"/>
  <c r="T283" i="12"/>
  <c r="M236" i="11"/>
  <c r="Q286" i="11"/>
  <c r="M286" i="11" s="1"/>
  <c r="N54" i="11"/>
  <c r="R304" i="11"/>
  <c r="N304" i="11" s="1"/>
  <c r="T56" i="11"/>
  <c r="M271" i="11"/>
  <c r="O45" i="11"/>
  <c r="S295" i="11"/>
  <c r="O295" i="11" s="1"/>
  <c r="T64" i="11"/>
  <c r="T189" i="11"/>
  <c r="T38" i="11"/>
  <c r="T294" i="12"/>
  <c r="T155" i="11"/>
  <c r="T164" i="11"/>
  <c r="M258" i="11"/>
  <c r="Q308" i="11"/>
  <c r="M308" i="11" s="1"/>
  <c r="R270" i="11"/>
  <c r="R272" i="11" s="1"/>
  <c r="N229" i="11"/>
  <c r="N50" i="11"/>
  <c r="R300" i="11"/>
  <c r="N300" i="11" s="1"/>
  <c r="M265" i="11"/>
  <c r="Q315" i="11"/>
  <c r="M315" i="11" s="1"/>
  <c r="N55" i="11"/>
  <c r="R305" i="11"/>
  <c r="N305" i="11" s="1"/>
  <c r="T204" i="11"/>
  <c r="M239" i="11"/>
  <c r="Q289" i="11"/>
  <c r="M289" i="11" s="1"/>
  <c r="S301" i="12"/>
  <c r="R70" i="11"/>
  <c r="R72" i="11" s="1"/>
  <c r="N29" i="11"/>
  <c r="R279" i="11"/>
  <c r="S315" i="12"/>
  <c r="S305" i="12"/>
  <c r="N39" i="11"/>
  <c r="R289" i="11"/>
  <c r="N289" i="11" s="1"/>
  <c r="O271" i="11"/>
  <c r="T58" i="11"/>
  <c r="M238" i="11"/>
  <c r="Q288" i="11"/>
  <c r="M288" i="11" s="1"/>
  <c r="T135" i="11"/>
  <c r="T286" i="12"/>
  <c r="T36" i="11"/>
  <c r="T141" i="11"/>
  <c r="T310" i="12"/>
  <c r="T300" i="12"/>
  <c r="T131" i="11"/>
  <c r="S286" i="12"/>
  <c r="T139" i="11"/>
  <c r="T150" i="11"/>
  <c r="T63" i="11"/>
  <c r="T182" i="11"/>
  <c r="T140" i="11"/>
  <c r="M321" i="11"/>
  <c r="T213" i="11"/>
  <c r="Q320" i="12"/>
  <c r="Q322" i="12" s="1"/>
  <c r="T269" i="11"/>
  <c r="T185" i="11"/>
  <c r="O179" i="11"/>
  <c r="T190" i="11"/>
  <c r="T236" i="11"/>
  <c r="M231" i="11"/>
  <c r="Q281" i="11"/>
  <c r="M281" i="11" s="1"/>
  <c r="N56" i="11"/>
  <c r="R306" i="11"/>
  <c r="N306" i="11" s="1"/>
  <c r="O41" i="11"/>
  <c r="S291" i="11"/>
  <c r="O291" i="11" s="1"/>
  <c r="N64" i="11"/>
  <c r="R314" i="11"/>
  <c r="N314" i="11" s="1"/>
  <c r="T137" i="11"/>
  <c r="M246" i="11"/>
  <c r="Q296" i="11"/>
  <c r="M296" i="11" s="1"/>
  <c r="O50" i="11"/>
  <c r="S300" i="11"/>
  <c r="O300" i="11" s="1"/>
  <c r="R285" i="11"/>
  <c r="N285" i="11" s="1"/>
  <c r="N38" i="11"/>
  <c r="R288" i="11"/>
  <c r="N288" i="11" s="1"/>
  <c r="T210" i="11"/>
  <c r="Q319" i="11"/>
  <c r="M319" i="11" s="1"/>
  <c r="M241" i="11"/>
  <c r="Q291" i="11"/>
  <c r="M291" i="11" s="1"/>
  <c r="T34" i="11"/>
  <c r="T65" i="11"/>
  <c r="T315" i="12"/>
  <c r="T289" i="12"/>
  <c r="M232" i="11"/>
  <c r="Q282" i="11"/>
  <c r="M282" i="11" s="1"/>
  <c r="T299" i="12"/>
  <c r="T49" i="11"/>
  <c r="N58" i="11"/>
  <c r="R308" i="11"/>
  <c r="N308" i="11" s="1"/>
  <c r="T59" i="11"/>
  <c r="M257" i="11"/>
  <c r="Q307" i="11"/>
  <c r="M307" i="11" s="1"/>
  <c r="N36" i="11"/>
  <c r="R286" i="11"/>
  <c r="N286" i="11" s="1"/>
  <c r="T211" i="11"/>
  <c r="O49" i="11"/>
  <c r="S299" i="11"/>
  <c r="O299" i="11" s="1"/>
  <c r="T146" i="11"/>
  <c r="M262" i="11"/>
  <c r="Q312" i="11"/>
  <c r="M312" i="11" s="1"/>
  <c r="T200" i="11"/>
  <c r="O31" i="11"/>
  <c r="S281" i="11"/>
  <c r="O281" i="11" s="1"/>
  <c r="N63" i="11"/>
  <c r="R313" i="11"/>
  <c r="N313" i="11" s="1"/>
  <c r="R282" i="11"/>
  <c r="N282" i="11" s="1"/>
  <c r="N182" i="11"/>
  <c r="T208" i="11"/>
  <c r="M259" i="11"/>
  <c r="Q309" i="11"/>
  <c r="M309" i="11" s="1"/>
  <c r="T199" i="11"/>
  <c r="M229" i="11"/>
  <c r="Q270" i="11"/>
  <c r="Q272" i="11" s="1"/>
  <c r="Q279" i="11"/>
  <c r="O32" i="11"/>
  <c r="S282" i="11"/>
  <c r="O282" i="11" s="1"/>
  <c r="T33" i="11"/>
  <c r="O52" i="11"/>
  <c r="S302" i="11"/>
  <c r="O302" i="11" s="1"/>
  <c r="T231" i="11"/>
  <c r="T194" i="11"/>
  <c r="T209" i="11"/>
  <c r="T184" i="11"/>
  <c r="S285" i="11"/>
  <c r="O285" i="11" s="1"/>
  <c r="O235" i="11"/>
  <c r="M234" i="11"/>
  <c r="Q284" i="11"/>
  <c r="M284" i="11" s="1"/>
  <c r="S219" i="11"/>
  <c r="O219" i="11" s="1"/>
  <c r="S285" i="12"/>
  <c r="T296" i="12"/>
  <c r="S300" i="12"/>
  <c r="T51" i="11"/>
  <c r="T215" i="11"/>
  <c r="N34" i="11"/>
  <c r="R284" i="11"/>
  <c r="N284" i="11" s="1"/>
  <c r="N65" i="11"/>
  <c r="R315" i="11"/>
  <c r="N315" i="11" s="1"/>
  <c r="O62" i="11"/>
  <c r="S312" i="11"/>
  <c r="O312" i="11" s="1"/>
  <c r="T46" i="11"/>
  <c r="T297" i="12"/>
  <c r="T47" i="11"/>
  <c r="T136" i="11"/>
  <c r="T163" i="11"/>
  <c r="T37" i="11"/>
  <c r="T43" i="11"/>
  <c r="R320" i="12"/>
  <c r="R322" i="12" s="1"/>
  <c r="T232" i="11"/>
  <c r="O46" i="11"/>
  <c r="S296" i="11"/>
  <c r="O296" i="11" s="1"/>
  <c r="N49" i="11"/>
  <c r="R299" i="11"/>
  <c r="N299" i="11" s="1"/>
  <c r="O37" i="11"/>
  <c r="S287" i="11"/>
  <c r="O287" i="11" s="1"/>
  <c r="N59" i="11"/>
  <c r="R309" i="11"/>
  <c r="N309" i="11" s="1"/>
  <c r="T159" i="11"/>
  <c r="T307" i="12"/>
  <c r="T207" i="11"/>
  <c r="T157" i="11"/>
  <c r="S299" i="12"/>
  <c r="T312" i="12"/>
  <c r="T198" i="11"/>
  <c r="T153" i="11"/>
  <c r="T282" i="12"/>
  <c r="T32" i="11"/>
  <c r="T259" i="11"/>
  <c r="T44" i="11"/>
  <c r="O54" i="11"/>
  <c r="S304" i="11"/>
  <c r="O304" i="11" s="1"/>
  <c r="N33" i="11"/>
  <c r="R283" i="11"/>
  <c r="N283" i="11" s="1"/>
  <c r="S302" i="12"/>
  <c r="O171" i="11"/>
  <c r="O66" i="11"/>
  <c r="S316" i="11"/>
  <c r="O316" i="11" s="1"/>
  <c r="T53" i="11"/>
  <c r="T183" i="11"/>
  <c r="T35" i="11"/>
  <c r="T48" i="11"/>
  <c r="O53" i="11"/>
  <c r="S303" i="11"/>
  <c r="O303" i="11" s="1"/>
  <c r="S221" i="11"/>
  <c r="O48" i="11"/>
  <c r="S298" i="11"/>
  <c r="O298" i="11" s="1"/>
  <c r="S229" i="11"/>
  <c r="T311" i="12"/>
  <c r="T61" i="11"/>
  <c r="M245" i="11"/>
  <c r="Q295" i="11"/>
  <c r="M295" i="11" s="1"/>
  <c r="T129" i="11"/>
  <c r="T138" i="11"/>
  <c r="N51" i="11"/>
  <c r="R301" i="11"/>
  <c r="N301" i="11" s="1"/>
  <c r="S312" i="12"/>
  <c r="N46" i="11"/>
  <c r="R296" i="11"/>
  <c r="N296" i="11" s="1"/>
  <c r="M256" i="11"/>
  <c r="Q306" i="11"/>
  <c r="M306" i="11" s="1"/>
  <c r="N47" i="11"/>
  <c r="R297" i="11"/>
  <c r="N297" i="11" s="1"/>
  <c r="N37" i="11"/>
  <c r="R287" i="11"/>
  <c r="N287" i="11" s="1"/>
  <c r="N43" i="11"/>
  <c r="R293" i="11"/>
  <c r="N293" i="11" s="1"/>
  <c r="T187" i="11"/>
  <c r="T165" i="11"/>
  <c r="O34" i="11"/>
  <c r="S284" i="11"/>
  <c r="O284" i="11" s="1"/>
  <c r="T62" i="11"/>
  <c r="S296" i="12"/>
  <c r="O47" i="11"/>
  <c r="S297" i="11"/>
  <c r="O297" i="11" s="1"/>
  <c r="T201" i="11"/>
  <c r="T195" i="11"/>
  <c r="O40" i="11"/>
  <c r="S290" i="11"/>
  <c r="O290" i="11" s="1"/>
  <c r="T158" i="11"/>
  <c r="O42" i="11"/>
  <c r="S292" i="11"/>
  <c r="O292" i="11" s="1"/>
  <c r="O58" i="11"/>
  <c r="S308" i="11"/>
  <c r="O308" i="11" s="1"/>
  <c r="T169" i="11"/>
  <c r="O59" i="11"/>
  <c r="S309" i="11"/>
  <c r="O309" i="11" s="1"/>
  <c r="N44" i="11"/>
  <c r="R294" i="11"/>
  <c r="N294" i="11" s="1"/>
  <c r="T179" i="11"/>
  <c r="M242" i="11"/>
  <c r="Q292" i="11"/>
  <c r="M292" i="11" s="1"/>
  <c r="T203" i="11"/>
  <c r="T45" i="11"/>
  <c r="N53" i="11"/>
  <c r="R303" i="11"/>
  <c r="N303" i="11" s="1"/>
  <c r="M261" i="11"/>
  <c r="Q311" i="11"/>
  <c r="M311" i="11" s="1"/>
  <c r="T212" i="11"/>
  <c r="N48" i="11"/>
  <c r="R298" i="11"/>
  <c r="N298" i="11" s="1"/>
  <c r="T218" i="11"/>
  <c r="S294" i="11"/>
  <c r="O294" i="11" s="1"/>
  <c r="O244" i="11"/>
  <c r="T166" i="11"/>
  <c r="S170" i="11"/>
  <c r="S172" i="11" s="1"/>
  <c r="O129" i="11"/>
  <c r="T151" i="11"/>
  <c r="N61" i="11"/>
  <c r="R311" i="11"/>
  <c r="N311" i="11" s="1"/>
  <c r="T295" i="12"/>
  <c r="R170" i="11"/>
  <c r="R172" i="11" s="1"/>
  <c r="N129" i="11"/>
  <c r="M255" i="11"/>
  <c r="Q305" i="11"/>
  <c r="M305" i="11" s="1"/>
  <c r="T186" i="11"/>
  <c r="T160" i="11"/>
  <c r="O68" i="11"/>
  <c r="S318" i="11"/>
  <c r="O318" i="11" s="1"/>
  <c r="T197" i="11"/>
  <c r="S284" i="12"/>
  <c r="N62" i="11"/>
  <c r="R312" i="11"/>
  <c r="N312" i="11" s="1"/>
  <c r="T30" i="11"/>
  <c r="S297" i="12"/>
  <c r="T40" i="11"/>
  <c r="T42" i="11"/>
  <c r="T217" i="11"/>
  <c r="S314" i="11"/>
  <c r="O314" i="11" s="1"/>
  <c r="O264" i="11"/>
  <c r="T145" i="11"/>
  <c r="O30" i="11"/>
  <c r="S280" i="11"/>
  <c r="O280" i="11" s="1"/>
  <c r="M240" i="11"/>
  <c r="Q290" i="11"/>
  <c r="M290" i="11" s="1"/>
  <c r="S290" i="12"/>
  <c r="S292" i="12"/>
  <c r="S308" i="12"/>
  <c r="M254" i="11"/>
  <c r="Q304" i="11"/>
  <c r="M304" i="11" s="1"/>
  <c r="G90" i="14" l="1"/>
  <c r="H99" i="14" s="1"/>
  <c r="AV68" i="14"/>
  <c r="AX68" i="14" s="1"/>
  <c r="H88" i="4" s="1"/>
  <c r="F154" i="14"/>
  <c r="AS154" i="14" s="1"/>
  <c r="F165" i="14"/>
  <c r="F147" i="14"/>
  <c r="AP147" i="14" s="1"/>
  <c r="F128" i="14"/>
  <c r="AE128" i="14" s="1"/>
  <c r="F167" i="14"/>
  <c r="F142" i="14"/>
  <c r="AK142" i="14" s="1"/>
  <c r="F130" i="14"/>
  <c r="AS130" i="14" s="1"/>
  <c r="F151" i="14"/>
  <c r="AU151" i="14" s="1"/>
  <c r="F166" i="14"/>
  <c r="AW166" i="14" s="1"/>
  <c r="AX166" i="14" s="1"/>
  <c r="F157" i="14"/>
  <c r="AO157" i="14" s="1"/>
  <c r="F132" i="14"/>
  <c r="AD132" i="14" s="1"/>
  <c r="F140" i="14"/>
  <c r="AO140" i="14" s="1"/>
  <c r="F150" i="14"/>
  <c r="AO150" i="14" s="1"/>
  <c r="F146" i="14"/>
  <c r="AR146" i="14" s="1"/>
  <c r="F131" i="14"/>
  <c r="AB131" i="14" s="1"/>
  <c r="F149" i="14"/>
  <c r="AQ149" i="14" s="1"/>
  <c r="F138" i="14"/>
  <c r="AO138" i="14" s="1"/>
  <c r="F134" i="14"/>
  <c r="AS134" i="14" s="1"/>
  <c r="F164" i="14"/>
  <c r="AU164" i="14" s="1"/>
  <c r="AV164" i="14" s="1"/>
  <c r="AW164" i="14" s="1"/>
  <c r="F152" i="14"/>
  <c r="AT152" i="14" s="1"/>
  <c r="F162" i="14"/>
  <c r="AS162" i="14" s="1"/>
  <c r="F148" i="14"/>
  <c r="AO148" i="14" s="1"/>
  <c r="F136" i="14"/>
  <c r="AU136" i="14" s="1"/>
  <c r="F127" i="14"/>
  <c r="AM127" i="14" s="1"/>
  <c r="F156" i="14"/>
  <c r="AT156" i="14" s="1"/>
  <c r="F139" i="14"/>
  <c r="AK139" i="14" s="1"/>
  <c r="F144" i="14"/>
  <c r="AU144" i="14" s="1"/>
  <c r="F158" i="14"/>
  <c r="AR158" i="14" s="1"/>
  <c r="F161" i="14"/>
  <c r="AU161" i="14" s="1"/>
  <c r="F141" i="14"/>
  <c r="AO141" i="14" s="1"/>
  <c r="F124" i="14"/>
  <c r="H124" i="14" s="1"/>
  <c r="F153" i="14"/>
  <c r="AN153" i="14" s="1"/>
  <c r="F159" i="14"/>
  <c r="AS159" i="14" s="1"/>
  <c r="F126" i="14"/>
  <c r="AT126" i="14" s="1"/>
  <c r="F145" i="14"/>
  <c r="AN145" i="14" s="1"/>
  <c r="F133" i="14"/>
  <c r="AP133" i="14" s="1"/>
  <c r="F163" i="14"/>
  <c r="AT163" i="14" s="1"/>
  <c r="F137" i="14"/>
  <c r="AG137" i="14" s="1"/>
  <c r="F143" i="14"/>
  <c r="AL143" i="14" s="1"/>
  <c r="F129" i="14"/>
  <c r="AL129" i="14" s="1"/>
  <c r="F125" i="14"/>
  <c r="AP125" i="14" s="1"/>
  <c r="F155" i="14"/>
  <c r="AR155" i="14" s="1"/>
  <c r="F160" i="14"/>
  <c r="AU160" i="14" s="1"/>
  <c r="AR135" i="14"/>
  <c r="AJ135" i="14"/>
  <c r="AQ135" i="14"/>
  <c r="AI135" i="14"/>
  <c r="AN135" i="14"/>
  <c r="AF135" i="14"/>
  <c r="AU135" i="14"/>
  <c r="AH135" i="14"/>
  <c r="AT135" i="14"/>
  <c r="AG135" i="14"/>
  <c r="AP135" i="14"/>
  <c r="AD135" i="14"/>
  <c r="AS135" i="14"/>
  <c r="AM135" i="14"/>
  <c r="AK135" i="14"/>
  <c r="AO135" i="14"/>
  <c r="AL135" i="14"/>
  <c r="AE135" i="14"/>
  <c r="AC135" i="14"/>
  <c r="V135" i="14"/>
  <c r="R135" i="14"/>
  <c r="S135" i="14"/>
  <c r="U135" i="14"/>
  <c r="Y135" i="14"/>
  <c r="Z135" i="14"/>
  <c r="X135" i="14"/>
  <c r="T135" i="14"/>
  <c r="AB135" i="14"/>
  <c r="AA135" i="14"/>
  <c r="W135" i="14"/>
  <c r="I85" i="14"/>
  <c r="J82" i="14" s="1"/>
  <c r="I86" i="14"/>
  <c r="H86" i="14"/>
  <c r="J79" i="14"/>
  <c r="K75" i="14" s="1"/>
  <c r="K78" i="14" s="1"/>
  <c r="J84" i="14"/>
  <c r="T280" i="12"/>
  <c r="T268" i="11"/>
  <c r="T318" i="11" s="1"/>
  <c r="T271" i="11"/>
  <c r="T266" i="11"/>
  <c r="T316" i="11" s="1"/>
  <c r="T287" i="12"/>
  <c r="T237" i="11"/>
  <c r="T287" i="11" s="1"/>
  <c r="T243" i="11"/>
  <c r="T293" i="11" s="1"/>
  <c r="AD243" i="11"/>
  <c r="T292" i="12"/>
  <c r="T279" i="12"/>
  <c r="T241" i="11"/>
  <c r="T291" i="11" s="1"/>
  <c r="T242" i="11"/>
  <c r="T292" i="11" s="1"/>
  <c r="T298" i="12"/>
  <c r="T248" i="11"/>
  <c r="T298" i="11" s="1"/>
  <c r="T171" i="11"/>
  <c r="T256" i="11"/>
  <c r="T306" i="11" s="1"/>
  <c r="T229" i="11"/>
  <c r="T279" i="11" s="1"/>
  <c r="T306" i="12"/>
  <c r="S320" i="12"/>
  <c r="S322" i="12" s="1"/>
  <c r="T261" i="11"/>
  <c r="T311" i="11" s="1"/>
  <c r="AD197" i="11"/>
  <c r="AD186" i="11"/>
  <c r="AD138" i="11"/>
  <c r="AD157" i="11"/>
  <c r="AD163" i="11"/>
  <c r="AD215" i="11"/>
  <c r="AD184" i="11"/>
  <c r="T258" i="11"/>
  <c r="T308" i="11" s="1"/>
  <c r="AD271" i="11"/>
  <c r="AD236" i="11"/>
  <c r="AD269" i="11"/>
  <c r="T282" i="11"/>
  <c r="AD139" i="11"/>
  <c r="T286" i="11"/>
  <c r="AD58" i="11"/>
  <c r="N279" i="11"/>
  <c r="R320" i="11"/>
  <c r="R322" i="11" s="1"/>
  <c r="AD294" i="12"/>
  <c r="T244" i="11"/>
  <c r="T294" i="11" s="1"/>
  <c r="AD306" i="12"/>
  <c r="AD56" i="11"/>
  <c r="AD249" i="11"/>
  <c r="AD301" i="12"/>
  <c r="T251" i="11"/>
  <c r="T301" i="11" s="1"/>
  <c r="AD154" i="11"/>
  <c r="AD162" i="11"/>
  <c r="AD156" i="11"/>
  <c r="AD317" i="12"/>
  <c r="T267" i="11"/>
  <c r="T317" i="11" s="1"/>
  <c r="AD152" i="11"/>
  <c r="S72" i="11"/>
  <c r="O71" i="11"/>
  <c r="S321" i="11"/>
  <c r="AD180" i="11"/>
  <c r="AD57" i="11"/>
  <c r="AD217" i="11"/>
  <c r="AD151" i="11"/>
  <c r="AD218" i="11"/>
  <c r="AD169" i="11"/>
  <c r="AD187" i="11"/>
  <c r="T170" i="11"/>
  <c r="S270" i="11"/>
  <c r="S272" i="11" s="1"/>
  <c r="O229" i="11"/>
  <c r="AD284" i="12"/>
  <c r="T234" i="11"/>
  <c r="T284" i="11" s="1"/>
  <c r="AD183" i="11"/>
  <c r="T219" i="11"/>
  <c r="T220" i="11" s="1"/>
  <c r="T299" i="11"/>
  <c r="AD182" i="11"/>
  <c r="AD286" i="12"/>
  <c r="AD36" i="11"/>
  <c r="T308" i="12"/>
  <c r="AD64" i="11"/>
  <c r="AD302" i="12"/>
  <c r="T252" i="11"/>
  <c r="T302" i="11" s="1"/>
  <c r="AD54" i="11"/>
  <c r="T280" i="11"/>
  <c r="AD149" i="11"/>
  <c r="AD171" i="11"/>
  <c r="AD68" i="11"/>
  <c r="T321" i="12"/>
  <c r="T71" i="11"/>
  <c r="AD280" i="12"/>
  <c r="AD30" i="11"/>
  <c r="AD179" i="11"/>
  <c r="AD62" i="11"/>
  <c r="AD129" i="11"/>
  <c r="AD44" i="11"/>
  <c r="AD153" i="11"/>
  <c r="AD207" i="11"/>
  <c r="AD43" i="11"/>
  <c r="AD136" i="11"/>
  <c r="AD209" i="11"/>
  <c r="AD33" i="11"/>
  <c r="AD199" i="11"/>
  <c r="AD146" i="11"/>
  <c r="AD299" i="12"/>
  <c r="AD49" i="11"/>
  <c r="AD65" i="11"/>
  <c r="AD190" i="11"/>
  <c r="AD38" i="11"/>
  <c r="AD216" i="11"/>
  <c r="AD206" i="11"/>
  <c r="AD230" i="11"/>
  <c r="AD314" i="12"/>
  <c r="T264" i="11"/>
  <c r="T314" i="11" s="1"/>
  <c r="AD142" i="11"/>
  <c r="AD304" i="12"/>
  <c r="T254" i="11"/>
  <c r="T304" i="11" s="1"/>
  <c r="AD281" i="12"/>
  <c r="AD31" i="11"/>
  <c r="AD143" i="11"/>
  <c r="AD196" i="11"/>
  <c r="AD41" i="11"/>
  <c r="N321" i="11"/>
  <c r="AD292" i="12"/>
  <c r="AD42" i="11"/>
  <c r="AD45" i="11"/>
  <c r="AD195" i="11"/>
  <c r="AD298" i="12"/>
  <c r="AD48" i="11"/>
  <c r="AD53" i="11"/>
  <c r="T257" i="11"/>
  <c r="T307" i="11" s="1"/>
  <c r="T297" i="11"/>
  <c r="AD288" i="12"/>
  <c r="T238" i="11"/>
  <c r="T288" i="11" s="1"/>
  <c r="AD210" i="11"/>
  <c r="S220" i="11"/>
  <c r="S222" i="11" s="1"/>
  <c r="AD213" i="11"/>
  <c r="AD63" i="11"/>
  <c r="AD131" i="11"/>
  <c r="AD237" i="11"/>
  <c r="T288" i="12"/>
  <c r="AD39" i="11"/>
  <c r="AD202" i="11"/>
  <c r="AD188" i="11"/>
  <c r="AD285" i="12"/>
  <c r="T235" i="11"/>
  <c r="T285" i="11" s="1"/>
  <c r="AD60" i="11"/>
  <c r="AD256" i="11"/>
  <c r="AD198" i="11"/>
  <c r="AD297" i="12"/>
  <c r="AD47" i="11"/>
  <c r="AD51" i="11"/>
  <c r="AD194" i="11"/>
  <c r="T309" i="11"/>
  <c r="AD137" i="11"/>
  <c r="AD300" i="12"/>
  <c r="T250" i="11"/>
  <c r="T300" i="11" s="1"/>
  <c r="AD135" i="11"/>
  <c r="AD248" i="11"/>
  <c r="AD55" i="11"/>
  <c r="AD132" i="11"/>
  <c r="AD67" i="11"/>
  <c r="S279" i="11"/>
  <c r="T255" i="11"/>
  <c r="T305" i="11" s="1"/>
  <c r="AD148" i="11"/>
  <c r="AD145" i="11"/>
  <c r="T245" i="11"/>
  <c r="T295" i="11" s="1"/>
  <c r="AD166" i="11"/>
  <c r="AD212" i="11"/>
  <c r="AD201" i="11"/>
  <c r="T221" i="11"/>
  <c r="AD229" i="11"/>
  <c r="AD259" i="11"/>
  <c r="T262" i="11"/>
  <c r="T312" i="11" s="1"/>
  <c r="AD159" i="11"/>
  <c r="AD287" i="12"/>
  <c r="AD37" i="11"/>
  <c r="AD309" i="12"/>
  <c r="AD59" i="11"/>
  <c r="AD34" i="11"/>
  <c r="AD310" i="12"/>
  <c r="T260" i="11"/>
  <c r="T310" i="11" s="1"/>
  <c r="AD164" i="11"/>
  <c r="AD266" i="11"/>
  <c r="T281" i="11"/>
  <c r="T263" i="11"/>
  <c r="T313" i="11" s="1"/>
  <c r="T317" i="12"/>
  <c r="AD191" i="11"/>
  <c r="AD214" i="11"/>
  <c r="T319" i="12"/>
  <c r="T69" i="11"/>
  <c r="AD147" i="11"/>
  <c r="AD40" i="11"/>
  <c r="AD160" i="11"/>
  <c r="AD203" i="11"/>
  <c r="O221" i="11"/>
  <c r="AD35" i="11"/>
  <c r="AD231" i="11"/>
  <c r="M279" i="11"/>
  <c r="Q320" i="11"/>
  <c r="Q322" i="11" s="1"/>
  <c r="AD208" i="11"/>
  <c r="AD200" i="11"/>
  <c r="AD211" i="11"/>
  <c r="T239" i="11"/>
  <c r="T289" i="11" s="1"/>
  <c r="T284" i="12"/>
  <c r="AD185" i="11"/>
  <c r="AD150" i="11"/>
  <c r="AD283" i="12"/>
  <c r="T233" i="11"/>
  <c r="AD181" i="11"/>
  <c r="AD279" i="12"/>
  <c r="AD29" i="11"/>
  <c r="AD247" i="11"/>
  <c r="AD130" i="11"/>
  <c r="AD168" i="11"/>
  <c r="AD52" i="11"/>
  <c r="O69" i="11"/>
  <c r="S319" i="11"/>
  <c r="O319" i="11" s="1"/>
  <c r="AD161" i="11"/>
  <c r="AD261" i="11"/>
  <c r="AD134" i="11"/>
  <c r="AD158" i="11"/>
  <c r="AD165" i="11"/>
  <c r="AD311" i="12"/>
  <c r="AD61" i="11"/>
  <c r="AD282" i="12"/>
  <c r="AD32" i="11"/>
  <c r="AD232" i="11"/>
  <c r="AD46" i="11"/>
  <c r="AD296" i="12"/>
  <c r="T246" i="11"/>
  <c r="T296" i="11" s="1"/>
  <c r="T265" i="11"/>
  <c r="T315" i="11" s="1"/>
  <c r="AD140" i="11"/>
  <c r="AD141" i="11"/>
  <c r="AD204" i="11"/>
  <c r="AD155" i="11"/>
  <c r="AD189" i="11"/>
  <c r="AD167" i="11"/>
  <c r="AD50" i="11"/>
  <c r="AD193" i="11"/>
  <c r="AD205" i="11"/>
  <c r="T253" i="11"/>
  <c r="T303" i="11" s="1"/>
  <c r="AD133" i="11"/>
  <c r="AD144" i="11"/>
  <c r="AD316" i="12"/>
  <c r="AD66" i="11"/>
  <c r="T302" i="12"/>
  <c r="AD290" i="12"/>
  <c r="T240" i="11"/>
  <c r="T290" i="11" s="1"/>
  <c r="AD192" i="11"/>
  <c r="AD242" i="11"/>
  <c r="H88" i="14" l="1"/>
  <c r="AI138" i="14"/>
  <c r="AN154" i="14"/>
  <c r="AM154" i="14"/>
  <c r="AR154" i="14"/>
  <c r="AL154" i="14"/>
  <c r="AU154" i="14"/>
  <c r="AP154" i="14"/>
  <c r="AO154" i="14"/>
  <c r="AQ154" i="14"/>
  <c r="AJ147" i="14"/>
  <c r="AK154" i="14"/>
  <c r="AD147" i="14"/>
  <c r="S125" i="14"/>
  <c r="AT154" i="14"/>
  <c r="AO147" i="14"/>
  <c r="AQ159" i="14"/>
  <c r="AS147" i="14"/>
  <c r="AS151" i="14"/>
  <c r="U130" i="14"/>
  <c r="AC130" i="14"/>
  <c r="AD142" i="14"/>
  <c r="AS149" i="14"/>
  <c r="AP142" i="14"/>
  <c r="P128" i="14"/>
  <c r="AP128" i="14"/>
  <c r="AM128" i="14"/>
  <c r="K128" i="14"/>
  <c r="AS128" i="14"/>
  <c r="AH147" i="14"/>
  <c r="AN128" i="14"/>
  <c r="AJ128" i="14"/>
  <c r="AE147" i="14"/>
  <c r="AQ147" i="14"/>
  <c r="AO128" i="14"/>
  <c r="W140" i="14"/>
  <c r="U128" i="14"/>
  <c r="Y128" i="14"/>
  <c r="AR128" i="14"/>
  <c r="AM147" i="14"/>
  <c r="AI147" i="14"/>
  <c r="AR147" i="14"/>
  <c r="Z128" i="14"/>
  <c r="AL128" i="14"/>
  <c r="AN147" i="14"/>
  <c r="AF147" i="14"/>
  <c r="AU147" i="14"/>
  <c r="S128" i="14"/>
  <c r="AI128" i="14"/>
  <c r="AT128" i="14"/>
  <c r="AK147" i="14"/>
  <c r="AL147" i="14"/>
  <c r="AU128" i="14"/>
  <c r="AT147" i="14"/>
  <c r="O128" i="14"/>
  <c r="AF128" i="14"/>
  <c r="AG147" i="14"/>
  <c r="AM142" i="14"/>
  <c r="AT149" i="14"/>
  <c r="AT151" i="14"/>
  <c r="AM129" i="14"/>
  <c r="AO153" i="14"/>
  <c r="L127" i="14"/>
  <c r="AP153" i="14"/>
  <c r="AS146" i="14"/>
  <c r="AI127" i="14"/>
  <c r="AI129" i="14"/>
  <c r="AJ153" i="14"/>
  <c r="AL127" i="14"/>
  <c r="AH142" i="14"/>
  <c r="AJ149" i="14"/>
  <c r="R127" i="14"/>
  <c r="Y142" i="14"/>
  <c r="AO149" i="14"/>
  <c r="AI142" i="14"/>
  <c r="AU142" i="14"/>
  <c r="AS142" i="14"/>
  <c r="AO130" i="14"/>
  <c r="Z142" i="14"/>
  <c r="AE142" i="14"/>
  <c r="AQ142" i="14"/>
  <c r="AR131" i="14"/>
  <c r="R130" i="14"/>
  <c r="AF130" i="14"/>
  <c r="N130" i="14"/>
  <c r="AA142" i="14"/>
  <c r="AB142" i="14"/>
  <c r="AO142" i="14"/>
  <c r="S130" i="14"/>
  <c r="X130" i="14"/>
  <c r="AF142" i="14"/>
  <c r="AL142" i="14"/>
  <c r="AJ142" i="14"/>
  <c r="AB130" i="14"/>
  <c r="AC142" i="14"/>
  <c r="AN142" i="14"/>
  <c r="AR142" i="14"/>
  <c r="AU130" i="14"/>
  <c r="AG142" i="14"/>
  <c r="AT142" i="14"/>
  <c r="AA130" i="14"/>
  <c r="AL138" i="14"/>
  <c r="AM153" i="14"/>
  <c r="AT138" i="14"/>
  <c r="M128" i="14"/>
  <c r="AK128" i="14"/>
  <c r="AQ128" i="14"/>
  <c r="V128" i="14"/>
  <c r="AQ127" i="14"/>
  <c r="AH151" i="14"/>
  <c r="AN129" i="14"/>
  <c r="AL153" i="14"/>
  <c r="AN138" i="14"/>
  <c r="T128" i="14"/>
  <c r="X128" i="14"/>
  <c r="AG128" i="14"/>
  <c r="AD128" i="14"/>
  <c r="AT127" i="14"/>
  <c r="AM151" i="14"/>
  <c r="AD129" i="14"/>
  <c r="AU150" i="14"/>
  <c r="AQ125" i="14"/>
  <c r="AH149" i="14"/>
  <c r="N128" i="14"/>
  <c r="R128" i="14"/>
  <c r="AA128" i="14"/>
  <c r="AH128" i="14"/>
  <c r="W128" i="14"/>
  <c r="J127" i="14"/>
  <c r="AE127" i="14"/>
  <c r="AF125" i="14"/>
  <c r="AU159" i="14"/>
  <c r="AU149" i="14"/>
  <c r="Q128" i="14"/>
  <c r="L128" i="14"/>
  <c r="AC128" i="14"/>
  <c r="AB128" i="14"/>
  <c r="S127" i="14"/>
  <c r="AU127" i="14"/>
  <c r="L129" i="14"/>
  <c r="AR159" i="14"/>
  <c r="AT134" i="14"/>
  <c r="AF138" i="14"/>
  <c r="T130" i="14"/>
  <c r="AE130" i="14"/>
  <c r="AN130" i="14"/>
  <c r="AU125" i="14"/>
  <c r="AG134" i="14"/>
  <c r="Y125" i="14"/>
  <c r="Y138" i="14"/>
  <c r="AF132" i="14"/>
  <c r="W130" i="14"/>
  <c r="AP130" i="14"/>
  <c r="AG130" i="14"/>
  <c r="AR156" i="14"/>
  <c r="K125" i="14"/>
  <c r="AO125" i="14"/>
  <c r="AT129" i="14"/>
  <c r="AA138" i="14"/>
  <c r="AA132" i="14"/>
  <c r="O130" i="14"/>
  <c r="Z130" i="14"/>
  <c r="AQ130" i="14"/>
  <c r="J125" i="14"/>
  <c r="U129" i="14"/>
  <c r="Q125" i="14"/>
  <c r="AH138" i="14"/>
  <c r="M130" i="14"/>
  <c r="AT130" i="14"/>
  <c r="AH130" i="14"/>
  <c r="AN125" i="14"/>
  <c r="T129" i="14"/>
  <c r="V132" i="14"/>
  <c r="AS152" i="14"/>
  <c r="AK140" i="14"/>
  <c r="AC134" i="14"/>
  <c r="T132" i="14"/>
  <c r="AU157" i="14"/>
  <c r="AH139" i="14"/>
  <c r="AL152" i="14"/>
  <c r="R126" i="14"/>
  <c r="AP140" i="14"/>
  <c r="Z138" i="14"/>
  <c r="AR138" i="14"/>
  <c r="U132" i="14"/>
  <c r="V130" i="14"/>
  <c r="Y130" i="14"/>
  <c r="AI130" i="14"/>
  <c r="AR130" i="14"/>
  <c r="AS157" i="14"/>
  <c r="AQ156" i="14"/>
  <c r="AU152" i="14"/>
  <c r="P125" i="14"/>
  <c r="AC125" i="14"/>
  <c r="Q133" i="14"/>
  <c r="AO158" i="14"/>
  <c r="Z140" i="14"/>
  <c r="AO144" i="14"/>
  <c r="M126" i="14"/>
  <c r="AJ126" i="14"/>
  <c r="AN132" i="14"/>
  <c r="AQ157" i="14"/>
  <c r="R125" i="14"/>
  <c r="AA126" i="14"/>
  <c r="W138" i="14"/>
  <c r="AP138" i="14"/>
  <c r="AE132" i="14"/>
  <c r="P130" i="14"/>
  <c r="AL130" i="14"/>
  <c r="AJ130" i="14"/>
  <c r="AK130" i="14"/>
  <c r="AN157" i="14"/>
  <c r="AU156" i="14"/>
  <c r="L125" i="14"/>
  <c r="V125" i="14"/>
  <c r="H125" i="14"/>
  <c r="H165" i="14" s="1"/>
  <c r="H167" i="14" s="1"/>
  <c r="H96" i="14" s="1"/>
  <c r="H103" i="14" s="1"/>
  <c r="AF140" i="14"/>
  <c r="AI140" i="14"/>
  <c r="AS125" i="14"/>
  <c r="U133" i="14"/>
  <c r="AB126" i="14"/>
  <c r="AG140" i="14"/>
  <c r="Q131" i="14"/>
  <c r="X138" i="14"/>
  <c r="AK138" i="14"/>
  <c r="AO132" i="14"/>
  <c r="Q130" i="14"/>
  <c r="AM130" i="14"/>
  <c r="AD130" i="14"/>
  <c r="AT157" i="14"/>
  <c r="AP156" i="14"/>
  <c r="AK125" i="14"/>
  <c r="AJ125" i="14"/>
  <c r="AA129" i="14"/>
  <c r="AR140" i="14"/>
  <c r="AK152" i="14"/>
  <c r="AG133" i="14"/>
  <c r="AE140" i="14"/>
  <c r="AS140" i="14"/>
  <c r="AL140" i="14"/>
  <c r="AG132" i="14"/>
  <c r="AL132" i="14"/>
  <c r="AI150" i="14"/>
  <c r="AP152" i="14"/>
  <c r="AF133" i="14"/>
  <c r="H89" i="14"/>
  <c r="H101" i="14" s="1"/>
  <c r="AB140" i="14"/>
  <c r="AH140" i="14"/>
  <c r="AT140" i="14"/>
  <c r="X132" i="14"/>
  <c r="AC132" i="14"/>
  <c r="AT132" i="14"/>
  <c r="AN150" i="14"/>
  <c r="AQ152" i="14"/>
  <c r="AL133" i="14"/>
  <c r="AQ140" i="14"/>
  <c r="AC140" i="14"/>
  <c r="AJ140" i="14"/>
  <c r="AM140" i="14"/>
  <c r="O132" i="14"/>
  <c r="AH132" i="14"/>
  <c r="AH150" i="14"/>
  <c r="AN152" i="14"/>
  <c r="AN133" i="14"/>
  <c r="AD140" i="14"/>
  <c r="AT162" i="14"/>
  <c r="X140" i="14"/>
  <c r="AN140" i="14"/>
  <c r="AU140" i="14"/>
  <c r="P132" i="14"/>
  <c r="AU132" i="14"/>
  <c r="AT150" i="14"/>
  <c r="AJ152" i="14"/>
  <c r="AS133" i="14"/>
  <c r="AK153" i="14"/>
  <c r="AS153" i="14"/>
  <c r="AG149" i="14"/>
  <c r="AM149" i="14"/>
  <c r="Q127" i="14"/>
  <c r="AB127" i="14"/>
  <c r="AR127" i="14"/>
  <c r="U127" i="14"/>
  <c r="X127" i="14"/>
  <c r="AK151" i="14"/>
  <c r="V129" i="14"/>
  <c r="N129" i="14"/>
  <c r="AS129" i="14"/>
  <c r="AF129" i="14"/>
  <c r="Y129" i="14"/>
  <c r="AF126" i="14"/>
  <c r="AT153" i="14"/>
  <c r="AU153" i="14"/>
  <c r="AA134" i="14"/>
  <c r="AI149" i="14"/>
  <c r="AK149" i="14"/>
  <c r="AR157" i="14"/>
  <c r="AR150" i="14"/>
  <c r="P127" i="14"/>
  <c r="AD127" i="14"/>
  <c r="V127" i="14"/>
  <c r="AC127" i="14"/>
  <c r="AF127" i="14"/>
  <c r="AQ151" i="14"/>
  <c r="P129" i="14"/>
  <c r="O129" i="14"/>
  <c r="AB129" i="14"/>
  <c r="AQ129" i="14"/>
  <c r="AG129" i="14"/>
  <c r="AN126" i="14"/>
  <c r="AQ153" i="14"/>
  <c r="Y140" i="14"/>
  <c r="AA140" i="14"/>
  <c r="AI146" i="14"/>
  <c r="U134" i="14"/>
  <c r="U138" i="14"/>
  <c r="AM138" i="14"/>
  <c r="AF149" i="14"/>
  <c r="AP149" i="14"/>
  <c r="AP157" i="14"/>
  <c r="AT158" i="14"/>
  <c r="AS156" i="14"/>
  <c r="K127" i="14"/>
  <c r="AO127" i="14"/>
  <c r="Y127" i="14"/>
  <c r="AK127" i="14"/>
  <c r="AN127" i="14"/>
  <c r="AI152" i="14"/>
  <c r="AL151" i="14"/>
  <c r="AR151" i="14"/>
  <c r="I125" i="14"/>
  <c r="AD125" i="14"/>
  <c r="AM125" i="14"/>
  <c r="S129" i="14"/>
  <c r="X129" i="14"/>
  <c r="AE129" i="14"/>
  <c r="W129" i="14"/>
  <c r="AO129" i="14"/>
  <c r="AD133" i="14"/>
  <c r="AR153" i="14"/>
  <c r="AM146" i="14"/>
  <c r="AL149" i="14"/>
  <c r="AR149" i="14"/>
  <c r="N127" i="14"/>
  <c r="AA127" i="14"/>
  <c r="AJ127" i="14"/>
  <c r="AS127" i="14"/>
  <c r="AI151" i="14"/>
  <c r="AJ151" i="14"/>
  <c r="Q129" i="14"/>
  <c r="AJ129" i="14"/>
  <c r="Z129" i="14"/>
  <c r="AH129" i="14"/>
  <c r="K126" i="14"/>
  <c r="AT146" i="14"/>
  <c r="AP134" i="14"/>
  <c r="AN149" i="14"/>
  <c r="AM150" i="14"/>
  <c r="AQ158" i="14"/>
  <c r="T127" i="14"/>
  <c r="AP127" i="14"/>
  <c r="AG127" i="14"/>
  <c r="W127" i="14"/>
  <c r="AO152" i="14"/>
  <c r="AR152" i="14"/>
  <c r="AO151" i="14"/>
  <c r="AN151" i="14"/>
  <c r="M129" i="14"/>
  <c r="AK129" i="14"/>
  <c r="AU129" i="14"/>
  <c r="AR129" i="14"/>
  <c r="Z133" i="14"/>
  <c r="AK133" i="14"/>
  <c r="AT139" i="14"/>
  <c r="O127" i="14"/>
  <c r="M127" i="14"/>
  <c r="AH127" i="14"/>
  <c r="Z127" i="14"/>
  <c r="AM152" i="14"/>
  <c r="AP151" i="14"/>
  <c r="AN155" i="14"/>
  <c r="AB125" i="14"/>
  <c r="T125" i="14"/>
  <c r="Z125" i="14"/>
  <c r="R129" i="14"/>
  <c r="AP129" i="14"/>
  <c r="AC129" i="14"/>
  <c r="T133" i="14"/>
  <c r="AR145" i="14"/>
  <c r="AO131" i="14"/>
  <c r="AK146" i="14"/>
  <c r="Y136" i="14"/>
  <c r="AD131" i="14"/>
  <c r="S132" i="14"/>
  <c r="Q132" i="14"/>
  <c r="AJ132" i="14"/>
  <c r="AP132" i="14"/>
  <c r="AK150" i="14"/>
  <c r="AS150" i="14"/>
  <c r="AD144" i="14"/>
  <c r="AE146" i="14"/>
  <c r="Z124" i="14"/>
  <c r="AJ146" i="14"/>
  <c r="T131" i="14"/>
  <c r="AC131" i="14"/>
  <c r="W132" i="14"/>
  <c r="AR132" i="14"/>
  <c r="AK132" i="14"/>
  <c r="AI132" i="14"/>
  <c r="AL150" i="14"/>
  <c r="AP150" i="14"/>
  <c r="AI148" i="14"/>
  <c r="AP144" i="14"/>
  <c r="AU131" i="14"/>
  <c r="AD146" i="14"/>
  <c r="AR136" i="14"/>
  <c r="AM148" i="14"/>
  <c r="AA141" i="14"/>
  <c r="AP146" i="14"/>
  <c r="P131" i="14"/>
  <c r="AP131" i="14"/>
  <c r="Y132" i="14"/>
  <c r="AS132" i="14"/>
  <c r="AB132" i="14"/>
  <c r="AQ132" i="14"/>
  <c r="AQ150" i="14"/>
  <c r="AG150" i="14"/>
  <c r="Z143" i="14"/>
  <c r="AL131" i="14"/>
  <c r="AN146" i="14"/>
  <c r="W124" i="14"/>
  <c r="AK131" i="14"/>
  <c r="AH146" i="14"/>
  <c r="AQ146" i="14"/>
  <c r="X131" i="14"/>
  <c r="AJ131" i="14"/>
  <c r="R132" i="14"/>
  <c r="Z132" i="14"/>
  <c r="AM132" i="14"/>
  <c r="AJ150" i="14"/>
  <c r="AO143" i="14"/>
  <c r="AB133" i="14"/>
  <c r="AH145" i="14"/>
  <c r="AA144" i="14"/>
  <c r="AR144" i="14"/>
  <c r="AQ144" i="14"/>
  <c r="AQ160" i="14"/>
  <c r="AC145" i="14"/>
  <c r="AU145" i="14"/>
  <c r="S126" i="14"/>
  <c r="AP126" i="14"/>
  <c r="AO126" i="14"/>
  <c r="AH136" i="14"/>
  <c r="O131" i="14"/>
  <c r="AS131" i="14"/>
  <c r="AN131" i="14"/>
  <c r="AE131" i="14"/>
  <c r="V134" i="14"/>
  <c r="AO134" i="14"/>
  <c r="AE144" i="14"/>
  <c r="AS144" i="14"/>
  <c r="V139" i="14"/>
  <c r="AL139" i="14"/>
  <c r="AT160" i="14"/>
  <c r="AL145" i="14"/>
  <c r="AT145" i="14"/>
  <c r="J126" i="14"/>
  <c r="Z126" i="14"/>
  <c r="AT159" i="14"/>
  <c r="AJ141" i="14"/>
  <c r="AG146" i="14"/>
  <c r="AU146" i="14"/>
  <c r="W131" i="14"/>
  <c r="R131" i="14"/>
  <c r="AT131" i="14"/>
  <c r="AF131" i="14"/>
  <c r="AM131" i="14"/>
  <c r="R134" i="14"/>
  <c r="AB134" i="14"/>
  <c r="AD138" i="14"/>
  <c r="AQ138" i="14"/>
  <c r="AS138" i="14"/>
  <c r="AL148" i="14"/>
  <c r="AJ144" i="14"/>
  <c r="AT144" i="14"/>
  <c r="X139" i="14"/>
  <c r="AO139" i="14"/>
  <c r="AN156" i="14"/>
  <c r="AR160" i="14"/>
  <c r="M125" i="14"/>
  <c r="AA125" i="14"/>
  <c r="AR125" i="14"/>
  <c r="AI125" i="14"/>
  <c r="AG125" i="14"/>
  <c r="AE145" i="14"/>
  <c r="AO145" i="14"/>
  <c r="AF144" i="14"/>
  <c r="AB139" i="14"/>
  <c r="AE126" i="14"/>
  <c r="S131" i="14"/>
  <c r="AG131" i="14"/>
  <c r="AI134" i="14"/>
  <c r="AN144" i="14"/>
  <c r="AJ139" i="14"/>
  <c r="AM155" i="14"/>
  <c r="AG145" i="14"/>
  <c r="U126" i="14"/>
  <c r="AD126" i="14"/>
  <c r="AP159" i="14"/>
  <c r="I124" i="14"/>
  <c r="AF146" i="14"/>
  <c r="AC146" i="14"/>
  <c r="AO146" i="14"/>
  <c r="U131" i="14"/>
  <c r="Y131" i="14"/>
  <c r="AA131" i="14"/>
  <c r="AQ131" i="14"/>
  <c r="X134" i="14"/>
  <c r="AL134" i="14"/>
  <c r="V138" i="14"/>
  <c r="AB138" i="14"/>
  <c r="AU138" i="14"/>
  <c r="AG138" i="14"/>
  <c r="AP148" i="14"/>
  <c r="AI144" i="14"/>
  <c r="AC144" i="14"/>
  <c r="AM144" i="14"/>
  <c r="AD139" i="14"/>
  <c r="AU139" i="14"/>
  <c r="AO156" i="14"/>
  <c r="AL155" i="14"/>
  <c r="O125" i="14"/>
  <c r="X125" i="14"/>
  <c r="U125" i="14"/>
  <c r="W125" i="14"/>
  <c r="AH125" i="14"/>
  <c r="AJ145" i="14"/>
  <c r="AL144" i="14"/>
  <c r="AP139" i="14"/>
  <c r="AS160" i="14"/>
  <c r="AI145" i="14"/>
  <c r="AS126" i="14"/>
  <c r="Q124" i="14"/>
  <c r="V131" i="14"/>
  <c r="AI131" i="14"/>
  <c r="AH144" i="14"/>
  <c r="AB144" i="14"/>
  <c r="Z139" i="14"/>
  <c r="L126" i="14"/>
  <c r="AI126" i="14"/>
  <c r="X126" i="14"/>
  <c r="AT124" i="14"/>
  <c r="AL146" i="14"/>
  <c r="X136" i="14"/>
  <c r="N131" i="14"/>
  <c r="Z131" i="14"/>
  <c r="AH131" i="14"/>
  <c r="Q134" i="14"/>
  <c r="AN134" i="14"/>
  <c r="AE138" i="14"/>
  <c r="AC138" i="14"/>
  <c r="AJ138" i="14"/>
  <c r="AE143" i="14"/>
  <c r="AK144" i="14"/>
  <c r="AG144" i="14"/>
  <c r="AG139" i="14"/>
  <c r="AM156" i="14"/>
  <c r="AO155" i="14"/>
  <c r="N125" i="14"/>
  <c r="AL125" i="14"/>
  <c r="AT125" i="14"/>
  <c r="AE125" i="14"/>
  <c r="AQ145" i="14"/>
  <c r="AE124" i="14"/>
  <c r="AF136" i="14"/>
  <c r="AI143" i="14"/>
  <c r="M124" i="14"/>
  <c r="AO124" i="14"/>
  <c r="AB124" i="14"/>
  <c r="AP141" i="14"/>
  <c r="AB136" i="14"/>
  <c r="AS136" i="14"/>
  <c r="AR148" i="14"/>
  <c r="AT143" i="14"/>
  <c r="O126" i="14"/>
  <c r="AU126" i="14"/>
  <c r="AM126" i="14"/>
  <c r="AR126" i="14"/>
  <c r="Y126" i="14"/>
  <c r="L124" i="14"/>
  <c r="AR124" i="14"/>
  <c r="AU124" i="14"/>
  <c r="AM124" i="14"/>
  <c r="S124" i="14"/>
  <c r="AT161" i="14"/>
  <c r="Z136" i="14"/>
  <c r="AG136" i="14"/>
  <c r="AJ136" i="14"/>
  <c r="AQ136" i="14"/>
  <c r="Y134" i="14"/>
  <c r="Z134" i="14"/>
  <c r="AM134" i="14"/>
  <c r="AJ134" i="14"/>
  <c r="AH148" i="14"/>
  <c r="AS148" i="14"/>
  <c r="AB143" i="14"/>
  <c r="AU143" i="14"/>
  <c r="AQ143" i="14"/>
  <c r="AC139" i="14"/>
  <c r="AI139" i="14"/>
  <c r="AR139" i="14"/>
  <c r="AQ155" i="14"/>
  <c r="X137" i="14"/>
  <c r="AF145" i="14"/>
  <c r="AB145" i="14"/>
  <c r="AS145" i="14"/>
  <c r="Y124" i="14"/>
  <c r="AJ124" i="14"/>
  <c r="AP124" i="14"/>
  <c r="AD136" i="14"/>
  <c r="AI136" i="14"/>
  <c r="AN148" i="14"/>
  <c r="AJ143" i="14"/>
  <c r="AN143" i="14"/>
  <c r="Q126" i="14"/>
  <c r="T126" i="14"/>
  <c r="AK126" i="14"/>
  <c r="V126" i="14"/>
  <c r="AG126" i="14"/>
  <c r="J124" i="14"/>
  <c r="AS124" i="14"/>
  <c r="U124" i="14"/>
  <c r="X124" i="14"/>
  <c r="AA124" i="14"/>
  <c r="V136" i="14"/>
  <c r="AL136" i="14"/>
  <c r="AK136" i="14"/>
  <c r="W134" i="14"/>
  <c r="AU134" i="14"/>
  <c r="AD134" i="14"/>
  <c r="AR134" i="14"/>
  <c r="AG148" i="14"/>
  <c r="AQ148" i="14"/>
  <c r="AA143" i="14"/>
  <c r="AM143" i="14"/>
  <c r="AR143" i="14"/>
  <c r="AA139" i="14"/>
  <c r="AQ139" i="14"/>
  <c r="AM139" i="14"/>
  <c r="AU155" i="14"/>
  <c r="Y137" i="14"/>
  <c r="V124" i="14"/>
  <c r="W136" i="14"/>
  <c r="AF143" i="14"/>
  <c r="N124" i="14"/>
  <c r="AK124" i="14"/>
  <c r="AI124" i="14"/>
  <c r="AC136" i="14"/>
  <c r="AE148" i="14"/>
  <c r="AC143" i="14"/>
  <c r="AI137" i="14"/>
  <c r="I126" i="14"/>
  <c r="W126" i="14"/>
  <c r="AC126" i="14"/>
  <c r="AL126" i="14"/>
  <c r="P124" i="14"/>
  <c r="AC124" i="14"/>
  <c r="AL124" i="14"/>
  <c r="AN124" i="14"/>
  <c r="AQ124" i="14"/>
  <c r="T136" i="14"/>
  <c r="AO136" i="14"/>
  <c r="AM136" i="14"/>
  <c r="AU162" i="14"/>
  <c r="S134" i="14"/>
  <c r="AH134" i="14"/>
  <c r="AE134" i="14"/>
  <c r="AK134" i="14"/>
  <c r="AK148" i="14"/>
  <c r="AJ148" i="14"/>
  <c r="AU148" i="14"/>
  <c r="AH143" i="14"/>
  <c r="AS143" i="14"/>
  <c r="AE139" i="14"/>
  <c r="Y139" i="14"/>
  <c r="AS139" i="14"/>
  <c r="AN139" i="14"/>
  <c r="AT155" i="14"/>
  <c r="AS155" i="14"/>
  <c r="AH137" i="14"/>
  <c r="AD145" i="14"/>
  <c r="AM145" i="14"/>
  <c r="AP145" i="14"/>
  <c r="K124" i="14"/>
  <c r="AH124" i="14"/>
  <c r="S136" i="14"/>
  <c r="AP136" i="14"/>
  <c r="AP143" i="14"/>
  <c r="T124" i="14"/>
  <c r="AF124" i="14"/>
  <c r="AN136" i="14"/>
  <c r="AE136" i="14"/>
  <c r="AT148" i="14"/>
  <c r="AK143" i="14"/>
  <c r="P126" i="14"/>
  <c r="N126" i="14"/>
  <c r="AH126" i="14"/>
  <c r="AQ126" i="14"/>
  <c r="O124" i="14"/>
  <c r="AD124" i="14"/>
  <c r="AG124" i="14"/>
  <c r="R124" i="14"/>
  <c r="G124" i="14"/>
  <c r="G165" i="14" s="1"/>
  <c r="G167" i="14" s="1"/>
  <c r="G96" i="14" s="1"/>
  <c r="G103" i="14" s="1"/>
  <c r="G104" i="14" s="1"/>
  <c r="AA136" i="14"/>
  <c r="U136" i="14"/>
  <c r="AT136" i="14"/>
  <c r="T134" i="14"/>
  <c r="AF134" i="14"/>
  <c r="AQ134" i="14"/>
  <c r="AF148" i="14"/>
  <c r="AD143" i="14"/>
  <c r="AG143" i="14"/>
  <c r="AF139" i="14"/>
  <c r="W139" i="14"/>
  <c r="AP155" i="14"/>
  <c r="AK145" i="14"/>
  <c r="AF141" i="14"/>
  <c r="AB141" i="14"/>
  <c r="AF137" i="14"/>
  <c r="Y141" i="14"/>
  <c r="X141" i="14"/>
  <c r="AQ141" i="14"/>
  <c r="AR161" i="14"/>
  <c r="AU163" i="14"/>
  <c r="AV163" i="14" s="1"/>
  <c r="AU158" i="14"/>
  <c r="AB137" i="14"/>
  <c r="AD137" i="14"/>
  <c r="AS137" i="14"/>
  <c r="AO137" i="14"/>
  <c r="S133" i="14"/>
  <c r="AT133" i="14"/>
  <c r="AA133" i="14"/>
  <c r="AC133" i="14"/>
  <c r="AE137" i="14"/>
  <c r="AR141" i="14"/>
  <c r="AA137" i="14"/>
  <c r="Z141" i="14"/>
  <c r="AU141" i="14"/>
  <c r="AL141" i="14"/>
  <c r="AC137" i="14"/>
  <c r="AJ137" i="14"/>
  <c r="AM137" i="14"/>
  <c r="X133" i="14"/>
  <c r="P133" i="14"/>
  <c r="AI133" i="14"/>
  <c r="AE133" i="14"/>
  <c r="AN141" i="14"/>
  <c r="AP137" i="14"/>
  <c r="AH141" i="14"/>
  <c r="AI141" i="14"/>
  <c r="AT141" i="14"/>
  <c r="AS158" i="14"/>
  <c r="U137" i="14"/>
  <c r="AN137" i="14"/>
  <c r="AL137" i="14"/>
  <c r="R133" i="14"/>
  <c r="V133" i="14"/>
  <c r="AJ133" i="14"/>
  <c r="AO133" i="14"/>
  <c r="V137" i="14"/>
  <c r="AS141" i="14"/>
  <c r="AK137" i="14"/>
  <c r="AD141" i="14"/>
  <c r="AE141" i="14"/>
  <c r="AM141" i="14"/>
  <c r="AS161" i="14"/>
  <c r="AP158" i="14"/>
  <c r="T137" i="14"/>
  <c r="AQ137" i="14"/>
  <c r="AT137" i="14"/>
  <c r="W133" i="14"/>
  <c r="AQ133" i="14"/>
  <c r="AU133" i="14"/>
  <c r="AH133" i="14"/>
  <c r="AK141" i="14"/>
  <c r="AU137" i="14"/>
  <c r="AG141" i="14"/>
  <c r="AC141" i="14"/>
  <c r="W137" i="14"/>
  <c r="Z137" i="14"/>
  <c r="AR137" i="14"/>
  <c r="Y133" i="14"/>
  <c r="AR133" i="14"/>
  <c r="AM133" i="14"/>
  <c r="AV135" i="14"/>
  <c r="AX164" i="14"/>
  <c r="J85" i="14"/>
  <c r="K82" i="14" s="1"/>
  <c r="J86" i="14"/>
  <c r="K79" i="14"/>
  <c r="L75" i="14" s="1"/>
  <c r="L78" i="14" s="1"/>
  <c r="K84" i="14"/>
  <c r="AD318" i="12"/>
  <c r="AD268" i="11"/>
  <c r="AD318" i="11" s="1"/>
  <c r="T172" i="11"/>
  <c r="AK243" i="12"/>
  <c r="AK243" i="11" s="1"/>
  <c r="AD293" i="12"/>
  <c r="AD291" i="12"/>
  <c r="AD241" i="11"/>
  <c r="AD291" i="11" s="1"/>
  <c r="T319" i="11"/>
  <c r="T70" i="11"/>
  <c r="T72" i="11" s="1"/>
  <c r="AD282" i="11"/>
  <c r="AD281" i="11"/>
  <c r="AD292" i="11"/>
  <c r="T320" i="12"/>
  <c r="T322" i="12" s="1"/>
  <c r="T270" i="11"/>
  <c r="T272" i="11" s="1"/>
  <c r="AK140" i="12"/>
  <c r="AK140" i="11" s="1"/>
  <c r="AF140" i="11"/>
  <c r="AK261" i="12"/>
  <c r="AK261" i="11" s="1"/>
  <c r="AF261" i="11"/>
  <c r="AD279" i="11"/>
  <c r="AK211" i="12"/>
  <c r="AK211" i="11" s="1"/>
  <c r="AF211" i="11"/>
  <c r="AK231" i="12"/>
  <c r="AK231" i="11" s="1"/>
  <c r="AF231" i="11"/>
  <c r="AK147" i="12"/>
  <c r="AK147" i="11" s="1"/>
  <c r="AF147" i="11"/>
  <c r="AK159" i="12"/>
  <c r="AK159" i="11" s="1"/>
  <c r="AF159" i="11"/>
  <c r="T222" i="11"/>
  <c r="AD255" i="11"/>
  <c r="AD305" i="11" s="1"/>
  <c r="AF55" i="11"/>
  <c r="AK188" i="12"/>
  <c r="AK188" i="11" s="1"/>
  <c r="AF188" i="11"/>
  <c r="AK206" i="12"/>
  <c r="AK206" i="11" s="1"/>
  <c r="AF206" i="11"/>
  <c r="AK190" i="12"/>
  <c r="AK190" i="11" s="1"/>
  <c r="AF190" i="11"/>
  <c r="AK146" i="12"/>
  <c r="AK146" i="11" s="1"/>
  <c r="AF146" i="11"/>
  <c r="AK207" i="12"/>
  <c r="AK207" i="11" s="1"/>
  <c r="AF207" i="11"/>
  <c r="AD170" i="11"/>
  <c r="AD172" i="11" s="1"/>
  <c r="AD234" i="11"/>
  <c r="AD284" i="11" s="1"/>
  <c r="AK169" i="12"/>
  <c r="AK169" i="11" s="1"/>
  <c r="AF169" i="11"/>
  <c r="AK268" i="12"/>
  <c r="AK268" i="11" s="1"/>
  <c r="AF268" i="11"/>
  <c r="AF294" i="12"/>
  <c r="AD244" i="11"/>
  <c r="AD294" i="11" s="1"/>
  <c r="AK139" i="12"/>
  <c r="AK139" i="11" s="1"/>
  <c r="AF139" i="11"/>
  <c r="AF303" i="12"/>
  <c r="AD253" i="11"/>
  <c r="AD303" i="11" s="1"/>
  <c r="AK155" i="12"/>
  <c r="AK155" i="11" s="1"/>
  <c r="AF155" i="11"/>
  <c r="AK168" i="12"/>
  <c r="AK168" i="11" s="1"/>
  <c r="AF168" i="11"/>
  <c r="AF279" i="12"/>
  <c r="AF29" i="11"/>
  <c r="AK150" i="12"/>
  <c r="AK150" i="11" s="1"/>
  <c r="AF150" i="11"/>
  <c r="AK203" i="12"/>
  <c r="AK203" i="11" s="1"/>
  <c r="AF203" i="11"/>
  <c r="AK266" i="12"/>
  <c r="AK266" i="11" s="1"/>
  <c r="AF266" i="11"/>
  <c r="AD221" i="11"/>
  <c r="AF295" i="12"/>
  <c r="AD245" i="11"/>
  <c r="AD295" i="11" s="1"/>
  <c r="O279" i="11"/>
  <c r="S320" i="11"/>
  <c r="S322" i="11" s="1"/>
  <c r="AD305" i="12"/>
  <c r="AK137" i="12"/>
  <c r="AK137" i="11" s="1"/>
  <c r="AF137" i="11"/>
  <c r="AK256" i="12"/>
  <c r="AK256" i="11" s="1"/>
  <c r="AF256" i="11"/>
  <c r="AK213" i="12"/>
  <c r="AK213" i="11" s="1"/>
  <c r="AF213" i="11"/>
  <c r="AK143" i="12"/>
  <c r="AK143" i="11" s="1"/>
  <c r="AF143" i="11"/>
  <c r="AK142" i="12"/>
  <c r="AK142" i="11" s="1"/>
  <c r="AF142" i="11"/>
  <c r="AD316" i="11"/>
  <c r="AK241" i="12"/>
  <c r="AK241" i="11" s="1"/>
  <c r="AF241" i="11"/>
  <c r="AK129" i="12"/>
  <c r="AF129" i="11"/>
  <c r="T283" i="11"/>
  <c r="AF57" i="11"/>
  <c r="AD299" i="11"/>
  <c r="AF308" i="12"/>
  <c r="AD258" i="11"/>
  <c r="AD308" i="11" s="1"/>
  <c r="AK157" i="12"/>
  <c r="AK157" i="11" s="1"/>
  <c r="AF157" i="11"/>
  <c r="AK242" i="12"/>
  <c r="AK242" i="11" s="1"/>
  <c r="AF242" i="11"/>
  <c r="AF316" i="12"/>
  <c r="AF66" i="11"/>
  <c r="AK232" i="12"/>
  <c r="AK232" i="11" s="1"/>
  <c r="AF232" i="11"/>
  <c r="AK165" i="12"/>
  <c r="AK165" i="11" s="1"/>
  <c r="AF165" i="11"/>
  <c r="AK161" i="12"/>
  <c r="AK161" i="11" s="1"/>
  <c r="AF161" i="11"/>
  <c r="AK200" i="12"/>
  <c r="AK200" i="11" s="1"/>
  <c r="AF200" i="11"/>
  <c r="AD319" i="12"/>
  <c r="AD69" i="11"/>
  <c r="AF309" i="12"/>
  <c r="AF59" i="11"/>
  <c r="AF312" i="12"/>
  <c r="AD262" i="11"/>
  <c r="AD312" i="11" s="1"/>
  <c r="AF297" i="12"/>
  <c r="AF47" i="11"/>
  <c r="AK237" i="12"/>
  <c r="AK237" i="11" s="1"/>
  <c r="AF237" i="11"/>
  <c r="AD257" i="11"/>
  <c r="AD307" i="11" s="1"/>
  <c r="AK195" i="12"/>
  <c r="AK195" i="11" s="1"/>
  <c r="AF195" i="11"/>
  <c r="AK216" i="12"/>
  <c r="AK216" i="11" s="1"/>
  <c r="AF216" i="11"/>
  <c r="AF65" i="11"/>
  <c r="AK199" i="12"/>
  <c r="AK199" i="11" s="1"/>
  <c r="AF199" i="11"/>
  <c r="AK153" i="12"/>
  <c r="AK153" i="11" s="1"/>
  <c r="AF153" i="11"/>
  <c r="AF318" i="12"/>
  <c r="AF68" i="11"/>
  <c r="AF54" i="11"/>
  <c r="AD307" i="12"/>
  <c r="AK152" i="12"/>
  <c r="AK152" i="11" s="1"/>
  <c r="AF152" i="11"/>
  <c r="AK162" i="12"/>
  <c r="AK162" i="11" s="1"/>
  <c r="AF162" i="11"/>
  <c r="AK249" i="12"/>
  <c r="AK249" i="11" s="1"/>
  <c r="AF249" i="11"/>
  <c r="AK205" i="12"/>
  <c r="AK205" i="11" s="1"/>
  <c r="AF205" i="11"/>
  <c r="AK167" i="12"/>
  <c r="AK167" i="11" s="1"/>
  <c r="AF167" i="11"/>
  <c r="AK204" i="12"/>
  <c r="AK204" i="11" s="1"/>
  <c r="AF204" i="11"/>
  <c r="AD265" i="11"/>
  <c r="AD315" i="11" s="1"/>
  <c r="AK185" i="12"/>
  <c r="AK185" i="11" s="1"/>
  <c r="AF185" i="11"/>
  <c r="AK160" i="12"/>
  <c r="AK160" i="11" s="1"/>
  <c r="AF160" i="11"/>
  <c r="AK164" i="12"/>
  <c r="AK164" i="11" s="1"/>
  <c r="AF164" i="11"/>
  <c r="AK201" i="12"/>
  <c r="AK201" i="11" s="1"/>
  <c r="AF201" i="11"/>
  <c r="AF67" i="11"/>
  <c r="AK248" i="12"/>
  <c r="AK248" i="11" s="1"/>
  <c r="AF248" i="11"/>
  <c r="AF60" i="11"/>
  <c r="AK202" i="12"/>
  <c r="AK202" i="11" s="1"/>
  <c r="AF202" i="11"/>
  <c r="AF281" i="12"/>
  <c r="AF31" i="11"/>
  <c r="AF314" i="12"/>
  <c r="AD264" i="11"/>
  <c r="AD314" i="11" s="1"/>
  <c r="AD315" i="12"/>
  <c r="AK136" i="12"/>
  <c r="AK136" i="11" s="1"/>
  <c r="AF136" i="11"/>
  <c r="AF280" i="12"/>
  <c r="AF30" i="11"/>
  <c r="AD286" i="11"/>
  <c r="AD219" i="11"/>
  <c r="AD220" i="11" s="1"/>
  <c r="AK218" i="12"/>
  <c r="AK218" i="11" s="1"/>
  <c r="AF218" i="11"/>
  <c r="AK269" i="12"/>
  <c r="AK269" i="11" s="1"/>
  <c r="AF269" i="11"/>
  <c r="AK184" i="12"/>
  <c r="AK184" i="11" s="1"/>
  <c r="AF184" i="11"/>
  <c r="AK138" i="12"/>
  <c r="AK138" i="11" s="1"/>
  <c r="AF138" i="11"/>
  <c r="AF282" i="12"/>
  <c r="AF32" i="11"/>
  <c r="AK158" i="12"/>
  <c r="AK158" i="11" s="1"/>
  <c r="AF158" i="11"/>
  <c r="AK130" i="12"/>
  <c r="AK130" i="11" s="1"/>
  <c r="AF130" i="11"/>
  <c r="AK208" i="12"/>
  <c r="AK208" i="11" s="1"/>
  <c r="AF208" i="11"/>
  <c r="AF35" i="11"/>
  <c r="AK259" i="12"/>
  <c r="AK259" i="11" s="1"/>
  <c r="AF259" i="11"/>
  <c r="AK145" i="12"/>
  <c r="AK145" i="11" s="1"/>
  <c r="AF145" i="11"/>
  <c r="AK131" i="12"/>
  <c r="AK131" i="11" s="1"/>
  <c r="AF131" i="11"/>
  <c r="AK210" i="12"/>
  <c r="AK210" i="11" s="1"/>
  <c r="AF210" i="11"/>
  <c r="AF53" i="11"/>
  <c r="AF45" i="11"/>
  <c r="AF291" i="12"/>
  <c r="AF41" i="11"/>
  <c r="AF38" i="11"/>
  <c r="AF33" i="11"/>
  <c r="AD293" i="11"/>
  <c r="AF44" i="11"/>
  <c r="AF62" i="11"/>
  <c r="AF286" i="12"/>
  <c r="AF36" i="11"/>
  <c r="AD287" i="11"/>
  <c r="AD280" i="11"/>
  <c r="AK154" i="12"/>
  <c r="AK154" i="11" s="1"/>
  <c r="AF154" i="11"/>
  <c r="AF306" i="12"/>
  <c r="AF56" i="11"/>
  <c r="AF58" i="11"/>
  <c r="AK192" i="12"/>
  <c r="AK192" i="11" s="1"/>
  <c r="AF192" i="11"/>
  <c r="AK144" i="12"/>
  <c r="AK144" i="11" s="1"/>
  <c r="AF144" i="11"/>
  <c r="AK193" i="12"/>
  <c r="AK193" i="11" s="1"/>
  <c r="AF193" i="11"/>
  <c r="AF296" i="12"/>
  <c r="AD246" i="11"/>
  <c r="AD296" i="11" s="1"/>
  <c r="AK181" i="12"/>
  <c r="AK181" i="11" s="1"/>
  <c r="AF181" i="11"/>
  <c r="AF40" i="11"/>
  <c r="AK214" i="12"/>
  <c r="AK214" i="11" s="1"/>
  <c r="AF214" i="11"/>
  <c r="AD260" i="11"/>
  <c r="AD310" i="11" s="1"/>
  <c r="AF287" i="12"/>
  <c r="AF37" i="11"/>
  <c r="AK212" i="12"/>
  <c r="AK212" i="11" s="1"/>
  <c r="AF212" i="11"/>
  <c r="AK135" i="12"/>
  <c r="AK135" i="11" s="1"/>
  <c r="AF135" i="11"/>
  <c r="AK194" i="12"/>
  <c r="AK194" i="11" s="1"/>
  <c r="AF194" i="11"/>
  <c r="AD298" i="11"/>
  <c r="AD303" i="12"/>
  <c r="AD295" i="12"/>
  <c r="AK230" i="12"/>
  <c r="AK230" i="11" s="1"/>
  <c r="AF230" i="11"/>
  <c r="AF299" i="12"/>
  <c r="AF49" i="11"/>
  <c r="AF293" i="12"/>
  <c r="AF43" i="11"/>
  <c r="AD312" i="12"/>
  <c r="T321" i="11"/>
  <c r="AK171" i="12"/>
  <c r="AK171" i="11" s="1"/>
  <c r="AF171" i="11"/>
  <c r="AF302" i="12"/>
  <c r="AD252" i="11"/>
  <c r="AD302" i="11" s="1"/>
  <c r="AK187" i="12"/>
  <c r="AK187" i="11" s="1"/>
  <c r="AF187" i="11"/>
  <c r="AK151" i="12"/>
  <c r="AK151" i="11" s="1"/>
  <c r="AF151" i="11"/>
  <c r="AK180" i="12"/>
  <c r="AK180" i="11" s="1"/>
  <c r="AF180" i="11"/>
  <c r="AD267" i="11"/>
  <c r="AD317" i="11" s="1"/>
  <c r="AD308" i="12"/>
  <c r="AK236" i="12"/>
  <c r="AK236" i="11" s="1"/>
  <c r="AF236" i="11"/>
  <c r="AK215" i="12"/>
  <c r="AK215" i="11" s="1"/>
  <c r="AF215" i="11"/>
  <c r="AK186" i="12"/>
  <c r="AK186" i="11" s="1"/>
  <c r="AF186" i="11"/>
  <c r="AK141" i="12"/>
  <c r="AK141" i="11" s="1"/>
  <c r="AF141" i="11"/>
  <c r="AK134" i="12"/>
  <c r="AK134" i="11" s="1"/>
  <c r="AF134" i="11"/>
  <c r="AF52" i="11"/>
  <c r="AK247" i="12"/>
  <c r="AK247" i="11" s="1"/>
  <c r="AF247" i="11"/>
  <c r="AD239" i="11"/>
  <c r="AD289" i="11" s="1"/>
  <c r="AF313" i="12"/>
  <c r="AD263" i="11"/>
  <c r="AD313" i="11" s="1"/>
  <c r="AK229" i="12"/>
  <c r="AF229" i="11"/>
  <c r="AK148" i="12"/>
  <c r="AK148" i="11" s="1"/>
  <c r="AF148" i="11"/>
  <c r="AK132" i="12"/>
  <c r="AK132" i="11" s="1"/>
  <c r="AF132" i="11"/>
  <c r="AK198" i="12"/>
  <c r="AK198" i="11" s="1"/>
  <c r="AF198" i="11"/>
  <c r="AF285" i="12"/>
  <c r="AD235" i="11"/>
  <c r="AD285" i="11" s="1"/>
  <c r="AF39" i="11"/>
  <c r="AF63" i="11"/>
  <c r="AD238" i="11"/>
  <c r="AD288" i="11" s="1"/>
  <c r="AD254" i="11"/>
  <c r="AD304" i="11" s="1"/>
  <c r="AD309" i="11"/>
  <c r="AD321" i="12"/>
  <c r="AD71" i="11"/>
  <c r="AK183" i="12"/>
  <c r="AK183" i="11" s="1"/>
  <c r="AF183" i="11"/>
  <c r="O321" i="11"/>
  <c r="AF301" i="12"/>
  <c r="AD251" i="11"/>
  <c r="AD301" i="11" s="1"/>
  <c r="AD297" i="11"/>
  <c r="AD240" i="11"/>
  <c r="AD290" i="11" s="1"/>
  <c r="AK133" i="12"/>
  <c r="AK133" i="11" s="1"/>
  <c r="AF133" i="11"/>
  <c r="AF50" i="11"/>
  <c r="AK189" i="12"/>
  <c r="AK189" i="11" s="1"/>
  <c r="AF189" i="11"/>
  <c r="AF46" i="11"/>
  <c r="AF311" i="12"/>
  <c r="AF61" i="11"/>
  <c r="AD233" i="11"/>
  <c r="AD311" i="11"/>
  <c r="AK191" i="12"/>
  <c r="AK191" i="11" s="1"/>
  <c r="AF191" i="11"/>
  <c r="AF284" i="12"/>
  <c r="AF34" i="11"/>
  <c r="AK166" i="12"/>
  <c r="AK166" i="11" s="1"/>
  <c r="AF166" i="11"/>
  <c r="AF300" i="12"/>
  <c r="AD250" i="11"/>
  <c r="AD300" i="11" s="1"/>
  <c r="AF51" i="11"/>
  <c r="AD289" i="12"/>
  <c r="AD313" i="12"/>
  <c r="AF298" i="12"/>
  <c r="AF48" i="11"/>
  <c r="AF292" i="12"/>
  <c r="AF42" i="11"/>
  <c r="AK196" i="12"/>
  <c r="AK196" i="11" s="1"/>
  <c r="AF196" i="11"/>
  <c r="AD306" i="11"/>
  <c r="AK209" i="12"/>
  <c r="AK209" i="11" s="1"/>
  <c r="AF209" i="11"/>
  <c r="AK179" i="12"/>
  <c r="AF179" i="11"/>
  <c r="AK149" i="12"/>
  <c r="AK149" i="11" s="1"/>
  <c r="AF149" i="11"/>
  <c r="AF64" i="11"/>
  <c r="AK182" i="12"/>
  <c r="AK182" i="11" s="1"/>
  <c r="AF182" i="11"/>
  <c r="AK217" i="12"/>
  <c r="AK217" i="11" s="1"/>
  <c r="AF217" i="11"/>
  <c r="AK156" i="12"/>
  <c r="AK156" i="11" s="1"/>
  <c r="AF156" i="11"/>
  <c r="AK271" i="12"/>
  <c r="AK271" i="11" s="1"/>
  <c r="AF271" i="11"/>
  <c r="AK163" i="12"/>
  <c r="AK163" i="11" s="1"/>
  <c r="AF163" i="11"/>
  <c r="AK197" i="12"/>
  <c r="AK197" i="11" s="1"/>
  <c r="AF197" i="11"/>
  <c r="AV154" i="14" l="1"/>
  <c r="AW154" i="14" s="1"/>
  <c r="AX154" i="14" s="1"/>
  <c r="H90" i="14"/>
  <c r="I99" i="14" s="1"/>
  <c r="AV147" i="14"/>
  <c r="AW147" i="14" s="1"/>
  <c r="AX147" i="14" s="1"/>
  <c r="AV142" i="14"/>
  <c r="AW142" i="14" s="1"/>
  <c r="AX142" i="14" s="1"/>
  <c r="AV128" i="14"/>
  <c r="AW128" i="14" s="1"/>
  <c r="AX128" i="14" s="1"/>
  <c r="AV159" i="14"/>
  <c r="AW159" i="14" s="1"/>
  <c r="AX159" i="14" s="1"/>
  <c r="I165" i="14"/>
  <c r="I167" i="14" s="1"/>
  <c r="I96" i="14" s="1"/>
  <c r="I103" i="14" s="1"/>
  <c r="AV153" i="14"/>
  <c r="AW153" i="14" s="1"/>
  <c r="AX153" i="14" s="1"/>
  <c r="J165" i="14"/>
  <c r="J167" i="14" s="1"/>
  <c r="J96" i="14" s="1"/>
  <c r="J103" i="14" s="1"/>
  <c r="AV156" i="14"/>
  <c r="AW156" i="14" s="1"/>
  <c r="AX156" i="14" s="1"/>
  <c r="AV130" i="14"/>
  <c r="AW130" i="14" s="1"/>
  <c r="AX130" i="14" s="1"/>
  <c r="AV140" i="14"/>
  <c r="AW140" i="14" s="1"/>
  <c r="AX140" i="14" s="1"/>
  <c r="AV138" i="14"/>
  <c r="AW138" i="14" s="1"/>
  <c r="AX138" i="14" s="1"/>
  <c r="AV150" i="14"/>
  <c r="AW150" i="14" s="1"/>
  <c r="AX150" i="14" s="1"/>
  <c r="AV151" i="14"/>
  <c r="AW151" i="14" s="1"/>
  <c r="AX151" i="14" s="1"/>
  <c r="U165" i="14"/>
  <c r="U167" i="14" s="1"/>
  <c r="U96" i="14" s="1"/>
  <c r="U103" i="14" s="1"/>
  <c r="AV129" i="14"/>
  <c r="AW129" i="14" s="1"/>
  <c r="AX129" i="14" s="1"/>
  <c r="AV152" i="14"/>
  <c r="AW152" i="14" s="1"/>
  <c r="AX152" i="14" s="1"/>
  <c r="AV157" i="14"/>
  <c r="AW157" i="14" s="1"/>
  <c r="AX157" i="14" s="1"/>
  <c r="AV127" i="14"/>
  <c r="AW127" i="14" s="1"/>
  <c r="AX127" i="14" s="1"/>
  <c r="K165" i="14"/>
  <c r="K167" i="14" s="1"/>
  <c r="K96" i="14" s="1"/>
  <c r="K103" i="14" s="1"/>
  <c r="AV149" i="14"/>
  <c r="AW149" i="14" s="1"/>
  <c r="AX149" i="14" s="1"/>
  <c r="AV162" i="14"/>
  <c r="AW162" i="14" s="1"/>
  <c r="AX162" i="14" s="1"/>
  <c r="N165" i="14"/>
  <c r="N167" i="14" s="1"/>
  <c r="N96" i="14" s="1"/>
  <c r="N103" i="14" s="1"/>
  <c r="L165" i="14"/>
  <c r="L167" i="14" s="1"/>
  <c r="L96" i="14" s="1"/>
  <c r="L103" i="14" s="1"/>
  <c r="AV132" i="14"/>
  <c r="AW132" i="14" s="1"/>
  <c r="AX132" i="14" s="1"/>
  <c r="AV136" i="14"/>
  <c r="AW136" i="14" s="1"/>
  <c r="AX136" i="14" s="1"/>
  <c r="T165" i="14"/>
  <c r="T167" i="14" s="1"/>
  <c r="T96" i="14" s="1"/>
  <c r="T103" i="14" s="1"/>
  <c r="AV145" i="14"/>
  <c r="AW145" i="14" s="1"/>
  <c r="AX145" i="14" s="1"/>
  <c r="AJ165" i="14"/>
  <c r="AJ167" i="14" s="1"/>
  <c r="AJ96" i="14" s="1"/>
  <c r="AJ103" i="14" s="1"/>
  <c r="AB165" i="14"/>
  <c r="AB167" i="14" s="1"/>
  <c r="AB96" i="14" s="1"/>
  <c r="AB103" i="14" s="1"/>
  <c r="AV131" i="14"/>
  <c r="AW131" i="14" s="1"/>
  <c r="AX131" i="14" s="1"/>
  <c r="AV144" i="14"/>
  <c r="AW144" i="14" s="1"/>
  <c r="AX144" i="14" s="1"/>
  <c r="AV155" i="14"/>
  <c r="AW155" i="14" s="1"/>
  <c r="AX155" i="14" s="1"/>
  <c r="AV125" i="14"/>
  <c r="AW125" i="14" s="1"/>
  <c r="AX125" i="14" s="1"/>
  <c r="R165" i="14"/>
  <c r="R167" i="14" s="1"/>
  <c r="R96" i="14" s="1"/>
  <c r="R103" i="14" s="1"/>
  <c r="V165" i="14"/>
  <c r="V167" i="14" s="1"/>
  <c r="V96" i="14" s="1"/>
  <c r="V103" i="14" s="1"/>
  <c r="Y165" i="14"/>
  <c r="Y167" i="14" s="1"/>
  <c r="Y96" i="14" s="1"/>
  <c r="Y103" i="14" s="1"/>
  <c r="AI165" i="14"/>
  <c r="AI167" i="14" s="1"/>
  <c r="AI96" i="14" s="1"/>
  <c r="AI103" i="14" s="1"/>
  <c r="AH165" i="14"/>
  <c r="AH167" i="14" s="1"/>
  <c r="AH96" i="14" s="1"/>
  <c r="AH103" i="14" s="1"/>
  <c r="AV146" i="14"/>
  <c r="AW146" i="14" s="1"/>
  <c r="AX146" i="14" s="1"/>
  <c r="AV160" i="14"/>
  <c r="AW160" i="14" s="1"/>
  <c r="AX160" i="14" s="1"/>
  <c r="AO165" i="14"/>
  <c r="AO167" i="14" s="1"/>
  <c r="AO96" i="14" s="1"/>
  <c r="AO103" i="14" s="1"/>
  <c r="AC165" i="14"/>
  <c r="AC167" i="14" s="1"/>
  <c r="AC96" i="14" s="1"/>
  <c r="AC103" i="14" s="1"/>
  <c r="AF165" i="14"/>
  <c r="AF167" i="14" s="1"/>
  <c r="AF96" i="14" s="1"/>
  <c r="AF103" i="14" s="1"/>
  <c r="AV158" i="14"/>
  <c r="AW158" i="14" s="1"/>
  <c r="AX158" i="14" s="1"/>
  <c r="P165" i="14"/>
  <c r="P167" i="14" s="1"/>
  <c r="P96" i="14" s="1"/>
  <c r="P103" i="14" s="1"/>
  <c r="Q165" i="14"/>
  <c r="Q167" i="14" s="1"/>
  <c r="Q96" i="14" s="1"/>
  <c r="Q103" i="14" s="1"/>
  <c r="Z165" i="14"/>
  <c r="Z167" i="14" s="1"/>
  <c r="Z96" i="14" s="1"/>
  <c r="Z103" i="14" s="1"/>
  <c r="AM165" i="14"/>
  <c r="AM167" i="14" s="1"/>
  <c r="AM96" i="14" s="1"/>
  <c r="AM103" i="14" s="1"/>
  <c r="M165" i="14"/>
  <c r="M167" i="14" s="1"/>
  <c r="M96" i="14" s="1"/>
  <c r="M103" i="14" s="1"/>
  <c r="G105" i="14"/>
  <c r="G45" i="14" s="1"/>
  <c r="G52" i="14" s="1"/>
  <c r="AD165" i="14"/>
  <c r="AD167" i="14" s="1"/>
  <c r="AD96" i="14" s="1"/>
  <c r="AD103" i="14" s="1"/>
  <c r="AT165" i="14"/>
  <c r="AT167" i="14" s="1"/>
  <c r="AT96" i="14" s="1"/>
  <c r="AT103" i="14" s="1"/>
  <c r="AR165" i="14"/>
  <c r="AR167" i="14" s="1"/>
  <c r="AR96" i="14" s="1"/>
  <c r="AR103" i="14" s="1"/>
  <c r="AV134" i="14"/>
  <c r="AW134" i="14" s="1"/>
  <c r="AX134" i="14" s="1"/>
  <c r="O165" i="14"/>
  <c r="O167" i="14" s="1"/>
  <c r="O96" i="14" s="1"/>
  <c r="O103" i="14" s="1"/>
  <c r="AV139" i="14"/>
  <c r="AW139" i="14" s="1"/>
  <c r="AX139" i="14" s="1"/>
  <c r="AK165" i="14"/>
  <c r="AK167" i="14" s="1"/>
  <c r="AK96" i="14" s="1"/>
  <c r="AK103" i="14" s="1"/>
  <c r="AU165" i="14"/>
  <c r="AU167" i="14" s="1"/>
  <c r="AU96" i="14" s="1"/>
  <c r="AU103" i="14" s="1"/>
  <c r="S165" i="14"/>
  <c r="S167" i="14" s="1"/>
  <c r="S96" i="14" s="1"/>
  <c r="S103" i="14" s="1"/>
  <c r="AL165" i="14"/>
  <c r="AL167" i="14" s="1"/>
  <c r="AL96" i="14" s="1"/>
  <c r="AL103" i="14" s="1"/>
  <c r="AV143" i="14"/>
  <c r="AW143" i="14" s="1"/>
  <c r="AX143" i="14" s="1"/>
  <c r="AV126" i="14"/>
  <c r="AW126" i="14" s="1"/>
  <c r="AX126" i="14" s="1"/>
  <c r="AV148" i="14"/>
  <c r="AW148" i="14" s="1"/>
  <c r="AX148" i="14" s="1"/>
  <c r="AP165" i="14"/>
  <c r="AP167" i="14" s="1"/>
  <c r="AP96" i="14" s="1"/>
  <c r="AP103" i="14" s="1"/>
  <c r="W165" i="14"/>
  <c r="W167" i="14" s="1"/>
  <c r="W96" i="14" s="1"/>
  <c r="W103" i="14" s="1"/>
  <c r="AG165" i="14"/>
  <c r="AG167" i="14" s="1"/>
  <c r="AG96" i="14" s="1"/>
  <c r="AG103" i="14" s="1"/>
  <c r="AQ165" i="14"/>
  <c r="AQ167" i="14" s="1"/>
  <c r="AQ96" i="14" s="1"/>
  <c r="AQ103" i="14" s="1"/>
  <c r="AS165" i="14"/>
  <c r="AS167" i="14" s="1"/>
  <c r="AS96" i="14" s="1"/>
  <c r="AS103" i="14" s="1"/>
  <c r="X165" i="14"/>
  <c r="X167" i="14" s="1"/>
  <c r="X96" i="14" s="1"/>
  <c r="X103" i="14" s="1"/>
  <c r="AV141" i="14"/>
  <c r="AW141" i="14" s="1"/>
  <c r="AX141" i="14" s="1"/>
  <c r="AN165" i="14"/>
  <c r="AN167" i="14" s="1"/>
  <c r="AN96" i="14" s="1"/>
  <c r="AN103" i="14" s="1"/>
  <c r="AA165" i="14"/>
  <c r="AA167" i="14" s="1"/>
  <c r="AA96" i="14" s="1"/>
  <c r="AA103" i="14" s="1"/>
  <c r="AV133" i="14"/>
  <c r="AW133" i="14" s="1"/>
  <c r="AX133" i="14" s="1"/>
  <c r="AV137" i="14"/>
  <c r="AW137" i="14" s="1"/>
  <c r="AX137" i="14" s="1"/>
  <c r="AE165" i="14"/>
  <c r="AE167" i="14" s="1"/>
  <c r="AE96" i="14" s="1"/>
  <c r="AE103" i="14" s="1"/>
  <c r="AV124" i="14"/>
  <c r="AW124" i="14" s="1"/>
  <c r="AX124" i="14" s="1"/>
  <c r="AV161" i="14"/>
  <c r="AW161" i="14" s="1"/>
  <c r="H104" i="14"/>
  <c r="H105" i="14"/>
  <c r="H45" i="14" s="1"/>
  <c r="H52" i="14" s="1"/>
  <c r="AW135" i="14"/>
  <c r="AX135" i="14" s="1"/>
  <c r="AW163" i="14"/>
  <c r="AX163" i="14" s="1"/>
  <c r="K85" i="14"/>
  <c r="L82" i="14" s="1"/>
  <c r="K86" i="14"/>
  <c r="L79" i="14"/>
  <c r="M75" i="14" s="1"/>
  <c r="M78" i="14" s="1"/>
  <c r="L84" i="14"/>
  <c r="G23" i="14" a="1"/>
  <c r="AF243" i="11"/>
  <c r="AF293" i="11" s="1"/>
  <c r="T320" i="11"/>
  <c r="T322" i="11" s="1"/>
  <c r="AF282" i="11"/>
  <c r="AD320" i="12"/>
  <c r="AD322" i="12" s="1"/>
  <c r="AD270" i="11"/>
  <c r="AD272" i="11" s="1"/>
  <c r="AF281" i="11"/>
  <c r="AK240" i="12"/>
  <c r="AK240" i="11" s="1"/>
  <c r="AF240" i="11"/>
  <c r="AF290" i="11" s="1"/>
  <c r="AK39" i="11"/>
  <c r="AK239" i="12"/>
  <c r="AK239" i="11" s="1"/>
  <c r="AF239" i="11"/>
  <c r="AF289" i="11" s="1"/>
  <c r="AK280" i="12"/>
  <c r="AK30" i="11"/>
  <c r="AK280" i="11" s="1"/>
  <c r="AF297" i="11"/>
  <c r="AD319" i="11"/>
  <c r="AD222" i="11"/>
  <c r="AF318" i="11"/>
  <c r="AK255" i="12"/>
  <c r="AK255" i="11" s="1"/>
  <c r="AF255" i="11"/>
  <c r="AF305" i="11" s="1"/>
  <c r="AF311" i="11"/>
  <c r="AK179" i="11"/>
  <c r="AK233" i="12"/>
  <c r="AK233" i="11" s="1"/>
  <c r="AF233" i="11"/>
  <c r="AF283" i="11" s="1"/>
  <c r="AK254" i="12"/>
  <c r="AK254" i="11" s="1"/>
  <c r="AF254" i="11"/>
  <c r="AF304" i="11" s="1"/>
  <c r="AF289" i="12"/>
  <c r="AF280" i="11"/>
  <c r="AK33" i="11"/>
  <c r="AK35" i="11"/>
  <c r="AK281" i="12"/>
  <c r="AK31" i="11"/>
  <c r="AK281" i="11" s="1"/>
  <c r="AK60" i="11"/>
  <c r="AK297" i="12"/>
  <c r="AK47" i="11"/>
  <c r="AK297" i="11" s="1"/>
  <c r="AF319" i="12"/>
  <c r="AF69" i="11"/>
  <c r="AK221" i="12"/>
  <c r="AK221" i="11" s="1"/>
  <c r="AF221" i="11"/>
  <c r="AK292" i="12"/>
  <c r="AK42" i="11"/>
  <c r="AK292" i="11" s="1"/>
  <c r="AK51" i="11"/>
  <c r="AK260" i="12"/>
  <c r="AK260" i="11" s="1"/>
  <c r="AF260" i="11"/>
  <c r="AF310" i="11" s="1"/>
  <c r="AK62" i="11"/>
  <c r="AF283" i="12"/>
  <c r="AK45" i="11"/>
  <c r="AK282" i="12"/>
  <c r="AK32" i="11"/>
  <c r="AK282" i="11" s="1"/>
  <c r="AF310" i="12"/>
  <c r="AF170" i="11"/>
  <c r="AF172" i="11" s="1"/>
  <c r="AF316" i="11"/>
  <c r="AF279" i="11"/>
  <c r="AK34" i="11"/>
  <c r="AK311" i="12"/>
  <c r="AK61" i="11"/>
  <c r="AK311" i="11" s="1"/>
  <c r="AK50" i="11"/>
  <c r="AD321" i="11"/>
  <c r="AK238" i="12"/>
  <c r="AK238" i="11" s="1"/>
  <c r="AF238" i="11"/>
  <c r="AF288" i="11" s="1"/>
  <c r="AK235" i="12"/>
  <c r="AK235" i="11" s="1"/>
  <c r="AF235" i="11"/>
  <c r="AF285" i="11" s="1"/>
  <c r="AK229" i="11"/>
  <c r="AD283" i="11"/>
  <c r="AD320" i="11" s="1"/>
  <c r="AF298" i="11"/>
  <c r="AF299" i="11"/>
  <c r="AK54" i="11"/>
  <c r="AK258" i="12"/>
  <c r="AK258" i="11" s="1"/>
  <c r="AF258" i="11"/>
  <c r="AF308" i="11" s="1"/>
  <c r="AK170" i="12"/>
  <c r="AK172" i="12" s="1"/>
  <c r="AK129" i="11"/>
  <c r="AK170" i="11" s="1"/>
  <c r="AK172" i="11" s="1"/>
  <c r="H76" i="4" s="1"/>
  <c r="H83" i="4" s="1"/>
  <c r="AK279" i="12"/>
  <c r="AK29" i="11"/>
  <c r="AK253" i="12"/>
  <c r="AK253" i="11" s="1"/>
  <c r="AF253" i="11"/>
  <c r="AF303" i="11" s="1"/>
  <c r="AD70" i="11"/>
  <c r="AD72" i="11" s="1"/>
  <c r="AK64" i="11"/>
  <c r="AK251" i="12"/>
  <c r="AK251" i="11" s="1"/>
  <c r="AF251" i="11"/>
  <c r="AF301" i="11" s="1"/>
  <c r="AF321" i="12"/>
  <c r="AF71" i="11"/>
  <c r="AK52" i="11"/>
  <c r="AK267" i="12"/>
  <c r="AK267" i="11" s="1"/>
  <c r="AF267" i="11"/>
  <c r="AF317" i="11" s="1"/>
  <c r="AK293" i="12"/>
  <c r="AK43" i="11"/>
  <c r="AK293" i="11" s="1"/>
  <c r="AK246" i="12"/>
  <c r="AK246" i="11" s="1"/>
  <c r="AF246" i="11"/>
  <c r="AF296" i="11" s="1"/>
  <c r="AK58" i="11"/>
  <c r="AK38" i="11"/>
  <c r="AK265" i="12"/>
  <c r="AK265" i="11" s="1"/>
  <c r="AF265" i="11"/>
  <c r="AF315" i="11" s="1"/>
  <c r="AF304" i="12"/>
  <c r="AK257" i="12"/>
  <c r="AK257" i="11" s="1"/>
  <c r="AF257" i="11"/>
  <c r="AF307" i="11" s="1"/>
  <c r="AK262" i="12"/>
  <c r="AK262" i="11" s="1"/>
  <c r="AF262" i="11"/>
  <c r="AF312" i="11" s="1"/>
  <c r="AK316" i="12"/>
  <c r="AK66" i="11"/>
  <c r="AK316" i="11" s="1"/>
  <c r="AK298" i="12"/>
  <c r="AK48" i="11"/>
  <c r="AK298" i="11" s="1"/>
  <c r="AK250" i="12"/>
  <c r="AK250" i="11" s="1"/>
  <c r="AF250" i="11"/>
  <c r="AF300" i="11" s="1"/>
  <c r="AK63" i="11"/>
  <c r="AK252" i="12"/>
  <c r="AK252" i="11" s="1"/>
  <c r="AF252" i="11"/>
  <c r="AF302" i="11" s="1"/>
  <c r="AF286" i="11"/>
  <c r="AK44" i="11"/>
  <c r="AF288" i="12"/>
  <c r="AK53" i="11"/>
  <c r="AK219" i="12"/>
  <c r="AK219" i="11" s="1"/>
  <c r="AF219" i="11"/>
  <c r="AF220" i="11" s="1"/>
  <c r="AK65" i="11"/>
  <c r="AF287" i="11"/>
  <c r="AF291" i="11"/>
  <c r="AK55" i="11"/>
  <c r="AK46" i="11"/>
  <c r="AK263" i="12"/>
  <c r="AK263" i="11" s="1"/>
  <c r="AF263" i="11"/>
  <c r="AF313" i="11" s="1"/>
  <c r="AK40" i="11"/>
  <c r="AK286" i="12"/>
  <c r="AK36" i="11"/>
  <c r="AK286" i="11" s="1"/>
  <c r="AF309" i="11"/>
  <c r="AK67" i="11"/>
  <c r="AK318" i="12"/>
  <c r="AK68" i="11"/>
  <c r="AK318" i="11" s="1"/>
  <c r="AF315" i="12"/>
  <c r="AK309" i="12"/>
  <c r="AK59" i="11"/>
  <c r="AK309" i="11" s="1"/>
  <c r="AF292" i="11"/>
  <c r="AK57" i="11"/>
  <c r="AK234" i="12"/>
  <c r="AK234" i="11" s="1"/>
  <c r="AF234" i="11"/>
  <c r="AF284" i="11" s="1"/>
  <c r="AF305" i="12"/>
  <c r="AK299" i="12"/>
  <c r="AK49" i="11"/>
  <c r="AK299" i="11" s="1"/>
  <c r="AK287" i="12"/>
  <c r="AK37" i="11"/>
  <c r="AK287" i="11" s="1"/>
  <c r="AF290" i="12"/>
  <c r="AK306" i="12"/>
  <c r="AK56" i="11"/>
  <c r="AK306" i="11" s="1"/>
  <c r="AK291" i="12"/>
  <c r="AK41" i="11"/>
  <c r="AK291" i="11" s="1"/>
  <c r="AK264" i="12"/>
  <c r="AK264" i="11" s="1"/>
  <c r="AF264" i="11"/>
  <c r="AF314" i="11" s="1"/>
  <c r="AF317" i="12"/>
  <c r="AF307" i="12"/>
  <c r="AF306" i="11"/>
  <c r="AK245" i="12"/>
  <c r="AK245" i="11" s="1"/>
  <c r="AF245" i="11"/>
  <c r="AF295" i="11" s="1"/>
  <c r="AK244" i="12"/>
  <c r="AK244" i="11" s="1"/>
  <c r="AF244" i="11"/>
  <c r="AF294" i="11" s="1"/>
  <c r="I88" i="14" l="1"/>
  <c r="I89" i="14" s="1"/>
  <c r="I101" i="14" s="1"/>
  <c r="I105" i="14" s="1"/>
  <c r="I45" i="14" s="1"/>
  <c r="I52" i="14" s="1"/>
  <c r="AX161" i="14"/>
  <c r="AX165" i="14" s="1"/>
  <c r="AX167" i="14" s="1"/>
  <c r="AX96" i="14" s="1"/>
  <c r="AV165" i="14"/>
  <c r="AV167" i="14" s="1"/>
  <c r="AV96" i="14" s="1"/>
  <c r="AW165" i="14"/>
  <c r="AW167" i="14" s="1"/>
  <c r="AW96" i="14" s="1"/>
  <c r="AW103" i="14" s="1"/>
  <c r="L85" i="14"/>
  <c r="M82" i="14" s="1"/>
  <c r="L86" i="14"/>
  <c r="M79" i="14"/>
  <c r="N75" i="14" s="1"/>
  <c r="N78" i="14" s="1"/>
  <c r="M84" i="14"/>
  <c r="I23" i="14"/>
  <c r="Q23" i="14"/>
  <c r="Y23" i="14"/>
  <c r="AG23" i="14"/>
  <c r="AO23" i="14"/>
  <c r="AW23" i="14"/>
  <c r="M24" i="14"/>
  <c r="U24" i="14"/>
  <c r="AC24" i="14"/>
  <c r="AK24" i="14"/>
  <c r="AS24" i="14"/>
  <c r="I25" i="14"/>
  <c r="Q25" i="14"/>
  <c r="Y25" i="14"/>
  <c r="AG25" i="14"/>
  <c r="AO25" i="14"/>
  <c r="AW25" i="14"/>
  <c r="J23" i="14"/>
  <c r="R23" i="14"/>
  <c r="Z23" i="14"/>
  <c r="AH23" i="14"/>
  <c r="AP23" i="14"/>
  <c r="AX23" i="14"/>
  <c r="N24" i="14"/>
  <c r="V24" i="14"/>
  <c r="AD24" i="14"/>
  <c r="AL24" i="14"/>
  <c r="AT24" i="14"/>
  <c r="J25" i="14"/>
  <c r="R25" i="14"/>
  <c r="Z25" i="14"/>
  <c r="AH25" i="14"/>
  <c r="AP25" i="14"/>
  <c r="AX25" i="14"/>
  <c r="K23" i="14"/>
  <c r="S23" i="14"/>
  <c r="AA23" i="14"/>
  <c r="AI23" i="14"/>
  <c r="AQ23" i="14"/>
  <c r="G24" i="14"/>
  <c r="O24" i="14"/>
  <c r="W24" i="14"/>
  <c r="AE24" i="14"/>
  <c r="AM24" i="14"/>
  <c r="AU24" i="14"/>
  <c r="K25" i="14"/>
  <c r="S25" i="14"/>
  <c r="AA25" i="14"/>
  <c r="AI25" i="14"/>
  <c r="AQ25" i="14"/>
  <c r="L23" i="14"/>
  <c r="T23" i="14"/>
  <c r="AB23" i="14"/>
  <c r="AJ23" i="14"/>
  <c r="AR23" i="14"/>
  <c r="H24" i="14"/>
  <c r="P24" i="14"/>
  <c r="X24" i="14"/>
  <c r="AF24" i="14"/>
  <c r="AN24" i="14"/>
  <c r="AV24" i="14"/>
  <c r="L25" i="14"/>
  <c r="T25" i="14"/>
  <c r="AB25" i="14"/>
  <c r="AJ25" i="14"/>
  <c r="AR25" i="14"/>
  <c r="M23" i="14"/>
  <c r="U23" i="14"/>
  <c r="AC23" i="14"/>
  <c r="AK23" i="14"/>
  <c r="AS23" i="14"/>
  <c r="I24" i="14"/>
  <c r="Q24" i="14"/>
  <c r="Y24" i="14"/>
  <c r="AG24" i="14"/>
  <c r="AO24" i="14"/>
  <c r="AW24" i="14"/>
  <c r="M25" i="14"/>
  <c r="U25" i="14"/>
  <c r="AC25" i="14"/>
  <c r="AK25" i="14"/>
  <c r="AS25" i="14"/>
  <c r="N23" i="14"/>
  <c r="V23" i="14"/>
  <c r="AD23" i="14"/>
  <c r="G23" i="14"/>
  <c r="AL23" i="14"/>
  <c r="L24" i="14"/>
  <c r="AI24" i="14"/>
  <c r="N25" i="14"/>
  <c r="AF25" i="14"/>
  <c r="H23" i="14"/>
  <c r="AM23" i="14"/>
  <c r="R24" i="14"/>
  <c r="AJ24" i="14"/>
  <c r="O25" i="14"/>
  <c r="AL25" i="14"/>
  <c r="O23" i="14"/>
  <c r="AN23" i="14"/>
  <c r="S24" i="14"/>
  <c r="AP24" i="14"/>
  <c r="P25" i="14"/>
  <c r="AM25" i="14"/>
  <c r="P23" i="14"/>
  <c r="AT23" i="14"/>
  <c r="T24" i="14"/>
  <c r="AQ24" i="14"/>
  <c r="V25" i="14"/>
  <c r="AN25" i="14"/>
  <c r="W23" i="14"/>
  <c r="AU23" i="14"/>
  <c r="Z24" i="14"/>
  <c r="AR24" i="14"/>
  <c r="W25" i="14"/>
  <c r="AT25" i="14"/>
  <c r="X23" i="14"/>
  <c r="AV23" i="14"/>
  <c r="AA24" i="14"/>
  <c r="AX24" i="14"/>
  <c r="X25" i="14"/>
  <c r="AU25" i="14"/>
  <c r="AE23" i="14"/>
  <c r="J24" i="14"/>
  <c r="AB24" i="14"/>
  <c r="G25" i="14"/>
  <c r="AD25" i="14"/>
  <c r="AV25" i="14"/>
  <c r="AF23" i="14"/>
  <c r="K24" i="14"/>
  <c r="AH24" i="14"/>
  <c r="H25" i="14"/>
  <c r="AE25" i="14"/>
  <c r="AK300" i="11"/>
  <c r="AK317" i="12"/>
  <c r="AK308" i="12"/>
  <c r="AK296" i="11"/>
  <c r="AK312" i="11"/>
  <c r="AK296" i="12"/>
  <c r="AK290" i="12"/>
  <c r="AK295" i="11"/>
  <c r="AK307" i="12"/>
  <c r="AK289" i="11"/>
  <c r="AK303" i="11"/>
  <c r="AK303" i="12"/>
  <c r="AK314" i="11"/>
  <c r="AK284" i="12"/>
  <c r="AK302" i="11"/>
  <c r="AK288" i="11"/>
  <c r="AF320" i="12"/>
  <c r="AF322" i="12" s="1"/>
  <c r="AK313" i="11"/>
  <c r="AK312" i="12"/>
  <c r="AK302" i="12"/>
  <c r="AK314" i="12"/>
  <c r="AD322" i="11"/>
  <c r="AK301" i="12"/>
  <c r="AF319" i="11"/>
  <c r="AF320" i="11" s="1"/>
  <c r="AK315" i="11"/>
  <c r="AK294" i="12"/>
  <c r="AF321" i="11"/>
  <c r="AK270" i="11"/>
  <c r="AK272" i="11" s="1"/>
  <c r="H78" i="4" s="1"/>
  <c r="AK285" i="12"/>
  <c r="AK305" i="11"/>
  <c r="AK315" i="12"/>
  <c r="AK321" i="12"/>
  <c r="AK71" i="11"/>
  <c r="AK308" i="11"/>
  <c r="AK270" i="12"/>
  <c r="AK272" i="12" s="1"/>
  <c r="AK300" i="12"/>
  <c r="AK283" i="11"/>
  <c r="AK313" i="12"/>
  <c r="AK294" i="11"/>
  <c r="AK305" i="12"/>
  <c r="AK307" i="11"/>
  <c r="AK279" i="11"/>
  <c r="AK304" i="11"/>
  <c r="AF70" i="11"/>
  <c r="AF72" i="11" s="1"/>
  <c r="AK295" i="12"/>
  <c r="AF270" i="11"/>
  <c r="AF272" i="11" s="1"/>
  <c r="AK283" i="12"/>
  <c r="AK289" i="12"/>
  <c r="AK319" i="12"/>
  <c r="AK69" i="11"/>
  <c r="AK319" i="11" s="1"/>
  <c r="AK288" i="12"/>
  <c r="AK304" i="12"/>
  <c r="AK285" i="11"/>
  <c r="AK310" i="11"/>
  <c r="AK220" i="11"/>
  <c r="AK317" i="11"/>
  <c r="AK301" i="11"/>
  <c r="AK284" i="11"/>
  <c r="AF222" i="11"/>
  <c r="AK310" i="12"/>
  <c r="AK220" i="12"/>
  <c r="AK222" i="12" s="1"/>
  <c r="AK290" i="11"/>
  <c r="I90" i="14" l="1"/>
  <c r="J88" i="14" s="1"/>
  <c r="J89" i="14" s="1"/>
  <c r="I104" i="14"/>
  <c r="M85" i="14"/>
  <c r="N82" i="14" s="1"/>
  <c r="M86" i="14"/>
  <c r="N79" i="14"/>
  <c r="O75" i="14" s="1"/>
  <c r="O78" i="14" s="1"/>
  <c r="N84" i="14"/>
  <c r="W26" i="14"/>
  <c r="W28" i="14" s="1"/>
  <c r="W37" i="14" s="1"/>
  <c r="AF26" i="14"/>
  <c r="AF28" i="14" s="1"/>
  <c r="AF42" i="14" s="1"/>
  <c r="AF56" i="14" s="1"/>
  <c r="AF67" i="14" s="1"/>
  <c r="AS26" i="14"/>
  <c r="AS28" i="14" s="1"/>
  <c r="AS42" i="14" s="1"/>
  <c r="AS56" i="14" s="1"/>
  <c r="AS67" i="14" s="1"/>
  <c r="AQ26" i="14"/>
  <c r="AQ28" i="14" s="1"/>
  <c r="AQ38" i="14" s="1"/>
  <c r="P26" i="14"/>
  <c r="P28" i="14" s="1"/>
  <c r="AK26" i="14"/>
  <c r="AK28" i="14" s="1"/>
  <c r="AP26" i="14"/>
  <c r="AP28" i="14" s="1"/>
  <c r="AU26" i="14"/>
  <c r="AU28" i="14" s="1"/>
  <c r="AL26" i="14"/>
  <c r="AL28" i="14" s="1"/>
  <c r="AR26" i="14"/>
  <c r="AR28" i="14" s="1"/>
  <c r="AI26" i="14"/>
  <c r="AI28" i="14" s="1"/>
  <c r="AW26" i="14"/>
  <c r="AW28" i="14" s="1"/>
  <c r="AJ26" i="14"/>
  <c r="AJ28" i="14" s="1"/>
  <c r="AV26" i="14"/>
  <c r="AV28" i="14" s="1"/>
  <c r="AM26" i="14"/>
  <c r="AM28" i="14" s="1"/>
  <c r="AD26" i="14"/>
  <c r="AD28" i="14" s="1"/>
  <c r="AC26" i="14"/>
  <c r="AC28" i="14" s="1"/>
  <c r="AB26" i="14"/>
  <c r="AB28" i="14" s="1"/>
  <c r="AA26" i="14"/>
  <c r="AA28" i="14" s="1"/>
  <c r="AH26" i="14"/>
  <c r="AH28" i="14" s="1"/>
  <c r="AO26" i="14"/>
  <c r="AO28" i="14" s="1"/>
  <c r="X26" i="14"/>
  <c r="X28" i="14" s="1"/>
  <c r="V26" i="14"/>
  <c r="V28" i="14" s="1"/>
  <c r="T26" i="14"/>
  <c r="T28" i="14" s="1"/>
  <c r="S26" i="14"/>
  <c r="S28" i="14" s="1"/>
  <c r="AN26" i="14"/>
  <c r="AN28" i="14" s="1"/>
  <c r="N26" i="14"/>
  <c r="N28" i="14" s="1"/>
  <c r="M26" i="14"/>
  <c r="M28" i="14" s="1"/>
  <c r="L26" i="14"/>
  <c r="L28" i="14" s="1"/>
  <c r="K26" i="14"/>
  <c r="K28" i="14" s="1"/>
  <c r="R26" i="14"/>
  <c r="R28" i="14" s="1"/>
  <c r="Y26" i="14"/>
  <c r="Y28" i="14" s="1"/>
  <c r="AX26" i="14"/>
  <c r="AX28" i="14" s="1"/>
  <c r="U26" i="14"/>
  <c r="U28" i="14" s="1"/>
  <c r="AG26" i="14"/>
  <c r="AG28" i="14" s="1"/>
  <c r="AE26" i="14"/>
  <c r="AE28" i="14" s="1"/>
  <c r="O26" i="14"/>
  <c r="O28" i="14" s="1"/>
  <c r="J26" i="14"/>
  <c r="J28" i="14" s="1"/>
  <c r="Q26" i="14"/>
  <c r="Q28" i="14" s="1"/>
  <c r="Z26" i="14"/>
  <c r="Z28" i="14" s="1"/>
  <c r="AT26" i="14"/>
  <c r="AT28" i="14" s="1"/>
  <c r="H26" i="14"/>
  <c r="H28" i="14" s="1"/>
  <c r="I26" i="14"/>
  <c r="I28" i="14" s="1"/>
  <c r="G26" i="14"/>
  <c r="G28" i="14" s="1"/>
  <c r="AK320" i="12"/>
  <c r="AK322" i="12" s="1"/>
  <c r="AK321" i="11"/>
  <c r="AK70" i="11"/>
  <c r="AK72" i="11" s="1"/>
  <c r="H74" i="4" s="1"/>
  <c r="H82" i="4" s="1"/>
  <c r="AF322" i="11"/>
  <c r="AK222" i="11"/>
  <c r="H77" i="4" s="1"/>
  <c r="H86" i="4"/>
  <c r="H87" i="4" l="1"/>
  <c r="H79" i="4"/>
  <c r="J99" i="14"/>
  <c r="AS43" i="14"/>
  <c r="AF43" i="14"/>
  <c r="J90" i="14"/>
  <c r="J101" i="14"/>
  <c r="J105" i="14" s="1"/>
  <c r="J45" i="14" s="1"/>
  <c r="J52" i="14" s="1"/>
  <c r="N85" i="14"/>
  <c r="O82" i="14" s="1"/>
  <c r="N86" i="14"/>
  <c r="O79" i="14"/>
  <c r="P75" i="14" s="1"/>
  <c r="P78" i="14" s="1"/>
  <c r="O84" i="14"/>
  <c r="W40" i="14"/>
  <c r="W38" i="14"/>
  <c r="W42" i="14"/>
  <c r="W56" i="14" s="1"/>
  <c r="W67" i="14" s="1"/>
  <c r="AF39" i="14"/>
  <c r="W39" i="14"/>
  <c r="AF40" i="14"/>
  <c r="AF37" i="14"/>
  <c r="AS38" i="14"/>
  <c r="AS40" i="14"/>
  <c r="AF38" i="14"/>
  <c r="AS37" i="14"/>
  <c r="AS39" i="14"/>
  <c r="AQ42" i="14"/>
  <c r="AQ56" i="14" s="1"/>
  <c r="AQ67" i="14" s="1"/>
  <c r="AQ40" i="14"/>
  <c r="AQ37" i="14"/>
  <c r="AQ39" i="14"/>
  <c r="Y42" i="14"/>
  <c r="Y56" i="14" s="1"/>
  <c r="Y67" i="14" s="1"/>
  <c r="Y38" i="14"/>
  <c r="Y37" i="14"/>
  <c r="Y39" i="14"/>
  <c r="Y40" i="14"/>
  <c r="AD42" i="14"/>
  <c r="AD56" i="14" s="1"/>
  <c r="AD67" i="14" s="1"/>
  <c r="AD39" i="14"/>
  <c r="AD37" i="14"/>
  <c r="AD38" i="14"/>
  <c r="AD40" i="14"/>
  <c r="AM42" i="14"/>
  <c r="AM56" i="14" s="1"/>
  <c r="AM67" i="14" s="1"/>
  <c r="AM39" i="14"/>
  <c r="AM37" i="14"/>
  <c r="AM38" i="14"/>
  <c r="AM40" i="14"/>
  <c r="X42" i="14"/>
  <c r="X56" i="14" s="1"/>
  <c r="X67" i="14" s="1"/>
  <c r="X37" i="14"/>
  <c r="X38" i="14"/>
  <c r="X39" i="14"/>
  <c r="X40" i="14"/>
  <c r="L42" i="14"/>
  <c r="L56" i="14" s="1"/>
  <c r="L67" i="14" s="1"/>
  <c r="L39" i="14"/>
  <c r="L37" i="14"/>
  <c r="L38" i="14"/>
  <c r="L40" i="14"/>
  <c r="AE42" i="14"/>
  <c r="AE56" i="14" s="1"/>
  <c r="AE67" i="14" s="1"/>
  <c r="AE37" i="14"/>
  <c r="AE39" i="14"/>
  <c r="AE38" i="14"/>
  <c r="AE40" i="14"/>
  <c r="M42" i="14"/>
  <c r="M56" i="14" s="1"/>
  <c r="M67" i="14" s="1"/>
  <c r="M37" i="14"/>
  <c r="M39" i="14"/>
  <c r="M38" i="14"/>
  <c r="M40" i="14"/>
  <c r="AH42" i="14"/>
  <c r="AH56" i="14" s="1"/>
  <c r="AH67" i="14" s="1"/>
  <c r="AH37" i="14"/>
  <c r="AH39" i="14"/>
  <c r="AH38" i="14"/>
  <c r="AH40" i="14"/>
  <c r="AW42" i="14"/>
  <c r="AW56" i="14" s="1"/>
  <c r="AW67" i="14" s="1"/>
  <c r="AW38" i="14"/>
  <c r="AW37" i="14"/>
  <c r="AW40" i="14"/>
  <c r="AW39" i="14"/>
  <c r="Z42" i="14"/>
  <c r="Z56" i="14" s="1"/>
  <c r="Z67" i="14" s="1"/>
  <c r="Z37" i="14"/>
  <c r="Z38" i="14"/>
  <c r="Z39" i="14"/>
  <c r="Z40" i="14"/>
  <c r="AU42" i="14"/>
  <c r="AU56" i="14" s="1"/>
  <c r="AU67" i="14" s="1"/>
  <c r="AU37" i="14"/>
  <c r="AU39" i="14"/>
  <c r="AU38" i="14"/>
  <c r="AU40" i="14"/>
  <c r="Q42" i="14"/>
  <c r="Q56" i="14" s="1"/>
  <c r="Q67" i="14" s="1"/>
  <c r="Q39" i="14"/>
  <c r="Q38" i="14"/>
  <c r="Q37" i="14"/>
  <c r="Q40" i="14"/>
  <c r="AP42" i="14"/>
  <c r="AP56" i="14" s="1"/>
  <c r="AP67" i="14" s="1"/>
  <c r="AP40" i="14"/>
  <c r="AP39" i="14"/>
  <c r="AP38" i="14"/>
  <c r="AP37" i="14"/>
  <c r="AK42" i="14"/>
  <c r="AK56" i="14" s="1"/>
  <c r="AK67" i="14" s="1"/>
  <c r="AK39" i="14"/>
  <c r="AK37" i="14"/>
  <c r="AK38" i="14"/>
  <c r="AK40" i="14"/>
  <c r="O42" i="14"/>
  <c r="O56" i="14" s="1"/>
  <c r="O67" i="14" s="1"/>
  <c r="O39" i="14"/>
  <c r="O37" i="14"/>
  <c r="O38" i="14"/>
  <c r="O40" i="14"/>
  <c r="P42" i="14"/>
  <c r="P56" i="14" s="1"/>
  <c r="P67" i="14" s="1"/>
  <c r="P38" i="14"/>
  <c r="P37" i="14"/>
  <c r="P39" i="14"/>
  <c r="P40" i="14"/>
  <c r="I42" i="14"/>
  <c r="I56" i="14" s="1"/>
  <c r="I67" i="14" s="1"/>
  <c r="I37" i="14"/>
  <c r="I39" i="14"/>
  <c r="I38" i="14"/>
  <c r="I40" i="14"/>
  <c r="AG42" i="14"/>
  <c r="AG56" i="14" s="1"/>
  <c r="AG67" i="14" s="1"/>
  <c r="AG37" i="14"/>
  <c r="AG39" i="14"/>
  <c r="AG38" i="14"/>
  <c r="AG40" i="14"/>
  <c r="N42" i="14"/>
  <c r="N56" i="14" s="1"/>
  <c r="N67" i="14" s="1"/>
  <c r="N38" i="14"/>
  <c r="N39" i="14"/>
  <c r="N37" i="14"/>
  <c r="N40" i="14"/>
  <c r="AA42" i="14"/>
  <c r="AA56" i="14" s="1"/>
  <c r="AA67" i="14" s="1"/>
  <c r="AA38" i="14"/>
  <c r="AA37" i="14"/>
  <c r="AA39" i="14"/>
  <c r="AA40" i="14"/>
  <c r="AI42" i="14"/>
  <c r="AI56" i="14" s="1"/>
  <c r="AI67" i="14" s="1"/>
  <c r="AI38" i="14"/>
  <c r="AI40" i="14"/>
  <c r="AI39" i="14"/>
  <c r="AI37" i="14"/>
  <c r="V42" i="14"/>
  <c r="V56" i="14" s="1"/>
  <c r="V67" i="14" s="1"/>
  <c r="V38" i="14"/>
  <c r="V37" i="14"/>
  <c r="V39" i="14"/>
  <c r="V40" i="14"/>
  <c r="J42" i="14"/>
  <c r="J56" i="14" s="1"/>
  <c r="J67" i="14" s="1"/>
  <c r="J38" i="14"/>
  <c r="J37" i="14"/>
  <c r="J39" i="14"/>
  <c r="J40" i="14"/>
  <c r="AV42" i="14"/>
  <c r="AV37" i="14"/>
  <c r="AV38" i="14"/>
  <c r="AV39" i="14"/>
  <c r="AV40" i="14"/>
  <c r="AO42" i="14"/>
  <c r="AO56" i="14" s="1"/>
  <c r="AO67" i="14" s="1"/>
  <c r="AO39" i="14"/>
  <c r="AO38" i="14"/>
  <c r="AO37" i="14"/>
  <c r="AO40" i="14"/>
  <c r="H42" i="14"/>
  <c r="H56" i="14" s="1"/>
  <c r="H67" i="14" s="1"/>
  <c r="H39" i="14"/>
  <c r="H37" i="14"/>
  <c r="H38" i="14"/>
  <c r="H40" i="14"/>
  <c r="U42" i="14"/>
  <c r="U56" i="14" s="1"/>
  <c r="U67" i="14" s="1"/>
  <c r="U39" i="14"/>
  <c r="U38" i="14"/>
  <c r="U37" i="14"/>
  <c r="U40" i="14"/>
  <c r="AN42" i="14"/>
  <c r="AN56" i="14" s="1"/>
  <c r="AN67" i="14" s="1"/>
  <c r="AN38" i="14"/>
  <c r="AN37" i="14"/>
  <c r="AN39" i="14"/>
  <c r="AN40" i="14"/>
  <c r="AB42" i="14"/>
  <c r="AB56" i="14" s="1"/>
  <c r="AB67" i="14" s="1"/>
  <c r="AB39" i="14"/>
  <c r="AB37" i="14"/>
  <c r="AB38" i="14"/>
  <c r="AB40" i="14"/>
  <c r="AR42" i="14"/>
  <c r="AR56" i="14" s="1"/>
  <c r="AR67" i="14" s="1"/>
  <c r="AR40" i="14"/>
  <c r="AR39" i="14"/>
  <c r="AR37" i="14"/>
  <c r="AR38" i="14"/>
  <c r="T42" i="14"/>
  <c r="T56" i="14" s="1"/>
  <c r="T67" i="14" s="1"/>
  <c r="T39" i="14"/>
  <c r="T37" i="14"/>
  <c r="T38" i="14"/>
  <c r="T40" i="14"/>
  <c r="R42" i="14"/>
  <c r="R56" i="14" s="1"/>
  <c r="R67" i="14" s="1"/>
  <c r="R38" i="14"/>
  <c r="R37" i="14"/>
  <c r="R39" i="14"/>
  <c r="R40" i="14"/>
  <c r="K42" i="14"/>
  <c r="K56" i="14" s="1"/>
  <c r="K67" i="14" s="1"/>
  <c r="K38" i="14"/>
  <c r="K39" i="14"/>
  <c r="K37" i="14"/>
  <c r="K40" i="14"/>
  <c r="AJ42" i="14"/>
  <c r="AJ56" i="14" s="1"/>
  <c r="AJ67" i="14" s="1"/>
  <c r="AJ38" i="14"/>
  <c r="AJ39" i="14"/>
  <c r="AJ37" i="14"/>
  <c r="AJ40" i="14"/>
  <c r="AT42" i="14"/>
  <c r="AT56" i="14" s="1"/>
  <c r="AT67" i="14" s="1"/>
  <c r="AT38" i="14"/>
  <c r="AT40" i="14"/>
  <c r="AT39" i="14"/>
  <c r="AT37" i="14"/>
  <c r="AX42" i="14"/>
  <c r="AX39" i="14"/>
  <c r="AX37" i="14"/>
  <c r="AX38" i="14"/>
  <c r="AX40" i="14"/>
  <c r="S42" i="14"/>
  <c r="S56" i="14" s="1"/>
  <c r="S67" i="14" s="1"/>
  <c r="S38" i="14"/>
  <c r="S39" i="14"/>
  <c r="S37" i="14"/>
  <c r="S40" i="14"/>
  <c r="AC42" i="14"/>
  <c r="AC56" i="14" s="1"/>
  <c r="AC67" i="14" s="1"/>
  <c r="AC37" i="14"/>
  <c r="AC38" i="14"/>
  <c r="AC39" i="14"/>
  <c r="AC40" i="14"/>
  <c r="AL42" i="14"/>
  <c r="AL56" i="14" s="1"/>
  <c r="AL67" i="14" s="1"/>
  <c r="AL38" i="14"/>
  <c r="AL39" i="14"/>
  <c r="AL37" i="14"/>
  <c r="AL40" i="14"/>
  <c r="G38" i="14"/>
  <c r="G39" i="14"/>
  <c r="G40" i="14"/>
  <c r="G42" i="14"/>
  <c r="G56" i="14" s="1"/>
  <c r="G67" i="14" s="1"/>
  <c r="G37" i="14"/>
  <c r="AK322" i="11"/>
  <c r="AK320" i="11"/>
  <c r="AV67" i="14" l="1"/>
  <c r="AX67" i="14" s="1"/>
  <c r="AV56" i="14"/>
  <c r="AX56" i="14" s="1"/>
  <c r="AX43" i="14"/>
  <c r="AX46" i="14"/>
  <c r="AV43" i="14"/>
  <c r="AV46" i="14"/>
  <c r="AW43" i="14"/>
  <c r="V43" i="14"/>
  <c r="AK43" i="14"/>
  <c r="AJ43" i="14"/>
  <c r="H43" i="14"/>
  <c r="H46" i="14"/>
  <c r="AG43" i="14"/>
  <c r="Z43" i="14"/>
  <c r="AD43" i="14"/>
  <c r="S43" i="14"/>
  <c r="AB43" i="14"/>
  <c r="AI43" i="14"/>
  <c r="AP43" i="14"/>
  <c r="L43" i="14"/>
  <c r="AQ43" i="14"/>
  <c r="R43" i="14"/>
  <c r="P43" i="14"/>
  <c r="AH43" i="14"/>
  <c r="AT43" i="14"/>
  <c r="U43" i="14"/>
  <c r="N43" i="14"/>
  <c r="AU43" i="14"/>
  <c r="AM43" i="14"/>
  <c r="W43" i="14"/>
  <c r="AC43" i="14"/>
  <c r="AR43" i="14"/>
  <c r="AE43" i="14"/>
  <c r="K43" i="14"/>
  <c r="AO43" i="14"/>
  <c r="I43" i="14"/>
  <c r="I46" i="14"/>
  <c r="Y43" i="14"/>
  <c r="AN43" i="14"/>
  <c r="AA43" i="14"/>
  <c r="Q43" i="14"/>
  <c r="X43" i="14"/>
  <c r="AL43" i="14"/>
  <c r="T43" i="14"/>
  <c r="J43" i="14"/>
  <c r="J46" i="14"/>
  <c r="O43" i="14"/>
  <c r="M43" i="14"/>
  <c r="G43" i="14"/>
  <c r="G46" i="14"/>
  <c r="K88" i="14"/>
  <c r="K89" i="14" s="1"/>
  <c r="K99" i="14"/>
  <c r="J104" i="14"/>
  <c r="O85" i="14"/>
  <c r="P82" i="14" s="1"/>
  <c r="O86" i="14"/>
  <c r="P79" i="14"/>
  <c r="Q75" i="14" s="1"/>
  <c r="Q78" i="14" s="1"/>
  <c r="P84" i="14"/>
  <c r="G114" i="14" l="1"/>
  <c r="I47" i="14"/>
  <c r="I114" i="14"/>
  <c r="H47" i="14"/>
  <c r="H114" i="14"/>
  <c r="AX47" i="14"/>
  <c r="J47" i="14"/>
  <c r="J114" i="14"/>
  <c r="AV47" i="14"/>
  <c r="G47" i="14"/>
  <c r="K90" i="14"/>
  <c r="K101" i="14"/>
  <c r="K105" i="14" s="1"/>
  <c r="K45" i="14" s="1"/>
  <c r="P85" i="14"/>
  <c r="Q82" i="14" s="1"/>
  <c r="P86" i="14"/>
  <c r="Q79" i="14"/>
  <c r="R75" i="14" s="1"/>
  <c r="R78" i="14" s="1"/>
  <c r="Q84" i="14"/>
  <c r="K46" i="14" l="1"/>
  <c r="K47" i="14" s="1"/>
  <c r="K52" i="14"/>
  <c r="G110" i="14"/>
  <c r="I109" i="14"/>
  <c r="J109" i="14"/>
  <c r="G109" i="14"/>
  <c r="H109" i="14"/>
  <c r="L88" i="14"/>
  <c r="L89" i="14" s="1"/>
  <c r="L99" i="14"/>
  <c r="K104" i="14"/>
  <c r="Q85" i="14"/>
  <c r="R82" i="14" s="1"/>
  <c r="Q86" i="14"/>
  <c r="R79" i="14"/>
  <c r="S75" i="14" s="1"/>
  <c r="S78" i="14" s="1"/>
  <c r="R84" i="14"/>
  <c r="K114" i="14" l="1"/>
  <c r="K109" i="14" s="1"/>
  <c r="G115" i="14"/>
  <c r="G116" i="14" s="1"/>
  <c r="G119" i="14" s="1"/>
  <c r="G49" i="14" s="1"/>
  <c r="G70" i="14" s="1"/>
  <c r="G111" i="14"/>
  <c r="H108" i="14" s="1"/>
  <c r="H110" i="14" s="1"/>
  <c r="H111" i="14" s="1"/>
  <c r="I108" i="14" s="1"/>
  <c r="L90" i="14"/>
  <c r="L101" i="14"/>
  <c r="L105" i="14" s="1"/>
  <c r="L45" i="14" s="1"/>
  <c r="R85" i="14"/>
  <c r="S82" i="14" s="1"/>
  <c r="R86" i="14"/>
  <c r="S79" i="14"/>
  <c r="T75" i="14" s="1"/>
  <c r="T78" i="14" s="1"/>
  <c r="S84" i="14"/>
  <c r="G51" i="14" l="1"/>
  <c r="L46" i="14"/>
  <c r="L47" i="14" s="1"/>
  <c r="L52" i="14"/>
  <c r="H115" i="14"/>
  <c r="H116" i="14" s="1"/>
  <c r="H119" i="14" s="1"/>
  <c r="H49" i="14" s="1"/>
  <c r="I110" i="14"/>
  <c r="M88" i="14"/>
  <c r="M89" i="14" s="1"/>
  <c r="M99" i="14"/>
  <c r="L104" i="14"/>
  <c r="S85" i="14"/>
  <c r="T82" i="14" s="1"/>
  <c r="S86" i="14"/>
  <c r="T79" i="14"/>
  <c r="U75" i="14" s="1"/>
  <c r="U78" i="14" s="1"/>
  <c r="T84" i="14"/>
  <c r="H51" i="14" l="1"/>
  <c r="H54" i="14" s="1"/>
  <c r="H71" i="14" s="1"/>
  <c r="H70" i="14"/>
  <c r="L114" i="14"/>
  <c r="L109" i="14" s="1"/>
  <c r="G54" i="14"/>
  <c r="G71" i="14" s="1"/>
  <c r="I111" i="14"/>
  <c r="J108" i="14" s="1"/>
  <c r="J110" i="14" s="1"/>
  <c r="I115" i="14"/>
  <c r="I116" i="14" s="1"/>
  <c r="I119" i="14" s="1"/>
  <c r="I49" i="14" s="1"/>
  <c r="M90" i="14"/>
  <c r="M101" i="14"/>
  <c r="M105" i="14" s="1"/>
  <c r="M45" i="14" s="1"/>
  <c r="T85" i="14"/>
  <c r="U82" i="14" s="1"/>
  <c r="T86" i="14"/>
  <c r="U79" i="14"/>
  <c r="V75" i="14" s="1"/>
  <c r="V78" i="14" s="1"/>
  <c r="U84" i="14"/>
  <c r="I51" i="14" l="1"/>
  <c r="I54" i="14" s="1"/>
  <c r="I71" i="14" s="1"/>
  <c r="I70" i="14"/>
  <c r="M46" i="14"/>
  <c r="M47" i="14" s="1"/>
  <c r="M52" i="14"/>
  <c r="J111" i="14"/>
  <c r="K108" i="14" s="1"/>
  <c r="K110" i="14" s="1"/>
  <c r="J115" i="14"/>
  <c r="J116" i="14" s="1"/>
  <c r="J119" i="14" s="1"/>
  <c r="J49" i="14" s="1"/>
  <c r="N88" i="14"/>
  <c r="N89" i="14" s="1"/>
  <c r="N99" i="14"/>
  <c r="M104" i="14"/>
  <c r="U85" i="14"/>
  <c r="V82" i="14" s="1"/>
  <c r="U86" i="14"/>
  <c r="V79" i="14"/>
  <c r="W75" i="14" s="1"/>
  <c r="W78" i="14" s="1"/>
  <c r="V84" i="14"/>
  <c r="J51" i="14" l="1"/>
  <c r="J54" i="14" s="1"/>
  <c r="J71" i="14" s="1"/>
  <c r="J70" i="14"/>
  <c r="M114" i="14"/>
  <c r="M109" i="14" s="1"/>
  <c r="K111" i="14"/>
  <c r="L108" i="14" s="1"/>
  <c r="L110" i="14" s="1"/>
  <c r="K115" i="14"/>
  <c r="K116" i="14" s="1"/>
  <c r="K119" i="14" s="1"/>
  <c r="K49" i="14" s="1"/>
  <c r="N90" i="14"/>
  <c r="N101" i="14"/>
  <c r="N105" i="14" s="1"/>
  <c r="N45" i="14" s="1"/>
  <c r="V85" i="14"/>
  <c r="W82" i="14" s="1"/>
  <c r="V86" i="14"/>
  <c r="W79" i="14"/>
  <c r="X75" i="14" s="1"/>
  <c r="X78" i="14" s="1"/>
  <c r="W84" i="14"/>
  <c r="K51" i="14" l="1"/>
  <c r="K54" i="14" s="1"/>
  <c r="K71" i="14" s="1"/>
  <c r="K70" i="14"/>
  <c r="N46" i="14"/>
  <c r="N47" i="14" s="1"/>
  <c r="N52" i="14"/>
  <c r="L111" i="14"/>
  <c r="M108" i="14" s="1"/>
  <c r="M110" i="14" s="1"/>
  <c r="M111" i="14" s="1"/>
  <c r="N108" i="14" s="1"/>
  <c r="L115" i="14"/>
  <c r="L116" i="14" s="1"/>
  <c r="L119" i="14" s="1"/>
  <c r="L49" i="14" s="1"/>
  <c r="O88" i="14"/>
  <c r="O89" i="14" s="1"/>
  <c r="O99" i="14"/>
  <c r="N104" i="14"/>
  <c r="W85" i="14"/>
  <c r="X82" i="14" s="1"/>
  <c r="W86" i="14"/>
  <c r="X79" i="14"/>
  <c r="Y75" i="14" s="1"/>
  <c r="Y78" i="14" s="1"/>
  <c r="X84" i="14"/>
  <c r="L51" i="14" l="1"/>
  <c r="L54" i="14" s="1"/>
  <c r="L71" i="14" s="1"/>
  <c r="L70" i="14"/>
  <c r="N114" i="14"/>
  <c r="N110" i="14" s="1"/>
  <c r="M115" i="14"/>
  <c r="M116" i="14" s="1"/>
  <c r="M119" i="14" s="1"/>
  <c r="M49" i="14" s="1"/>
  <c r="O90" i="14"/>
  <c r="O101" i="14"/>
  <c r="O105" i="14" s="1"/>
  <c r="O45" i="14" s="1"/>
  <c r="X85" i="14"/>
  <c r="Y82" i="14" s="1"/>
  <c r="X86" i="14"/>
  <c r="Y79" i="14"/>
  <c r="Z75" i="14" s="1"/>
  <c r="Z78" i="14" s="1"/>
  <c r="Y84" i="14"/>
  <c r="M51" i="14" l="1"/>
  <c r="M54" i="14" s="1"/>
  <c r="M71" i="14" s="1"/>
  <c r="M70" i="14"/>
  <c r="N109" i="14"/>
  <c r="N115" i="14" s="1"/>
  <c r="N116" i="14" s="1"/>
  <c r="N119" i="14" s="1"/>
  <c r="N49" i="14" s="1"/>
  <c r="O46" i="14"/>
  <c r="O114" i="14" s="1"/>
  <c r="O52" i="14"/>
  <c r="P88" i="14"/>
  <c r="P89" i="14" s="1"/>
  <c r="P99" i="14"/>
  <c r="O104" i="14"/>
  <c r="Y85" i="14"/>
  <c r="Z82" i="14" s="1"/>
  <c r="Y86" i="14"/>
  <c r="Z79" i="14"/>
  <c r="AA75" i="14" s="1"/>
  <c r="AA78" i="14" s="1"/>
  <c r="Z84" i="14"/>
  <c r="N51" i="14" l="1"/>
  <c r="N54" i="14" s="1"/>
  <c r="N71" i="14" s="1"/>
  <c r="N70" i="14"/>
  <c r="O47" i="14"/>
  <c r="N111" i="14"/>
  <c r="O108" i="14" s="1"/>
  <c r="O110" i="14" s="1"/>
  <c r="O109" i="14"/>
  <c r="P90" i="14"/>
  <c r="P101" i="14"/>
  <c r="P105" i="14" s="1"/>
  <c r="P45" i="14" s="1"/>
  <c r="Z85" i="14"/>
  <c r="AA82" i="14" s="1"/>
  <c r="Z86" i="14"/>
  <c r="AA79" i="14"/>
  <c r="AB75" i="14" s="1"/>
  <c r="AB78" i="14" s="1"/>
  <c r="AA84" i="14"/>
  <c r="P46" i="14" l="1"/>
  <c r="P114" i="14" s="1"/>
  <c r="P52" i="14"/>
  <c r="O115" i="14"/>
  <c r="O116" i="14" s="1"/>
  <c r="O119" i="14" s="1"/>
  <c r="O49" i="14" s="1"/>
  <c r="O111" i="14"/>
  <c r="P108" i="14" s="1"/>
  <c r="Q88" i="14"/>
  <c r="Q89" i="14" s="1"/>
  <c r="Q99" i="14"/>
  <c r="P104" i="14"/>
  <c r="AA85" i="14"/>
  <c r="AB82" i="14" s="1"/>
  <c r="AA86" i="14"/>
  <c r="AB79" i="14"/>
  <c r="AC75" i="14" s="1"/>
  <c r="AC78" i="14" s="1"/>
  <c r="AB84" i="14"/>
  <c r="O51" i="14" l="1"/>
  <c r="O54" i="14" s="1"/>
  <c r="O71" i="14" s="1"/>
  <c r="O70" i="14"/>
  <c r="P47" i="14"/>
  <c r="P109" i="14"/>
  <c r="P110" i="14"/>
  <c r="Q90" i="14"/>
  <c r="Q101" i="14"/>
  <c r="Q105" i="14" s="1"/>
  <c r="Q45" i="14" s="1"/>
  <c r="AB85" i="14"/>
  <c r="AC82" i="14" s="1"/>
  <c r="AB86" i="14"/>
  <c r="AC79" i="14"/>
  <c r="AD75" i="14" s="1"/>
  <c r="AD78" i="14" s="1"/>
  <c r="AC84" i="14"/>
  <c r="Q46" i="14" l="1"/>
  <c r="Q47" i="14" s="1"/>
  <c r="Q52" i="14"/>
  <c r="P115" i="14"/>
  <c r="P116" i="14" s="1"/>
  <c r="P119" i="14" s="1"/>
  <c r="P49" i="14" s="1"/>
  <c r="P111" i="14"/>
  <c r="Q108" i="14" s="1"/>
  <c r="R88" i="14"/>
  <c r="R89" i="14" s="1"/>
  <c r="R99" i="14"/>
  <c r="Q104" i="14"/>
  <c r="AC85" i="14"/>
  <c r="AD82" i="14" s="1"/>
  <c r="AC86" i="14"/>
  <c r="AD79" i="14"/>
  <c r="AE75" i="14" s="1"/>
  <c r="AE78" i="14" s="1"/>
  <c r="AD84" i="14"/>
  <c r="P51" i="14" l="1"/>
  <c r="P54" i="14" s="1"/>
  <c r="P71" i="14" s="1"/>
  <c r="P70" i="14"/>
  <c r="Q114" i="14"/>
  <c r="Q109" i="14" s="1"/>
  <c r="R90" i="14"/>
  <c r="R101" i="14"/>
  <c r="R105" i="14" s="1"/>
  <c r="R45" i="14" s="1"/>
  <c r="AD85" i="14"/>
  <c r="AE82" i="14" s="1"/>
  <c r="AD86" i="14"/>
  <c r="AE79" i="14"/>
  <c r="AF75" i="14" s="1"/>
  <c r="AF78" i="14" s="1"/>
  <c r="AE84" i="14"/>
  <c r="Q110" i="14" l="1"/>
  <c r="Q115" i="14" s="1"/>
  <c r="Q116" i="14" s="1"/>
  <c r="Q119" i="14" s="1"/>
  <c r="Q49" i="14" s="1"/>
  <c r="R46" i="14"/>
  <c r="R47" i="14" s="1"/>
  <c r="R52" i="14"/>
  <c r="S88" i="14"/>
  <c r="S89" i="14" s="1"/>
  <c r="S99" i="14"/>
  <c r="R104" i="14"/>
  <c r="AE85" i="14"/>
  <c r="AF82" i="14" s="1"/>
  <c r="AE86" i="14"/>
  <c r="AF79" i="14"/>
  <c r="AG75" i="14" s="1"/>
  <c r="AG78" i="14" s="1"/>
  <c r="AF84" i="14"/>
  <c r="Q51" i="14" l="1"/>
  <c r="Q54" i="14" s="1"/>
  <c r="Q71" i="14" s="1"/>
  <c r="Q70" i="14"/>
  <c r="R114" i="14"/>
  <c r="R109" i="14" s="1"/>
  <c r="Q111" i="14"/>
  <c r="R108" i="14" s="1"/>
  <c r="S90" i="14"/>
  <c r="S101" i="14"/>
  <c r="S105" i="14" s="1"/>
  <c r="S45" i="14" s="1"/>
  <c r="AF85" i="14"/>
  <c r="AG82" i="14" s="1"/>
  <c r="AF86" i="14"/>
  <c r="AG79" i="14"/>
  <c r="AH75" i="14" s="1"/>
  <c r="AH78" i="14" s="1"/>
  <c r="AG84" i="14"/>
  <c r="R110" i="14" l="1"/>
  <c r="R115" i="14" s="1"/>
  <c r="R116" i="14" s="1"/>
  <c r="R119" i="14" s="1"/>
  <c r="R49" i="14" s="1"/>
  <c r="S46" i="14"/>
  <c r="S47" i="14" s="1"/>
  <c r="S52" i="14"/>
  <c r="T88" i="14"/>
  <c r="T89" i="14" s="1"/>
  <c r="T99" i="14"/>
  <c r="S104" i="14"/>
  <c r="AG85" i="14"/>
  <c r="AH82" i="14" s="1"/>
  <c r="AG86" i="14"/>
  <c r="AH79" i="14"/>
  <c r="AI75" i="14" s="1"/>
  <c r="AI78" i="14" s="1"/>
  <c r="AH84" i="14"/>
  <c r="R51" i="14" l="1"/>
  <c r="R54" i="14" s="1"/>
  <c r="R71" i="14" s="1"/>
  <c r="R70" i="14"/>
  <c r="R111" i="14"/>
  <c r="S108" i="14" s="1"/>
  <c r="S114" i="14"/>
  <c r="T90" i="14"/>
  <c r="T101" i="14"/>
  <c r="T105" i="14" s="1"/>
  <c r="T45" i="14" s="1"/>
  <c r="AH85" i="14"/>
  <c r="AI82" i="14" s="1"/>
  <c r="AH86" i="14"/>
  <c r="AI79" i="14"/>
  <c r="AJ75" i="14" s="1"/>
  <c r="AJ78" i="14" s="1"/>
  <c r="AI84" i="14"/>
  <c r="S110" i="14" l="1"/>
  <c r="S109" i="14"/>
  <c r="T46" i="14"/>
  <c r="T47" i="14" s="1"/>
  <c r="T52" i="14"/>
  <c r="U88" i="14"/>
  <c r="U89" i="14" s="1"/>
  <c r="U99" i="14"/>
  <c r="T104" i="14"/>
  <c r="AI85" i="14"/>
  <c r="AJ82" i="14" s="1"/>
  <c r="AI86" i="14"/>
  <c r="AJ79" i="14"/>
  <c r="AK75" i="14" s="1"/>
  <c r="AK78" i="14" s="1"/>
  <c r="AJ84" i="14"/>
  <c r="S115" i="14" l="1"/>
  <c r="S116" i="14" s="1"/>
  <c r="S119" i="14" s="1"/>
  <c r="S49" i="14" s="1"/>
  <c r="S51" i="14" s="1"/>
  <c r="S54" i="14" s="1"/>
  <c r="S71" i="14" s="1"/>
  <c r="S111" i="14"/>
  <c r="T108" i="14" s="1"/>
  <c r="T114" i="14"/>
  <c r="T109" i="14" s="1"/>
  <c r="AJ85" i="14"/>
  <c r="AK82" i="14" s="1"/>
  <c r="U90" i="14"/>
  <c r="U101" i="14"/>
  <c r="U105" i="14" s="1"/>
  <c r="U45" i="14" s="1"/>
  <c r="AJ86" i="14"/>
  <c r="AK79" i="14"/>
  <c r="AL75" i="14" s="1"/>
  <c r="AL78" i="14" s="1"/>
  <c r="AK84" i="14"/>
  <c r="S70" i="14" l="1"/>
  <c r="T110" i="14"/>
  <c r="T111" i="14" s="1"/>
  <c r="U108" i="14" s="1"/>
  <c r="U46" i="14"/>
  <c r="U47" i="14" s="1"/>
  <c r="U52" i="14"/>
  <c r="AK85" i="14"/>
  <c r="AL82" i="14" s="1"/>
  <c r="V88" i="14"/>
  <c r="V89" i="14" s="1"/>
  <c r="V99" i="14"/>
  <c r="U104" i="14"/>
  <c r="AK86" i="14"/>
  <c r="AL79" i="14"/>
  <c r="AM75" i="14" s="1"/>
  <c r="AM78" i="14" s="1"/>
  <c r="AL84" i="14"/>
  <c r="U114" i="14" l="1"/>
  <c r="U109" i="14" s="1"/>
  <c r="T115" i="14"/>
  <c r="T116" i="14" s="1"/>
  <c r="T119" i="14" s="1"/>
  <c r="T49" i="14" s="1"/>
  <c r="AL85" i="14"/>
  <c r="AM82" i="14" s="1"/>
  <c r="V90" i="14"/>
  <c r="V101" i="14"/>
  <c r="V105" i="14" s="1"/>
  <c r="V45" i="14" s="1"/>
  <c r="AL86" i="14"/>
  <c r="AM79" i="14"/>
  <c r="AN75" i="14" s="1"/>
  <c r="AN78" i="14" s="1"/>
  <c r="AM84" i="14"/>
  <c r="T51" i="14" l="1"/>
  <c r="T54" i="14" s="1"/>
  <c r="T71" i="14" s="1"/>
  <c r="T70" i="14"/>
  <c r="U110" i="14"/>
  <c r="U111" i="14" s="1"/>
  <c r="V108" i="14" s="1"/>
  <c r="V46" i="14"/>
  <c r="V47" i="14" s="1"/>
  <c r="V52" i="14"/>
  <c r="AM85" i="14"/>
  <c r="AN82" i="14" s="1"/>
  <c r="W88" i="14"/>
  <c r="W89" i="14" s="1"/>
  <c r="W99" i="14"/>
  <c r="V104" i="14"/>
  <c r="AM86" i="14"/>
  <c r="AN79" i="14"/>
  <c r="AO75" i="14" s="1"/>
  <c r="AO78" i="14" s="1"/>
  <c r="AN84" i="14"/>
  <c r="U115" i="14" l="1"/>
  <c r="U116" i="14" s="1"/>
  <c r="U119" i="14" s="1"/>
  <c r="U49" i="14" s="1"/>
  <c r="V114" i="14"/>
  <c r="V110" i="14" s="1"/>
  <c r="AN85" i="14"/>
  <c r="AO82" i="14" s="1"/>
  <c r="W90" i="14"/>
  <c r="W101" i="14"/>
  <c r="W105" i="14" s="1"/>
  <c r="W45" i="14" s="1"/>
  <c r="AN86" i="14"/>
  <c r="AO79" i="14"/>
  <c r="AP75" i="14" s="1"/>
  <c r="AP78" i="14" s="1"/>
  <c r="AO84" i="14"/>
  <c r="U51" i="14" l="1"/>
  <c r="U54" i="14" s="1"/>
  <c r="U71" i="14" s="1"/>
  <c r="U70" i="14"/>
  <c r="V109" i="14"/>
  <c r="V111" i="14" s="1"/>
  <c r="W108" i="14" s="1"/>
  <c r="W46" i="14"/>
  <c r="W114" i="14" s="1"/>
  <c r="W52" i="14"/>
  <c r="AO85" i="14"/>
  <c r="AP82" i="14" s="1"/>
  <c r="X88" i="14"/>
  <c r="X89" i="14" s="1"/>
  <c r="X99" i="14"/>
  <c r="W104" i="14"/>
  <c r="AO86" i="14"/>
  <c r="AP79" i="14"/>
  <c r="AQ75" i="14" s="1"/>
  <c r="AQ78" i="14" s="1"/>
  <c r="AP84" i="14"/>
  <c r="W47" i="14" l="1"/>
  <c r="V115" i="14"/>
  <c r="V116" i="14" s="1"/>
  <c r="V119" i="14" s="1"/>
  <c r="V49" i="14" s="1"/>
  <c r="W109" i="14"/>
  <c r="W110" i="14"/>
  <c r="AP85" i="14"/>
  <c r="AQ82" i="14" s="1"/>
  <c r="X90" i="14"/>
  <c r="X101" i="14"/>
  <c r="X105" i="14" s="1"/>
  <c r="X45" i="14" s="1"/>
  <c r="AP86" i="14"/>
  <c r="AQ79" i="14"/>
  <c r="AR75" i="14" s="1"/>
  <c r="AR78" i="14" s="1"/>
  <c r="AQ84" i="14"/>
  <c r="V51" i="14" l="1"/>
  <c r="V54" i="14" s="1"/>
  <c r="V71" i="14" s="1"/>
  <c r="V70" i="14"/>
  <c r="X46" i="14"/>
  <c r="X47" i="14" s="1"/>
  <c r="X52" i="14"/>
  <c r="W115" i="14"/>
  <c r="W116" i="14" s="1"/>
  <c r="W119" i="14" s="1"/>
  <c r="W49" i="14" s="1"/>
  <c r="W111" i="14"/>
  <c r="X108" i="14" s="1"/>
  <c r="AQ85" i="14"/>
  <c r="AR82" i="14" s="1"/>
  <c r="Y88" i="14"/>
  <c r="Y89" i="14" s="1"/>
  <c r="Y99" i="14"/>
  <c r="X104" i="14"/>
  <c r="AQ86" i="14"/>
  <c r="AR79" i="14"/>
  <c r="AS75" i="14" s="1"/>
  <c r="AS78" i="14" s="1"/>
  <c r="AR84" i="14"/>
  <c r="W51" i="14" l="1"/>
  <c r="W54" i="14" s="1"/>
  <c r="W71" i="14" s="1"/>
  <c r="W70" i="14"/>
  <c r="X114" i="14"/>
  <c r="X109" i="14" s="1"/>
  <c r="AR85" i="14"/>
  <c r="AS82" i="14" s="1"/>
  <c r="Y90" i="14"/>
  <c r="Y101" i="14"/>
  <c r="Y105" i="14" s="1"/>
  <c r="Y45" i="14" s="1"/>
  <c r="AR86" i="14"/>
  <c r="AS79" i="14"/>
  <c r="AT75" i="14" s="1"/>
  <c r="AT78" i="14" s="1"/>
  <c r="AS84" i="14"/>
  <c r="X110" i="14" l="1"/>
  <c r="X111" i="14" s="1"/>
  <c r="Y108" i="14" s="1"/>
  <c r="Y46" i="14"/>
  <c r="Y114" i="14" s="1"/>
  <c r="Y52" i="14"/>
  <c r="AS85" i="14"/>
  <c r="AT82" i="14" s="1"/>
  <c r="Z88" i="14"/>
  <c r="Z89" i="14" s="1"/>
  <c r="Z99" i="14"/>
  <c r="Y104" i="14"/>
  <c r="AS86" i="14"/>
  <c r="AT79" i="14"/>
  <c r="AU75" i="14" s="1"/>
  <c r="AU78" i="14" s="1"/>
  <c r="AT84" i="14"/>
  <c r="Y47" i="14" l="1"/>
  <c r="X115" i="14"/>
  <c r="X116" i="14" s="1"/>
  <c r="X119" i="14" s="1"/>
  <c r="X49" i="14" s="1"/>
  <c r="AT85" i="14"/>
  <c r="AU82" i="14" s="1"/>
  <c r="Y109" i="14"/>
  <c r="Y110" i="14"/>
  <c r="Z90" i="14"/>
  <c r="Z101" i="14"/>
  <c r="Z105" i="14" s="1"/>
  <c r="Z45" i="14" s="1"/>
  <c r="AT86" i="14"/>
  <c r="AU79" i="14"/>
  <c r="AW75" i="14" s="1"/>
  <c r="AW78" i="14" s="1"/>
  <c r="AU84" i="14"/>
  <c r="X51" i="14" l="1"/>
  <c r="X54" i="14" s="1"/>
  <c r="X71" i="14" s="1"/>
  <c r="X70" i="14"/>
  <c r="Z46" i="14"/>
  <c r="Z47" i="14" s="1"/>
  <c r="Z52" i="14"/>
  <c r="AU85" i="14"/>
  <c r="AW82" i="14" s="1"/>
  <c r="Y115" i="14"/>
  <c r="Y116" i="14" s="1"/>
  <c r="Y119" i="14" s="1"/>
  <c r="Y49" i="14" s="1"/>
  <c r="Y111" i="14"/>
  <c r="Z108" i="14" s="1"/>
  <c r="AA88" i="14"/>
  <c r="AA89" i="14" s="1"/>
  <c r="AA99" i="14"/>
  <c r="Z104" i="14"/>
  <c r="AU86" i="14"/>
  <c r="AW79" i="14"/>
  <c r="AW84" i="14"/>
  <c r="Y51" i="14" l="1"/>
  <c r="Y54" i="14" s="1"/>
  <c r="Y71" i="14" s="1"/>
  <c r="Y70" i="14"/>
  <c r="AW85" i="14"/>
  <c r="Z114" i="14"/>
  <c r="Z110" i="14" s="1"/>
  <c r="AA90" i="14"/>
  <c r="AA101" i="14"/>
  <c r="AA105" i="14" s="1"/>
  <c r="AA45" i="14" s="1"/>
  <c r="AW86" i="14"/>
  <c r="Z109" i="14" l="1"/>
  <c r="Z111" i="14" s="1"/>
  <c r="AA108" i="14" s="1"/>
  <c r="AA46" i="14"/>
  <c r="AA47" i="14" s="1"/>
  <c r="AA52" i="14"/>
  <c r="AB88" i="14"/>
  <c r="AB89" i="14" s="1"/>
  <c r="AB99" i="14"/>
  <c r="AA104" i="14"/>
  <c r="AA114" i="14" l="1"/>
  <c r="AA110" i="14" s="1"/>
  <c r="Z115" i="14"/>
  <c r="Z116" i="14" s="1"/>
  <c r="Z119" i="14" s="1"/>
  <c r="Z49" i="14" s="1"/>
  <c r="AB90" i="14"/>
  <c r="AB101" i="14"/>
  <c r="AB105" i="14" s="1"/>
  <c r="AB45" i="14" s="1"/>
  <c r="AA109" i="14" l="1"/>
  <c r="AA111" i="14" s="1"/>
  <c r="AB108" i="14" s="1"/>
  <c r="Z51" i="14"/>
  <c r="Z54" i="14" s="1"/>
  <c r="Z71" i="14" s="1"/>
  <c r="Z70" i="14"/>
  <c r="AB46" i="14"/>
  <c r="AB47" i="14" s="1"/>
  <c r="AB52" i="14"/>
  <c r="AC88" i="14"/>
  <c r="AC89" i="14" s="1"/>
  <c r="AC99" i="14"/>
  <c r="AB104" i="14"/>
  <c r="AA115" i="14" l="1"/>
  <c r="AA116" i="14" s="1"/>
  <c r="AA119" i="14" s="1"/>
  <c r="AA49" i="14" s="1"/>
  <c r="AA51" i="14" s="1"/>
  <c r="AA54" i="14" s="1"/>
  <c r="AA71" i="14" s="1"/>
  <c r="AB114" i="14"/>
  <c r="AB109" i="14" s="1"/>
  <c r="AC90" i="14"/>
  <c r="AC101" i="14"/>
  <c r="AC105" i="14" s="1"/>
  <c r="AC45" i="14" s="1"/>
  <c r="AA70" i="14" l="1"/>
  <c r="AB110" i="14"/>
  <c r="AB115" i="14" s="1"/>
  <c r="AB116" i="14" s="1"/>
  <c r="AB119" i="14" s="1"/>
  <c r="AB49" i="14" s="1"/>
  <c r="AC46" i="14"/>
  <c r="AC47" i="14" s="1"/>
  <c r="AC52" i="14"/>
  <c r="AD88" i="14"/>
  <c r="AD89" i="14" s="1"/>
  <c r="AD99" i="14"/>
  <c r="AC104" i="14"/>
  <c r="AB51" i="14" l="1"/>
  <c r="AB54" i="14" s="1"/>
  <c r="AB71" i="14" s="1"/>
  <c r="AB70" i="14"/>
  <c r="AC114" i="14"/>
  <c r="AC109" i="14" s="1"/>
  <c r="AB111" i="14"/>
  <c r="AC108" i="14" s="1"/>
  <c r="AD90" i="14"/>
  <c r="AD101" i="14"/>
  <c r="AD105" i="14" s="1"/>
  <c r="AD45" i="14" s="1"/>
  <c r="AC110" i="14" l="1"/>
  <c r="AC115" i="14" s="1"/>
  <c r="AC116" i="14" s="1"/>
  <c r="AC119" i="14" s="1"/>
  <c r="AC49" i="14" s="1"/>
  <c r="AD46" i="14"/>
  <c r="AD114" i="14" s="1"/>
  <c r="AD52" i="14"/>
  <c r="AE88" i="14"/>
  <c r="AE89" i="14" s="1"/>
  <c r="AE99" i="14"/>
  <c r="AD104" i="14"/>
  <c r="AC51" i="14" l="1"/>
  <c r="AC54" i="14" s="1"/>
  <c r="AC71" i="14" s="1"/>
  <c r="AC70" i="14"/>
  <c r="AC111" i="14"/>
  <c r="AD108" i="14" s="1"/>
  <c r="AD110" i="14" s="1"/>
  <c r="AD47" i="14"/>
  <c r="AD109" i="14"/>
  <c r="AE90" i="14"/>
  <c r="AE101" i="14"/>
  <c r="AE105" i="14" s="1"/>
  <c r="AE45" i="14" s="1"/>
  <c r="AE46" i="14" l="1"/>
  <c r="AE47" i="14" s="1"/>
  <c r="AE52" i="14"/>
  <c r="AD115" i="14"/>
  <c r="AD116" i="14" s="1"/>
  <c r="AD119" i="14" s="1"/>
  <c r="AD49" i="14" s="1"/>
  <c r="AD111" i="14"/>
  <c r="AE108" i="14" s="1"/>
  <c r="AF88" i="14"/>
  <c r="AF89" i="14" s="1"/>
  <c r="AF99" i="14"/>
  <c r="AE104" i="14"/>
  <c r="AD51" i="14" l="1"/>
  <c r="AD54" i="14" s="1"/>
  <c r="AD71" i="14" s="1"/>
  <c r="AD70" i="14"/>
  <c r="AE114" i="14"/>
  <c r="AE109" i="14" s="1"/>
  <c r="AF90" i="14"/>
  <c r="AF101" i="14"/>
  <c r="AF105" i="14" s="1"/>
  <c r="AF45" i="14" s="1"/>
  <c r="AE110" i="14" l="1"/>
  <c r="AE115" i="14" s="1"/>
  <c r="AE116" i="14" s="1"/>
  <c r="AE119" i="14" s="1"/>
  <c r="AE49" i="14" s="1"/>
  <c r="AF46" i="14"/>
  <c r="AF114" i="14" s="1"/>
  <c r="AF52" i="14"/>
  <c r="AG88" i="14"/>
  <c r="AG89" i="14" s="1"/>
  <c r="AG99" i="14"/>
  <c r="AF104" i="14"/>
  <c r="AE51" i="14" l="1"/>
  <c r="AE54" i="14" s="1"/>
  <c r="AE71" i="14" s="1"/>
  <c r="AE70" i="14"/>
  <c r="AF47" i="14"/>
  <c r="AE111" i="14"/>
  <c r="AF108" i="14" s="1"/>
  <c r="AF110" i="14" s="1"/>
  <c r="AF109" i="14"/>
  <c r="AG90" i="14"/>
  <c r="AG101" i="14"/>
  <c r="AG105" i="14" s="1"/>
  <c r="AG45" i="14" s="1"/>
  <c r="AG46" i="14" l="1"/>
  <c r="AG47" i="14" s="1"/>
  <c r="AG52" i="14"/>
  <c r="AF111" i="14"/>
  <c r="AG108" i="14" s="1"/>
  <c r="AF115" i="14"/>
  <c r="AF116" i="14" s="1"/>
  <c r="AF119" i="14" s="1"/>
  <c r="AF49" i="14" s="1"/>
  <c r="AH88" i="14"/>
  <c r="AH89" i="14" s="1"/>
  <c r="AH99" i="14"/>
  <c r="AG104" i="14"/>
  <c r="AF51" i="14" l="1"/>
  <c r="AF54" i="14" s="1"/>
  <c r="AF71" i="14" s="1"/>
  <c r="AF70" i="14"/>
  <c r="AG114" i="14"/>
  <c r="AG109" i="14" s="1"/>
  <c r="AH90" i="14"/>
  <c r="AH101" i="14"/>
  <c r="AH105" i="14" s="1"/>
  <c r="AH45" i="14" s="1"/>
  <c r="AG110" i="14" l="1"/>
  <c r="AG115" i="14" s="1"/>
  <c r="AG116" i="14" s="1"/>
  <c r="AG119" i="14" s="1"/>
  <c r="AG49" i="14" s="1"/>
  <c r="AH46" i="14"/>
  <c r="AH114" i="14" s="1"/>
  <c r="AH52" i="14"/>
  <c r="AI88" i="14"/>
  <c r="AI89" i="14" s="1"/>
  <c r="AI99" i="14"/>
  <c r="AH104" i="14"/>
  <c r="AG51" i="14" l="1"/>
  <c r="AG54" i="14" s="1"/>
  <c r="AG71" i="14" s="1"/>
  <c r="AG70" i="14"/>
  <c r="AH47" i="14"/>
  <c r="AG111" i="14"/>
  <c r="AH108" i="14" s="1"/>
  <c r="AH110" i="14" s="1"/>
  <c r="AH109" i="14"/>
  <c r="AI90" i="14"/>
  <c r="AI101" i="14"/>
  <c r="AI105" i="14" s="1"/>
  <c r="AI45" i="14" s="1"/>
  <c r="AI46" i="14" l="1"/>
  <c r="AI47" i="14" s="1"/>
  <c r="AI52" i="14"/>
  <c r="AH111" i="14"/>
  <c r="AI108" i="14" s="1"/>
  <c r="AH115" i="14"/>
  <c r="AH116" i="14" s="1"/>
  <c r="AH119" i="14" s="1"/>
  <c r="AH49" i="14" s="1"/>
  <c r="AJ88" i="14"/>
  <c r="AJ89" i="14" s="1"/>
  <c r="AJ99" i="14"/>
  <c r="AI104" i="14"/>
  <c r="AH51" i="14" l="1"/>
  <c r="AH54" i="14" s="1"/>
  <c r="AH71" i="14" s="1"/>
  <c r="AH70" i="14"/>
  <c r="AI114" i="14"/>
  <c r="AI110" i="14" s="1"/>
  <c r="AJ90" i="14"/>
  <c r="AJ101" i="14"/>
  <c r="AJ105" i="14" s="1"/>
  <c r="AJ45" i="14" s="1"/>
  <c r="AI109" i="14" l="1"/>
  <c r="AI115" i="14" s="1"/>
  <c r="AI116" i="14" s="1"/>
  <c r="AI119" i="14" s="1"/>
  <c r="AI49" i="14" s="1"/>
  <c r="AJ46" i="14"/>
  <c r="AJ47" i="14" s="1"/>
  <c r="AJ52" i="14"/>
  <c r="AK88" i="14"/>
  <c r="AK89" i="14" s="1"/>
  <c r="AK99" i="14"/>
  <c r="AJ104" i="14"/>
  <c r="AI51" i="14" l="1"/>
  <c r="AI54" i="14" s="1"/>
  <c r="AI71" i="14" s="1"/>
  <c r="AI70" i="14"/>
  <c r="AJ114" i="14"/>
  <c r="AJ109" i="14" s="1"/>
  <c r="AI111" i="14"/>
  <c r="AJ108" i="14" s="1"/>
  <c r="AK90" i="14"/>
  <c r="AK101" i="14"/>
  <c r="AK105" i="14" s="1"/>
  <c r="AK45" i="14" s="1"/>
  <c r="AJ110" i="14" l="1"/>
  <c r="AJ115" i="14" s="1"/>
  <c r="AJ116" i="14" s="1"/>
  <c r="AJ119" i="14" s="1"/>
  <c r="AJ49" i="14" s="1"/>
  <c r="AK46" i="14"/>
  <c r="AK47" i="14" s="1"/>
  <c r="AK52" i="14"/>
  <c r="AL88" i="14"/>
  <c r="AL89" i="14" s="1"/>
  <c r="AL99" i="14"/>
  <c r="AK104" i="14"/>
  <c r="AJ51" i="14" l="1"/>
  <c r="AJ54" i="14" s="1"/>
  <c r="AJ71" i="14" s="1"/>
  <c r="AJ70" i="14"/>
  <c r="AJ111" i="14"/>
  <c r="AK108" i="14" s="1"/>
  <c r="AK114" i="14"/>
  <c r="AK109" i="14" s="1"/>
  <c r="AL90" i="14"/>
  <c r="AL101" i="14"/>
  <c r="AL105" i="14" s="1"/>
  <c r="AL45" i="14" s="1"/>
  <c r="AK110" i="14" l="1"/>
  <c r="AK111" i="14" s="1"/>
  <c r="AL108" i="14" s="1"/>
  <c r="AL46" i="14"/>
  <c r="AL114" i="14" s="1"/>
  <c r="AL52" i="14"/>
  <c r="AM88" i="14"/>
  <c r="AM89" i="14" s="1"/>
  <c r="AM99" i="14"/>
  <c r="AL104" i="14"/>
  <c r="AL47" i="14" l="1"/>
  <c r="AK115" i="14"/>
  <c r="AK116" i="14" s="1"/>
  <c r="AK119" i="14" s="1"/>
  <c r="AK49" i="14" s="1"/>
  <c r="AL110" i="14"/>
  <c r="AL109" i="14"/>
  <c r="AM90" i="14"/>
  <c r="AM101" i="14"/>
  <c r="AM105" i="14" s="1"/>
  <c r="AM45" i="14" s="1"/>
  <c r="AK51" i="14" l="1"/>
  <c r="AK54" i="14" s="1"/>
  <c r="AK71" i="14" s="1"/>
  <c r="AK70" i="14"/>
  <c r="AM46" i="14"/>
  <c r="AM47" i="14" s="1"/>
  <c r="AM52" i="14"/>
  <c r="AL111" i="14"/>
  <c r="AM108" i="14" s="1"/>
  <c r="AL115" i="14"/>
  <c r="AL116" i="14" s="1"/>
  <c r="AL119" i="14" s="1"/>
  <c r="AL49" i="14" s="1"/>
  <c r="AN88" i="14"/>
  <c r="AN89" i="14" s="1"/>
  <c r="AN99" i="14"/>
  <c r="AM104" i="14"/>
  <c r="AL51" i="14" l="1"/>
  <c r="AL54" i="14" s="1"/>
  <c r="AL71" i="14" s="1"/>
  <c r="AL70" i="14"/>
  <c r="AM114" i="14"/>
  <c r="AM109" i="14" s="1"/>
  <c r="AN90" i="14"/>
  <c r="AN101" i="14"/>
  <c r="AN105" i="14" s="1"/>
  <c r="AN45" i="14" s="1"/>
  <c r="AM110" i="14" l="1"/>
  <c r="AM115" i="14" s="1"/>
  <c r="AM116" i="14" s="1"/>
  <c r="AM119" i="14" s="1"/>
  <c r="AM49" i="14" s="1"/>
  <c r="AN46" i="14"/>
  <c r="AN47" i="14" s="1"/>
  <c r="AN52" i="14"/>
  <c r="AO88" i="14"/>
  <c r="AO89" i="14" s="1"/>
  <c r="AO99" i="14"/>
  <c r="AN104" i="14"/>
  <c r="AM51" i="14" l="1"/>
  <c r="AM54" i="14" s="1"/>
  <c r="AM71" i="14" s="1"/>
  <c r="AM70" i="14"/>
  <c r="AN114" i="14"/>
  <c r="AN109" i="14" s="1"/>
  <c r="AM111" i="14"/>
  <c r="AN108" i="14" s="1"/>
  <c r="AO90" i="14"/>
  <c r="AO101" i="14"/>
  <c r="AO105" i="14" s="1"/>
  <c r="AO45" i="14" s="1"/>
  <c r="AN110" i="14" l="1"/>
  <c r="AN111" i="14" s="1"/>
  <c r="AO108" i="14" s="1"/>
  <c r="AO46" i="14"/>
  <c r="AO47" i="14" s="1"/>
  <c r="AO52" i="14"/>
  <c r="AP88" i="14"/>
  <c r="AP89" i="14" s="1"/>
  <c r="AP99" i="14"/>
  <c r="AO104" i="14"/>
  <c r="AN115" i="14" l="1"/>
  <c r="AN116" i="14" s="1"/>
  <c r="AN119" i="14" s="1"/>
  <c r="AN49" i="14" s="1"/>
  <c r="AO114" i="14"/>
  <c r="AO109" i="14" s="1"/>
  <c r="AP90" i="14"/>
  <c r="AP101" i="14"/>
  <c r="AP105" i="14" s="1"/>
  <c r="AP45" i="14" s="1"/>
  <c r="AN51" i="14" l="1"/>
  <c r="AN54" i="14" s="1"/>
  <c r="AN71" i="14" s="1"/>
  <c r="AN70" i="14"/>
  <c r="AO110" i="14"/>
  <c r="AO115" i="14" s="1"/>
  <c r="AO116" i="14" s="1"/>
  <c r="AO119" i="14" s="1"/>
  <c r="AO49" i="14" s="1"/>
  <c r="AP46" i="14"/>
  <c r="AP47" i="14" s="1"/>
  <c r="AP52" i="14"/>
  <c r="AQ88" i="14"/>
  <c r="AQ89" i="14" s="1"/>
  <c r="AQ99" i="14"/>
  <c r="AP104" i="14"/>
  <c r="AO51" i="14" l="1"/>
  <c r="AO54" i="14" s="1"/>
  <c r="AO71" i="14" s="1"/>
  <c r="AO70" i="14"/>
  <c r="AO111" i="14"/>
  <c r="AP108" i="14" s="1"/>
  <c r="AP114" i="14"/>
  <c r="AQ90" i="14"/>
  <c r="AQ101" i="14"/>
  <c r="AQ105" i="14" s="1"/>
  <c r="AQ45" i="14" s="1"/>
  <c r="AP110" i="14" l="1"/>
  <c r="AP109" i="14"/>
  <c r="AQ46" i="14"/>
  <c r="AQ47" i="14" s="1"/>
  <c r="AQ52" i="14"/>
  <c r="AR88" i="14"/>
  <c r="AR89" i="14" s="1"/>
  <c r="AR99" i="14"/>
  <c r="AQ104" i="14"/>
  <c r="AQ114" i="14" l="1"/>
  <c r="AQ109" i="14" s="1"/>
  <c r="AP115" i="14"/>
  <c r="AP116" i="14" s="1"/>
  <c r="AP119" i="14" s="1"/>
  <c r="AP49" i="14" s="1"/>
  <c r="AP111" i="14"/>
  <c r="AQ108" i="14" s="1"/>
  <c r="AR90" i="14"/>
  <c r="AR101" i="14"/>
  <c r="AR105" i="14" s="1"/>
  <c r="AR45" i="14" s="1"/>
  <c r="AQ110" i="14" l="1"/>
  <c r="AQ111" i="14" s="1"/>
  <c r="AR108" i="14" s="1"/>
  <c r="AP51" i="14"/>
  <c r="AP54" i="14" s="1"/>
  <c r="AP71" i="14" s="1"/>
  <c r="AP70" i="14"/>
  <c r="AR46" i="14"/>
  <c r="AR47" i="14" s="1"/>
  <c r="AR52" i="14"/>
  <c r="AS88" i="14"/>
  <c r="AS89" i="14" s="1"/>
  <c r="AS99" i="14"/>
  <c r="AR104" i="14"/>
  <c r="AQ115" i="14" l="1"/>
  <c r="AQ116" i="14" s="1"/>
  <c r="AQ119" i="14" s="1"/>
  <c r="AQ49" i="14" s="1"/>
  <c r="AQ51" i="14" s="1"/>
  <c r="AQ54" i="14" s="1"/>
  <c r="AQ71" i="14" s="1"/>
  <c r="AR114" i="14"/>
  <c r="AR109" i="14" s="1"/>
  <c r="AS90" i="14"/>
  <c r="AS101" i="14"/>
  <c r="AS105" i="14" s="1"/>
  <c r="AS45" i="14" s="1"/>
  <c r="AQ70" i="14" l="1"/>
  <c r="AR110" i="14"/>
  <c r="AR115" i="14" s="1"/>
  <c r="AR116" i="14" s="1"/>
  <c r="AR119" i="14" s="1"/>
  <c r="AR49" i="14" s="1"/>
  <c r="AS46" i="14"/>
  <c r="AS47" i="14" s="1"/>
  <c r="AS52" i="14"/>
  <c r="AT88" i="14"/>
  <c r="AT89" i="14" s="1"/>
  <c r="AT99" i="14"/>
  <c r="AS104" i="14"/>
  <c r="AR51" i="14" l="1"/>
  <c r="AR54" i="14" s="1"/>
  <c r="AR71" i="14" s="1"/>
  <c r="AR70" i="14"/>
  <c r="AS114" i="14"/>
  <c r="AS109" i="14" s="1"/>
  <c r="AR111" i="14"/>
  <c r="AS108" i="14" s="1"/>
  <c r="AT90" i="14"/>
  <c r="AT101" i="14"/>
  <c r="AT105" i="14" s="1"/>
  <c r="AT45" i="14" s="1"/>
  <c r="AS110" i="14" l="1"/>
  <c r="AS111" i="14" s="1"/>
  <c r="AT108" i="14" s="1"/>
  <c r="AT46" i="14"/>
  <c r="AT47" i="14" s="1"/>
  <c r="AT52" i="14"/>
  <c r="AU88" i="14"/>
  <c r="AU89" i="14" s="1"/>
  <c r="AU99" i="14"/>
  <c r="AT104" i="14"/>
  <c r="AS115" i="14" l="1"/>
  <c r="AS116" i="14" s="1"/>
  <c r="AS119" i="14" s="1"/>
  <c r="AS49" i="14" s="1"/>
  <c r="AT114" i="14"/>
  <c r="AT110" i="14" s="1"/>
  <c r="AU90" i="14"/>
  <c r="AW88" i="14" s="1"/>
  <c r="AW89" i="14" s="1"/>
  <c r="AU101" i="14"/>
  <c r="AU105" i="14" s="1"/>
  <c r="AU45" i="14" s="1"/>
  <c r="AS51" i="14" l="1"/>
  <c r="AS54" i="14" s="1"/>
  <c r="AS71" i="14" s="1"/>
  <c r="AS70" i="14"/>
  <c r="AT109" i="14"/>
  <c r="AT115" i="14" s="1"/>
  <c r="AT116" i="14" s="1"/>
  <c r="AT119" i="14" s="1"/>
  <c r="AT49" i="14" s="1"/>
  <c r="AU46" i="14"/>
  <c r="AU47" i="14" s="1"/>
  <c r="AU52" i="14"/>
  <c r="AV52" i="14" s="1"/>
  <c r="AW90" i="14"/>
  <c r="AW101" i="14"/>
  <c r="AW105" i="14" s="1"/>
  <c r="AW45" i="14" s="1"/>
  <c r="AU104" i="14"/>
  <c r="AW99" i="14" s="1"/>
  <c r="AT51" i="14" l="1"/>
  <c r="AT54" i="14" s="1"/>
  <c r="AT71" i="14" s="1"/>
  <c r="AT70" i="14"/>
  <c r="AU114" i="14"/>
  <c r="AU109" i="14" s="1"/>
  <c r="AT111" i="14"/>
  <c r="AU108" i="14" s="1"/>
  <c r="AW46" i="14"/>
  <c r="AW114" i="14" s="1"/>
  <c r="AW52" i="14"/>
  <c r="AX52" i="14" s="1"/>
  <c r="AW104" i="14"/>
  <c r="AV114" i="14" l="1"/>
  <c r="AX114" i="14" s="1"/>
  <c r="AW47" i="14"/>
  <c r="AU110" i="14"/>
  <c r="AU115" i="14" s="1"/>
  <c r="AW109" i="14"/>
  <c r="AU111" i="14" l="1"/>
  <c r="AW108" i="14" s="1"/>
  <c r="AW110" i="14" s="1"/>
  <c r="AW111" i="14" s="1"/>
  <c r="AU116" i="14"/>
  <c r="AU119" i="14" s="1"/>
  <c r="AV115" i="14"/>
  <c r="AV119" i="14" l="1"/>
  <c r="AU49" i="14"/>
  <c r="AU70" i="14" s="1"/>
  <c r="AV70" i="14" s="1"/>
  <c r="AV116" i="14"/>
  <c r="AW115" i="14"/>
  <c r="AW116" i="14" s="1"/>
  <c r="AW119" i="14" s="1"/>
  <c r="AX119" i="14" l="1"/>
  <c r="AW49" i="14"/>
  <c r="AU51" i="14"/>
  <c r="AV49" i="14"/>
  <c r="AX115" i="14"/>
  <c r="AX116" i="14" s="1"/>
  <c r="AX49" i="14" l="1"/>
  <c r="AW51" i="14"/>
  <c r="AW54" i="14" s="1"/>
  <c r="AW71" i="14" s="1"/>
  <c r="AW70" i="14"/>
  <c r="AX70" i="14" s="1"/>
  <c r="H90" i="4" s="1"/>
  <c r="H91" i="4" s="1"/>
  <c r="H93" i="4" s="1"/>
  <c r="H97" i="4" s="1"/>
  <c r="AU54" i="14"/>
  <c r="AV51" i="14"/>
  <c r="AX51" i="14" l="1"/>
  <c r="AV54" i="14"/>
  <c r="AX54" i="14" s="1"/>
  <c r="AU71" i="14"/>
  <c r="AV71" i="14" s="1"/>
  <c r="AX71" i="14" s="1"/>
  <c r="K116" i="4"/>
  <c r="K121" i="4" s="1"/>
  <c r="F115" i="4" s="1"/>
  <c r="F116" i="4" s="1"/>
  <c r="H99" i="4" s="1"/>
  <c r="H100" i="4" s="1"/>
  <c r="O172" i="4" s="1"/>
  <c r="K117" i="4"/>
  <c r="K118" i="4"/>
  <c r="K119" i="4"/>
  <c r="K120" i="4"/>
  <c r="O139" i="4" l="1"/>
  <c r="O155" i="4"/>
  <c r="H102" i="4"/>
  <c r="O123" i="4"/>
</calcChain>
</file>

<file path=xl/comments1.xml><?xml version="1.0" encoding="utf-8"?>
<comments xmlns="http://schemas.openxmlformats.org/spreadsheetml/2006/main">
  <authors>
    <author>Author</author>
  </authors>
  <commentList>
    <comment ref="R8" authorId="0" shapeId="0">
      <text>
        <r>
          <rPr>
            <b/>
            <sz val="9"/>
            <color indexed="81"/>
            <rFont val="Tahoma"/>
            <family val="2"/>
          </rPr>
          <t>BIWS:</t>
        </r>
        <r>
          <rPr>
            <sz val="9"/>
            <color indexed="81"/>
            <rFont val="Tahoma"/>
            <family val="2"/>
          </rPr>
          <t xml:space="preserve">
Per pg. 21 of Q3 10-Q. Includes both normal LOE and Lease Agreement Expense.</t>
        </r>
      </text>
    </comment>
    <comment ref="W8" authorId="0" shapeId="0">
      <text>
        <r>
          <rPr>
            <b/>
            <sz val="9"/>
            <color indexed="81"/>
            <rFont val="Tahoma"/>
            <family val="2"/>
          </rPr>
          <t>BIWS:</t>
        </r>
        <r>
          <rPr>
            <sz val="9"/>
            <color indexed="81"/>
            <rFont val="Tahoma"/>
            <family val="2"/>
          </rPr>
          <t xml:space="preserve">
Pg. 8 of 8-K - expected 5-7% difference in Q4, and it was 7% for previous quarter.</t>
        </r>
      </text>
    </comment>
    <comment ref="R9" authorId="0" shapeId="0">
      <text>
        <r>
          <rPr>
            <b/>
            <sz val="9"/>
            <color indexed="81"/>
            <rFont val="Tahoma"/>
            <family val="2"/>
          </rPr>
          <t>BIWS:</t>
        </r>
        <r>
          <rPr>
            <sz val="9"/>
            <color indexed="81"/>
            <rFont val="Tahoma"/>
            <family val="2"/>
          </rPr>
          <t xml:space="preserve">
Per pg. 21 of Q3 10-Q. Yes, technically there are only production taxes in WY and UT but just simplifying this.</t>
        </r>
      </text>
    </comment>
    <comment ref="W9" authorId="0" shapeId="0">
      <text>
        <r>
          <rPr>
            <b/>
            <sz val="9"/>
            <color indexed="81"/>
            <rFont val="Tahoma"/>
            <family val="2"/>
          </rPr>
          <t>BIWS:</t>
        </r>
        <r>
          <rPr>
            <sz val="9"/>
            <color indexed="81"/>
            <rFont val="Tahoma"/>
            <family val="2"/>
          </rPr>
          <t xml:space="preserve">
$7.00 difference stated on pg. 8 of 8-K, so approximating as 7% differential w/ ~$100 oil prices.</t>
        </r>
      </text>
    </comment>
    <comment ref="R10" authorId="0" shapeId="0">
      <text>
        <r>
          <rPr>
            <b/>
            <sz val="9"/>
            <color indexed="81"/>
            <rFont val="Tahoma"/>
            <family val="2"/>
          </rPr>
          <t>BIWS:</t>
        </r>
        <r>
          <rPr>
            <sz val="9"/>
            <color indexed="81"/>
            <rFont val="Tahoma"/>
            <family val="2"/>
          </rPr>
          <t xml:space="preserve">
Gas gathering + transportation per pg. 21 of Q3 10-Q.</t>
        </r>
      </text>
    </comment>
    <comment ref="W10" authorId="0" shapeId="0">
      <text>
        <r>
          <rPr>
            <b/>
            <sz val="9"/>
            <color indexed="81"/>
            <rFont val="Tahoma"/>
            <family val="2"/>
          </rPr>
          <t>BIWS:</t>
        </r>
        <r>
          <rPr>
            <sz val="9"/>
            <color indexed="81"/>
            <rFont val="Tahoma"/>
            <family val="2"/>
          </rPr>
          <t xml:space="preserve">
Not even really relevant here, but just including it for flexibility - no NGLs.</t>
        </r>
      </text>
    </comment>
    <comment ref="R11" authorId="0" shapeId="0">
      <text>
        <r>
          <rPr>
            <b/>
            <sz val="9"/>
            <color indexed="81"/>
            <rFont val="Tahoma"/>
            <family val="2"/>
          </rPr>
          <t>BIWS:</t>
        </r>
        <r>
          <rPr>
            <sz val="9"/>
            <color indexed="81"/>
            <rFont val="Tahoma"/>
            <family val="2"/>
          </rPr>
          <t xml:space="preserve">
Per pg. 22 of Q3 10-Q.</t>
        </r>
      </text>
    </comment>
    <comment ref="N13" authorId="0" shapeId="0">
      <text>
        <r>
          <rPr>
            <b/>
            <sz val="9"/>
            <color indexed="81"/>
            <rFont val="Tahoma"/>
            <family val="2"/>
          </rPr>
          <t>BIWS:</t>
        </r>
        <r>
          <rPr>
            <sz val="9"/>
            <color indexed="81"/>
            <rFont val="Tahoma"/>
            <family val="2"/>
          </rPr>
          <t xml:space="preserve">
Idea is to approximate an "average well" in each region or reserve type, for both the Proved Developed and PUD / PROB / POSS categories.</t>
        </r>
      </text>
    </comment>
    <comment ref="U15" authorId="0" shapeId="0">
      <text>
        <r>
          <rPr>
            <b/>
            <sz val="9"/>
            <color indexed="81"/>
            <rFont val="Tahoma"/>
            <family val="2"/>
          </rPr>
          <t>BIWS:</t>
        </r>
        <r>
          <rPr>
            <sz val="9"/>
            <color indexed="81"/>
            <rFont val="Tahoma"/>
            <family val="2"/>
          </rPr>
          <t xml:space="preserve">
82.5% NRI per pg. 22 of Q3 Earnings Supplemental Presentation.</t>
        </r>
      </text>
    </comment>
    <comment ref="U21" authorId="0" shapeId="0">
      <text>
        <r>
          <rPr>
            <b/>
            <sz val="9"/>
            <color indexed="81"/>
            <rFont val="Tahoma"/>
            <family val="2"/>
          </rPr>
          <t>BIWS:</t>
        </r>
        <r>
          <rPr>
            <sz val="9"/>
            <color indexed="81"/>
            <rFont val="Tahoma"/>
            <family val="2"/>
          </rPr>
          <t xml:space="preserve">
Pg. 4 of 2013.10.21 acquisition presentation.</t>
        </r>
      </text>
    </comment>
    <comment ref="M23" authorId="0" shapeId="0">
      <text>
        <r>
          <rPr>
            <b/>
            <sz val="9"/>
            <color indexed="81"/>
            <rFont val="Tahoma"/>
            <family val="2"/>
          </rPr>
          <t>BIWS:</t>
        </r>
        <r>
          <rPr>
            <sz val="9"/>
            <color indexed="81"/>
            <rFont val="Tahoma"/>
            <family val="2"/>
          </rPr>
          <t xml:space="preserve">
In this area, we use PERCENTAGES for variables that differ between different reserve types/wells/regions, such as D&amp;C costs, EUR, IP rate per well, and the decline rate per well.
For variables that stay the same, such as LOE per Mcfe and other production-expenses, we don't need to do this because we can build sensitivities based on these "universal" assumptions above.</t>
        </r>
      </text>
    </comment>
    <comment ref="K27" authorId="0" shapeId="0">
      <text>
        <r>
          <rPr>
            <b/>
            <sz val="9"/>
            <color indexed="81"/>
            <rFont val="Tahoma"/>
            <family val="2"/>
          </rPr>
          <t>BIWS:</t>
        </r>
        <r>
          <rPr>
            <sz val="9"/>
            <color indexed="81"/>
            <rFont val="Tahoma"/>
            <family val="2"/>
          </rPr>
          <t xml:space="preserve">
Guiding to 1.5% for 2013 per Q3 8-K pg. 8 of PDF.</t>
        </r>
      </text>
    </comment>
    <comment ref="K28" authorId="0" shapeId="0">
      <text>
        <r>
          <rPr>
            <b/>
            <sz val="9"/>
            <color indexed="81"/>
            <rFont val="Tahoma"/>
            <family val="2"/>
          </rPr>
          <t>BIWS:</t>
        </r>
        <r>
          <rPr>
            <sz val="9"/>
            <color indexed="81"/>
            <rFont val="Tahoma"/>
            <family val="2"/>
          </rPr>
          <t xml:space="preserve">
Most equity research has the same low rate for next 2 years at least, but it won't last forever.</t>
        </r>
      </text>
    </comment>
    <comment ref="K29" authorId="0" shapeId="0">
      <text>
        <r>
          <rPr>
            <b/>
            <sz val="9"/>
            <color indexed="81"/>
            <rFont val="Tahoma"/>
            <family val="2"/>
          </rPr>
          <t>Author:</t>
        </r>
        <r>
          <rPr>
            <sz val="9"/>
            <color indexed="81"/>
            <rFont val="Tahoma"/>
            <family val="2"/>
          </rPr>
          <t xml:space="preserve">
Per rate listed on page 72 of the 10-K in the Tax section.</t>
        </r>
      </text>
    </comment>
    <comment ref="K30" authorId="0" shapeId="0">
      <text>
        <r>
          <rPr>
            <b/>
            <sz val="9"/>
            <color indexed="81"/>
            <rFont val="Tahoma"/>
            <family val="2"/>
          </rPr>
          <t>BIWS:</t>
        </r>
        <r>
          <rPr>
            <sz val="9"/>
            <color indexed="81"/>
            <rFont val="Tahoma"/>
            <family val="2"/>
          </rPr>
          <t xml:space="preserve">
Per pg. 73 of 10-K.</t>
        </r>
      </text>
    </comment>
    <comment ref="K33" authorId="0" shapeId="0">
      <text>
        <r>
          <rPr>
            <b/>
            <sz val="9"/>
            <color indexed="81"/>
            <rFont val="Tahoma"/>
            <family val="2"/>
          </rPr>
          <t>BIWS:</t>
        </r>
        <r>
          <rPr>
            <sz val="9"/>
            <color indexed="81"/>
            <rFont val="Tahoma"/>
            <family val="2"/>
          </rPr>
          <t xml:space="preserve">
Cumulative PDP + PDNP + PUD production from Rollup.</t>
        </r>
      </text>
    </comment>
    <comment ref="K34" authorId="0" shapeId="0">
      <text>
        <r>
          <rPr>
            <b/>
            <sz val="9"/>
            <color indexed="81"/>
            <rFont val="Tahoma"/>
            <family val="2"/>
          </rPr>
          <t>BIWS:</t>
        </r>
        <r>
          <rPr>
            <sz val="9"/>
            <color indexed="81"/>
            <rFont val="Tahoma"/>
            <family val="2"/>
          </rPr>
          <t xml:space="preserve">
Equal to TOTAL cumulative production across ALL reserve types minus cumulative proved reserve production.</t>
        </r>
      </text>
    </comment>
    <comment ref="K35" authorId="0" shapeId="0">
      <text>
        <r>
          <rPr>
            <b/>
            <sz val="9"/>
            <color indexed="81"/>
            <rFont val="Tahoma"/>
            <family val="2"/>
          </rPr>
          <t>BIWS:</t>
        </r>
        <r>
          <rPr>
            <sz val="9"/>
            <color indexed="81"/>
            <rFont val="Tahoma"/>
            <family val="2"/>
          </rPr>
          <t xml:space="preserve">
Equal to Unproved CapEx / Max Migrated Reserves, or weighted average of estimated F&amp;D costs in both regions if the first method produces an error.</t>
        </r>
      </text>
    </comment>
    <comment ref="K36" authorId="0" shapeId="0">
      <text>
        <r>
          <rPr>
            <b/>
            <sz val="9"/>
            <color indexed="81"/>
            <rFont val="Tahoma"/>
            <family val="2"/>
          </rPr>
          <t>BIWS:</t>
        </r>
        <r>
          <rPr>
            <sz val="9"/>
            <color indexed="81"/>
            <rFont val="Tahoma"/>
            <family val="2"/>
          </rPr>
          <t xml:space="preserve">
Equal to Total Cumulative CapEx across all reserve types, less cumulative CapEx for PDP, PDNP, and PUD.</t>
        </r>
      </text>
    </comment>
    <comment ref="K38" authorId="0" shapeId="0">
      <text>
        <r>
          <rPr>
            <b/>
            <sz val="9"/>
            <color indexed="81"/>
            <rFont val="Tahoma"/>
            <family val="2"/>
          </rPr>
          <t>BIWS:</t>
        </r>
        <r>
          <rPr>
            <sz val="9"/>
            <color indexed="81"/>
            <rFont val="Tahoma"/>
            <family val="2"/>
          </rPr>
          <t xml:space="preserve">
Always 0% for Full Cost companies - capitalize all CapEx for both book and tax purposes. Often around 70-80% for SE companies.</t>
        </r>
      </text>
    </comment>
    <comment ref="K41" authorId="0" shapeId="0">
      <text>
        <r>
          <rPr>
            <b/>
            <sz val="9"/>
            <color indexed="81"/>
            <rFont val="Tahoma"/>
            <family val="2"/>
          </rPr>
          <t>BIWS:</t>
        </r>
        <r>
          <rPr>
            <sz val="9"/>
            <color indexed="81"/>
            <rFont val="Tahoma"/>
            <family val="2"/>
          </rPr>
          <t xml:space="preserve">
Per pg. 63 of 10-K.</t>
        </r>
      </text>
    </comment>
    <comment ref="K42" authorId="0" shapeId="0">
      <text>
        <r>
          <rPr>
            <b/>
            <sz val="9"/>
            <color indexed="81"/>
            <rFont val="Tahoma"/>
            <family val="2"/>
          </rPr>
          <t>BIWS:</t>
        </r>
        <r>
          <rPr>
            <sz val="9"/>
            <color indexed="81"/>
            <rFont val="Tahoma"/>
            <family val="2"/>
          </rPr>
          <t xml:space="preserve">
Per pg. 73 of 10-K - nothing applicable here because DTL reversed itself last year.</t>
        </r>
      </text>
    </comment>
    <comment ref="K43" authorId="0" shapeId="0">
      <text>
        <r>
          <rPr>
            <b/>
            <sz val="9"/>
            <color indexed="81"/>
            <rFont val="Tahoma"/>
            <family val="2"/>
          </rPr>
          <t>BIWS:</t>
        </r>
        <r>
          <rPr>
            <sz val="9"/>
            <color indexed="81"/>
            <rFont val="Tahoma"/>
            <family val="2"/>
          </rPr>
          <t xml:space="preserve">
Per pg. 72 of 10-K - ignoring one-time valuation allowance, effective tax rate is almost the same as the statutory rate in each year, so simplifying it here.</t>
        </r>
      </text>
    </comment>
    <comment ref="AA63" authorId="0" shapeId="0">
      <text>
        <r>
          <rPr>
            <b/>
            <sz val="9"/>
            <color indexed="81"/>
            <rFont val="Tahoma"/>
            <family val="2"/>
          </rPr>
          <t>Author:</t>
        </r>
        <r>
          <rPr>
            <sz val="9"/>
            <color indexed="81"/>
            <rFont val="Tahoma"/>
            <family val="2"/>
          </rPr>
          <t xml:space="preserve">
Per pg. 1 of reserve report.</t>
        </r>
      </text>
    </comment>
    <comment ref="AB63" authorId="0" shapeId="0">
      <text>
        <r>
          <rPr>
            <b/>
            <sz val="9"/>
            <color indexed="81"/>
            <rFont val="Tahoma"/>
            <family val="2"/>
          </rPr>
          <t>Author:</t>
        </r>
        <r>
          <rPr>
            <sz val="9"/>
            <color indexed="81"/>
            <rFont val="Tahoma"/>
            <family val="2"/>
          </rPr>
          <t xml:space="preserve">
Per pg. 1 of reserve report.</t>
        </r>
      </text>
    </comment>
    <comment ref="G66" authorId="0" shapeId="0">
      <text>
        <r>
          <rPr>
            <b/>
            <sz val="9"/>
            <color indexed="81"/>
            <rFont val="Tahoma"/>
            <family val="2"/>
          </rPr>
          <t>BIWS:</t>
        </r>
        <r>
          <rPr>
            <sz val="9"/>
            <color indexed="81"/>
            <rFont val="Tahoma"/>
            <family val="2"/>
          </rPr>
          <t xml:space="preserve">
Based on range of values for land value found in press releases and PDFs.</t>
        </r>
      </text>
    </comment>
    <comment ref="H95" authorId="0" shapeId="0">
      <text>
        <r>
          <rPr>
            <b/>
            <sz val="9"/>
            <color indexed="81"/>
            <rFont val="Tahoma"/>
            <family val="2"/>
          </rPr>
          <t>BIWS:</t>
        </r>
        <r>
          <rPr>
            <sz val="9"/>
            <color indexed="81"/>
            <rFont val="Tahoma"/>
            <family val="2"/>
          </rPr>
          <t xml:space="preserve">
Counting all long-term debt, cash &amp; cash-equivalents, and restricted cash. No preferred, NCI, etc.</t>
        </r>
      </text>
    </comment>
    <comment ref="H96" authorId="0" shapeId="0">
      <text>
        <r>
          <rPr>
            <b/>
            <sz val="9"/>
            <color indexed="81"/>
            <rFont val="Tahoma"/>
            <family val="2"/>
          </rPr>
          <t>BIWS:</t>
        </r>
        <r>
          <rPr>
            <sz val="9"/>
            <color indexed="81"/>
            <rFont val="Tahoma"/>
            <family val="2"/>
          </rPr>
          <t xml:space="preserve">
Per press releases and earnings call transcript for deal.</t>
        </r>
      </text>
    </comment>
    <comment ref="F113" authorId="0" shapeId="0">
      <text>
        <r>
          <rPr>
            <b/>
            <sz val="9"/>
            <color indexed="81"/>
            <rFont val="Tahoma"/>
            <family val="2"/>
          </rPr>
          <t>BIWS:</t>
        </r>
        <r>
          <rPr>
            <sz val="9"/>
            <color indexed="81"/>
            <rFont val="Tahoma"/>
            <family val="2"/>
          </rPr>
          <t xml:space="preserve">
From front cover of Q3 10-Q.</t>
        </r>
      </text>
    </comment>
    <comment ref="I115" authorId="0" shapeId="0">
      <text>
        <r>
          <rPr>
            <b/>
            <sz val="9"/>
            <color indexed="81"/>
            <rFont val="Tahoma"/>
            <family val="2"/>
          </rPr>
          <t>BIWS:</t>
        </r>
        <r>
          <rPr>
            <sz val="9"/>
            <color indexed="81"/>
            <rFont val="Tahoma"/>
            <family val="2"/>
          </rPr>
          <t xml:space="preserve">
Pg. 68 of 10-K.</t>
        </r>
      </text>
    </comment>
    <comment ref="J115" authorId="0" shapeId="0">
      <text>
        <r>
          <rPr>
            <b/>
            <sz val="9"/>
            <color indexed="81"/>
            <rFont val="Tahoma"/>
            <family val="2"/>
          </rPr>
          <t>BIWS:</t>
        </r>
        <r>
          <rPr>
            <sz val="9"/>
            <color indexed="81"/>
            <rFont val="Tahoma"/>
            <family val="2"/>
          </rPr>
          <t xml:space="preserve">
Pg. 68 of 10-K.</t>
        </r>
      </text>
    </comment>
  </commentList>
</comments>
</file>

<file path=xl/comments2.xml><?xml version="1.0" encoding="utf-8"?>
<comments xmlns="http://schemas.openxmlformats.org/spreadsheetml/2006/main">
  <authors>
    <author>Author</author>
  </authors>
  <commentList>
    <comment ref="L7" authorId="0" shapeId="0">
      <text>
        <r>
          <rPr>
            <b/>
            <sz val="9"/>
            <color indexed="81"/>
            <rFont val="Tahoma"/>
            <family val="2"/>
          </rPr>
          <t>Author:</t>
        </r>
        <r>
          <rPr>
            <sz val="9"/>
            <color indexed="81"/>
            <rFont val="Tahoma"/>
            <family val="2"/>
          </rPr>
          <t xml:space="preserve">
In-line with indications of 1 well / 10 acres.</t>
        </r>
      </text>
    </comment>
    <comment ref="K8" authorId="0" shapeId="0">
      <text>
        <r>
          <rPr>
            <b/>
            <sz val="9"/>
            <color indexed="81"/>
            <rFont val="Tahoma"/>
            <family val="2"/>
          </rPr>
          <t>Author:</t>
        </r>
        <r>
          <rPr>
            <sz val="9"/>
            <color indexed="81"/>
            <rFont val="Tahoma"/>
            <family val="2"/>
          </rPr>
          <t xml:space="preserve">
Very strange result! But doesn't matter much since these are for existing wells anyway.</t>
        </r>
      </text>
    </comment>
    <comment ref="L8" authorId="0" shapeId="0">
      <text>
        <r>
          <rPr>
            <b/>
            <sz val="9"/>
            <color indexed="81"/>
            <rFont val="Tahoma"/>
            <family val="2"/>
          </rPr>
          <t>Author:</t>
        </r>
        <r>
          <rPr>
            <sz val="9"/>
            <color indexed="81"/>
            <rFont val="Tahoma"/>
            <family val="2"/>
          </rPr>
          <t xml:space="preserve">
In-line with indications of 1 well per 110 acres.</t>
        </r>
      </text>
    </comment>
    <comment ref="C9" authorId="0" shapeId="0">
      <text>
        <r>
          <rPr>
            <b/>
            <sz val="9"/>
            <color indexed="81"/>
            <rFont val="Tahoma"/>
            <family val="2"/>
          </rPr>
          <t>BIWS:</t>
        </r>
        <r>
          <rPr>
            <sz val="9"/>
            <color indexed="81"/>
            <rFont val="Tahoma"/>
            <family val="2"/>
          </rPr>
          <t xml:space="preserve">
No further plans for production - pg. 29 of 10-K.</t>
        </r>
      </text>
    </comment>
    <comment ref="D11" authorId="0" shapeId="0">
      <text>
        <r>
          <rPr>
            <b/>
            <sz val="9"/>
            <color indexed="81"/>
            <rFont val="Tahoma"/>
            <family val="2"/>
          </rPr>
          <t>BIWS:</t>
        </r>
        <r>
          <rPr>
            <sz val="9"/>
            <color indexed="81"/>
            <rFont val="Tahoma"/>
            <family val="2"/>
          </rPr>
          <t xml:space="preserve">
See pg. 29 of 10-K for this data - go back to previous 10-Ks in the same spot for the 2009 data.</t>
        </r>
      </text>
    </comment>
    <comment ref="H25" authorId="0" shapeId="0">
      <text>
        <r>
          <rPr>
            <b/>
            <sz val="9"/>
            <color indexed="81"/>
            <rFont val="Tahoma"/>
            <family val="2"/>
          </rPr>
          <t>BIWS:</t>
        </r>
        <r>
          <rPr>
            <sz val="9"/>
            <color indexed="81"/>
            <rFont val="Tahoma"/>
            <family val="2"/>
          </rPr>
          <t xml:space="preserve">
Pulling from 2011 reserves press release pg. 2</t>
        </r>
      </text>
    </comment>
    <comment ref="I25" authorId="0" shapeId="0">
      <text>
        <r>
          <rPr>
            <b/>
            <sz val="9"/>
            <color indexed="81"/>
            <rFont val="Tahoma"/>
            <family val="2"/>
          </rPr>
          <t>BIWS:</t>
        </r>
        <r>
          <rPr>
            <sz val="9"/>
            <color indexed="81"/>
            <rFont val="Tahoma"/>
            <family val="2"/>
          </rPr>
          <t xml:space="preserve">
Pulling from 2013.05 presentation pg. 16.</t>
        </r>
      </text>
    </comment>
    <comment ref="H26" authorId="0" shapeId="0">
      <text>
        <r>
          <rPr>
            <b/>
            <sz val="9"/>
            <color indexed="81"/>
            <rFont val="Tahoma"/>
            <family val="2"/>
          </rPr>
          <t>BIWS:</t>
        </r>
        <r>
          <rPr>
            <sz val="9"/>
            <color indexed="81"/>
            <rFont val="Tahoma"/>
            <family val="2"/>
          </rPr>
          <t xml:space="preserve">
Pulling from 2011 reserves press release pg. 2</t>
        </r>
      </text>
    </comment>
    <comment ref="I26" authorId="0" shapeId="0">
      <text>
        <r>
          <rPr>
            <b/>
            <sz val="9"/>
            <color indexed="81"/>
            <rFont val="Tahoma"/>
            <family val="2"/>
          </rPr>
          <t>BIWS:</t>
        </r>
        <r>
          <rPr>
            <sz val="9"/>
            <color indexed="81"/>
            <rFont val="Tahoma"/>
            <family val="2"/>
          </rPr>
          <t xml:space="preserve">
Pulling from 2013.05 presentation pg. 16.</t>
        </r>
      </text>
    </comment>
    <comment ref="K27" authorId="0" shapeId="0">
      <text>
        <r>
          <rPr>
            <b/>
            <sz val="9"/>
            <color indexed="81"/>
            <rFont val="Tahoma"/>
            <family val="2"/>
          </rPr>
          <t>Author:</t>
        </r>
        <r>
          <rPr>
            <sz val="9"/>
            <color indexed="81"/>
            <rFont val="Tahoma"/>
            <family val="2"/>
          </rPr>
          <t xml:space="preserve">
Confirms that real EUR may be somewhere in between Net and Gross numbers at the bottom - consider adjusting in sensitivities and/or base numbers here.</t>
        </r>
      </text>
    </comment>
    <comment ref="D31" authorId="0" shapeId="0">
      <text>
        <r>
          <rPr>
            <b/>
            <sz val="9"/>
            <color indexed="81"/>
            <rFont val="Tahoma"/>
            <family val="2"/>
          </rPr>
          <t>BIWS:</t>
        </r>
        <r>
          <rPr>
            <sz val="9"/>
            <color indexed="81"/>
            <rFont val="Tahoma"/>
            <family val="2"/>
          </rPr>
          <t xml:space="preserve">
Per 2012 Reserves Report, pg. 1.</t>
        </r>
      </text>
    </comment>
    <comment ref="E31" authorId="0" shapeId="0">
      <text>
        <r>
          <rPr>
            <b/>
            <sz val="9"/>
            <color indexed="81"/>
            <rFont val="Tahoma"/>
            <family val="2"/>
          </rPr>
          <t>BIWS:</t>
        </r>
        <r>
          <rPr>
            <sz val="9"/>
            <color indexed="81"/>
            <rFont val="Tahoma"/>
            <family val="2"/>
          </rPr>
          <t xml:space="preserve">
Per 2012 Reserves Report, pg. 1.</t>
        </r>
      </text>
    </comment>
    <comment ref="I31" authorId="0" shapeId="0">
      <text>
        <r>
          <rPr>
            <b/>
            <sz val="9"/>
            <color indexed="81"/>
            <rFont val="Tahoma"/>
            <family val="2"/>
          </rPr>
          <t>BIWS:</t>
        </r>
        <r>
          <rPr>
            <sz val="9"/>
            <color indexed="81"/>
            <rFont val="Tahoma"/>
            <family val="2"/>
          </rPr>
          <t xml:space="preserve">
Per 2012 Reserves Report, pg. 1.</t>
        </r>
      </text>
    </comment>
    <comment ref="J31" authorId="0" shapeId="0">
      <text>
        <r>
          <rPr>
            <b/>
            <sz val="9"/>
            <color indexed="81"/>
            <rFont val="Tahoma"/>
            <family val="2"/>
          </rPr>
          <t>BIWS:</t>
        </r>
        <r>
          <rPr>
            <sz val="9"/>
            <color indexed="81"/>
            <rFont val="Tahoma"/>
            <family val="2"/>
          </rPr>
          <t xml:space="preserve">
Per 2012 Reserves Report, pg. 1.</t>
        </r>
      </text>
    </comment>
    <comment ref="D32" authorId="0" shapeId="0">
      <text>
        <r>
          <rPr>
            <b/>
            <sz val="9"/>
            <color indexed="81"/>
            <rFont val="Tahoma"/>
            <family val="2"/>
          </rPr>
          <t>BIWS:</t>
        </r>
        <r>
          <rPr>
            <sz val="9"/>
            <color indexed="81"/>
            <rFont val="Tahoma"/>
            <family val="2"/>
          </rPr>
          <t xml:space="preserve">
Per 2012 Reserves Report, pg. 1.</t>
        </r>
      </text>
    </comment>
    <comment ref="E32" authorId="0" shapeId="0">
      <text>
        <r>
          <rPr>
            <b/>
            <sz val="9"/>
            <color indexed="81"/>
            <rFont val="Tahoma"/>
            <family val="2"/>
          </rPr>
          <t>BIWS:</t>
        </r>
        <r>
          <rPr>
            <sz val="9"/>
            <color indexed="81"/>
            <rFont val="Tahoma"/>
            <family val="2"/>
          </rPr>
          <t xml:space="preserve">
Per 2012 Reserves Report, pg. 1.</t>
        </r>
      </text>
    </comment>
    <comment ref="I32" authorId="0" shapeId="0">
      <text>
        <r>
          <rPr>
            <b/>
            <sz val="9"/>
            <color indexed="81"/>
            <rFont val="Tahoma"/>
            <family val="2"/>
          </rPr>
          <t>BIWS:</t>
        </r>
        <r>
          <rPr>
            <sz val="9"/>
            <color indexed="81"/>
            <rFont val="Tahoma"/>
            <family val="2"/>
          </rPr>
          <t xml:space="preserve">
Per 2012 Reserves Report, pg. 1.</t>
        </r>
      </text>
    </comment>
    <comment ref="J32" authorId="0" shapeId="0">
      <text>
        <r>
          <rPr>
            <b/>
            <sz val="9"/>
            <color indexed="81"/>
            <rFont val="Tahoma"/>
            <family val="2"/>
          </rPr>
          <t>BIWS:</t>
        </r>
        <r>
          <rPr>
            <sz val="9"/>
            <color indexed="81"/>
            <rFont val="Tahoma"/>
            <family val="2"/>
          </rPr>
          <t xml:space="preserve">
Per 2012 Reserves Report, pg. 1.</t>
        </r>
      </text>
    </comment>
    <comment ref="D33" authorId="0" shapeId="0">
      <text>
        <r>
          <rPr>
            <b/>
            <sz val="9"/>
            <color indexed="81"/>
            <rFont val="Tahoma"/>
            <family val="2"/>
          </rPr>
          <t>BIWS:</t>
        </r>
        <r>
          <rPr>
            <sz val="9"/>
            <color indexed="81"/>
            <rFont val="Tahoma"/>
            <family val="2"/>
          </rPr>
          <t xml:space="preserve">
Per 2012 Reserves Report, pg. 1.</t>
        </r>
      </text>
    </comment>
    <comment ref="E33" authorId="0" shapeId="0">
      <text>
        <r>
          <rPr>
            <b/>
            <sz val="9"/>
            <color indexed="81"/>
            <rFont val="Tahoma"/>
            <family val="2"/>
          </rPr>
          <t>BIWS:</t>
        </r>
        <r>
          <rPr>
            <sz val="9"/>
            <color indexed="81"/>
            <rFont val="Tahoma"/>
            <family val="2"/>
          </rPr>
          <t xml:space="preserve">
Per 2012 Reserves Report, pg. 1.</t>
        </r>
      </text>
    </comment>
    <comment ref="I33" authorId="0" shapeId="0">
      <text>
        <r>
          <rPr>
            <b/>
            <sz val="9"/>
            <color indexed="81"/>
            <rFont val="Tahoma"/>
            <family val="2"/>
          </rPr>
          <t>BIWS:</t>
        </r>
        <r>
          <rPr>
            <sz val="9"/>
            <color indexed="81"/>
            <rFont val="Tahoma"/>
            <family val="2"/>
          </rPr>
          <t xml:space="preserve">
Per 2012 Reserves Report, pg. 1.</t>
        </r>
      </text>
    </comment>
    <comment ref="J33" authorId="0" shapeId="0">
      <text>
        <r>
          <rPr>
            <b/>
            <sz val="9"/>
            <color indexed="81"/>
            <rFont val="Tahoma"/>
            <family val="2"/>
          </rPr>
          <t>BIWS:</t>
        </r>
        <r>
          <rPr>
            <sz val="9"/>
            <color indexed="81"/>
            <rFont val="Tahoma"/>
            <family val="2"/>
          </rPr>
          <t xml:space="preserve">
Per 2012 Reserves Report, pg. 1.</t>
        </r>
      </text>
    </comment>
    <comment ref="E41" authorId="0" shapeId="0">
      <text>
        <r>
          <rPr>
            <b/>
            <sz val="9"/>
            <color indexed="81"/>
            <rFont val="Tahoma"/>
            <family val="2"/>
          </rPr>
          <t>Author:</t>
        </r>
        <r>
          <rPr>
            <sz val="9"/>
            <color indexed="81"/>
            <rFont val="Tahoma"/>
            <family val="2"/>
          </rPr>
          <t xml:space="preserve">
From pg. 9 of 10-K.</t>
        </r>
      </text>
    </comment>
    <comment ref="G41" authorId="0" shapeId="0">
      <text>
        <r>
          <rPr>
            <b/>
            <sz val="9"/>
            <color indexed="81"/>
            <rFont val="Tahoma"/>
            <family val="2"/>
          </rPr>
          <t>Author:</t>
        </r>
        <r>
          <rPr>
            <sz val="9"/>
            <color indexed="81"/>
            <rFont val="Tahoma"/>
            <family val="2"/>
          </rPr>
          <t xml:space="preserve">
From pg. 9 of 10-K.</t>
        </r>
      </text>
    </comment>
    <comment ref="I41" authorId="0" shapeId="0">
      <text>
        <r>
          <rPr>
            <b/>
            <sz val="9"/>
            <color indexed="81"/>
            <rFont val="Tahoma"/>
            <family val="2"/>
          </rPr>
          <t>Author:</t>
        </r>
        <r>
          <rPr>
            <sz val="9"/>
            <color indexed="81"/>
            <rFont val="Tahoma"/>
            <family val="2"/>
          </rPr>
          <t xml:space="preserve">
From pg. 9 of 10-K.</t>
        </r>
      </text>
    </comment>
    <comment ref="E44" authorId="0" shapeId="0">
      <text>
        <r>
          <rPr>
            <b/>
            <sz val="9"/>
            <color indexed="81"/>
            <rFont val="Tahoma"/>
            <family val="2"/>
          </rPr>
          <t>BIWS:</t>
        </r>
        <r>
          <rPr>
            <sz val="9"/>
            <color indexed="81"/>
            <rFont val="Tahoma"/>
            <family val="2"/>
          </rPr>
          <t xml:space="preserve">
Pg. 34 of 10-K.</t>
        </r>
      </text>
    </comment>
    <comment ref="F44" authorId="0" shapeId="0">
      <text>
        <r>
          <rPr>
            <b/>
            <sz val="9"/>
            <color indexed="81"/>
            <rFont val="Tahoma"/>
            <family val="2"/>
          </rPr>
          <t>BIWS:</t>
        </r>
        <r>
          <rPr>
            <sz val="9"/>
            <color indexed="81"/>
            <rFont val="Tahoma"/>
            <family val="2"/>
          </rPr>
          <t xml:space="preserve">
Pg. 34 of 10-K.</t>
        </r>
      </text>
    </comment>
    <comment ref="G44" authorId="0" shapeId="0">
      <text>
        <r>
          <rPr>
            <b/>
            <sz val="9"/>
            <color indexed="81"/>
            <rFont val="Tahoma"/>
            <family val="2"/>
          </rPr>
          <t>BIWS:</t>
        </r>
        <r>
          <rPr>
            <sz val="9"/>
            <color indexed="81"/>
            <rFont val="Tahoma"/>
            <family val="2"/>
          </rPr>
          <t xml:space="preserve">
Pg. 34 of 10-K.</t>
        </r>
      </text>
    </comment>
    <comment ref="H44" authorId="0" shapeId="0">
      <text>
        <r>
          <rPr>
            <b/>
            <sz val="9"/>
            <color indexed="81"/>
            <rFont val="Tahoma"/>
            <family val="2"/>
          </rPr>
          <t>BIWS:</t>
        </r>
        <r>
          <rPr>
            <sz val="9"/>
            <color indexed="81"/>
            <rFont val="Tahoma"/>
            <family val="2"/>
          </rPr>
          <t xml:space="preserve">
Pg. 34 of 10-K.</t>
        </r>
      </text>
    </comment>
    <comment ref="I44" authorId="0" shapeId="0">
      <text>
        <r>
          <rPr>
            <b/>
            <sz val="9"/>
            <color indexed="81"/>
            <rFont val="Tahoma"/>
            <family val="2"/>
          </rPr>
          <t>BIWS:</t>
        </r>
        <r>
          <rPr>
            <sz val="9"/>
            <color indexed="81"/>
            <rFont val="Tahoma"/>
            <family val="2"/>
          </rPr>
          <t xml:space="preserve">
Pg. 34 of 10-K.</t>
        </r>
      </text>
    </comment>
    <comment ref="J44" authorId="0" shapeId="0">
      <text>
        <r>
          <rPr>
            <b/>
            <sz val="9"/>
            <color indexed="81"/>
            <rFont val="Tahoma"/>
            <family val="2"/>
          </rPr>
          <t>BIWS:</t>
        </r>
        <r>
          <rPr>
            <sz val="9"/>
            <color indexed="81"/>
            <rFont val="Tahoma"/>
            <family val="2"/>
          </rPr>
          <t xml:space="preserve">
Pg. 34 of 10-K.</t>
        </r>
      </text>
    </comment>
    <comment ref="E45" authorId="0" shapeId="0">
      <text>
        <r>
          <rPr>
            <b/>
            <sz val="9"/>
            <color indexed="81"/>
            <rFont val="Tahoma"/>
            <family val="2"/>
          </rPr>
          <t>BIWS:</t>
        </r>
        <r>
          <rPr>
            <sz val="9"/>
            <color indexed="81"/>
            <rFont val="Tahoma"/>
            <family val="2"/>
          </rPr>
          <t xml:space="preserve">
Pg. 34-35 of 10-K.</t>
        </r>
      </text>
    </comment>
    <comment ref="F45" authorId="0" shapeId="0">
      <text>
        <r>
          <rPr>
            <b/>
            <sz val="9"/>
            <color indexed="81"/>
            <rFont val="Tahoma"/>
            <family val="2"/>
          </rPr>
          <t>BIWS:</t>
        </r>
        <r>
          <rPr>
            <sz val="9"/>
            <color indexed="81"/>
            <rFont val="Tahoma"/>
            <family val="2"/>
          </rPr>
          <t xml:space="preserve">
Pg. 34-35 of 10-K.</t>
        </r>
      </text>
    </comment>
    <comment ref="G45" authorId="0" shapeId="0">
      <text>
        <r>
          <rPr>
            <b/>
            <sz val="9"/>
            <color indexed="81"/>
            <rFont val="Tahoma"/>
            <family val="2"/>
          </rPr>
          <t>BIWS:</t>
        </r>
        <r>
          <rPr>
            <sz val="9"/>
            <color indexed="81"/>
            <rFont val="Tahoma"/>
            <family val="2"/>
          </rPr>
          <t xml:space="preserve">
Pg. 34-35 of 10-K.</t>
        </r>
      </text>
    </comment>
    <comment ref="H45" authorId="0" shapeId="0">
      <text>
        <r>
          <rPr>
            <b/>
            <sz val="9"/>
            <color indexed="81"/>
            <rFont val="Tahoma"/>
            <family val="2"/>
          </rPr>
          <t>BIWS:</t>
        </r>
        <r>
          <rPr>
            <sz val="9"/>
            <color indexed="81"/>
            <rFont val="Tahoma"/>
            <family val="2"/>
          </rPr>
          <t xml:space="preserve">
Pg. 34-35 of 10-K.</t>
        </r>
      </text>
    </comment>
    <comment ref="I45" authorId="0" shapeId="0">
      <text>
        <r>
          <rPr>
            <b/>
            <sz val="9"/>
            <color indexed="81"/>
            <rFont val="Tahoma"/>
            <family val="2"/>
          </rPr>
          <t>BIWS:</t>
        </r>
        <r>
          <rPr>
            <sz val="9"/>
            <color indexed="81"/>
            <rFont val="Tahoma"/>
            <family val="2"/>
          </rPr>
          <t xml:space="preserve">
Pg. 34-35 of 10-K.</t>
        </r>
      </text>
    </comment>
    <comment ref="J45" authorId="0" shapeId="0">
      <text>
        <r>
          <rPr>
            <b/>
            <sz val="9"/>
            <color indexed="81"/>
            <rFont val="Tahoma"/>
            <family val="2"/>
          </rPr>
          <t>BIWS:</t>
        </r>
        <r>
          <rPr>
            <sz val="9"/>
            <color indexed="81"/>
            <rFont val="Tahoma"/>
            <family val="2"/>
          </rPr>
          <t xml:space="preserve">
Pg. 34-35 of 10-K.</t>
        </r>
      </text>
    </comment>
    <comment ref="E50" authorId="0" shapeId="0">
      <text>
        <r>
          <rPr>
            <b/>
            <sz val="9"/>
            <color indexed="81"/>
            <rFont val="Tahoma"/>
            <family val="2"/>
          </rPr>
          <t>BIWS:</t>
        </r>
        <r>
          <rPr>
            <sz val="9"/>
            <color indexed="81"/>
            <rFont val="Tahoma"/>
            <family val="2"/>
          </rPr>
          <t xml:space="preserve">
Pg. 33 of 10-K.</t>
        </r>
      </text>
    </comment>
    <comment ref="F50" authorId="0" shapeId="0">
      <text>
        <r>
          <rPr>
            <b/>
            <sz val="9"/>
            <color indexed="81"/>
            <rFont val="Tahoma"/>
            <family val="2"/>
          </rPr>
          <t>BIWS:</t>
        </r>
        <r>
          <rPr>
            <sz val="9"/>
            <color indexed="81"/>
            <rFont val="Tahoma"/>
            <family val="2"/>
          </rPr>
          <t xml:space="preserve">
Pg. 33 of 10-K.</t>
        </r>
      </text>
    </comment>
    <comment ref="E52" authorId="0" shapeId="0">
      <text>
        <r>
          <rPr>
            <b/>
            <sz val="9"/>
            <color indexed="81"/>
            <rFont val="Tahoma"/>
            <family val="2"/>
          </rPr>
          <t>BIWS:</t>
        </r>
        <r>
          <rPr>
            <sz val="9"/>
            <color indexed="81"/>
            <rFont val="Tahoma"/>
            <family val="2"/>
          </rPr>
          <t xml:space="preserve">
Pg. 8 of 2013.09.30 investor presentation.</t>
        </r>
      </text>
    </comment>
    <comment ref="L52" authorId="0" shapeId="0">
      <text>
        <r>
          <rPr>
            <b/>
            <sz val="9"/>
            <color indexed="81"/>
            <rFont val="Tahoma"/>
            <family val="2"/>
          </rPr>
          <t>Author:</t>
        </r>
        <r>
          <rPr>
            <sz val="9"/>
            <color indexed="81"/>
            <rFont val="Tahoma"/>
            <family val="2"/>
          </rPr>
          <t xml:space="preserve">
In-line with $260MM number on pg. 26 of 2013.09.30 presentation.</t>
        </r>
      </text>
    </comment>
    <comment ref="E53" authorId="0" shapeId="0">
      <text>
        <r>
          <rPr>
            <b/>
            <sz val="9"/>
            <color indexed="81"/>
            <rFont val="Tahoma"/>
            <family val="2"/>
          </rPr>
          <t>BIWS:</t>
        </r>
        <r>
          <rPr>
            <sz val="9"/>
            <color indexed="81"/>
            <rFont val="Tahoma"/>
            <family val="2"/>
          </rPr>
          <t xml:space="preserve">
Pg. 12 of 2013.09.30 investor presentation.</t>
        </r>
      </text>
    </comment>
    <comment ref="L53" authorId="0" shapeId="0">
      <text>
        <r>
          <rPr>
            <b/>
            <sz val="9"/>
            <color indexed="81"/>
            <rFont val="Tahoma"/>
            <family val="2"/>
          </rPr>
          <t>Author:</t>
        </r>
        <r>
          <rPr>
            <sz val="9"/>
            <color indexed="81"/>
            <rFont val="Tahoma"/>
            <family val="2"/>
          </rPr>
          <t xml:space="preserve">
In-line with $105MM number on pg. 26 of 2013.09.30 presentation.</t>
        </r>
      </text>
    </comment>
    <comment ref="D59" authorId="0" shapeId="0">
      <text>
        <r>
          <rPr>
            <b/>
            <sz val="9"/>
            <color indexed="81"/>
            <rFont val="Tahoma"/>
            <family val="2"/>
          </rPr>
          <t>BIWS:</t>
        </r>
        <r>
          <rPr>
            <sz val="9"/>
            <color indexed="81"/>
            <rFont val="Tahoma"/>
            <family val="2"/>
          </rPr>
          <t xml:space="preserve">
See pg. 3 of 2013.09.30 presentation.</t>
        </r>
      </text>
    </comment>
    <comment ref="E59" authorId="0" shapeId="0">
      <text>
        <r>
          <rPr>
            <b/>
            <sz val="9"/>
            <color indexed="81"/>
            <rFont val="Tahoma"/>
            <family val="2"/>
          </rPr>
          <t>BIWS:</t>
        </r>
        <r>
          <rPr>
            <sz val="9"/>
            <color indexed="81"/>
            <rFont val="Tahoma"/>
            <family val="2"/>
          </rPr>
          <t xml:space="preserve">
Pg. 8 of 2013.09.30 presentation.</t>
        </r>
      </text>
    </comment>
    <comment ref="G59" authorId="0" shapeId="0">
      <text>
        <r>
          <rPr>
            <b/>
            <sz val="9"/>
            <color indexed="81"/>
            <rFont val="Tahoma"/>
            <family val="2"/>
          </rPr>
          <t>BIWS:</t>
        </r>
        <r>
          <rPr>
            <sz val="9"/>
            <color indexed="81"/>
            <rFont val="Tahoma"/>
            <family val="2"/>
          </rPr>
          <t xml:space="preserve">
Pg. 8 of 2013.09.30 presentation and adding half of PDNP wells as simple estimate.</t>
        </r>
      </text>
    </comment>
    <comment ref="H59" authorId="0" shapeId="0">
      <text>
        <r>
          <rPr>
            <b/>
            <sz val="9"/>
            <color indexed="81"/>
            <rFont val="Tahoma"/>
            <family val="2"/>
          </rPr>
          <t>BIWS:</t>
        </r>
        <r>
          <rPr>
            <sz val="9"/>
            <color indexed="81"/>
            <rFont val="Tahoma"/>
            <family val="2"/>
          </rPr>
          <t xml:space="preserve">
Using total net # on pg. 33 of 10-K and assuming split between the regions based on gross PD in each region.</t>
        </r>
      </text>
    </comment>
    <comment ref="L59" authorId="0" shapeId="0">
      <text>
        <r>
          <rPr>
            <b/>
            <sz val="9"/>
            <color indexed="81"/>
            <rFont val="Tahoma"/>
            <family val="2"/>
          </rPr>
          <t>BIWS:</t>
        </r>
        <r>
          <rPr>
            <sz val="9"/>
            <color indexed="81"/>
            <rFont val="Tahoma"/>
            <family val="2"/>
          </rPr>
          <t xml:space="preserve">
Pg. 3 of 2013.09.30 presentation.</t>
        </r>
      </text>
    </comment>
    <comment ref="M59" authorId="0" shapeId="0">
      <text>
        <r>
          <rPr>
            <b/>
            <sz val="9"/>
            <color indexed="81"/>
            <rFont val="Tahoma"/>
            <family val="2"/>
          </rPr>
          <t>Author:</t>
        </r>
        <r>
          <rPr>
            <sz val="9"/>
            <color indexed="81"/>
            <rFont val="Tahoma"/>
            <family val="2"/>
          </rPr>
          <t xml:space="preserve">
Very, very strange result - real EUR likely in between the Net EUR and Gross EUR numbers here.</t>
        </r>
      </text>
    </comment>
    <comment ref="N59" authorId="0" shapeId="0">
      <text>
        <r>
          <rPr>
            <b/>
            <sz val="9"/>
            <color indexed="81"/>
            <rFont val="Tahoma"/>
            <family val="2"/>
          </rPr>
          <t>BIWS:</t>
        </r>
        <r>
          <rPr>
            <sz val="9"/>
            <color indexed="81"/>
            <rFont val="Tahoma"/>
            <family val="2"/>
          </rPr>
          <t xml:space="preserve">
Pg. 3 of 2013.09.30 presentation.</t>
        </r>
      </text>
    </comment>
    <comment ref="O59" authorId="0" shapeId="0">
      <text>
        <r>
          <rPr>
            <b/>
            <sz val="9"/>
            <color indexed="81"/>
            <rFont val="Tahoma"/>
            <family val="2"/>
          </rPr>
          <t>BIWS:</t>
        </r>
        <r>
          <rPr>
            <sz val="9"/>
            <color indexed="81"/>
            <rFont val="Tahoma"/>
            <family val="2"/>
          </rPr>
          <t xml:space="preserve">
Pg. 3 of 2013.09.30 presentation.</t>
        </r>
      </text>
    </comment>
    <comment ref="P59" authorId="0" shapeId="0">
      <text>
        <r>
          <rPr>
            <b/>
            <sz val="9"/>
            <color indexed="81"/>
            <rFont val="Tahoma"/>
            <family val="2"/>
          </rPr>
          <t>BIWS:</t>
        </r>
        <r>
          <rPr>
            <sz val="9"/>
            <color indexed="81"/>
            <rFont val="Tahoma"/>
            <family val="2"/>
          </rPr>
          <t xml:space="preserve">
Pg. 6 of 8-K - midpoint between $3.8M in Q3 and $4.4M in Q2.</t>
        </r>
      </text>
    </comment>
    <comment ref="Q59" authorId="0" shapeId="0">
      <text>
        <r>
          <rPr>
            <b/>
            <sz val="9"/>
            <color indexed="81"/>
            <rFont val="Tahoma"/>
            <family val="2"/>
          </rPr>
          <t>BIWS:</t>
        </r>
        <r>
          <rPr>
            <sz val="9"/>
            <color indexed="81"/>
            <rFont val="Tahoma"/>
            <family val="2"/>
          </rPr>
          <t xml:space="preserve">
Pg. 6 of 8-K - avg. over Q3 and YTD.</t>
        </r>
      </text>
    </comment>
    <comment ref="D60" authorId="0" shapeId="0">
      <text>
        <r>
          <rPr>
            <b/>
            <sz val="9"/>
            <color indexed="81"/>
            <rFont val="Tahoma"/>
            <family val="2"/>
          </rPr>
          <t>BIWS:</t>
        </r>
        <r>
          <rPr>
            <sz val="9"/>
            <color indexed="81"/>
            <rFont val="Tahoma"/>
            <family val="2"/>
          </rPr>
          <t xml:space="preserve">
See pg. 3 of 2013.09.30 presentation.</t>
        </r>
      </text>
    </comment>
    <comment ref="E60" authorId="0" shapeId="0">
      <text>
        <r>
          <rPr>
            <b/>
            <sz val="9"/>
            <color indexed="81"/>
            <rFont val="Tahoma"/>
            <family val="2"/>
          </rPr>
          <t>BIWS:</t>
        </r>
        <r>
          <rPr>
            <sz val="9"/>
            <color indexed="81"/>
            <rFont val="Tahoma"/>
            <family val="2"/>
          </rPr>
          <t xml:space="preserve">
Pg. 12 of 2013.09.30 presentation.</t>
        </r>
      </text>
    </comment>
    <comment ref="G60" authorId="0" shapeId="0">
      <text>
        <r>
          <rPr>
            <b/>
            <sz val="9"/>
            <color indexed="81"/>
            <rFont val="Tahoma"/>
            <family val="2"/>
          </rPr>
          <t>BIWS:</t>
        </r>
        <r>
          <rPr>
            <sz val="9"/>
            <color indexed="81"/>
            <rFont val="Tahoma"/>
            <family val="2"/>
          </rPr>
          <t xml:space="preserve">
Pg. 12 of 2013.09.30 presentation and adding half of PDNP wells as simple estimate.</t>
        </r>
      </text>
    </comment>
    <comment ref="H60" authorId="0" shapeId="0">
      <text>
        <r>
          <rPr>
            <b/>
            <sz val="9"/>
            <color indexed="81"/>
            <rFont val="Tahoma"/>
            <family val="2"/>
          </rPr>
          <t>BIWS:</t>
        </r>
        <r>
          <rPr>
            <sz val="9"/>
            <color indexed="81"/>
            <rFont val="Tahoma"/>
            <family val="2"/>
          </rPr>
          <t xml:space="preserve">
Using total net # on pg. 33 of 10-K and assuming split between the regions based on gross PD in each region.</t>
        </r>
      </text>
    </comment>
    <comment ref="L60" authorId="0" shapeId="0">
      <text>
        <r>
          <rPr>
            <b/>
            <sz val="9"/>
            <color indexed="81"/>
            <rFont val="Tahoma"/>
            <family val="2"/>
          </rPr>
          <t>BIWS:</t>
        </r>
        <r>
          <rPr>
            <sz val="9"/>
            <color indexed="81"/>
            <rFont val="Tahoma"/>
            <family val="2"/>
          </rPr>
          <t xml:space="preserve">
Pg. 3 of 2013.09.30 presentation.</t>
        </r>
      </text>
    </comment>
    <comment ref="M60" authorId="0" shapeId="0">
      <text>
        <r>
          <rPr>
            <b/>
            <sz val="9"/>
            <color indexed="81"/>
            <rFont val="Tahoma"/>
            <family val="2"/>
          </rPr>
          <t>Author:</t>
        </r>
        <r>
          <rPr>
            <sz val="9"/>
            <color indexed="81"/>
            <rFont val="Tahoma"/>
            <family val="2"/>
          </rPr>
          <t xml:space="preserve">
Very, very strange result - real EUR likely in between the Net EUR and Gross EUR numbers here.</t>
        </r>
      </text>
    </comment>
    <comment ref="N60" authorId="0" shapeId="0">
      <text>
        <r>
          <rPr>
            <b/>
            <sz val="9"/>
            <color indexed="81"/>
            <rFont val="Tahoma"/>
            <family val="2"/>
          </rPr>
          <t>BIWS:</t>
        </r>
        <r>
          <rPr>
            <sz val="9"/>
            <color indexed="81"/>
            <rFont val="Tahoma"/>
            <family val="2"/>
          </rPr>
          <t xml:space="preserve">
Pg. 3 of 2013.09.30 presentation.</t>
        </r>
      </text>
    </comment>
    <comment ref="O60" authorId="0" shapeId="0">
      <text>
        <r>
          <rPr>
            <b/>
            <sz val="9"/>
            <color indexed="81"/>
            <rFont val="Tahoma"/>
            <family val="2"/>
          </rPr>
          <t>BIWS:</t>
        </r>
        <r>
          <rPr>
            <sz val="9"/>
            <color indexed="81"/>
            <rFont val="Tahoma"/>
            <family val="2"/>
          </rPr>
          <t xml:space="preserve">
Pg. 3 of 2013.09.30 presentation.</t>
        </r>
      </text>
    </comment>
    <comment ref="P60" authorId="0" shapeId="0">
      <text>
        <r>
          <rPr>
            <b/>
            <sz val="9"/>
            <color indexed="81"/>
            <rFont val="Tahoma"/>
            <family val="2"/>
          </rPr>
          <t>BIWS:</t>
        </r>
        <r>
          <rPr>
            <sz val="9"/>
            <color indexed="81"/>
            <rFont val="Tahoma"/>
            <family val="2"/>
          </rPr>
          <t xml:space="preserve">
Pg. 11 of 2013.09.30 presentation.</t>
        </r>
      </text>
    </comment>
    <comment ref="Q60" authorId="0" shapeId="0">
      <text>
        <r>
          <rPr>
            <b/>
            <sz val="9"/>
            <color indexed="81"/>
            <rFont val="Tahoma"/>
            <family val="2"/>
          </rPr>
          <t>BIWS:</t>
        </r>
        <r>
          <rPr>
            <sz val="9"/>
            <color indexed="81"/>
            <rFont val="Tahoma"/>
            <family val="2"/>
          </rPr>
          <t xml:space="preserve">
Pg. 7 of 8-K.</t>
        </r>
      </text>
    </comment>
    <comment ref="D61" authorId="0" shapeId="0">
      <text>
        <r>
          <rPr>
            <b/>
            <sz val="9"/>
            <color indexed="81"/>
            <rFont val="Tahoma"/>
            <family val="2"/>
          </rPr>
          <t>BIWS:</t>
        </r>
        <r>
          <rPr>
            <sz val="9"/>
            <color indexed="81"/>
            <rFont val="Tahoma"/>
            <family val="2"/>
          </rPr>
          <t xml:space="preserve">
Pg. 4 of 2013.10.21 acquisition presentation.</t>
        </r>
      </text>
    </comment>
    <comment ref="F61" authorId="0" shapeId="0">
      <text>
        <r>
          <rPr>
            <b/>
            <sz val="9"/>
            <color indexed="81"/>
            <rFont val="Tahoma"/>
            <family val="2"/>
          </rPr>
          <t>BIWS:</t>
        </r>
        <r>
          <rPr>
            <sz val="9"/>
            <color indexed="81"/>
            <rFont val="Tahoma"/>
            <family val="2"/>
          </rPr>
          <t xml:space="preserve">
Pg. 4 of 2013.10.21 acquisition presentation.</t>
        </r>
      </text>
    </comment>
    <comment ref="G61" authorId="0" shapeId="0">
      <text>
        <r>
          <rPr>
            <b/>
            <sz val="9"/>
            <color indexed="81"/>
            <rFont val="Tahoma"/>
            <family val="2"/>
          </rPr>
          <t>BIWS:</t>
        </r>
        <r>
          <rPr>
            <sz val="9"/>
            <color indexed="81"/>
            <rFont val="Tahoma"/>
            <family val="2"/>
          </rPr>
          <t xml:space="preserve">
Pg. 10 of 2013.10.21 acquisition presentation.</t>
        </r>
      </text>
    </comment>
    <comment ref="H61" authorId="0" shapeId="0">
      <text>
        <r>
          <rPr>
            <b/>
            <sz val="9"/>
            <color indexed="81"/>
            <rFont val="Tahoma"/>
            <family val="2"/>
          </rPr>
          <t>BIWS:</t>
        </r>
        <r>
          <rPr>
            <sz val="9"/>
            <color indexed="81"/>
            <rFont val="Tahoma"/>
            <family val="2"/>
          </rPr>
          <t xml:space="preserve">
Pg. 10 of 2013.10.21 acquisition presentation. After royalties.</t>
        </r>
      </text>
    </comment>
    <comment ref="K61" authorId="0" shapeId="0">
      <text>
        <r>
          <rPr>
            <b/>
            <sz val="9"/>
            <color indexed="81"/>
            <rFont val="Tahoma"/>
            <family val="2"/>
          </rPr>
          <t>BIWS:</t>
        </r>
        <r>
          <rPr>
            <sz val="9"/>
            <color indexed="81"/>
            <rFont val="Tahoma"/>
            <family val="2"/>
          </rPr>
          <t xml:space="preserve">
Interestingly, in this case the numbers we back into seem LOWER than the company-provided figures (weighted average of LGR and UGR).</t>
        </r>
      </text>
    </comment>
    <comment ref="L61" authorId="0" shapeId="0">
      <text>
        <r>
          <rPr>
            <b/>
            <sz val="9"/>
            <color indexed="81"/>
            <rFont val="Tahoma"/>
            <family val="2"/>
          </rPr>
          <t>BIWS:</t>
        </r>
        <r>
          <rPr>
            <sz val="9"/>
            <color indexed="81"/>
            <rFont val="Tahoma"/>
            <family val="2"/>
          </rPr>
          <t xml:space="preserve">
See breakout on pg. 10 of 2013.10.21 acquisition presentation - using that and converting to Bcfe.</t>
        </r>
      </text>
    </comment>
    <comment ref="M61" authorId="0" shapeId="0">
      <text>
        <r>
          <rPr>
            <b/>
            <sz val="9"/>
            <color indexed="81"/>
            <rFont val="Tahoma"/>
            <family val="2"/>
          </rPr>
          <t>Author:</t>
        </r>
        <r>
          <rPr>
            <sz val="9"/>
            <color indexed="81"/>
            <rFont val="Tahoma"/>
            <family val="2"/>
          </rPr>
          <t xml:space="preserve">
Saner than other numbers above, but still off by same amount… PD reserves of 9.9 MBO = 59 Bcfe.</t>
        </r>
      </text>
    </comment>
    <comment ref="N61" authorId="0" shapeId="0">
      <text>
        <r>
          <rPr>
            <b/>
            <sz val="9"/>
            <color indexed="81"/>
            <rFont val="Tahoma"/>
            <family val="2"/>
          </rPr>
          <t>BIWS:</t>
        </r>
        <r>
          <rPr>
            <sz val="9"/>
            <color indexed="81"/>
            <rFont val="Tahoma"/>
            <family val="2"/>
          </rPr>
          <t xml:space="preserve">
Adding up PUD, PROB, and POS - everything EXCEPT Proved Developed - on pg. 10 of 2013.10.21 acquisition presentation.</t>
        </r>
      </text>
    </comment>
    <comment ref="O61" authorId="0" shapeId="0">
      <text>
        <r>
          <rPr>
            <b/>
            <sz val="9"/>
            <color indexed="81"/>
            <rFont val="Tahoma"/>
            <family val="2"/>
          </rPr>
          <t>BIWS:</t>
        </r>
        <r>
          <rPr>
            <sz val="9"/>
            <color indexed="81"/>
            <rFont val="Tahoma"/>
            <family val="2"/>
          </rPr>
          <t xml:space="preserve">
Per pg. 6 of Q3 2013.11.01 supplemental presentation, 257 Lower Green River locations and 318 Upper Green River. LGR = $4.80 - $11.40 F&amp;D and UGR = $14.60 F&amp;D per pg. 19.</t>
        </r>
      </text>
    </comment>
    <comment ref="P61" authorId="0" shapeId="0">
      <text>
        <r>
          <rPr>
            <b/>
            <sz val="9"/>
            <color indexed="81"/>
            <rFont val="Tahoma"/>
            <family val="2"/>
          </rPr>
          <t>BIWS:</t>
        </r>
        <r>
          <rPr>
            <sz val="9"/>
            <color indexed="81"/>
            <rFont val="Tahoma"/>
            <family val="2"/>
          </rPr>
          <t xml:space="preserve">
Per pg. 6 of Q3 2013.11.01 supplemental presentation, 257 Lower Green River locations and 318 Upper Green River. LGR = $1.5M D&amp;C and UGR = $1.2M D&amp;C per pg. 19.</t>
        </r>
      </text>
    </comment>
    <comment ref="Q61" authorId="0" shapeId="0">
      <text>
        <r>
          <rPr>
            <b/>
            <sz val="9"/>
            <color indexed="81"/>
            <rFont val="Tahoma"/>
            <family val="2"/>
          </rPr>
          <t>BIWS:</t>
        </r>
        <r>
          <rPr>
            <sz val="9"/>
            <color indexed="81"/>
            <rFont val="Tahoma"/>
            <family val="2"/>
          </rPr>
          <t xml:space="preserve">
Pg. 7 of Q3 earnings call transcript - first 12 Lower Green averaged 106 barrels of oil per day over first 8months, others averaged 168 per day over first 144 days… so taking midpoint of those.
We also know that the avg. was 150 BOD from earlier and that other producers average 120 BOD (pg. 5).</t>
        </r>
      </text>
    </comment>
    <comment ref="I63" authorId="0" shapeId="0">
      <text>
        <r>
          <rPr>
            <b/>
            <sz val="9"/>
            <color indexed="81"/>
            <rFont val="Tahoma"/>
            <family val="2"/>
          </rPr>
          <t>BIWS:</t>
        </r>
        <r>
          <rPr>
            <sz val="9"/>
            <color indexed="81"/>
            <rFont val="Tahoma"/>
            <family val="2"/>
          </rPr>
          <t xml:space="preserve">
Ignoring this category mostly because UPL does not disclose anything in SEC filings per regulations - but could be significant, especially in Utah, with claim of $905 million in PV-10.</t>
        </r>
      </text>
    </comment>
    <comment ref="F66" authorId="0" shapeId="0">
      <text>
        <r>
          <rPr>
            <b/>
            <sz val="9"/>
            <color indexed="81"/>
            <rFont val="Tahoma"/>
            <family val="2"/>
          </rPr>
          <t>BIWS:</t>
        </r>
        <r>
          <rPr>
            <sz val="9"/>
            <color indexed="81"/>
            <rFont val="Tahoma"/>
            <family val="2"/>
          </rPr>
          <t xml:space="preserve">
Pg. 10 of 2013.10.21 acquisition presentation.</t>
        </r>
      </text>
    </comment>
    <comment ref="G66" authorId="0" shapeId="0">
      <text>
        <r>
          <rPr>
            <b/>
            <sz val="9"/>
            <color indexed="81"/>
            <rFont val="Tahoma"/>
            <family val="2"/>
          </rPr>
          <t>BIWS:</t>
        </r>
        <r>
          <rPr>
            <sz val="9"/>
            <color indexed="81"/>
            <rFont val="Tahoma"/>
            <family val="2"/>
          </rPr>
          <t xml:space="preserve">
Pg. 10 of 2013.10.21 acquisition presentation.</t>
        </r>
      </text>
    </comment>
    <comment ref="H66" authorId="0" shapeId="0">
      <text>
        <r>
          <rPr>
            <b/>
            <sz val="9"/>
            <color indexed="81"/>
            <rFont val="Tahoma"/>
            <family val="2"/>
          </rPr>
          <t>BIWS:</t>
        </r>
        <r>
          <rPr>
            <sz val="9"/>
            <color indexed="81"/>
            <rFont val="Tahoma"/>
            <family val="2"/>
          </rPr>
          <t xml:space="preserve">
Pg. 10 of 2013.10.21 acquisition presentation.</t>
        </r>
      </text>
    </comment>
  </commentList>
</comments>
</file>

<file path=xl/comments3.xml><?xml version="1.0" encoding="utf-8"?>
<comments xmlns="http://schemas.openxmlformats.org/spreadsheetml/2006/main">
  <authors>
    <author>Author</author>
  </authors>
  <commentList>
    <comment ref="G21" authorId="0" shapeId="0">
      <text>
        <r>
          <rPr>
            <b/>
            <sz val="9"/>
            <color indexed="81"/>
            <rFont val="Tahoma"/>
            <family val="2"/>
          </rPr>
          <t>BIWS:</t>
        </r>
        <r>
          <rPr>
            <sz val="9"/>
            <color indexed="81"/>
            <rFont val="Tahoma"/>
            <family val="2"/>
          </rPr>
          <t xml:space="preserve">
81.4 Bcf hedged per pg. 1 of most recent report.</t>
        </r>
      </text>
    </comment>
    <comment ref="H21" authorId="0" shapeId="0">
      <text>
        <r>
          <rPr>
            <b/>
            <sz val="9"/>
            <color indexed="81"/>
            <rFont val="Tahoma"/>
            <family val="2"/>
          </rPr>
          <t>BIWS:</t>
        </r>
        <r>
          <rPr>
            <sz val="9"/>
            <color indexed="81"/>
            <rFont val="Tahoma"/>
            <family val="2"/>
          </rPr>
          <t xml:space="preserve">
No hedging for next 2 years noted in filings.</t>
        </r>
      </text>
    </comment>
    <comment ref="I21" authorId="0" shapeId="0">
      <text>
        <r>
          <rPr>
            <b/>
            <sz val="9"/>
            <color indexed="81"/>
            <rFont val="Tahoma"/>
            <family val="2"/>
          </rPr>
          <t>BIWS:</t>
        </r>
        <r>
          <rPr>
            <sz val="9"/>
            <color indexed="81"/>
            <rFont val="Tahoma"/>
            <family val="2"/>
          </rPr>
          <t xml:space="preserve">
No hedging for next 2 years noted in filings.</t>
        </r>
      </text>
    </comment>
    <comment ref="H22" authorId="0" shapeId="0">
      <text>
        <r>
          <rPr>
            <b/>
            <sz val="9"/>
            <color indexed="81"/>
            <rFont val="Tahoma"/>
            <family val="2"/>
          </rPr>
          <t>BIWS:</t>
        </r>
        <r>
          <rPr>
            <sz val="9"/>
            <color indexed="81"/>
            <rFont val="Tahoma"/>
            <family val="2"/>
          </rPr>
          <t xml:space="preserve">
No hedging for next 2 years noted in filings.</t>
        </r>
      </text>
    </comment>
    <comment ref="I22" authorId="0" shapeId="0">
      <text>
        <r>
          <rPr>
            <b/>
            <sz val="9"/>
            <color indexed="81"/>
            <rFont val="Tahoma"/>
            <family val="2"/>
          </rPr>
          <t>BIWS:</t>
        </r>
        <r>
          <rPr>
            <sz val="9"/>
            <color indexed="81"/>
            <rFont val="Tahoma"/>
            <family val="2"/>
          </rPr>
          <t xml:space="preserve">
No hedging for next 2 years noted in filings.</t>
        </r>
      </text>
    </comment>
  </commentList>
</comments>
</file>

<file path=xl/comments4.xml><?xml version="1.0" encoding="utf-8"?>
<comments xmlns="http://schemas.openxmlformats.org/spreadsheetml/2006/main">
  <authors>
    <author>Author</author>
  </authors>
  <commentList>
    <comment ref="M5" authorId="0" shapeId="0">
      <text>
        <r>
          <rPr>
            <b/>
            <sz val="9"/>
            <color indexed="81"/>
            <rFont val="Tahoma"/>
            <family val="2"/>
          </rPr>
          <t>BIWS:</t>
        </r>
        <r>
          <rPr>
            <sz val="9"/>
            <color indexed="81"/>
            <rFont val="Tahoma"/>
            <family val="2"/>
          </rPr>
          <t xml:space="preserve">
Not necessary here since these figures are all net production based on net wells anyway.</t>
        </r>
      </text>
    </comment>
    <comment ref="M6" authorId="0" shapeId="0">
      <text>
        <r>
          <rPr>
            <b/>
            <sz val="9"/>
            <color indexed="81"/>
            <rFont val="Tahoma"/>
            <family val="2"/>
          </rPr>
          <t>BIWS:</t>
        </r>
        <r>
          <rPr>
            <sz val="9"/>
            <color indexed="81"/>
            <rFont val="Tahoma"/>
            <family val="2"/>
          </rPr>
          <t xml:space="preserve">
Not necessary here since these figures are all net production based on net wells anyway.</t>
        </r>
      </text>
    </comment>
    <comment ref="M7" authorId="0" shapeId="0">
      <text>
        <r>
          <rPr>
            <b/>
            <sz val="9"/>
            <color indexed="81"/>
            <rFont val="Tahoma"/>
            <family val="2"/>
          </rPr>
          <t>Author:</t>
        </r>
        <r>
          <rPr>
            <sz val="9"/>
            <color indexed="81"/>
            <rFont val="Tahoma"/>
            <family val="2"/>
          </rPr>
          <t xml:space="preserve">
Not looking at PDP or PDNP production on well-by-well basis.</t>
        </r>
      </text>
    </comment>
    <comment ref="M8" authorId="0" shapeId="0">
      <text>
        <r>
          <rPr>
            <b/>
            <sz val="9"/>
            <color indexed="81"/>
            <rFont val="Tahoma"/>
            <family val="2"/>
          </rPr>
          <t>Author:</t>
        </r>
        <r>
          <rPr>
            <sz val="9"/>
            <color indexed="81"/>
            <rFont val="Tahoma"/>
            <family val="2"/>
          </rPr>
          <t xml:space="preserve">
Not looking at PDP or PDNP production on well-by-well basis.</t>
        </r>
      </text>
    </comment>
    <comment ref="M9" authorId="0" shapeId="0">
      <text>
        <r>
          <rPr>
            <b/>
            <sz val="9"/>
            <color indexed="81"/>
            <rFont val="Tahoma"/>
            <family val="2"/>
          </rPr>
          <t>Author:</t>
        </r>
        <r>
          <rPr>
            <sz val="9"/>
            <color indexed="81"/>
            <rFont val="Tahoma"/>
            <family val="2"/>
          </rPr>
          <t xml:space="preserve">
Not looking at PDP or PDNP production on well-by-well basis.</t>
        </r>
      </text>
    </comment>
    <comment ref="M10" authorId="0" shapeId="0">
      <text>
        <r>
          <rPr>
            <b/>
            <sz val="9"/>
            <color indexed="81"/>
            <rFont val="Tahoma"/>
            <family val="2"/>
          </rPr>
          <t>BIWS:</t>
        </r>
        <r>
          <rPr>
            <sz val="9"/>
            <color indexed="81"/>
            <rFont val="Tahoma"/>
            <family val="2"/>
          </rPr>
          <t xml:space="preserve">
Per 2012 Reserves Report, pg. 1.</t>
        </r>
      </text>
    </comment>
    <comment ref="M11" authorId="0" shapeId="0">
      <text>
        <r>
          <rPr>
            <b/>
            <sz val="9"/>
            <color indexed="81"/>
            <rFont val="Tahoma"/>
            <family val="2"/>
          </rPr>
          <t>BIWS:</t>
        </r>
        <r>
          <rPr>
            <sz val="9"/>
            <color indexed="81"/>
            <rFont val="Tahoma"/>
            <family val="2"/>
          </rPr>
          <t xml:space="preserve">
Per 2012 Reserves Report, pg. 1.</t>
        </r>
      </text>
    </comment>
    <comment ref="V12" authorId="0" shapeId="0">
      <text>
        <r>
          <rPr>
            <b/>
            <sz val="9"/>
            <color indexed="81"/>
            <rFont val="Tahoma"/>
            <family val="2"/>
          </rPr>
          <t>BIWS:</t>
        </r>
        <r>
          <rPr>
            <sz val="9"/>
            <color indexed="81"/>
            <rFont val="Tahoma"/>
            <family val="2"/>
          </rPr>
          <t xml:space="preserve">
Per 8-K pg. 10.</t>
        </r>
      </text>
    </comment>
    <comment ref="W12" authorId="0" shapeId="0">
      <text>
        <r>
          <rPr>
            <b/>
            <sz val="9"/>
            <color indexed="81"/>
            <rFont val="Tahoma"/>
            <family val="2"/>
          </rPr>
          <t>BIWS:</t>
        </r>
        <r>
          <rPr>
            <sz val="9"/>
            <color indexed="81"/>
            <rFont val="Tahoma"/>
            <family val="2"/>
          </rPr>
          <t xml:space="preserve">
Per 8-K pg. 10.</t>
        </r>
      </text>
    </comment>
    <comment ref="Y13" authorId="0" shapeId="0">
      <text>
        <r>
          <rPr>
            <b/>
            <sz val="9"/>
            <color indexed="81"/>
            <rFont val="Tahoma"/>
            <family val="2"/>
          </rPr>
          <t>BIWS:</t>
        </r>
        <r>
          <rPr>
            <sz val="9"/>
            <color indexed="81"/>
            <rFont val="Tahoma"/>
            <family val="2"/>
          </rPr>
          <t xml:space="preserve">
7/1/2013 to 9/30/2013.</t>
        </r>
      </text>
    </comment>
    <comment ref="AT79" authorId="0" shapeId="0">
      <text>
        <r>
          <rPr>
            <b/>
            <sz val="9"/>
            <color indexed="81"/>
            <rFont val="Tahoma"/>
            <family val="2"/>
          </rPr>
          <t>Author:</t>
        </r>
        <r>
          <rPr>
            <sz val="9"/>
            <color indexed="81"/>
            <rFont val="Tahoma"/>
            <family val="2"/>
          </rPr>
          <t xml:space="preserve">
Assuming no production of PDNP starts in 2013 because year is already almost over.</t>
        </r>
      </text>
    </comment>
  </commentList>
</comments>
</file>

<file path=xl/comments5.xml><?xml version="1.0" encoding="utf-8"?>
<comments xmlns="http://schemas.openxmlformats.org/spreadsheetml/2006/main">
  <authors>
    <author>Author</author>
  </authors>
  <commentList>
    <comment ref="M9" authorId="0" shapeId="0">
      <text>
        <r>
          <rPr>
            <b/>
            <sz val="9"/>
            <color indexed="81"/>
            <rFont val="Tahoma"/>
            <family val="2"/>
          </rPr>
          <t>BIWS:</t>
        </r>
        <r>
          <rPr>
            <sz val="9"/>
            <color indexed="81"/>
            <rFont val="Tahoma"/>
            <family val="2"/>
          </rPr>
          <t xml:space="preserve">
Per company guidance in IP.</t>
        </r>
      </text>
    </comment>
    <comment ref="AR126" authorId="0" shapeId="0">
      <text>
        <r>
          <rPr>
            <b/>
            <sz val="9"/>
            <color indexed="81"/>
            <rFont val="Tahoma"/>
            <family val="2"/>
          </rPr>
          <t>BIWS:</t>
        </r>
        <r>
          <rPr>
            <sz val="9"/>
            <color indexed="81"/>
            <rFont val="Tahoma"/>
            <family val="2"/>
          </rPr>
          <t xml:space="preserve">
Per EQT Marcellus analysis. This reflects how there is a steep *monthly* decline in the first year for wells in this region.</t>
        </r>
      </text>
    </comment>
    <comment ref="AT128" authorId="0" shapeId="0">
      <text>
        <r>
          <rPr>
            <b/>
            <sz val="9"/>
            <color indexed="81"/>
            <rFont val="Tahoma"/>
            <family val="2"/>
          </rPr>
          <t>BIWS:</t>
        </r>
        <r>
          <rPr>
            <sz val="9"/>
            <color indexed="81"/>
            <rFont val="Tahoma"/>
            <family val="2"/>
          </rPr>
          <t xml:space="preserve">
Taken from EQT data on Marcellus decline rates in Central PA, and scaled up to work with the EUR we assume in this model.
Also see pg. 35 of 2013.05 IP from UPL.</t>
        </r>
      </text>
    </comment>
    <comment ref="CR129" authorId="0" shapeId="0">
      <text>
        <r>
          <rPr>
            <b/>
            <sz val="9"/>
            <color indexed="81"/>
            <rFont val="Tahoma"/>
            <family val="2"/>
          </rPr>
          <t>BIWS:</t>
        </r>
        <r>
          <rPr>
            <sz val="9"/>
            <color indexed="81"/>
            <rFont val="Tahoma"/>
            <family val="2"/>
          </rPr>
          <t xml:space="preserve">
Too difficult to calculate this in a single formula, so simplifying by setting all these to $0.</t>
        </r>
      </text>
    </comment>
    <comment ref="CR179" authorId="0" shapeId="0">
      <text>
        <r>
          <rPr>
            <b/>
            <sz val="9"/>
            <color indexed="81"/>
            <rFont val="Tahoma"/>
            <family val="2"/>
          </rPr>
          <t>BIWS:</t>
        </r>
        <r>
          <rPr>
            <sz val="9"/>
            <color indexed="81"/>
            <rFont val="Tahoma"/>
            <family val="2"/>
          </rPr>
          <t xml:space="preserve">
Too difficult to calculate this in a single formula, so simplifying by setting all these to $0.</t>
        </r>
      </text>
    </comment>
    <comment ref="CR229" authorId="0" shapeId="0">
      <text>
        <r>
          <rPr>
            <b/>
            <sz val="9"/>
            <color indexed="81"/>
            <rFont val="Tahoma"/>
            <family val="2"/>
          </rPr>
          <t>BIWS:</t>
        </r>
        <r>
          <rPr>
            <sz val="9"/>
            <color indexed="81"/>
            <rFont val="Tahoma"/>
            <family val="2"/>
          </rPr>
          <t xml:space="preserve">
Too difficult to calculate this in a single formula, so simplifying by setting all these to $0.</t>
        </r>
      </text>
    </comment>
  </commentList>
</comments>
</file>

<file path=xl/comments6.xml><?xml version="1.0" encoding="utf-8"?>
<comments xmlns="http://schemas.openxmlformats.org/spreadsheetml/2006/main">
  <authors>
    <author>Author</author>
  </authors>
  <commentList>
    <comment ref="M9" authorId="0" shapeId="0">
      <text>
        <r>
          <rPr>
            <b/>
            <sz val="9"/>
            <color indexed="81"/>
            <rFont val="Tahoma"/>
            <family val="2"/>
          </rPr>
          <t>BIWS:</t>
        </r>
        <r>
          <rPr>
            <sz val="9"/>
            <color indexed="81"/>
            <rFont val="Tahoma"/>
            <family val="2"/>
          </rPr>
          <t xml:space="preserve">
Per company guidance in IP.</t>
        </r>
      </text>
    </comment>
    <comment ref="AR126" authorId="0" shapeId="0">
      <text>
        <r>
          <rPr>
            <b/>
            <sz val="9"/>
            <color indexed="81"/>
            <rFont val="Tahoma"/>
            <family val="2"/>
          </rPr>
          <t>Author:</t>
        </r>
        <r>
          <rPr>
            <sz val="9"/>
            <color indexed="81"/>
            <rFont val="Tahoma"/>
            <family val="2"/>
          </rPr>
          <t xml:space="preserve">
Per QEP presentation slide - not quite as steep a decline in Pinedale based on the graph and % EUR recovered in 6 years.</t>
        </r>
      </text>
    </comment>
    <comment ref="AT128" authorId="0" shapeId="0">
      <text>
        <r>
          <rPr>
            <b/>
            <sz val="9"/>
            <color indexed="81"/>
            <rFont val="Tahoma"/>
            <family val="2"/>
          </rPr>
          <t>BIWS:</t>
        </r>
        <r>
          <rPr>
            <sz val="9"/>
            <color indexed="81"/>
            <rFont val="Tahoma"/>
            <family val="2"/>
          </rPr>
          <t xml:space="preserve">
Applying similar PA curve but scaling slightly to fit slower decline profile in WY - see QEP slide as well - 50% of EUR in first 6 years.</t>
        </r>
      </text>
    </comment>
    <comment ref="CR129" authorId="0" shapeId="0">
      <text>
        <r>
          <rPr>
            <b/>
            <sz val="9"/>
            <color indexed="81"/>
            <rFont val="Tahoma"/>
            <family val="2"/>
          </rPr>
          <t>BIWS:</t>
        </r>
        <r>
          <rPr>
            <sz val="9"/>
            <color indexed="81"/>
            <rFont val="Tahoma"/>
            <family val="2"/>
          </rPr>
          <t xml:space="preserve">
Too difficult to calculate this in a single formula, so simplifying by setting all these to $0.</t>
        </r>
      </text>
    </comment>
    <comment ref="CR179" authorId="0" shapeId="0">
      <text>
        <r>
          <rPr>
            <b/>
            <sz val="9"/>
            <color indexed="81"/>
            <rFont val="Tahoma"/>
            <family val="2"/>
          </rPr>
          <t>BIWS:</t>
        </r>
        <r>
          <rPr>
            <sz val="9"/>
            <color indexed="81"/>
            <rFont val="Tahoma"/>
            <family val="2"/>
          </rPr>
          <t xml:space="preserve">
Too difficult to calculate this in a single formula, so simplifying by setting all these to $0.</t>
        </r>
      </text>
    </comment>
    <comment ref="CR229" authorId="0" shapeId="0">
      <text>
        <r>
          <rPr>
            <b/>
            <sz val="9"/>
            <color indexed="81"/>
            <rFont val="Tahoma"/>
            <family val="2"/>
          </rPr>
          <t>BIWS:</t>
        </r>
        <r>
          <rPr>
            <sz val="9"/>
            <color indexed="81"/>
            <rFont val="Tahoma"/>
            <family val="2"/>
          </rPr>
          <t xml:space="preserve">
Too difficult to calculate this in a single formula, so simplifying by setting all these to $0.</t>
        </r>
      </text>
    </comment>
  </commentList>
</comments>
</file>

<file path=xl/comments7.xml><?xml version="1.0" encoding="utf-8"?>
<comments xmlns="http://schemas.openxmlformats.org/spreadsheetml/2006/main">
  <authors>
    <author>Author</author>
  </authors>
  <commentList>
    <comment ref="R6" authorId="0" shapeId="0">
      <text>
        <r>
          <rPr>
            <b/>
            <sz val="9"/>
            <color indexed="81"/>
            <rFont val="Tahoma"/>
            <family val="2"/>
          </rPr>
          <t>Author:</t>
        </r>
        <r>
          <rPr>
            <sz val="9"/>
            <color indexed="81"/>
            <rFont val="Tahoma"/>
            <family val="2"/>
          </rPr>
          <t xml:space="preserve">
Per Acquisition Presentation pg. 22 and Acquisition Earnings Call Transcript pg. 8.</t>
        </r>
      </text>
    </comment>
    <comment ref="W6" authorId="0" shapeId="0">
      <text>
        <r>
          <rPr>
            <b/>
            <sz val="9"/>
            <color indexed="81"/>
            <rFont val="Tahoma"/>
            <family val="2"/>
          </rPr>
          <t>BIWS:</t>
        </r>
        <r>
          <rPr>
            <sz val="9"/>
            <color indexed="81"/>
            <rFont val="Tahoma"/>
            <family val="2"/>
          </rPr>
          <t xml:space="preserve">
Pg. 10 of 2013.10.21 acquisition presentation.</t>
        </r>
      </text>
    </comment>
    <comment ref="G7" authorId="0" shapeId="0">
      <text>
        <r>
          <rPr>
            <b/>
            <sz val="9"/>
            <color indexed="81"/>
            <rFont val="Tahoma"/>
            <family val="2"/>
          </rPr>
          <t>Author:</t>
        </r>
        <r>
          <rPr>
            <sz val="9"/>
            <color indexed="81"/>
            <rFont val="Tahoma"/>
            <family val="2"/>
          </rPr>
          <t xml:space="preserve">
Equivalent to the 4,000 Bbl per day figure in investor presentation.</t>
        </r>
      </text>
    </comment>
    <comment ref="G8" authorId="0" shapeId="0">
      <text>
        <r>
          <rPr>
            <b/>
            <sz val="9"/>
            <color indexed="81"/>
            <rFont val="Tahoma"/>
            <family val="2"/>
          </rPr>
          <t>BIWS:</t>
        </r>
        <r>
          <rPr>
            <sz val="9"/>
            <color indexed="81"/>
            <rFont val="Tahoma"/>
            <family val="2"/>
          </rPr>
          <t xml:space="preserve">
Back-solved for this by using goal seek and assuming life of 40 years.</t>
        </r>
      </text>
    </comment>
    <comment ref="M10" authorId="0" shapeId="0">
      <text>
        <r>
          <rPr>
            <b/>
            <sz val="9"/>
            <color indexed="81"/>
            <rFont val="Tahoma"/>
            <family val="2"/>
          </rPr>
          <t>BIWS:</t>
        </r>
        <r>
          <rPr>
            <sz val="9"/>
            <color indexed="81"/>
            <rFont val="Tahoma"/>
            <family val="2"/>
          </rPr>
          <t xml:space="preserve">
Pg. 10 of 2013.10.21 acquisition presentation.</t>
        </r>
      </text>
    </comment>
    <comment ref="V12" authorId="0" shapeId="0">
      <text>
        <r>
          <rPr>
            <b/>
            <sz val="9"/>
            <color indexed="81"/>
            <rFont val="Tahoma"/>
            <family val="2"/>
          </rPr>
          <t>BIWS:</t>
        </r>
        <r>
          <rPr>
            <sz val="9"/>
            <color indexed="81"/>
            <rFont val="Tahoma"/>
            <family val="2"/>
          </rPr>
          <t xml:space="preserve">
Per pg. 6 of Q3 2013.11.01 supplemental presentation.</t>
        </r>
      </text>
    </comment>
    <comment ref="W12" authorId="0" shapeId="0">
      <text>
        <r>
          <rPr>
            <b/>
            <sz val="9"/>
            <color indexed="81"/>
            <rFont val="Tahoma"/>
            <family val="2"/>
          </rPr>
          <t>BIWS:</t>
        </r>
        <r>
          <rPr>
            <sz val="9"/>
            <color indexed="81"/>
            <rFont val="Tahoma"/>
            <family val="2"/>
          </rPr>
          <t xml:space="preserve">
Per pg. 6 of Q3 2013.11.01 supplemental presentation.</t>
        </r>
      </text>
    </comment>
    <comment ref="X12" authorId="0" shapeId="0">
      <text>
        <r>
          <rPr>
            <b/>
            <sz val="9"/>
            <color indexed="81"/>
            <rFont val="Tahoma"/>
            <family val="2"/>
          </rPr>
          <t>BIWS:</t>
        </r>
        <r>
          <rPr>
            <sz val="9"/>
            <color indexed="81"/>
            <rFont val="Tahoma"/>
            <family val="2"/>
          </rPr>
          <t xml:space="preserve">
Per pg. 6 of Q3 2013.11.01 supplemental presentation.</t>
        </r>
      </text>
    </comment>
    <comment ref="Y13" authorId="0" shapeId="0">
      <text>
        <r>
          <rPr>
            <b/>
            <sz val="9"/>
            <color indexed="81"/>
            <rFont val="Tahoma"/>
            <family val="2"/>
          </rPr>
          <t>BIWS:</t>
        </r>
        <r>
          <rPr>
            <sz val="9"/>
            <color indexed="81"/>
            <rFont val="Tahoma"/>
            <family val="2"/>
          </rPr>
          <t xml:space="preserve">
4/1/2013 to 6/30/2013.</t>
        </r>
      </text>
    </comment>
    <comment ref="M17" authorId="0" shapeId="0">
      <text>
        <r>
          <rPr>
            <b/>
            <sz val="9"/>
            <color indexed="81"/>
            <rFont val="Tahoma"/>
            <family val="2"/>
          </rPr>
          <t>BIWS:</t>
        </r>
        <r>
          <rPr>
            <sz val="9"/>
            <color indexed="81"/>
            <rFont val="Tahoma"/>
            <family val="2"/>
          </rPr>
          <t xml:space="preserve">
Backing into the ~$10K / month / well estimate in pg. 22 of Acquisition Presentation, but assuming 15-20% premium to be conservative.</t>
        </r>
      </text>
    </comment>
    <comment ref="M18" authorId="0" shapeId="0">
      <text>
        <r>
          <rPr>
            <b/>
            <sz val="9"/>
            <color indexed="81"/>
            <rFont val="Tahoma"/>
            <family val="2"/>
          </rPr>
          <t>BIWS:</t>
        </r>
        <r>
          <rPr>
            <sz val="9"/>
            <color indexed="81"/>
            <rFont val="Tahoma"/>
            <family val="2"/>
          </rPr>
          <t xml:space="preserve">
Adjusting upward to come close to the 8-9% of revenue tax estimate on pg. 22 of Acquisition Presentation and pg. 8 of Acquisition Earnings Call Transcript.</t>
        </r>
      </text>
    </comment>
    <comment ref="M19" authorId="0" shapeId="0">
      <text>
        <r>
          <rPr>
            <b/>
            <sz val="9"/>
            <color indexed="81"/>
            <rFont val="Tahoma"/>
            <family val="2"/>
          </rPr>
          <t>BIWS:</t>
        </r>
        <r>
          <rPr>
            <sz val="9"/>
            <color indexed="81"/>
            <rFont val="Tahoma"/>
            <family val="2"/>
          </rPr>
          <t xml:space="preserve">
Backing into the ~$10K / month / well estimate in pg. 22 of Acquisition Presentation, but assuming 15-20% premium to be conservative.</t>
        </r>
      </text>
    </comment>
    <comment ref="AR126" authorId="0" shapeId="0">
      <text>
        <r>
          <rPr>
            <b/>
            <sz val="9"/>
            <color indexed="81"/>
            <rFont val="Tahoma"/>
            <family val="2"/>
          </rPr>
          <t>BIWS:</t>
        </r>
        <r>
          <rPr>
            <sz val="9"/>
            <color indexed="81"/>
            <rFont val="Tahoma"/>
            <family val="2"/>
          </rPr>
          <t xml:space="preserve">
Much flatter curve per Q3 earnings presentation pg. 17 - if 171 MBO cumulative in 4.5 years, yearly average of ~38 MBO, meaning minimal declines in those early years.</t>
        </r>
      </text>
    </comment>
    <comment ref="AT128" authorId="0" shapeId="0">
      <text>
        <r>
          <rPr>
            <b/>
            <sz val="9"/>
            <color indexed="81"/>
            <rFont val="Tahoma"/>
            <family val="2"/>
          </rPr>
          <t>BIWS:</t>
        </r>
        <r>
          <rPr>
            <sz val="9"/>
            <color indexed="81"/>
            <rFont val="Tahoma"/>
            <family val="2"/>
          </rPr>
          <t xml:space="preserve">
Based on Q3 2013 earnings presentation slide 17 exponential curve - discounting since our EUR is also less.</t>
        </r>
      </text>
    </comment>
    <comment ref="CR129" authorId="0" shapeId="0">
      <text>
        <r>
          <rPr>
            <b/>
            <sz val="9"/>
            <color indexed="81"/>
            <rFont val="Tahoma"/>
            <family val="2"/>
          </rPr>
          <t>Author:</t>
        </r>
        <r>
          <rPr>
            <sz val="9"/>
            <color indexed="81"/>
            <rFont val="Tahoma"/>
            <family val="2"/>
          </rPr>
          <t xml:space="preserve">
Too difficult to calculate this in a single formula, so simplifying by setting all these to $0.</t>
        </r>
      </text>
    </comment>
    <comment ref="CR179" authorId="0" shapeId="0">
      <text>
        <r>
          <rPr>
            <b/>
            <sz val="9"/>
            <color indexed="81"/>
            <rFont val="Tahoma"/>
            <family val="2"/>
          </rPr>
          <t>Author:</t>
        </r>
        <r>
          <rPr>
            <sz val="9"/>
            <color indexed="81"/>
            <rFont val="Tahoma"/>
            <family val="2"/>
          </rPr>
          <t xml:space="preserve">
Too difficult to calculate this in a single formula, so simplifying by setting all these to $0.</t>
        </r>
      </text>
    </comment>
    <comment ref="CR229" authorId="0" shapeId="0">
      <text>
        <r>
          <rPr>
            <b/>
            <sz val="9"/>
            <color indexed="81"/>
            <rFont val="Tahoma"/>
            <family val="2"/>
          </rPr>
          <t>Author:</t>
        </r>
        <r>
          <rPr>
            <sz val="9"/>
            <color indexed="81"/>
            <rFont val="Tahoma"/>
            <family val="2"/>
          </rPr>
          <t xml:space="preserve">
Too difficult to calculate this in a single formula, so simplifying by setting all these to $0.</t>
        </r>
      </text>
    </comment>
  </commentList>
</comments>
</file>

<file path=xl/sharedStrings.xml><?xml version="1.0" encoding="utf-8"?>
<sst xmlns="http://schemas.openxmlformats.org/spreadsheetml/2006/main" count="2535" uniqueCount="497">
  <si>
    <t>WY</t>
  </si>
  <si>
    <t>PA</t>
  </si>
  <si>
    <t>Region:</t>
  </si>
  <si>
    <t>Bbl to Mcfe Conversion Factor:</t>
  </si>
  <si>
    <t>D&amp;C Cost Per Well ($ in MMs):</t>
  </si>
  <si>
    <t>Production Taxes per Mcfe:</t>
  </si>
  <si>
    <t>LOE per Mcfe:</t>
  </si>
  <si>
    <t>Other Operating Expenses per Mcfe:</t>
  </si>
  <si>
    <t>NGL as % of Oil Price:</t>
  </si>
  <si>
    <t>Year</t>
  </si>
  <si>
    <t>Gas</t>
  </si>
  <si>
    <t>Oil</t>
  </si>
  <si>
    <t>Total</t>
  </si>
  <si>
    <t>Oil % Diff. vs. Price Deck:</t>
  </si>
  <si>
    <t>($ in Millions Except Per Share and Per Unit Data)</t>
  </si>
  <si>
    <t>Price Deck</t>
  </si>
  <si>
    <t>Allow Circular References:</t>
  </si>
  <si>
    <t>Drilling Schedule:</t>
  </si>
  <si>
    <t>Valuation Date:</t>
  </si>
  <si>
    <t>End of Year 1 Fiscal Year:</t>
  </si>
  <si>
    <t>Adjustment Factor for Stub Period:</t>
  </si>
  <si>
    <t>Current Share Price:</t>
  </si>
  <si>
    <t>Most Recent Quarter End Date:</t>
  </si>
  <si>
    <t>Reserve Credit Cases</t>
  </si>
  <si>
    <t>$ / Mcf</t>
  </si>
  <si>
    <t>$ / Bbl</t>
  </si>
  <si>
    <t>Total:</t>
  </si>
  <si>
    <t>PDP</t>
  </si>
  <si>
    <t>PDNP</t>
  </si>
  <si>
    <t>PUD</t>
  </si>
  <si>
    <t>PROB</t>
  </si>
  <si>
    <t>POSS</t>
  </si>
  <si>
    <t>Case 1: Strip Pricing</t>
  </si>
  <si>
    <t>LT</t>
  </si>
  <si>
    <t>Case 2: High Gas</t>
  </si>
  <si>
    <t>Case 3: Mid Gas</t>
  </si>
  <si>
    <t>Case 4: Low Gas</t>
  </si>
  <si>
    <t>Case 5: Stable</t>
  </si>
  <si>
    <t>Case 6: SEC Prices</t>
  </si>
  <si>
    <t>Selected:</t>
  </si>
  <si>
    <t>Discount Rate:</t>
  </si>
  <si>
    <t>Gas % Diff. vs. Price Deck:</t>
  </si>
  <si>
    <t>Selected Drilling Case:</t>
  </si>
  <si>
    <t>High Gas Case</t>
  </si>
  <si>
    <t>Low Gas Case</t>
  </si>
  <si>
    <t>Base Gas Case</t>
  </si>
  <si>
    <t>% NGLs:</t>
  </si>
  <si>
    <t>% Gas:</t>
  </si>
  <si>
    <t>% Oil:</t>
  </si>
  <si>
    <t>Royalty Rate:</t>
  </si>
  <si>
    <t>EUR (Mmcfe):</t>
  </si>
  <si>
    <t>"Remainder Date" for NAV Model:</t>
  </si>
  <si>
    <t>Units (for Conversions):</t>
  </si>
  <si>
    <t>Reserve</t>
  </si>
  <si>
    <t>Credit</t>
  </si>
  <si>
    <t>Drilling Schedules - Gross Wells Drilled</t>
  </si>
  <si>
    <t>Statutory Tax Rate:</t>
  </si>
  <si>
    <t>NOL Carryforwards ($ in 000's):</t>
  </si>
  <si>
    <t>Leasehold CapEx:</t>
  </si>
  <si>
    <t>Net PP&amp;E on Balance Sheet:</t>
  </si>
  <si>
    <t>DTL from Tax Depreciation and D&amp;D Costs:</t>
  </si>
  <si>
    <t>Effective Tax Rate:</t>
  </si>
  <si>
    <t>Implied Accumulated DD&amp;A - Tax Basis:</t>
  </si>
  <si>
    <t>Proved Reserves (Mmcfe):</t>
  </si>
  <si>
    <t>Max Reserves to be Migrated to Proved (Mmcfe):</t>
  </si>
  <si>
    <t>F&amp;D Cost per Mcfe for Migrated Reserves ($ as Stated):</t>
  </si>
  <si>
    <t>CapEx Associated with Unproved Reserves ($ in 000's):</t>
  </si>
  <si>
    <t>Tax Depreciation Schedule (for Development CapEx):</t>
  </si>
  <si>
    <t>3-Year</t>
  </si>
  <si>
    <t>5-Year</t>
  </si>
  <si>
    <t>7-Year</t>
  </si>
  <si>
    <t>10-Year</t>
  </si>
  <si>
    <t>Implied Tax Basis of Net PP&amp;E - For Use in Cash Tax Calculation:</t>
  </si>
  <si>
    <t>Tangible Costs % Development CapEx (Capitalized):</t>
  </si>
  <si>
    <t>Intangible Drilling Costs (IDC) % Development CapEx (Expensed):</t>
  </si>
  <si>
    <t>Company Name:</t>
  </si>
  <si>
    <t>Ultra Petroleum Corp.</t>
  </si>
  <si>
    <t>Year One Production Months:</t>
  </si>
  <si>
    <t>Long-Term Oil Price (for Strip Pricing):</t>
  </si>
  <si>
    <t>Long-Term Gas Price (for Strip Pricing);</t>
  </si>
  <si>
    <t>Net Asset Value - Implied Per Share Price, by Reserve Type and Region</t>
  </si>
  <si>
    <t>Category:</t>
  </si>
  <si>
    <t>Risked</t>
  </si>
  <si>
    <t>Bcfe</t>
  </si>
  <si>
    <t>Unrisked</t>
  </si>
  <si>
    <t>Base</t>
  </si>
  <si>
    <t>Pre-Tax Asset Value:</t>
  </si>
  <si>
    <t>NAV by Reserve Type and Region (for PROB and POSS Reserves):</t>
  </si>
  <si>
    <t>AW12</t>
  </si>
  <si>
    <t>AW9</t>
  </si>
  <si>
    <t>PD</t>
  </si>
  <si>
    <t>G322</t>
  </si>
  <si>
    <t>G172</t>
  </si>
  <si>
    <t>Less: NPV of G&amp;A:</t>
  </si>
  <si>
    <t>+ / - NPV of Hedges:</t>
  </si>
  <si>
    <t>Less: NPV of Cash Taxes:</t>
  </si>
  <si>
    <t>After-Tax Asset Value:</t>
  </si>
  <si>
    <t>AK322</t>
  </si>
  <si>
    <t>AK172</t>
  </si>
  <si>
    <t>Total Asset Value:</t>
  </si>
  <si>
    <t>$ / Acre:</t>
  </si>
  <si>
    <t>Net Acres:</t>
  </si>
  <si>
    <t>Value (MM):</t>
  </si>
  <si>
    <t>Value of Undeveloped Acreage:</t>
  </si>
  <si>
    <t>Plus: Value of Undeveloped Acreage:</t>
  </si>
  <si>
    <t>Total Value of Undeveloped Acreage:</t>
  </si>
  <si>
    <t>@ Other Long-Term Gas Prices:</t>
  </si>
  <si>
    <t>Less: Net Debt &amp; Preferred:</t>
  </si>
  <si>
    <t>Price Deck Case:</t>
  </si>
  <si>
    <t>Common Shares:</t>
  </si>
  <si>
    <t>Name</t>
  </si>
  <si>
    <t>Number</t>
  </si>
  <si>
    <t>Price</t>
  </si>
  <si>
    <t>Dilution</t>
  </si>
  <si>
    <t>Diluted Shares Calculations:</t>
  </si>
  <si>
    <t>Dilution from Options, Warrants &amp; Other:</t>
  </si>
  <si>
    <t>Dilution from Options &amp; Other:</t>
  </si>
  <si>
    <t>Total Diluted Shares:</t>
  </si>
  <si>
    <t>RSUs &amp; Other Common Share-Equiv.:</t>
  </si>
  <si>
    <t>Net Asset Value:</t>
  </si>
  <si>
    <t>Diluted Shares Outstanding:</t>
  </si>
  <si>
    <t>NAV / Share:</t>
  </si>
  <si>
    <t>Current Share Price Premium / (Discount) to NAV:</t>
  </si>
  <si>
    <t>Model-Wide Toggles &amp; Assumptions:</t>
  </si>
  <si>
    <t>Tax and DD&amp;A Assumptions:</t>
  </si>
  <si>
    <t>Production and Well Assumptions:</t>
  </si>
  <si>
    <t>Universal Assumptions:</t>
  </si>
  <si>
    <t>Working Interest:</t>
  </si>
  <si>
    <t>vs. Base:</t>
  </si>
  <si>
    <t>Differential</t>
  </si>
  <si>
    <t>Case:</t>
  </si>
  <si>
    <t>G&amp;A Expense per Mcfe:</t>
  </si>
  <si>
    <t>Toggles for Sensitivities:</t>
  </si>
  <si>
    <t>Wells by Region - Base Assumptions:</t>
  </si>
  <si>
    <t>UT</t>
  </si>
  <si>
    <t>Reserve Credit Case:</t>
  </si>
  <si>
    <t>IP Rate (Mmcfe / d):</t>
  </si>
  <si>
    <t>Implied NAV per Share - Well EUR Differentials vs. Long-Term Gas Prices:</t>
  </si>
  <si>
    <t>Implied NAV per Share - Well IP Rate Differentials vs. Long-Term Gas Prices:</t>
  </si>
  <si>
    <t>Implied NAV per Share - Well D&amp;C Cost Differentials vs. Long-Term Gas Prices:</t>
  </si>
  <si>
    <t>Implied NAV per Share - LOE Per Mcfe Differentials vs. Long-Term Gas Prices:</t>
  </si>
  <si>
    <t>Tax Depreciation Schedules (MACRS) - Development CapEx:</t>
  </si>
  <si>
    <t>Lower Initial Tax Rate:</t>
  </si>
  <si>
    <t># of Effective Years for Initial Tax Rate:</t>
  </si>
  <si>
    <t>Reserves Information &amp; Data Required for NAV Model</t>
  </si>
  <si>
    <t>Implied</t>
  </si>
  <si>
    <t>Developed</t>
  </si>
  <si>
    <t>Working</t>
  </si>
  <si>
    <t>Undeveloped</t>
  </si>
  <si>
    <t>Acres - Gross</t>
  </si>
  <si>
    <t>Acres - Net</t>
  </si>
  <si>
    <t>Interest:</t>
  </si>
  <si>
    <t>CO</t>
  </si>
  <si>
    <t>Reserves Data:</t>
  </si>
  <si>
    <t>Proved Developed Reserves:</t>
  </si>
  <si>
    <t>Oil (MBbl):</t>
  </si>
  <si>
    <t>Total Proved Developed Reserves:</t>
  </si>
  <si>
    <t>Proved Undeveloped Reserves:</t>
  </si>
  <si>
    <t>Total Proved Undeveloped Reserves:</t>
  </si>
  <si>
    <t>Proved Reserves (Bcfe):</t>
  </si>
  <si>
    <t>Proved Undeveloped Reserves (Bcfe):</t>
  </si>
  <si>
    <t>Probable Reserves (Bcfe):</t>
  </si>
  <si>
    <t>Possible Reserves (Bcfe):</t>
  </si>
  <si>
    <t>Total PUD + PROB + POSS:</t>
  </si>
  <si>
    <t>Gross</t>
  </si>
  <si>
    <t>Future</t>
  </si>
  <si>
    <t>CapEx Per</t>
  </si>
  <si>
    <t>Net Reserves:</t>
  </si>
  <si>
    <t>(Mmcf)</t>
  </si>
  <si>
    <t>(Mmcfe)</t>
  </si>
  <si>
    <t>Wells</t>
  </si>
  <si>
    <t>Well ($ MMs)</t>
  </si>
  <si>
    <t>Weighted Avg.:</t>
  </si>
  <si>
    <t>Proved Developed Reserves Resource Split:</t>
  </si>
  <si>
    <t>Proved Undeveloped Reserves Resource Split:</t>
  </si>
  <si>
    <t>Average Gas Price</t>
  </si>
  <si>
    <t>Before Hedging:</t>
  </si>
  <si>
    <t>Wells Drilled:</t>
  </si>
  <si>
    <t>Net</t>
  </si>
  <si>
    <t>Wells Drilled / Gas Price:</t>
  </si>
  <si>
    <t>Avg. Future</t>
  </si>
  <si>
    <t>Current</t>
  </si>
  <si>
    <t>Current Plus</t>
  </si>
  <si>
    <t>PUD/PROB/POSS</t>
  </si>
  <si>
    <t>Gross PD</t>
  </si>
  <si>
    <t>Net PD</t>
  </si>
  <si>
    <t>Future Net</t>
  </si>
  <si>
    <t>Net EUR</t>
  </si>
  <si>
    <t>Gross EUR</t>
  </si>
  <si>
    <t>Net Reserves</t>
  </si>
  <si>
    <t>F&amp;D Cost</t>
  </si>
  <si>
    <t>D&amp;C Cost Per</t>
  </si>
  <si>
    <t>Avg. IP Rate</t>
  </si>
  <si>
    <t>Net Wells:</t>
  </si>
  <si>
    <t>Gross Wells:</t>
  </si>
  <si>
    <t>Wells:</t>
  </si>
  <si>
    <t>(Bcfe):</t>
  </si>
  <si>
    <t>Capital:</t>
  </si>
  <si>
    <t>Per Mcfe:</t>
  </si>
  <si>
    <t>Well ($MM):</t>
  </si>
  <si>
    <t>(Mmcfed):</t>
  </si>
  <si>
    <t>Potential Future Net Wells by Type:</t>
  </si>
  <si>
    <t>POT</t>
  </si>
  <si>
    <t>Total Future Net Wells:</t>
  </si>
  <si>
    <t>Future CapEx</t>
  </si>
  <si>
    <t>($ MMs)</t>
  </si>
  <si>
    <t>3P Net</t>
  </si>
  <si>
    <t>Reserves (Bcfe):</t>
  </si>
  <si>
    <t>Natural Gas (Mmcf):</t>
  </si>
  <si>
    <t>Total Proved Reserves (Mmcfe):</t>
  </si>
  <si>
    <t>(MBbl)</t>
  </si>
  <si>
    <t>Total Proved Wells:</t>
  </si>
  <si>
    <t>Proved Developed Producing Wells:</t>
  </si>
  <si>
    <t>N/A</t>
  </si>
  <si>
    <t>Implied PD</t>
  </si>
  <si>
    <t>Gross Wells</t>
  </si>
  <si>
    <t>at Current</t>
  </si>
  <si>
    <t>Spacing:</t>
  </si>
  <si>
    <t>Implied Spacing</t>
  </si>
  <si>
    <t>of Future Wells</t>
  </si>
  <si>
    <t>on Net Undev.</t>
  </si>
  <si>
    <t>Acreage:</t>
  </si>
  <si>
    <t>for PUD + PROB + POSS</t>
  </si>
  <si>
    <t xml:space="preserve">Wells Implied by </t>
  </si>
  <si>
    <t>Future Net Wells</t>
  </si>
  <si>
    <t>Future Net Wells:</t>
  </si>
  <si>
    <t>Average EUR (Bcfe)</t>
  </si>
  <si>
    <t>Drilling CapEx Implied</t>
  </si>
  <si>
    <t>by Well Drilling Plan &amp;</t>
  </si>
  <si>
    <t>Avg. D&amp;C Costs:</t>
  </si>
  <si>
    <t xml:space="preserve">Future Capital / </t>
  </si>
  <si>
    <t>&lt;--- But this one's below the $7.0MM above for PA.</t>
  </si>
  <si>
    <t>&lt;-- Above the $4.1MM given above for WY…</t>
  </si>
  <si>
    <t xml:space="preserve">Future Net Wells / </t>
  </si>
  <si>
    <t xml:space="preserve">D&amp;C Costs / </t>
  </si>
  <si>
    <t xml:space="preserve">These numbers are all below the F&amp;D Costs, but </t>
  </si>
  <si>
    <r>
      <t xml:space="preserve">not a big deal - </t>
    </r>
    <r>
      <rPr>
        <i/>
        <sz val="11"/>
        <color theme="1"/>
        <rFont val="Calibri"/>
        <family val="2"/>
        <scheme val="minor"/>
      </rPr>
      <t>should</t>
    </r>
    <r>
      <rPr>
        <sz val="11"/>
        <color theme="1"/>
        <rFont val="Calibri"/>
        <family val="2"/>
        <scheme val="minor"/>
      </rPr>
      <t xml:space="preserve"> be lower since no "finding" component in</t>
    </r>
  </si>
  <si>
    <t>D&amp;C costs. Within range, so that is a positive sign.</t>
  </si>
  <si>
    <t>Cash Flow Assumptions</t>
  </si>
  <si>
    <t>Acreage and Drilling Locations</t>
  </si>
  <si>
    <t>PD Reserves (PDP and PDNP)</t>
  </si>
  <si>
    <t>Single Well Assumptions:</t>
  </si>
  <si>
    <t>Oil, Gas &amp; NGL Pricing:</t>
  </si>
  <si>
    <t>Operations Data and Metrics:</t>
  </si>
  <si>
    <t>Drilling Locations and Risked Reserves</t>
  </si>
  <si>
    <t>NGLs</t>
  </si>
  <si>
    <t>Net Remaining Reserves (Mmcfe)</t>
  </si>
  <si>
    <t>Reserves:</t>
  </si>
  <si>
    <t>Mmcfe</t>
  </si>
  <si>
    <t>Unrisked Resources (Mmcfe)</t>
  </si>
  <si>
    <t>Risked Resources (Mmcfe)</t>
  </si>
  <si>
    <t>Current PDP Production (Mmcfe / d)</t>
  </si>
  <si>
    <t>PDP Reserves:</t>
  </si>
  <si>
    <t>Location Risking:</t>
  </si>
  <si>
    <t>Interest</t>
  </si>
  <si>
    <t>Production Decline Rate</t>
  </si>
  <si>
    <t>PDNP Reserves:</t>
  </si>
  <si>
    <t>Reserve Life (Years):</t>
  </si>
  <si>
    <t>Total PD Reserves:</t>
  </si>
  <si>
    <t>Stub Period Adjustment</t>
  </si>
  <si>
    <t>Future CapEx, PDP ($ in MMs):</t>
  </si>
  <si>
    <t>Future CapEx, PDNP ($ in MMs):</t>
  </si>
  <si>
    <t>Production:</t>
  </si>
  <si>
    <t>Last Quarter:</t>
  </si>
  <si>
    <t>Days in Quarter:</t>
  </si>
  <si>
    <t>Run-Rate Operational Metrics:</t>
  </si>
  <si>
    <t>Assumptions for All Wells in Model:</t>
  </si>
  <si>
    <t>Production (Mmcfe / d):</t>
  </si>
  <si>
    <t>Proved R / P Ratio:</t>
  </si>
  <si>
    <t>PD R / P Ratio:</t>
  </si>
  <si>
    <t>Proved Reserves, % Gas:</t>
  </si>
  <si>
    <t>Proved Reserves, % Oil:</t>
  </si>
  <si>
    <t>Proved Reserves, % NGLs:</t>
  </si>
  <si>
    <t>Reserve Report Output</t>
  </si>
  <si>
    <t>Proved Developed Reserves - Annual Production and Decline Rates</t>
  </si>
  <si>
    <t>PDP - Annual Production</t>
  </si>
  <si>
    <t>Decline Rate:</t>
  </si>
  <si>
    <t>Production (Net):</t>
  </si>
  <si>
    <t>Realized Prices</t>
  </si>
  <si>
    <t>Revenue</t>
  </si>
  <si>
    <t>Operating Expenses</t>
  </si>
  <si>
    <t>Cash Flow</t>
  </si>
  <si>
    <t>Discounted Cash Flow</t>
  </si>
  <si>
    <t>Prod. Taxes</t>
  </si>
  <si>
    <t>LOE</t>
  </si>
  <si>
    <t>Other</t>
  </si>
  <si>
    <t>EBITDAX</t>
  </si>
  <si>
    <t>CapEx</t>
  </si>
  <si>
    <t>Discount</t>
  </si>
  <si>
    <t>DCF</t>
  </si>
  <si>
    <t>Beginning</t>
  </si>
  <si>
    <t>Production</t>
  </si>
  <si>
    <t>Ending</t>
  </si>
  <si>
    <t>($ 000's)</t>
  </si>
  <si>
    <t>$ / Mcfe</t>
  </si>
  <si>
    <t>Date</t>
  </si>
  <si>
    <t>Period</t>
  </si>
  <si>
    <t>Factor</t>
  </si>
  <si>
    <t>Days</t>
  </si>
  <si>
    <t>Reserves</t>
  </si>
  <si>
    <t>Daily</t>
  </si>
  <si>
    <t>Annual</t>
  </si>
  <si>
    <t>Subtotal:</t>
  </si>
  <si>
    <t>Remainder:</t>
  </si>
  <si>
    <t>PDNP - Annual Production</t>
  </si>
  <si>
    <r>
      <t xml:space="preserve">This area is intentionally left blank - not applicable on this tab - please do </t>
    </r>
    <r>
      <rPr>
        <b/>
        <sz val="11"/>
        <color rgb="FFFF0000"/>
        <rFont val="Calibri"/>
        <family val="2"/>
        <scheme val="minor"/>
      </rPr>
      <t>NOT</t>
    </r>
    <r>
      <rPr>
        <sz val="11"/>
        <color rgb="FFFF0000"/>
        <rFont val="Calibri"/>
        <family val="2"/>
        <scheme val="minor"/>
      </rPr>
      <t xml:space="preserve"> enter data here.</t>
    </r>
  </si>
  <si>
    <t>TOTAL</t>
  </si>
  <si>
    <t>Mmcf</t>
  </si>
  <si>
    <t>MBbl</t>
  </si>
  <si>
    <t>Sanity Checking the Drilling Schedule #s:</t>
  </si>
  <si>
    <t>D&amp;C CapEx:</t>
  </si>
  <si>
    <t>CapEx:</t>
  </si>
  <si>
    <t>Price:</t>
  </si>
  <si>
    <t>Company's Estimated Annual CapEx:</t>
  </si>
  <si>
    <t>$385 - $415MM (Pg. 6 of 8-K)</t>
  </si>
  <si>
    <t>$520 - $560MM, w/ $68M from Utah (Pg. 10 Q3 earnings transcript)</t>
  </si>
  <si>
    <t># Gross</t>
  </si>
  <si>
    <t>D&amp;C</t>
  </si>
  <si>
    <t>WI</t>
  </si>
  <si>
    <t>WY:</t>
  </si>
  <si>
    <t>PA:</t>
  </si>
  <si>
    <t>Property CapEx:</t>
  </si>
  <si>
    <t>Gas Prices Before Hedging:</t>
  </si>
  <si>
    <t>WY Wells Drilled - Gross:</t>
  </si>
  <si>
    <t>PA Wells Drilled - Gross:</t>
  </si>
  <si>
    <t>Total Gross Wells:</t>
  </si>
  <si>
    <t>WY Wells Drilled - Net:</t>
  </si>
  <si>
    <t>PA Wells Drilled - Net:</t>
  </si>
  <si>
    <t>Total Net Wells:</t>
  </si>
  <si>
    <t>Average D&amp;C Cost Per Well:</t>
  </si>
  <si>
    <t>For 2007-2009 #s, please see the 2009 10-K linked to in this lesson.</t>
  </si>
  <si>
    <t>Potential Future Wells</t>
  </si>
  <si>
    <t>Drilling Schedule, by Reserve Type</t>
  </si>
  <si>
    <t>Wells Drilled</t>
  </si>
  <si>
    <t>PUD - Locations Drilled</t>
  </si>
  <si>
    <t>PROB - Locations Drilled</t>
  </si>
  <si>
    <t>POSS - Locations Drilled</t>
  </si>
  <si>
    <t>Remaining</t>
  </si>
  <si>
    <t>Drilled</t>
  </si>
  <si>
    <t>(Gross)</t>
  </si>
  <si>
    <t>Production Schedules for New Wells Drilled, by Reserve Type</t>
  </si>
  <si>
    <t>365-Day Production @ IP Rate:</t>
  </si>
  <si>
    <t>Year 1 % Production % 365 Days @ IP Rate:</t>
  </si>
  <si>
    <t>Net Wells Drilled:</t>
  </si>
  <si>
    <t>Gross Type Curve</t>
  </si>
  <si>
    <t>Decline</t>
  </si>
  <si>
    <t>Net Type Curve</t>
  </si>
  <si>
    <t>Gas (Mmcf)</t>
  </si>
  <si>
    <t>Rate:</t>
  </si>
  <si>
    <t>Subtotal</t>
  </si>
  <si>
    <t>Remainder</t>
  </si>
  <si>
    <t>Oil (MBbl)</t>
  </si>
  <si>
    <t>NGLs (MBbl)</t>
  </si>
  <si>
    <t>Adj. Factor:</t>
  </si>
  <si>
    <t>Pre-Adjust.</t>
  </si>
  <si>
    <t>Base EUR:</t>
  </si>
  <si>
    <t>Production Rollup by Reserve Type Across All Geographies</t>
  </si>
  <si>
    <t>Production (Net of Royalties and Working Interest):</t>
  </si>
  <si>
    <t>Year 1 % Prod. % 365-Day IP Rate:</t>
  </si>
  <si>
    <t>EUR:</t>
  </si>
  <si>
    <t>Gross Type Curve (Before Royalties)</t>
  </si>
  <si>
    <t>Net Type Curve (After Royalties)</t>
  </si>
  <si>
    <t>Current Annual PDP Production (Mmcfe):</t>
  </si>
  <si>
    <t>Net Remaining Reserves (Mmcfe):</t>
  </si>
  <si>
    <t>Current PDP Production (Mmcfe / d):</t>
  </si>
  <si>
    <t>Production Decline Rate:</t>
  </si>
  <si>
    <t>&lt;--- Different number used for UT region.</t>
  </si>
  <si>
    <t>Also using different numbers for LOE, Taxes, Other OpEx.</t>
  </si>
  <si>
    <t>Hedging Data &amp; Overall Impact:</t>
  </si>
  <si>
    <t>Benchmark Prices:</t>
  </si>
  <si>
    <t>Gas ($ / Mcfe):</t>
  </si>
  <si>
    <t>Oil ($ / Bbl):</t>
  </si>
  <si>
    <t>NGLs ($ / Bbl):</t>
  </si>
  <si>
    <t>Total Volume Hedged:</t>
  </si>
  <si>
    <t>Total Mcfe Hedged:</t>
  </si>
  <si>
    <t>Pre-Tax Revenue Impact ($ in 000's):</t>
  </si>
  <si>
    <t>Swap - 1</t>
  </si>
  <si>
    <t>Commodity Type:</t>
  </si>
  <si>
    <t>Volume Hedged:</t>
  </si>
  <si>
    <t>Swap Price:</t>
  </si>
  <si>
    <t>Price Deck:</t>
  </si>
  <si>
    <t>Difference:</t>
  </si>
  <si>
    <t>Revenue Impact ($ in 000's):</t>
  </si>
  <si>
    <t>Swap - 2</t>
  </si>
  <si>
    <t>Put - 1</t>
  </si>
  <si>
    <t>Put Price:</t>
  </si>
  <si>
    <t>Price Received:</t>
  </si>
  <si>
    <t>Put - 2</t>
  </si>
  <si>
    <t>Collar - 1</t>
  </si>
  <si>
    <t>Ceiling Price (Written Call):</t>
  </si>
  <si>
    <t>Floor Price (Bought Put):</t>
  </si>
  <si>
    <t>Collar - 2</t>
  </si>
  <si>
    <t>Discounted Cash Flow - Annual Roll-Up of Revenue, Expenses &amp; Taxes</t>
  </si>
  <si>
    <t>($ in 000's Except Per Unit Data)</t>
  </si>
  <si>
    <t>Months in Year:</t>
  </si>
  <si>
    <t>Period:</t>
  </si>
  <si>
    <t>Days in Year:</t>
  </si>
  <si>
    <t>Gas (Mmcf):</t>
  </si>
  <si>
    <t>Annual Total (Mmcfe):</t>
  </si>
  <si>
    <t>Daily Total (Mmcfe / d):</t>
  </si>
  <si>
    <t>Revenue:</t>
  </si>
  <si>
    <t>Gas:</t>
  </si>
  <si>
    <t>Oil:</t>
  </si>
  <si>
    <t>NGLs:</t>
  </si>
  <si>
    <t>Total Revenue:</t>
  </si>
  <si>
    <t>Effect of Hedges:</t>
  </si>
  <si>
    <t>Net Revenue:</t>
  </si>
  <si>
    <t>Cash Expenses:</t>
  </si>
  <si>
    <t>Production Taxes:</t>
  </si>
  <si>
    <t>LOE Expense:</t>
  </si>
  <si>
    <t>Other Operating Expenses:</t>
  </si>
  <si>
    <t>Corporate Overhead / G&amp;A:</t>
  </si>
  <si>
    <t>Total Cash Expenses:</t>
  </si>
  <si>
    <t>Production Taxes % Revenue:</t>
  </si>
  <si>
    <t>LOE Expense % Revenue:</t>
  </si>
  <si>
    <t>Other OpEx % Revenue:</t>
  </si>
  <si>
    <t>G&amp;A % Revenue:</t>
  </si>
  <si>
    <t>EBITDAX:</t>
  </si>
  <si>
    <t>% Margin:</t>
  </si>
  <si>
    <t>Tax DD&amp;A:</t>
  </si>
  <si>
    <t>EBIT:</t>
  </si>
  <si>
    <t>Cash Taxes:</t>
  </si>
  <si>
    <t>Net Income (Cash Tax Basis):</t>
  </si>
  <si>
    <t>Plus: DD&amp;A:</t>
  </si>
  <si>
    <t>Less: CapEx:</t>
  </si>
  <si>
    <t>After-Tax Free Cash Flow:</t>
  </si>
  <si>
    <t>EBITDAX - CapEx + G&amp;A + / - Hedging Effect:</t>
  </si>
  <si>
    <t>Valuation:</t>
  </si>
  <si>
    <t>Period End Date:</t>
  </si>
  <si>
    <t>Discount Period:</t>
  </si>
  <si>
    <t>Mid-Year Adjustment:</t>
  </si>
  <si>
    <t>Adjusted Discount Period:</t>
  </si>
  <si>
    <t>Valuation Date Adjustment Factor:</t>
  </si>
  <si>
    <t>Discount Factor:</t>
  </si>
  <si>
    <t>E&amp;P Pre-Tax Asset Value:</t>
  </si>
  <si>
    <t>Corporate G&amp;A:</t>
  </si>
  <si>
    <t>Value of Hedges:</t>
  </si>
  <si>
    <t>After-Tax Cash Flow:</t>
  </si>
  <si>
    <t>Tax Basis Calculations:</t>
  </si>
  <si>
    <t>Migration of Unproved to Proved:</t>
  </si>
  <si>
    <t>Beginning Unproved Reserves (Mmcfe):</t>
  </si>
  <si>
    <t>Unproved Reserves CapEx ($ in 000's):</t>
  </si>
  <si>
    <t>F&amp;D Cost / Mcfe:</t>
  </si>
  <si>
    <t>Migration to Proved (Mmcfe):</t>
  </si>
  <si>
    <t>Ending Unproved Reserves (Mmcfe):</t>
  </si>
  <si>
    <t>Beginning Proved Reserves (Mmcfe):</t>
  </si>
  <si>
    <t>Less: Annual Production (Mmcfe):</t>
  </si>
  <si>
    <t>Plus: Migration to Proved (Mmcfe):</t>
  </si>
  <si>
    <t>Ending Proved Reserves:</t>
  </si>
  <si>
    <t>% Depletion:</t>
  </si>
  <si>
    <t>Beginning Leasehold Tax Basis:</t>
  </si>
  <si>
    <t>Less: Unit-of-Production (UOP) Depletion:</t>
  </si>
  <si>
    <t>Ending Leasehold Tax Basis:</t>
  </si>
  <si>
    <t>Development CapEx:</t>
  </si>
  <si>
    <t>Less: IDC Expense:</t>
  </si>
  <si>
    <t>Tangible Drilling Costs:</t>
  </si>
  <si>
    <t>Tangible Drilling Cost Depreciation:</t>
  </si>
  <si>
    <t>Tax Basis:</t>
  </si>
  <si>
    <t>Plus: Development CapEx:</t>
  </si>
  <si>
    <t>Less: UOP Depletion:</t>
  </si>
  <si>
    <t>Less: Tangible Drilling Cost Depreciation:</t>
  </si>
  <si>
    <t>Ending Tax Basis:</t>
  </si>
  <si>
    <t>NOL Schedule:</t>
  </si>
  <si>
    <t>Beginning NOL Balance:</t>
  </si>
  <si>
    <t>Plus: Additions:</t>
  </si>
  <si>
    <t>Less: NOL Utilizations:</t>
  </si>
  <si>
    <t>Ending NOL Balance:</t>
  </si>
  <si>
    <t>Tax Calculation</t>
  </si>
  <si>
    <t>Cash Taxable Income:</t>
  </si>
  <si>
    <t>NOLs Added / (Utilized):</t>
  </si>
  <si>
    <t>Adjusted Cash Taxable Income:</t>
  </si>
  <si>
    <t>Tax Rate:</t>
  </si>
  <si>
    <t>MACRS Depreciation - Production CapEx:</t>
  </si>
  <si>
    <t>Tangible</t>
  </si>
  <si>
    <t>Year:</t>
  </si>
  <si>
    <t>Drilling Costs:</t>
  </si>
  <si>
    <t>NGLs (MBbl):</t>
  </si>
  <si>
    <t>Less: Price Paid for Uinta Basin Acquisition:</t>
  </si>
  <si>
    <t>AW7</t>
  </si>
  <si>
    <t>AW8</t>
  </si>
  <si>
    <t>G122</t>
  </si>
  <si>
    <t>AK122</t>
  </si>
  <si>
    <t>AW10</t>
  </si>
  <si>
    <t>G72</t>
  </si>
  <si>
    <t>AK72</t>
  </si>
  <si>
    <t>AW11</t>
  </si>
  <si>
    <t>CO - Denver-Julesburg Basin</t>
  </si>
  <si>
    <t>EUR Differentials vs. Baseline Assumptions for Each Region:</t>
  </si>
  <si>
    <t>IP Rate Differentials vs. Baseline Assumptions for Each Region:</t>
  </si>
  <si>
    <t>D&amp;C Cost Per Well Differential vs. Baseline Assumptions for Each Region:</t>
  </si>
  <si>
    <t>LOE Per Mcfe Differential vs. Baseline Assumptions for PA and WY:</t>
  </si>
  <si>
    <t>Long-Term Gas Prices:</t>
  </si>
  <si>
    <t>Tranche A</t>
  </si>
  <si>
    <t>Tranche B</t>
  </si>
  <si>
    <t>Tranche C</t>
  </si>
  <si>
    <t>Tranche D</t>
  </si>
  <si>
    <t>Tranche 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</si>
</sst>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quot;$&quot;* #,##0.0_);_(&quot;$&quot;* \(#,##0.0\);_(&quot;$&quot;* &quot;-&quot;?_);_(@_)"/>
    <numFmt numFmtId="166" formatCode="0.0%"/>
    <numFmt numFmtId="167" formatCode="0_);\(0\)"/>
    <numFmt numFmtId="168" formatCode="&quot;Yes&quot;;;&quot;No&quot;"/>
    <numFmt numFmtId="169" formatCode="0.0%;\(0.0%\)"/>
    <numFmt numFmtId="170" formatCode="_(* #,##0.000_);_(* \(#,##0.000\);_(* &quot;-&quot;???_);_(@_)"/>
    <numFmt numFmtId="171" formatCode="&quot;$&quot;#,##0.00"/>
    <numFmt numFmtId="172" formatCode="0.0\ \x"/>
    <numFmt numFmtId="173" formatCode="0.0"/>
    <numFmt numFmtId="174" formatCode="_(&quot;$&quot;* #,##0.000_);_(&quot;$&quot;* \(#,##0.000\);_(&quot;$&quot;* &quot;-&quot;???_);_(@_)"/>
    <numFmt numFmtId="175" formatCode="0.000"/>
  </numFmts>
  <fonts count="20" x14ac:knownFonts="1">
    <font>
      <sz val="11"/>
      <color theme="1"/>
      <name val="Calibri"/>
      <family val="2"/>
      <scheme val="minor"/>
    </font>
    <font>
      <b/>
      <sz val="11"/>
      <color theme="1"/>
      <name val="Calibri"/>
      <family val="2"/>
      <scheme val="minor"/>
    </font>
    <font>
      <sz val="11"/>
      <color rgb="FF0000FF"/>
      <name val="Calibri"/>
      <family val="2"/>
      <scheme val="minor"/>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sz val="11"/>
      <name val="Calibri"/>
      <family val="2"/>
      <scheme val="minor"/>
    </font>
    <font>
      <sz val="11"/>
      <color rgb="FF00B050"/>
      <name val="Calibri"/>
      <family val="2"/>
      <scheme val="minor"/>
    </font>
    <font>
      <b/>
      <sz val="11"/>
      <name val="Calibri"/>
      <family val="2"/>
      <scheme val="minor"/>
    </font>
    <font>
      <u/>
      <sz val="11"/>
      <color theme="1"/>
      <name val="Calibri"/>
      <family val="2"/>
      <scheme val="minor"/>
    </font>
    <font>
      <b/>
      <sz val="11"/>
      <color rgb="FF0000FF"/>
      <name val="Calibri"/>
      <family val="2"/>
      <scheme val="minor"/>
    </font>
    <font>
      <sz val="11"/>
      <color theme="4"/>
      <name val="Calibri"/>
      <family val="2"/>
      <scheme val="minor"/>
    </font>
    <font>
      <sz val="10"/>
      <name val="Arial"/>
      <family val="2"/>
    </font>
    <font>
      <b/>
      <sz val="11"/>
      <color theme="0"/>
      <name val="Calibri"/>
      <family val="2"/>
    </font>
    <font>
      <i/>
      <sz val="11"/>
      <color theme="1"/>
      <name val="Calibri"/>
      <family val="2"/>
      <scheme val="minor"/>
    </font>
    <font>
      <i/>
      <sz val="11"/>
      <name val="Calibri"/>
      <family val="2"/>
      <scheme val="minor"/>
    </font>
    <font>
      <sz val="11"/>
      <color rgb="FFFF0000"/>
      <name val="Calibri"/>
      <family val="2"/>
      <scheme val="minor"/>
    </font>
    <font>
      <b/>
      <sz val="11"/>
      <color rgb="FFFF0000"/>
      <name val="Calibri"/>
      <family val="2"/>
      <scheme val="minor"/>
    </font>
    <font>
      <b/>
      <sz val="11"/>
      <color rgb="FF00B050"/>
      <name val="Calibri"/>
      <family val="2"/>
      <scheme val="minor"/>
    </font>
  </fonts>
  <fills count="7">
    <fill>
      <patternFill patternType="none"/>
    </fill>
    <fill>
      <patternFill patternType="gray125"/>
    </fill>
    <fill>
      <patternFill patternType="solid">
        <fgColor rgb="FFFFFF99"/>
        <bgColor indexed="64"/>
      </patternFill>
    </fill>
    <fill>
      <patternFill patternType="solid">
        <fgColor theme="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bgColor indexed="64"/>
      </patternFill>
    </fill>
  </fills>
  <borders count="16">
    <border>
      <left/>
      <right/>
      <top/>
      <bottom/>
      <diagonal/>
    </border>
    <border>
      <left/>
      <right/>
      <top/>
      <bottom style="thin">
        <color auto="1"/>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13" fillId="0" borderId="0"/>
  </cellStyleXfs>
  <cellXfs count="487">
    <xf numFmtId="0" fontId="0" fillId="0" borderId="0" xfId="0"/>
    <xf numFmtId="0" fontId="1" fillId="0" borderId="0" xfId="0" applyFont="1"/>
    <xf numFmtId="0" fontId="0" fillId="0" borderId="0" xfId="0" applyFont="1"/>
    <xf numFmtId="0" fontId="1" fillId="0" borderId="1" xfId="0" applyFont="1" applyBorder="1"/>
    <xf numFmtId="0" fontId="0" fillId="0" borderId="1" xfId="0" applyBorder="1"/>
    <xf numFmtId="42" fontId="2" fillId="0" borderId="0" xfId="0" applyNumberFormat="1" applyFont="1"/>
    <xf numFmtId="41" fontId="2" fillId="0" borderId="0" xfId="0" applyNumberFormat="1" applyFont="1"/>
    <xf numFmtId="0" fontId="1" fillId="0" borderId="2" xfId="0" applyFont="1" applyBorder="1"/>
    <xf numFmtId="41" fontId="1" fillId="0" borderId="2" xfId="0" applyNumberFormat="1" applyFont="1" applyBorder="1"/>
    <xf numFmtId="0" fontId="0" fillId="0" borderId="2" xfId="0" applyBorder="1"/>
    <xf numFmtId="44" fontId="2" fillId="0" borderId="0" xfId="0" applyNumberFormat="1" applyFont="1"/>
    <xf numFmtId="0" fontId="1" fillId="0" borderId="1" xfId="0" applyFont="1" applyBorder="1" applyAlignment="1">
      <alignment horizontal="center"/>
    </xf>
    <xf numFmtId="41" fontId="0" fillId="0" borderId="0" xfId="0" applyNumberFormat="1"/>
    <xf numFmtId="0" fontId="0" fillId="0" borderId="1" xfId="0" applyBorder="1" applyAlignment="1">
      <alignment horizontal="center"/>
    </xf>
    <xf numFmtId="0" fontId="1" fillId="0" borderId="0" xfId="0" applyFont="1" applyAlignment="1">
      <alignment horizontal="centerContinuous"/>
    </xf>
    <xf numFmtId="0" fontId="0" fillId="0" borderId="0" xfId="0" applyBorder="1"/>
    <xf numFmtId="0" fontId="1" fillId="0" borderId="0" xfId="0" applyFont="1" applyBorder="1"/>
    <xf numFmtId="0" fontId="0" fillId="0" borderId="0" xfId="0" applyAlignment="1">
      <alignment horizontal="center"/>
    </xf>
    <xf numFmtId="0" fontId="0" fillId="0" borderId="0" xfId="0" applyFont="1" applyBorder="1"/>
    <xf numFmtId="164" fontId="0" fillId="0" borderId="0" xfId="0" applyNumberFormat="1"/>
    <xf numFmtId="44" fontId="0" fillId="0" borderId="0" xfId="0" applyNumberFormat="1"/>
    <xf numFmtId="43" fontId="2" fillId="2" borderId="3" xfId="0" applyNumberFormat="1" applyFont="1" applyFill="1" applyBorder="1"/>
    <xf numFmtId="44" fontId="2" fillId="2" borderId="3" xfId="0" applyNumberFormat="1" applyFont="1" applyFill="1" applyBorder="1"/>
    <xf numFmtId="0" fontId="0" fillId="0" borderId="1" xfId="0" applyBorder="1" applyAlignment="1">
      <alignment horizontal="centerContinuous"/>
    </xf>
    <xf numFmtId="0" fontId="0" fillId="0" borderId="1" xfId="0" applyFont="1" applyBorder="1" applyAlignment="1">
      <alignment horizontal="center"/>
    </xf>
    <xf numFmtId="167" fontId="2" fillId="2" borderId="3" xfId="0" applyNumberFormat="1" applyFont="1" applyFill="1" applyBorder="1" applyAlignment="1">
      <alignment horizontal="center"/>
    </xf>
    <xf numFmtId="166" fontId="2" fillId="2" borderId="3" xfId="0" applyNumberFormat="1" applyFont="1" applyFill="1" applyBorder="1" applyAlignment="1">
      <alignment horizontal="center"/>
    </xf>
    <xf numFmtId="168" fontId="2" fillId="2" borderId="3" xfId="0" applyNumberFormat="1" applyFont="1" applyFill="1" applyBorder="1" applyAlignment="1">
      <alignment horizontal="center"/>
    </xf>
    <xf numFmtId="14" fontId="2" fillId="2" borderId="3" xfId="0" applyNumberFormat="1" applyFont="1" applyFill="1" applyBorder="1" applyAlignment="1">
      <alignment horizontal="center"/>
    </xf>
    <xf numFmtId="1" fontId="0" fillId="0" borderId="0" xfId="0" applyNumberFormat="1" applyAlignment="1">
      <alignment horizontal="center"/>
    </xf>
    <xf numFmtId="9" fontId="0" fillId="0" borderId="0" xfId="0" applyNumberFormat="1" applyAlignment="1">
      <alignment horizontal="center"/>
    </xf>
    <xf numFmtId="0" fontId="6" fillId="3" borderId="2" xfId="0" applyFont="1" applyFill="1" applyBorder="1"/>
    <xf numFmtId="0" fontId="0" fillId="0" borderId="2" xfId="0" applyBorder="1" applyAlignment="1">
      <alignment horizontal="center"/>
    </xf>
    <xf numFmtId="0" fontId="0" fillId="0" borderId="0" xfId="0" applyBorder="1" applyAlignment="1">
      <alignment horizontal="left" indent="1"/>
    </xf>
    <xf numFmtId="41" fontId="0" fillId="0" borderId="0" xfId="0" applyNumberFormat="1" applyBorder="1"/>
    <xf numFmtId="43" fontId="0" fillId="0" borderId="0" xfId="0" applyNumberFormat="1" applyBorder="1"/>
    <xf numFmtId="0" fontId="0" fillId="0" borderId="1" xfId="0" applyBorder="1" applyAlignment="1">
      <alignment horizontal="left" indent="1"/>
    </xf>
    <xf numFmtId="0" fontId="1" fillId="0" borderId="1" xfId="0" applyFont="1" applyBorder="1" applyAlignment="1">
      <alignment horizontal="centerContinuous"/>
    </xf>
    <xf numFmtId="0" fontId="1" fillId="0" borderId="0" xfId="0" applyFont="1" applyBorder="1" applyAlignment="1">
      <alignment horizontal="center"/>
    </xf>
    <xf numFmtId="3" fontId="1" fillId="0" borderId="2" xfId="0" applyNumberFormat="1" applyFont="1" applyBorder="1"/>
    <xf numFmtId="0" fontId="2" fillId="0" borderId="1" xfId="0" applyFont="1" applyBorder="1" applyAlignment="1">
      <alignment horizontal="center"/>
    </xf>
    <xf numFmtId="166" fontId="0" fillId="0" borderId="0" xfId="0" applyNumberFormat="1" applyAlignment="1">
      <alignment horizontal="center"/>
    </xf>
    <xf numFmtId="0" fontId="2" fillId="0" borderId="0" xfId="0" applyFont="1" applyAlignment="1">
      <alignment horizontal="center"/>
    </xf>
    <xf numFmtId="44" fontId="0" fillId="0" borderId="0" xfId="0" applyNumberFormat="1" applyAlignment="1">
      <alignment horizontal="centerContinuous"/>
    </xf>
    <xf numFmtId="44" fontId="1" fillId="0" borderId="0" xfId="0" applyNumberFormat="1" applyFont="1" applyAlignment="1">
      <alignment horizontal="centerContinuous"/>
    </xf>
    <xf numFmtId="0" fontId="0" fillId="0" borderId="0" xfId="0" applyAlignment="1">
      <alignment horizontal="centerContinuous"/>
    </xf>
    <xf numFmtId="0" fontId="0" fillId="0" borderId="0" xfId="0" applyFont="1" applyAlignment="1">
      <alignment horizontal="center"/>
    </xf>
    <xf numFmtId="43" fontId="2" fillId="0" borderId="0" xfId="0" applyNumberFormat="1" applyFont="1"/>
    <xf numFmtId="43" fontId="0" fillId="0" borderId="0" xfId="0" applyNumberFormat="1"/>
    <xf numFmtId="43" fontId="7" fillId="0" borderId="0" xfId="0" applyNumberFormat="1" applyFont="1"/>
    <xf numFmtId="44" fontId="7" fillId="0" borderId="0" xfId="0" applyNumberFormat="1" applyFont="1"/>
    <xf numFmtId="44" fontId="0" fillId="0" borderId="0" xfId="0" applyNumberFormat="1" applyBorder="1"/>
    <xf numFmtId="41" fontId="7" fillId="0" borderId="0" xfId="0" applyNumberFormat="1" applyFont="1"/>
    <xf numFmtId="0" fontId="1" fillId="0" borderId="1" xfId="0" applyFont="1" applyFill="1" applyBorder="1" applyAlignment="1">
      <alignment horizontal="center"/>
    </xf>
    <xf numFmtId="0" fontId="0" fillId="4" borderId="1" xfId="0" applyFill="1" applyBorder="1"/>
    <xf numFmtId="42" fontId="0" fillId="0" borderId="0" xfId="0" applyNumberFormat="1"/>
    <xf numFmtId="167" fontId="1" fillId="0" borderId="11" xfId="0" applyNumberFormat="1" applyFont="1" applyBorder="1" applyAlignment="1">
      <alignment horizontal="center"/>
    </xf>
    <xf numFmtId="0" fontId="0" fillId="0" borderId="0" xfId="0" applyAlignment="1"/>
    <xf numFmtId="0" fontId="0" fillId="4" borderId="0" xfId="0" applyFill="1" applyAlignment="1">
      <alignment horizontal="centerContinuous"/>
    </xf>
    <xf numFmtId="0" fontId="1" fillId="4" borderId="0" xfId="0" applyFont="1" applyFill="1" applyAlignment="1">
      <alignment horizontal="centerContinuous"/>
    </xf>
    <xf numFmtId="0" fontId="1" fillId="0" borderId="2" xfId="0" applyFont="1" applyBorder="1" applyAlignment="1">
      <alignment horizontal="left" indent="1"/>
    </xf>
    <xf numFmtId="0" fontId="0" fillId="0" borderId="0" xfId="0" applyFont="1" applyBorder="1" applyAlignment="1">
      <alignment horizontal="center"/>
    </xf>
    <xf numFmtId="41" fontId="7" fillId="0" borderId="0" xfId="0" applyNumberFormat="1" applyFont="1" applyBorder="1"/>
    <xf numFmtId="37" fontId="2" fillId="2" borderId="3" xfId="0" applyNumberFormat="1" applyFont="1" applyFill="1" applyBorder="1" applyAlignment="1">
      <alignment horizontal="center"/>
    </xf>
    <xf numFmtId="166" fontId="0" fillId="0" borderId="0" xfId="0" applyNumberFormat="1"/>
    <xf numFmtId="42" fontId="1" fillId="0" borderId="2" xfId="0" applyNumberFormat="1" applyFont="1" applyBorder="1"/>
    <xf numFmtId="1" fontId="8" fillId="2" borderId="4" xfId="0" applyNumberFormat="1" applyFont="1" applyFill="1" applyBorder="1"/>
    <xf numFmtId="1" fontId="8" fillId="2" borderId="2" xfId="0" applyNumberFormat="1" applyFont="1" applyFill="1" applyBorder="1"/>
    <xf numFmtId="1" fontId="2" fillId="2" borderId="5" xfId="0" applyNumberFormat="1" applyFont="1" applyFill="1" applyBorder="1"/>
    <xf numFmtId="1" fontId="2" fillId="2" borderId="8" xfId="0" applyNumberFormat="1" applyFont="1" applyFill="1" applyBorder="1"/>
    <xf numFmtId="1" fontId="2" fillId="2" borderId="0" xfId="0" applyNumberFormat="1" applyFont="1" applyFill="1" applyBorder="1"/>
    <xf numFmtId="1" fontId="2" fillId="2" borderId="6" xfId="0" applyNumberFormat="1" applyFont="1" applyFill="1" applyBorder="1"/>
    <xf numFmtId="1" fontId="2" fillId="2" borderId="1" xfId="0" applyNumberFormat="1" applyFont="1" applyFill="1" applyBorder="1"/>
    <xf numFmtId="0" fontId="0" fillId="0" borderId="0" xfId="0" applyFill="1" applyBorder="1"/>
    <xf numFmtId="0" fontId="0" fillId="0" borderId="0" xfId="0" applyFill="1" applyBorder="1" applyAlignment="1">
      <alignment horizontal="left" indent="1"/>
    </xf>
    <xf numFmtId="0" fontId="2" fillId="2" borderId="11" xfId="0" applyFont="1" applyFill="1" applyBorder="1" applyAlignment="1">
      <alignment horizontal="center"/>
    </xf>
    <xf numFmtId="41" fontId="8" fillId="0" borderId="0" xfId="0" applyNumberFormat="1" applyFont="1"/>
    <xf numFmtId="42" fontId="2" fillId="2" borderId="3" xfId="0" applyNumberFormat="1" applyFont="1" applyFill="1" applyBorder="1" applyAlignment="1">
      <alignment horizontal="center"/>
    </xf>
    <xf numFmtId="0" fontId="0" fillId="0" borderId="0" xfId="0" applyAlignment="1">
      <alignment horizontal="left" indent="1"/>
    </xf>
    <xf numFmtId="44" fontId="7" fillId="0" borderId="0" xfId="0" applyNumberFormat="1" applyFont="1" applyFill="1" applyBorder="1"/>
    <xf numFmtId="166" fontId="1" fillId="0" borderId="2" xfId="0" applyNumberFormat="1" applyFont="1" applyBorder="1" applyAlignment="1">
      <alignment horizontal="center"/>
    </xf>
    <xf numFmtId="42" fontId="2" fillId="2" borderId="3" xfId="0" applyNumberFormat="1" applyFont="1" applyFill="1" applyBorder="1"/>
    <xf numFmtId="42" fontId="1" fillId="0" borderId="0" xfId="0" applyNumberFormat="1" applyFont="1" applyBorder="1"/>
    <xf numFmtId="0" fontId="10" fillId="0" borderId="0" xfId="0" applyFont="1"/>
    <xf numFmtId="0" fontId="0" fillId="4" borderId="1" xfId="0" applyFill="1" applyBorder="1" applyAlignment="1">
      <alignment horizontal="center"/>
    </xf>
    <xf numFmtId="0" fontId="2" fillId="2" borderId="3" xfId="0" applyFont="1" applyFill="1" applyBorder="1" applyAlignment="1">
      <alignment horizontal="right"/>
    </xf>
    <xf numFmtId="0" fontId="2" fillId="2" borderId="12" xfId="0" applyFont="1" applyFill="1" applyBorder="1"/>
    <xf numFmtId="166" fontId="2" fillId="2" borderId="4" xfId="0" applyNumberFormat="1" applyFont="1" applyFill="1" applyBorder="1" applyAlignment="1">
      <alignment horizontal="center"/>
    </xf>
    <xf numFmtId="166" fontId="2" fillId="2" borderId="2" xfId="0" applyNumberFormat="1" applyFont="1" applyFill="1" applyBorder="1" applyAlignment="1">
      <alignment horizontal="center"/>
    </xf>
    <xf numFmtId="166" fontId="2" fillId="2" borderId="5" xfId="0" applyNumberFormat="1" applyFont="1" applyFill="1" applyBorder="1" applyAlignment="1">
      <alignment horizontal="center"/>
    </xf>
    <xf numFmtId="166" fontId="2" fillId="2" borderId="8" xfId="0" applyNumberFormat="1" applyFont="1" applyFill="1" applyBorder="1" applyAlignment="1">
      <alignment horizontal="center"/>
    </xf>
    <xf numFmtId="166" fontId="2" fillId="2" borderId="0" xfId="0" applyNumberFormat="1" applyFont="1" applyFill="1" applyBorder="1" applyAlignment="1">
      <alignment horizontal="center"/>
    </xf>
    <xf numFmtId="166" fontId="2" fillId="2" borderId="9" xfId="0" applyNumberFormat="1" applyFont="1" applyFill="1" applyBorder="1" applyAlignment="1">
      <alignment horizontal="center"/>
    </xf>
    <xf numFmtId="166" fontId="2" fillId="2" borderId="6" xfId="0" applyNumberFormat="1" applyFont="1" applyFill="1" applyBorder="1" applyAlignment="1">
      <alignment horizontal="center"/>
    </xf>
    <xf numFmtId="166" fontId="2" fillId="2" borderId="1" xfId="0" applyNumberFormat="1" applyFont="1" applyFill="1" applyBorder="1" applyAlignment="1">
      <alignment horizontal="center"/>
    </xf>
    <xf numFmtId="166" fontId="2" fillId="2" borderId="7" xfId="0" applyNumberFormat="1" applyFont="1" applyFill="1" applyBorder="1" applyAlignment="1">
      <alignment horizontal="center"/>
    </xf>
    <xf numFmtId="0" fontId="1" fillId="0" borderId="2" xfId="0" applyFont="1" applyBorder="1" applyAlignment="1">
      <alignment horizontal="left" indent="2"/>
    </xf>
    <xf numFmtId="0" fontId="0" fillId="4" borderId="0" xfId="0" applyFill="1" applyBorder="1"/>
    <xf numFmtId="0" fontId="0" fillId="4" borderId="0" xfId="0" applyFill="1" applyBorder="1" applyAlignment="1">
      <alignment horizontal="center"/>
    </xf>
    <xf numFmtId="0" fontId="1" fillId="4" borderId="0" xfId="0" quotePrefix="1" applyFont="1" applyFill="1" applyBorder="1" applyAlignment="1">
      <alignment horizontal="centerContinuous"/>
    </xf>
    <xf numFmtId="0" fontId="0" fillId="4" borderId="0" xfId="0" applyFill="1" applyBorder="1" applyAlignment="1">
      <alignment horizontal="centerContinuous"/>
    </xf>
    <xf numFmtId="0" fontId="1" fillId="4" borderId="0" xfId="0" applyFont="1" applyFill="1" applyBorder="1" applyAlignment="1">
      <alignment horizontal="center"/>
    </xf>
    <xf numFmtId="42" fontId="8" fillId="0" borderId="0" xfId="0" applyNumberFormat="1" applyFont="1"/>
    <xf numFmtId="44" fontId="11" fillId="4" borderId="1" xfId="0" applyNumberFormat="1" applyFont="1" applyFill="1" applyBorder="1"/>
    <xf numFmtId="0" fontId="0" fillId="0" borderId="0" xfId="0" quotePrefix="1" applyAlignment="1">
      <alignment horizontal="left" indent="1"/>
    </xf>
    <xf numFmtId="0" fontId="6" fillId="0" borderId="0" xfId="0" applyFont="1"/>
    <xf numFmtId="0" fontId="1" fillId="0" borderId="2" xfId="0" applyFont="1" applyBorder="1" applyAlignment="1">
      <alignment horizontal="left" indent="3"/>
    </xf>
    <xf numFmtId="43" fontId="0" fillId="0" borderId="0" xfId="0" applyNumberFormat="1" applyFont="1" applyBorder="1"/>
    <xf numFmtId="41" fontId="12" fillId="0" borderId="0" xfId="0" applyNumberFormat="1" applyFont="1" applyBorder="1"/>
    <xf numFmtId="170" fontId="7" fillId="0" borderId="0" xfId="0" applyNumberFormat="1" applyFont="1" applyBorder="1"/>
    <xf numFmtId="170" fontId="7" fillId="0" borderId="0" xfId="0" applyNumberFormat="1" applyFont="1" applyBorder="1" applyAlignment="1">
      <alignment horizontal="center"/>
    </xf>
    <xf numFmtId="3" fontId="12" fillId="0" borderId="2" xfId="0" applyNumberFormat="1" applyFont="1" applyBorder="1"/>
    <xf numFmtId="170" fontId="9" fillId="0" borderId="2" xfId="0" applyNumberFormat="1" applyFont="1" applyBorder="1" applyAlignment="1">
      <alignment horizontal="right"/>
    </xf>
    <xf numFmtId="170" fontId="0" fillId="0" borderId="0" xfId="0" applyNumberFormat="1"/>
    <xf numFmtId="0" fontId="0" fillId="0" borderId="0" xfId="0" applyFont="1" applyBorder="1" applyAlignment="1">
      <alignment horizontal="left" indent="1"/>
    </xf>
    <xf numFmtId="170" fontId="1" fillId="0" borderId="2" xfId="0" applyNumberFormat="1" applyFont="1" applyBorder="1"/>
    <xf numFmtId="0" fontId="0" fillId="5" borderId="0" xfId="0" applyFill="1"/>
    <xf numFmtId="0" fontId="1" fillId="5" borderId="0" xfId="0" applyFont="1" applyFill="1" applyAlignment="1">
      <alignment horizontal="left" indent="1"/>
    </xf>
    <xf numFmtId="44" fontId="1" fillId="5" borderId="0" xfId="0" applyNumberFormat="1" applyFont="1" applyFill="1"/>
    <xf numFmtId="169" fontId="1" fillId="5" borderId="0" xfId="0" applyNumberFormat="1" applyFont="1" applyFill="1"/>
    <xf numFmtId="42" fontId="1" fillId="5" borderId="0" xfId="0" applyNumberFormat="1" applyFont="1" applyFill="1"/>
    <xf numFmtId="0" fontId="2" fillId="2" borderId="3" xfId="0" applyFont="1" applyFill="1" applyBorder="1" applyAlignment="1">
      <alignment horizontal="center"/>
    </xf>
    <xf numFmtId="170" fontId="2" fillId="0" borderId="0" xfId="0" applyNumberFormat="1" applyFont="1" applyBorder="1"/>
    <xf numFmtId="44" fontId="2" fillId="0" borderId="0" xfId="0" applyNumberFormat="1" applyFont="1" applyBorder="1"/>
    <xf numFmtId="43" fontId="2" fillId="0" borderId="0" xfId="0" applyNumberFormat="1" applyFont="1" applyBorder="1"/>
    <xf numFmtId="170" fontId="2" fillId="2" borderId="3" xfId="0" applyNumberFormat="1" applyFont="1" applyFill="1" applyBorder="1"/>
    <xf numFmtId="166" fontId="0" fillId="0" borderId="0" xfId="0" applyNumberFormat="1" applyFont="1" applyAlignment="1">
      <alignment horizontal="center"/>
    </xf>
    <xf numFmtId="0" fontId="2" fillId="0" borderId="0" xfId="0" applyFont="1" applyAlignment="1">
      <alignment horizontal="left" indent="1"/>
    </xf>
    <xf numFmtId="0" fontId="0" fillId="0" borderId="0" xfId="0" applyFont="1" applyFill="1" applyBorder="1" applyAlignment="1">
      <alignment horizontal="left" indent="1"/>
    </xf>
    <xf numFmtId="3" fontId="12" fillId="0" borderId="1" xfId="0" applyNumberFormat="1" applyFont="1" applyBorder="1"/>
    <xf numFmtId="8" fontId="12" fillId="0" borderId="1" xfId="0" applyNumberFormat="1" applyFont="1" applyBorder="1" applyAlignment="1">
      <alignment horizontal="right"/>
    </xf>
    <xf numFmtId="41" fontId="12" fillId="0" borderId="1" xfId="0" applyNumberFormat="1" applyFont="1" applyBorder="1"/>
    <xf numFmtId="0" fontId="2" fillId="2" borderId="4" xfId="0" applyFont="1" applyFill="1" applyBorder="1"/>
    <xf numFmtId="0" fontId="2" fillId="2" borderId="8" xfId="0" applyFont="1" applyFill="1" applyBorder="1"/>
    <xf numFmtId="169" fontId="2" fillId="2" borderId="0" xfId="0" applyNumberFormat="1" applyFont="1" applyFill="1" applyBorder="1"/>
    <xf numFmtId="169" fontId="2" fillId="2" borderId="9" xfId="0" applyNumberFormat="1" applyFont="1" applyFill="1" applyBorder="1"/>
    <xf numFmtId="169" fontId="2" fillId="2" borderId="3" xfId="0" applyNumberFormat="1" applyFont="1" applyFill="1" applyBorder="1" applyAlignment="1">
      <alignment horizontal="center"/>
    </xf>
    <xf numFmtId="44" fontId="1" fillId="4" borderId="1" xfId="0" applyNumberFormat="1" applyFont="1" applyFill="1" applyBorder="1" applyAlignment="1">
      <alignment horizontal="center"/>
    </xf>
    <xf numFmtId="37" fontId="2" fillId="0" borderId="1" xfId="0" applyNumberFormat="1" applyFont="1" applyFill="1" applyBorder="1" applyAlignment="1">
      <alignment horizontal="center"/>
    </xf>
    <xf numFmtId="0" fontId="11" fillId="0" borderId="1" xfId="0" applyFont="1" applyBorder="1" applyAlignment="1">
      <alignment horizontal="center"/>
    </xf>
    <xf numFmtId="169" fontId="7" fillId="0" borderId="0" xfId="0" applyNumberFormat="1" applyFont="1" applyFill="1" applyBorder="1" applyAlignment="1">
      <alignment horizontal="center"/>
    </xf>
    <xf numFmtId="164" fontId="7" fillId="0" borderId="0" xfId="0" applyNumberFormat="1" applyFont="1" applyFill="1" applyBorder="1" applyAlignment="1">
      <alignment horizontal="center"/>
    </xf>
    <xf numFmtId="165" fontId="7" fillId="0" borderId="0" xfId="0" applyNumberFormat="1" applyFont="1" applyFill="1" applyBorder="1" applyAlignment="1">
      <alignment horizontal="center"/>
    </xf>
    <xf numFmtId="0" fontId="6" fillId="3" borderId="4" xfId="0" applyFont="1" applyFill="1" applyBorder="1"/>
    <xf numFmtId="0" fontId="6" fillId="3" borderId="8" xfId="0" applyFont="1" applyFill="1" applyBorder="1"/>
    <xf numFmtId="169" fontId="12" fillId="6" borderId="4" xfId="0" applyNumberFormat="1" applyFont="1" applyFill="1" applyBorder="1"/>
    <xf numFmtId="44" fontId="5" fillId="6" borderId="9" xfId="1" applyNumberFormat="1" applyFont="1" applyFill="1" applyBorder="1" applyAlignment="1">
      <alignment horizontal="center"/>
    </xf>
    <xf numFmtId="43" fontId="5" fillId="6" borderId="9" xfId="1" applyNumberFormat="1" applyFont="1" applyFill="1" applyBorder="1" applyAlignment="1">
      <alignment horizontal="center"/>
    </xf>
    <xf numFmtId="169" fontId="12" fillId="6" borderId="8" xfId="0" applyNumberFormat="1" applyFont="1" applyFill="1" applyBorder="1"/>
    <xf numFmtId="43" fontId="5" fillId="6" borderId="7" xfId="1" applyNumberFormat="1" applyFont="1" applyFill="1" applyBorder="1" applyAlignment="1">
      <alignment horizontal="center"/>
    </xf>
    <xf numFmtId="169" fontId="14" fillId="6" borderId="10" xfId="1" applyNumberFormat="1" applyFont="1" applyFill="1" applyBorder="1" applyAlignment="1">
      <alignment horizontal="center"/>
    </xf>
    <xf numFmtId="169" fontId="14" fillId="6" borderId="13" xfId="1" applyNumberFormat="1" applyFont="1" applyFill="1" applyBorder="1" applyAlignment="1">
      <alignment horizontal="center"/>
    </xf>
    <xf numFmtId="43" fontId="0" fillId="0" borderId="9" xfId="0" applyNumberFormat="1" applyBorder="1"/>
    <xf numFmtId="43" fontId="0" fillId="0" borderId="1" xfId="0" applyNumberFormat="1" applyBorder="1"/>
    <xf numFmtId="43" fontId="0" fillId="0" borderId="7" xfId="0" applyNumberFormat="1" applyBorder="1"/>
    <xf numFmtId="44" fontId="0" fillId="0" borderId="5" xfId="0" applyNumberFormat="1" applyBorder="1"/>
    <xf numFmtId="1" fontId="2" fillId="2" borderId="9" xfId="0" applyNumberFormat="1" applyFont="1" applyFill="1" applyBorder="1"/>
    <xf numFmtId="1" fontId="0" fillId="0" borderId="0" xfId="0" applyNumberFormat="1" applyFont="1"/>
    <xf numFmtId="1" fontId="0" fillId="0" borderId="8" xfId="0" applyNumberFormat="1" applyFont="1" applyFill="1" applyBorder="1"/>
    <xf numFmtId="164" fontId="8" fillId="2" borderId="0" xfId="0" applyNumberFormat="1" applyFont="1" applyFill="1" applyBorder="1"/>
    <xf numFmtId="164" fontId="8" fillId="2" borderId="9" xfId="0" applyNumberFormat="1" applyFont="1" applyFill="1" applyBorder="1"/>
    <xf numFmtId="165" fontId="8" fillId="2" borderId="0" xfId="0" applyNumberFormat="1" applyFont="1" applyFill="1" applyBorder="1"/>
    <xf numFmtId="165" fontId="8" fillId="2" borderId="9" xfId="0" applyNumberFormat="1" applyFont="1" applyFill="1" applyBorder="1"/>
    <xf numFmtId="169" fontId="8" fillId="2" borderId="0" xfId="0" applyNumberFormat="1" applyFont="1" applyFill="1" applyBorder="1"/>
    <xf numFmtId="169" fontId="8" fillId="2" borderId="2" xfId="0" applyNumberFormat="1" applyFont="1" applyFill="1" applyBorder="1"/>
    <xf numFmtId="169" fontId="8" fillId="2" borderId="9" xfId="0" applyNumberFormat="1" applyFont="1" applyFill="1" applyBorder="1"/>
    <xf numFmtId="166" fontId="8" fillId="2" borderId="6" xfId="0" applyNumberFormat="1" applyFont="1" applyFill="1" applyBorder="1" applyAlignment="1">
      <alignment horizontal="center"/>
    </xf>
    <xf numFmtId="166" fontId="8" fillId="2" borderId="8" xfId="0" applyNumberFormat="1" applyFont="1" applyFill="1" applyBorder="1" applyAlignment="1">
      <alignment horizontal="center"/>
    </xf>
    <xf numFmtId="166" fontId="0" fillId="2" borderId="8" xfId="0" applyNumberFormat="1" applyFont="1" applyFill="1" applyBorder="1" applyAlignment="1">
      <alignment horizontal="center"/>
    </xf>
    <xf numFmtId="166" fontId="8" fillId="2" borderId="0" xfId="0" applyNumberFormat="1" applyFont="1" applyFill="1" applyBorder="1" applyAlignment="1">
      <alignment horizontal="center"/>
    </xf>
    <xf numFmtId="166" fontId="8" fillId="2" borderId="1" xfId="0" applyNumberFormat="1" applyFont="1" applyFill="1" applyBorder="1" applyAlignment="1">
      <alignment horizontal="center"/>
    </xf>
    <xf numFmtId="166" fontId="0" fillId="2" borderId="0" xfId="0" applyNumberFormat="1" applyFont="1" applyFill="1" applyBorder="1" applyAlignment="1">
      <alignment horizontal="center"/>
    </xf>
    <xf numFmtId="169" fontId="14" fillId="6" borderId="0" xfId="1" applyNumberFormat="1" applyFont="1" applyFill="1" applyBorder="1" applyAlignment="1">
      <alignment horizontal="center"/>
    </xf>
    <xf numFmtId="169" fontId="14" fillId="6" borderId="9" xfId="1" applyNumberFormat="1" applyFont="1" applyFill="1" applyBorder="1" applyAlignment="1">
      <alignment horizontal="center"/>
    </xf>
    <xf numFmtId="44" fontId="0" fillId="0" borderId="9" xfId="0" applyNumberFormat="1" applyBorder="1"/>
    <xf numFmtId="44" fontId="5" fillId="6" borderId="1" xfId="1" applyNumberFormat="1" applyFont="1" applyFill="1" applyBorder="1" applyAlignment="1">
      <alignment horizontal="center"/>
    </xf>
    <xf numFmtId="44" fontId="5" fillId="6" borderId="7" xfId="1" applyNumberFormat="1" applyFont="1" applyFill="1" applyBorder="1" applyAlignment="1">
      <alignment horizontal="center"/>
    </xf>
    <xf numFmtId="0" fontId="1" fillId="0" borderId="0" xfId="0" applyFont="1" applyAlignment="1">
      <alignment horizontal="center"/>
    </xf>
    <xf numFmtId="169" fontId="0" fillId="0" borderId="0" xfId="0" applyNumberFormat="1"/>
    <xf numFmtId="164" fontId="2" fillId="0" borderId="0" xfId="0" applyNumberFormat="1" applyFont="1"/>
    <xf numFmtId="41" fontId="0" fillId="0" borderId="1" xfId="0" applyNumberFormat="1" applyBorder="1"/>
    <xf numFmtId="0" fontId="0" fillId="0" borderId="10" xfId="0" applyBorder="1"/>
    <xf numFmtId="41" fontId="7" fillId="0" borderId="10" xfId="0" applyNumberFormat="1" applyFont="1" applyBorder="1"/>
    <xf numFmtId="41" fontId="1" fillId="0" borderId="0" xfId="0" applyNumberFormat="1" applyFont="1" applyBorder="1"/>
    <xf numFmtId="41" fontId="0" fillId="0" borderId="0" xfId="0" applyNumberFormat="1" applyFont="1" applyBorder="1"/>
    <xf numFmtId="41" fontId="9" fillId="0" borderId="2" xfId="0" applyNumberFormat="1" applyFont="1" applyBorder="1"/>
    <xf numFmtId="41" fontId="1" fillId="0" borderId="0" xfId="0" applyNumberFormat="1" applyFont="1" applyBorder="1" applyAlignment="1">
      <alignment horizontal="center"/>
    </xf>
    <xf numFmtId="41" fontId="1" fillId="0" borderId="0" xfId="0" applyNumberFormat="1" applyFont="1" applyFill="1" applyBorder="1" applyAlignment="1">
      <alignment horizontal="center"/>
    </xf>
    <xf numFmtId="0" fontId="1" fillId="0" borderId="1" xfId="0" applyFont="1" applyFill="1" applyBorder="1"/>
    <xf numFmtId="41" fontId="1" fillId="0" borderId="1" xfId="0" applyNumberFormat="1" applyFont="1" applyBorder="1" applyAlignment="1">
      <alignment horizontal="center"/>
    </xf>
    <xf numFmtId="41" fontId="1" fillId="0" borderId="1" xfId="0" applyNumberFormat="1" applyFont="1" applyFill="1" applyBorder="1" applyAlignment="1">
      <alignment horizontal="center"/>
    </xf>
    <xf numFmtId="41" fontId="2" fillId="0" borderId="0" xfId="0" applyNumberFormat="1" applyFont="1" applyBorder="1"/>
    <xf numFmtId="0" fontId="0" fillId="0" borderId="2" xfId="0" applyFont="1" applyBorder="1"/>
    <xf numFmtId="41" fontId="2" fillId="0" borderId="2" xfId="0" applyNumberFormat="1" applyFont="1" applyBorder="1"/>
    <xf numFmtId="169" fontId="1" fillId="0" borderId="2" xfId="0" applyNumberFormat="1" applyFont="1" applyBorder="1"/>
    <xf numFmtId="43" fontId="0" fillId="0" borderId="2" xfId="0" applyNumberFormat="1" applyBorder="1"/>
    <xf numFmtId="171" fontId="2" fillId="0" borderId="0" xfId="0" applyNumberFormat="1" applyFont="1" applyAlignment="1">
      <alignment horizontal="centerContinuous"/>
    </xf>
    <xf numFmtId="171" fontId="0" fillId="0" borderId="0" xfId="0" applyNumberFormat="1" applyAlignment="1">
      <alignment horizontal="centerContinuous"/>
    </xf>
    <xf numFmtId="171" fontId="0" fillId="0" borderId="0" xfId="0" applyNumberFormat="1" applyFont="1" applyAlignment="1">
      <alignment horizontal="centerContinuous"/>
    </xf>
    <xf numFmtId="164" fontId="9" fillId="0" borderId="2" xfId="0" applyNumberFormat="1" applyFont="1" applyBorder="1"/>
    <xf numFmtId="0" fontId="15" fillId="0" borderId="0" xfId="0" applyFont="1" applyAlignment="1">
      <alignment horizontal="left" indent="1"/>
    </xf>
    <xf numFmtId="172" fontId="16" fillId="0" borderId="0" xfId="0" applyNumberFormat="1" applyFont="1"/>
    <xf numFmtId="164" fontId="11" fillId="0" borderId="0" xfId="0" applyNumberFormat="1" applyFont="1"/>
    <xf numFmtId="0" fontId="1" fillId="0" borderId="0" xfId="0" applyFont="1" applyFill="1" applyBorder="1" applyAlignment="1">
      <alignment horizontal="center"/>
    </xf>
    <xf numFmtId="164" fontId="7" fillId="0" borderId="0" xfId="0" applyNumberFormat="1" applyFont="1"/>
    <xf numFmtId="165" fontId="2" fillId="0" borderId="0" xfId="0" applyNumberFormat="1" applyFont="1"/>
    <xf numFmtId="166" fontId="2" fillId="0" borderId="0" xfId="0" applyNumberFormat="1" applyFont="1"/>
    <xf numFmtId="164" fontId="1" fillId="0" borderId="2" xfId="0" applyNumberFormat="1" applyFont="1" applyBorder="1"/>
    <xf numFmtId="3" fontId="0" fillId="0" borderId="0" xfId="0" applyNumberFormat="1"/>
    <xf numFmtId="0" fontId="0" fillId="0" borderId="0" xfId="0" applyFont="1" applyFill="1" applyBorder="1" applyAlignment="1"/>
    <xf numFmtId="0" fontId="1" fillId="0" borderId="0" xfId="0" applyFont="1" applyFill="1" applyBorder="1" applyAlignment="1">
      <alignment horizontal="centerContinuous"/>
    </xf>
    <xf numFmtId="164" fontId="0" fillId="0" borderId="0" xfId="0" applyNumberFormat="1" applyFont="1"/>
    <xf numFmtId="41" fontId="0" fillId="0" borderId="0" xfId="0" applyNumberFormat="1" applyFont="1" applyFill="1" applyBorder="1" applyAlignment="1"/>
    <xf numFmtId="171" fontId="8" fillId="0" borderId="0" xfId="0" applyNumberFormat="1" applyFont="1" applyAlignment="1">
      <alignment horizontal="center"/>
    </xf>
    <xf numFmtId="43" fontId="0" fillId="0" borderId="0" xfId="0" applyNumberFormat="1" applyFont="1"/>
    <xf numFmtId="166" fontId="0" fillId="0" borderId="0" xfId="0" applyNumberFormat="1" applyFont="1"/>
    <xf numFmtId="44" fontId="0" fillId="0" borderId="0" xfId="0" applyNumberFormat="1" applyFont="1"/>
    <xf numFmtId="0" fontId="7" fillId="0" borderId="0" xfId="0" applyFont="1" applyFill="1" applyBorder="1" applyAlignment="1"/>
    <xf numFmtId="0" fontId="0" fillId="0" borderId="0" xfId="0" quotePrefix="1" applyFont="1"/>
    <xf numFmtId="173" fontId="0" fillId="0" borderId="0" xfId="0" applyNumberFormat="1"/>
    <xf numFmtId="43" fontId="1" fillId="0" borderId="0" xfId="0" applyNumberFormat="1" applyFont="1" applyBorder="1" applyAlignment="1">
      <alignment horizontal="center"/>
    </xf>
    <xf numFmtId="165" fontId="7" fillId="0" borderId="0" xfId="0" applyNumberFormat="1" applyFont="1"/>
    <xf numFmtId="0" fontId="0" fillId="0" borderId="0" xfId="0" applyFont="1" applyAlignment="1">
      <alignment horizontal="left" indent="2"/>
    </xf>
    <xf numFmtId="0" fontId="0" fillId="0" borderId="0" xfId="0" applyFont="1" applyAlignment="1">
      <alignment horizontal="left" indent="1"/>
    </xf>
    <xf numFmtId="9" fontId="0" fillId="0" borderId="0" xfId="0" applyNumberFormat="1" applyFont="1"/>
    <xf numFmtId="0" fontId="5" fillId="3" borderId="4" xfId="0" applyFont="1" applyFill="1" applyBorder="1"/>
    <xf numFmtId="0" fontId="6" fillId="3" borderId="5" xfId="0" applyFont="1" applyFill="1" applyBorder="1"/>
    <xf numFmtId="0" fontId="0" fillId="4" borderId="6" xfId="0" applyFill="1" applyBorder="1"/>
    <xf numFmtId="0" fontId="1" fillId="4" borderId="1" xfId="0" applyFont="1" applyFill="1" applyBorder="1"/>
    <xf numFmtId="0" fontId="0" fillId="4" borderId="7" xfId="0" applyFill="1" applyBorder="1"/>
    <xf numFmtId="0" fontId="0" fillId="0" borderId="4" xfId="0" applyBorder="1"/>
    <xf numFmtId="0" fontId="0" fillId="0" borderId="5" xfId="0" applyBorder="1"/>
    <xf numFmtId="0" fontId="0" fillId="0" borderId="8" xfId="0" applyBorder="1"/>
    <xf numFmtId="0" fontId="0" fillId="0" borderId="9" xfId="0" applyBorder="1"/>
    <xf numFmtId="166" fontId="8" fillId="0" borderId="0" xfId="0" applyNumberFormat="1" applyFont="1" applyFill="1"/>
    <xf numFmtId="166" fontId="8" fillId="0" borderId="0" xfId="0" applyNumberFormat="1" applyFont="1" applyBorder="1"/>
    <xf numFmtId="0" fontId="1" fillId="0" borderId="0" xfId="0" applyFont="1" applyBorder="1" applyAlignment="1">
      <alignment horizontal="centerContinuous"/>
    </xf>
    <xf numFmtId="0" fontId="0" fillId="0" borderId="0" xfId="0" applyBorder="1" applyAlignment="1">
      <alignment horizontal="centerContinuous"/>
    </xf>
    <xf numFmtId="41" fontId="8" fillId="0" borderId="0" xfId="0" applyNumberFormat="1" applyFont="1" applyBorder="1"/>
    <xf numFmtId="0" fontId="0" fillId="0" borderId="1" xfId="0" applyFill="1" applyBorder="1" applyAlignment="1">
      <alignment horizontal="center"/>
    </xf>
    <xf numFmtId="0" fontId="0" fillId="0" borderId="10" xfId="0" applyBorder="1" applyAlignment="1">
      <alignment horizontal="center"/>
    </xf>
    <xf numFmtId="0" fontId="0" fillId="0" borderId="10" xfId="0" applyFill="1" applyBorder="1" applyAlignment="1">
      <alignment horizontal="center"/>
    </xf>
    <xf numFmtId="164" fontId="8" fillId="0" borderId="0" xfId="0" applyNumberFormat="1" applyFont="1" applyFill="1" applyBorder="1"/>
    <xf numFmtId="0" fontId="7" fillId="0" borderId="0" xfId="0" applyFont="1" applyBorder="1" applyAlignment="1">
      <alignment horizontal="left" indent="1"/>
    </xf>
    <xf numFmtId="166" fontId="8" fillId="0" borderId="0" xfId="0" applyNumberFormat="1" applyFont="1" applyAlignment="1">
      <alignment horizontal="center"/>
    </xf>
    <xf numFmtId="1" fontId="0" fillId="0" borderId="0" xfId="0" applyNumberFormat="1" applyBorder="1"/>
    <xf numFmtId="165" fontId="8" fillId="0" borderId="0" xfId="0" applyNumberFormat="1" applyFont="1" applyFill="1" applyBorder="1"/>
    <xf numFmtId="164" fontId="0" fillId="0" borderId="0" xfId="0" applyNumberFormat="1" applyBorder="1"/>
    <xf numFmtId="41" fontId="2" fillId="2" borderId="3" xfId="0" applyNumberFormat="1" applyFont="1" applyFill="1" applyBorder="1"/>
    <xf numFmtId="0" fontId="1" fillId="0" borderId="0" xfId="0" applyFont="1" applyBorder="1" applyAlignment="1">
      <alignment horizontal="left" indent="1"/>
    </xf>
    <xf numFmtId="0" fontId="0" fillId="0" borderId="0" xfId="0" applyBorder="1" applyAlignment="1">
      <alignment horizontal="center"/>
    </xf>
    <xf numFmtId="0" fontId="1" fillId="0" borderId="1" xfId="0" applyFont="1" applyBorder="1" applyAlignment="1">
      <alignment horizontal="left"/>
    </xf>
    <xf numFmtId="0" fontId="2" fillId="0" borderId="0" xfId="0" applyFont="1" applyBorder="1"/>
    <xf numFmtId="166" fontId="2" fillId="0" borderId="0" xfId="0" applyNumberFormat="1" applyFont="1" applyFill="1" applyBorder="1" applyAlignment="1">
      <alignment horizontal="center"/>
    </xf>
    <xf numFmtId="44" fontId="8" fillId="0" borderId="2" xfId="0" applyNumberFormat="1" applyFont="1" applyFill="1" applyBorder="1"/>
    <xf numFmtId="43" fontId="8" fillId="0" borderId="0" xfId="0" applyNumberFormat="1" applyFont="1" applyFill="1" applyBorder="1"/>
    <xf numFmtId="0" fontId="0" fillId="0" borderId="6" xfId="0" applyBorder="1"/>
    <xf numFmtId="166" fontId="2" fillId="0" borderId="1" xfId="0" applyNumberFormat="1" applyFont="1" applyBorder="1"/>
    <xf numFmtId="0" fontId="0" fillId="0" borderId="7" xfId="0" applyBorder="1"/>
    <xf numFmtId="0" fontId="1" fillId="4" borderId="6" xfId="0" applyFont="1" applyFill="1" applyBorder="1"/>
    <xf numFmtId="169" fontId="7" fillId="0" borderId="0" xfId="0" applyNumberFormat="1" applyFont="1" applyFill="1" applyBorder="1"/>
    <xf numFmtId="0" fontId="0" fillId="0" borderId="0" xfId="0" applyBorder="1" applyAlignment="1"/>
    <xf numFmtId="0" fontId="0" fillId="0" borderId="0" xfId="0" applyFill="1" applyBorder="1" applyAlignment="1">
      <alignment horizontal="center"/>
    </xf>
    <xf numFmtId="3" fontId="0" fillId="0" borderId="0" xfId="0" applyNumberFormat="1" applyBorder="1"/>
    <xf numFmtId="44" fontId="8" fillId="0" borderId="0" xfId="0" applyNumberFormat="1" applyFont="1" applyBorder="1"/>
    <xf numFmtId="42" fontId="0" fillId="0" borderId="0" xfId="0" applyNumberFormat="1" applyBorder="1"/>
    <xf numFmtId="14" fontId="8" fillId="0" borderId="0" xfId="0" applyNumberFormat="1" applyFont="1" applyBorder="1"/>
    <xf numFmtId="2" fontId="0" fillId="0" borderId="0" xfId="0" applyNumberFormat="1" applyBorder="1"/>
    <xf numFmtId="0" fontId="2" fillId="0" borderId="0" xfId="0" applyFont="1" applyBorder="1" applyAlignment="1">
      <alignment horizontal="center"/>
    </xf>
    <xf numFmtId="167" fontId="0" fillId="0" borderId="0" xfId="0" applyNumberFormat="1" applyBorder="1" applyAlignment="1"/>
    <xf numFmtId="0" fontId="0" fillId="0" borderId="0" xfId="0" applyNumberFormat="1" applyBorder="1" applyAlignment="1">
      <alignment horizontal="center"/>
    </xf>
    <xf numFmtId="43" fontId="8" fillId="0" borderId="0" xfId="0" applyNumberFormat="1" applyFont="1" applyBorder="1"/>
    <xf numFmtId="14" fontId="7" fillId="0" borderId="0" xfId="0" applyNumberFormat="1" applyFont="1" applyBorder="1"/>
    <xf numFmtId="14" fontId="0" fillId="0" borderId="0" xfId="0" applyNumberFormat="1" applyBorder="1"/>
    <xf numFmtId="0" fontId="1" fillId="0" borderId="2" xfId="0" applyFont="1" applyBorder="1" applyAlignment="1">
      <alignment horizontal="left"/>
    </xf>
    <xf numFmtId="43" fontId="0" fillId="0" borderId="10" xfId="0" applyNumberFormat="1" applyBorder="1"/>
    <xf numFmtId="41" fontId="1" fillId="0" borderId="10" xfId="0" applyNumberFormat="1" applyFont="1" applyBorder="1"/>
    <xf numFmtId="14" fontId="7" fillId="0" borderId="10" xfId="0" applyNumberFormat="1" applyFont="1" applyBorder="1"/>
    <xf numFmtId="2" fontId="0" fillId="0" borderId="10" xfId="0" applyNumberFormat="1" applyBorder="1"/>
    <xf numFmtId="42" fontId="1" fillId="0" borderId="10" xfId="0" applyNumberFormat="1" applyFont="1" applyBorder="1"/>
    <xf numFmtId="0" fontId="0" fillId="0" borderId="2" xfId="0" applyBorder="1" applyAlignment="1">
      <alignment horizontal="centerContinuous"/>
    </xf>
    <xf numFmtId="41" fontId="0" fillId="0" borderId="2" xfId="0" applyNumberFormat="1" applyBorder="1"/>
    <xf numFmtId="167" fontId="0" fillId="0" borderId="2" xfId="0" applyNumberFormat="1" applyBorder="1" applyAlignment="1"/>
    <xf numFmtId="0" fontId="0" fillId="0" borderId="0" xfId="0" applyFont="1" applyBorder="1" applyAlignment="1">
      <alignment horizontal="left"/>
    </xf>
    <xf numFmtId="3" fontId="0" fillId="0" borderId="0" xfId="0" applyNumberFormat="1" applyFont="1" applyBorder="1"/>
    <xf numFmtId="0" fontId="1" fillId="4" borderId="12" xfId="0" applyFont="1" applyFill="1" applyBorder="1"/>
    <xf numFmtId="0" fontId="1" fillId="4" borderId="10" xfId="0" applyFont="1" applyFill="1" applyBorder="1"/>
    <xf numFmtId="0" fontId="0" fillId="4" borderId="10" xfId="0" applyFill="1" applyBorder="1"/>
    <xf numFmtId="0" fontId="0" fillId="4" borderId="13" xfId="0" applyFill="1" applyBorder="1"/>
    <xf numFmtId="169" fontId="8" fillId="0" borderId="0" xfId="0" applyNumberFormat="1" applyFont="1" applyFill="1" applyBorder="1"/>
    <xf numFmtId="0" fontId="7" fillId="0" borderId="0" xfId="0" applyFont="1" applyBorder="1" applyAlignment="1">
      <alignment horizontal="center"/>
    </xf>
    <xf numFmtId="3" fontId="1" fillId="0" borderId="0" xfId="0" applyNumberFormat="1" applyFont="1" applyBorder="1"/>
    <xf numFmtId="0" fontId="17" fillId="0" borderId="2" xfId="0" applyFont="1" applyBorder="1"/>
    <xf numFmtId="0" fontId="8" fillId="0" borderId="0" xfId="0" applyFont="1" applyBorder="1"/>
    <xf numFmtId="166" fontId="2" fillId="2" borderId="3" xfId="0" applyNumberFormat="1" applyFont="1" applyFill="1" applyBorder="1"/>
    <xf numFmtId="0" fontId="0" fillId="0" borderId="0" xfId="0" applyFill="1" applyBorder="1" applyAlignment="1"/>
    <xf numFmtId="0" fontId="0" fillId="0" borderId="0" xfId="0" applyFont="1" applyAlignment="1">
      <alignment horizontal="left" indent="3"/>
    </xf>
    <xf numFmtId="0" fontId="1" fillId="0" borderId="0" xfId="0" applyFont="1" applyAlignment="1">
      <alignment horizontal="left"/>
    </xf>
    <xf numFmtId="0" fontId="0" fillId="0" borderId="0" xfId="0" quotePrefix="1" applyFont="1" applyAlignment="1">
      <alignment horizontal="left" indent="3"/>
    </xf>
    <xf numFmtId="0" fontId="1" fillId="0" borderId="0" xfId="0" applyFont="1" applyFill="1" applyBorder="1" applyAlignment="1"/>
    <xf numFmtId="0" fontId="0" fillId="0" borderId="0" xfId="0" applyFont="1" applyAlignment="1">
      <alignment horizontal="left" indent="4"/>
    </xf>
    <xf numFmtId="0" fontId="0" fillId="0" borderId="0" xfId="0" applyAlignment="1">
      <alignment horizontal="left"/>
    </xf>
    <xf numFmtId="3" fontId="2" fillId="0" borderId="0" xfId="0" applyNumberFormat="1" applyFont="1" applyBorder="1"/>
    <xf numFmtId="0" fontId="2" fillId="2" borderId="12" xfId="0" applyFont="1" applyFill="1" applyBorder="1" applyAlignment="1">
      <alignment horizontal="center"/>
    </xf>
    <xf numFmtId="0" fontId="2" fillId="2" borderId="10" xfId="0" applyFont="1" applyFill="1" applyBorder="1" applyAlignment="1">
      <alignment horizontal="center"/>
    </xf>
    <xf numFmtId="0" fontId="2" fillId="2" borderId="13" xfId="0" applyFont="1" applyFill="1" applyBorder="1" applyAlignment="1">
      <alignment horizontal="center"/>
    </xf>
    <xf numFmtId="1" fontId="0" fillId="0" borderId="0" xfId="0" applyNumberFormat="1" applyFont="1" applyFill="1" applyBorder="1"/>
    <xf numFmtId="1" fontId="2" fillId="2" borderId="7" xfId="0" applyNumberFormat="1" applyFont="1" applyFill="1" applyBorder="1"/>
    <xf numFmtId="0" fontId="1" fillId="4" borderId="0" xfId="0" applyFont="1" applyFill="1" applyAlignment="1">
      <alignment horizontal="center"/>
    </xf>
    <xf numFmtId="0" fontId="1" fillId="0" borderId="10" xfId="0" applyFont="1" applyBorder="1" applyAlignment="1">
      <alignment horizontal="centerContinuous"/>
    </xf>
    <xf numFmtId="0" fontId="1" fillId="4" borderId="1" xfId="0" applyFont="1" applyFill="1" applyBorder="1" applyAlignment="1">
      <alignment horizontal="center"/>
    </xf>
    <xf numFmtId="42" fontId="0" fillId="4" borderId="0" xfId="0" applyNumberFormat="1" applyFill="1"/>
    <xf numFmtId="41" fontId="0" fillId="4" borderId="0" xfId="0" applyNumberFormat="1" applyFill="1"/>
    <xf numFmtId="164" fontId="8" fillId="0" borderId="0" xfId="0" applyNumberFormat="1" applyFont="1"/>
    <xf numFmtId="165" fontId="8" fillId="0" borderId="0" xfId="0" applyNumberFormat="1" applyFont="1"/>
    <xf numFmtId="166" fontId="8" fillId="0" borderId="0" xfId="0" applyNumberFormat="1" applyFont="1"/>
    <xf numFmtId="44" fontId="2" fillId="0" borderId="0" xfId="0" applyNumberFormat="1" applyFont="1" applyAlignment="1">
      <alignment horizontal="centerContinuous"/>
    </xf>
    <xf numFmtId="44" fontId="8" fillId="0" borderId="0" xfId="0" applyNumberFormat="1" applyFont="1" applyAlignment="1">
      <alignment horizontal="centerContinuous"/>
    </xf>
    <xf numFmtId="165" fontId="1" fillId="0" borderId="0" xfId="0" applyNumberFormat="1" applyFont="1"/>
    <xf numFmtId="42" fontId="1" fillId="4" borderId="2" xfId="0" applyNumberFormat="1" applyFont="1" applyFill="1" applyBorder="1"/>
    <xf numFmtId="1" fontId="0" fillId="0" borderId="0" xfId="0" applyNumberFormat="1"/>
    <xf numFmtId="166" fontId="0" fillId="0" borderId="0" xfId="0" applyNumberFormat="1" applyBorder="1"/>
    <xf numFmtId="166" fontId="0" fillId="0" borderId="0" xfId="0" applyNumberFormat="1" applyBorder="1" applyAlignment="1">
      <alignment horizontal="center"/>
    </xf>
    <xf numFmtId="41" fontId="9" fillId="0" borderId="0" xfId="0" applyNumberFormat="1" applyFont="1" applyBorder="1"/>
    <xf numFmtId="164" fontId="8" fillId="0" borderId="0" xfId="0" applyNumberFormat="1" applyFont="1" applyBorder="1"/>
    <xf numFmtId="0" fontId="1" fillId="0" borderId="0" xfId="0" applyFont="1" applyBorder="1" applyAlignment="1">
      <alignment horizontal="left"/>
    </xf>
    <xf numFmtId="0" fontId="0" fillId="0" borderId="0" xfId="0" applyFont="1" applyFill="1" applyBorder="1"/>
    <xf numFmtId="44" fontId="8" fillId="0" borderId="0" xfId="0" applyNumberFormat="1" applyFont="1" applyFill="1" applyBorder="1"/>
    <xf numFmtId="0" fontId="0" fillId="4" borderId="12" xfId="0" applyFill="1" applyBorder="1"/>
    <xf numFmtId="0" fontId="1" fillId="0" borderId="0" xfId="0" applyFont="1" applyBorder="1" applyAlignment="1"/>
    <xf numFmtId="0" fontId="0" fillId="0" borderId="2" xfId="0" applyFont="1" applyBorder="1" applyAlignment="1">
      <alignment horizontal="centerContinuous"/>
    </xf>
    <xf numFmtId="0" fontId="0" fillId="0" borderId="1" xfId="0" applyFont="1" applyBorder="1" applyAlignment="1">
      <alignment horizontal="centerContinuous"/>
    </xf>
    <xf numFmtId="0" fontId="8" fillId="0" borderId="0" xfId="0" applyFont="1" applyAlignment="1">
      <alignment horizontal="center"/>
    </xf>
    <xf numFmtId="0" fontId="8" fillId="0" borderId="0" xfId="0" applyFont="1" applyBorder="1" applyAlignment="1">
      <alignment horizontal="center"/>
    </xf>
    <xf numFmtId="164" fontId="0" fillId="0" borderId="1" xfId="0" applyNumberFormat="1" applyBorder="1"/>
    <xf numFmtId="164" fontId="1" fillId="0" borderId="0" xfId="0" applyNumberFormat="1" applyFont="1" applyBorder="1"/>
    <xf numFmtId="164" fontId="7" fillId="0" borderId="0" xfId="0" applyNumberFormat="1" applyFont="1" applyFill="1" applyBorder="1"/>
    <xf numFmtId="0" fontId="2" fillId="0" borderId="0" xfId="0" applyFont="1"/>
    <xf numFmtId="0" fontId="0" fillId="0" borderId="0" xfId="0" applyFont="1" applyBorder="1" applyAlignment="1">
      <alignment horizontal="right"/>
    </xf>
    <xf numFmtId="164" fontId="0" fillId="0" borderId="0" xfId="0" applyNumberFormat="1" applyBorder="1" applyAlignment="1"/>
    <xf numFmtId="164" fontId="0" fillId="0" borderId="0" xfId="0" applyNumberFormat="1" applyFont="1" applyBorder="1" applyAlignment="1"/>
    <xf numFmtId="0" fontId="0" fillId="0" borderId="8" xfId="0" applyFont="1" applyBorder="1"/>
    <xf numFmtId="0" fontId="0" fillId="0" borderId="8" xfId="0" applyFont="1" applyFill="1" applyBorder="1" applyAlignment="1">
      <alignment horizontal="center"/>
    </xf>
    <xf numFmtId="0" fontId="0" fillId="0" borderId="10" xfId="0" applyFont="1" applyFill="1" applyBorder="1" applyAlignment="1">
      <alignment horizontal="center"/>
    </xf>
    <xf numFmtId="0" fontId="1" fillId="0" borderId="1" xfId="0" applyFont="1" applyFill="1" applyBorder="1" applyAlignment="1">
      <alignment horizontal="centerContinuous"/>
    </xf>
    <xf numFmtId="14" fontId="8" fillId="0" borderId="8" xfId="0" applyNumberFormat="1" applyFont="1" applyBorder="1"/>
    <xf numFmtId="14" fontId="7" fillId="0" borderId="8" xfId="0" applyNumberFormat="1" applyFont="1" applyBorder="1"/>
    <xf numFmtId="169" fontId="2" fillId="2" borderId="14" xfId="0" applyNumberFormat="1" applyFont="1" applyFill="1" applyBorder="1"/>
    <xf numFmtId="169" fontId="7" fillId="0" borderId="0" xfId="0" applyNumberFormat="1" applyFont="1" applyBorder="1"/>
    <xf numFmtId="14" fontId="0" fillId="0" borderId="8" xfId="0" applyNumberFormat="1" applyBorder="1"/>
    <xf numFmtId="169" fontId="2" fillId="2" borderId="15" xfId="0" applyNumberFormat="1" applyFont="1" applyFill="1" applyBorder="1"/>
    <xf numFmtId="169" fontId="2" fillId="2" borderId="11" xfId="0" applyNumberFormat="1" applyFont="1" applyFill="1" applyBorder="1"/>
    <xf numFmtId="0" fontId="0" fillId="0" borderId="1" xfId="0" applyFont="1" applyBorder="1" applyAlignment="1">
      <alignment horizontal="left"/>
    </xf>
    <xf numFmtId="0" fontId="7" fillId="0" borderId="1" xfId="0" applyFont="1" applyBorder="1" applyAlignment="1">
      <alignment horizontal="center"/>
    </xf>
    <xf numFmtId="42" fontId="0" fillId="0" borderId="0" xfId="0" applyNumberFormat="1" applyFont="1"/>
    <xf numFmtId="0" fontId="0" fillId="0" borderId="0" xfId="0" quotePrefix="1" applyFont="1" applyBorder="1" applyAlignment="1">
      <alignment horizontal="left" indent="2"/>
    </xf>
    <xf numFmtId="0" fontId="15" fillId="0" borderId="0" xfId="0" applyFont="1" applyBorder="1"/>
    <xf numFmtId="0" fontId="0" fillId="0" borderId="9" xfId="0" applyFont="1" applyBorder="1"/>
    <xf numFmtId="0" fontId="0" fillId="0" borderId="0" xfId="0" quotePrefix="1" applyFont="1" applyFill="1" applyBorder="1" applyAlignment="1">
      <alignment horizontal="left" indent="1"/>
    </xf>
    <xf numFmtId="0" fontId="0" fillId="0" borderId="0" xfId="0" applyBorder="1" applyAlignment="1">
      <alignment horizontal="right"/>
    </xf>
    <xf numFmtId="166" fontId="8" fillId="0" borderId="0" xfId="0" applyNumberFormat="1" applyFont="1" applyFill="1" applyBorder="1"/>
    <xf numFmtId="0" fontId="0" fillId="0" borderId="0" xfId="0" applyAlignment="1">
      <alignment horizontal="right"/>
    </xf>
    <xf numFmtId="0" fontId="0" fillId="0" borderId="0" xfId="0" applyFont="1" applyAlignment="1">
      <alignment horizontal="left"/>
    </xf>
    <xf numFmtId="41" fontId="2" fillId="2" borderId="0" xfId="0" applyNumberFormat="1" applyFont="1" applyFill="1" applyBorder="1"/>
    <xf numFmtId="41" fontId="1" fillId="0" borderId="0" xfId="0" applyNumberFormat="1" applyFont="1" applyFill="1" applyBorder="1"/>
    <xf numFmtId="41" fontId="0" fillId="0" borderId="0" xfId="0" applyNumberFormat="1" applyFill="1" applyBorder="1"/>
    <xf numFmtId="0" fontId="0" fillId="0" borderId="0" xfId="0" quotePrefix="1" applyFont="1" applyAlignment="1">
      <alignment horizontal="left"/>
    </xf>
    <xf numFmtId="0" fontId="0" fillId="0" borderId="0" xfId="0" applyFont="1" applyBorder="1" applyAlignment="1"/>
    <xf numFmtId="0" fontId="0" fillId="0" borderId="0" xfId="0" applyFont="1" applyAlignment="1"/>
    <xf numFmtId="9" fontId="0" fillId="0" borderId="0" xfId="0" applyNumberFormat="1"/>
    <xf numFmtId="0" fontId="0" fillId="0" borderId="4" xfId="0" applyFill="1" applyBorder="1"/>
    <xf numFmtId="0" fontId="0" fillId="0" borderId="2" xfId="0" applyFill="1" applyBorder="1"/>
    <xf numFmtId="0" fontId="1" fillId="0" borderId="2" xfId="0" applyFont="1" applyFill="1" applyBorder="1"/>
    <xf numFmtId="0" fontId="0" fillId="0" borderId="2" xfId="0" applyFill="1" applyBorder="1" applyAlignment="1">
      <alignment horizontal="center"/>
    </xf>
    <xf numFmtId="0" fontId="0" fillId="0" borderId="5" xfId="0" applyFill="1" applyBorder="1"/>
    <xf numFmtId="0" fontId="0" fillId="0" borderId="8" xfId="0" applyFill="1" applyBorder="1"/>
    <xf numFmtId="0" fontId="2" fillId="0" borderId="0" xfId="0" applyFont="1" applyFill="1" applyBorder="1"/>
    <xf numFmtId="166" fontId="2" fillId="0" borderId="0" xfId="0" applyNumberFormat="1" applyFont="1" applyFill="1" applyBorder="1"/>
    <xf numFmtId="0" fontId="0" fillId="0" borderId="9" xfId="0" applyFill="1" applyBorder="1"/>
    <xf numFmtId="41" fontId="8" fillId="0" borderId="0" xfId="0" applyNumberFormat="1" applyFont="1" applyFill="1" applyBorder="1"/>
    <xf numFmtId="41" fontId="2" fillId="0" borderId="0" xfId="0" applyNumberFormat="1" applyFont="1" applyFill="1" applyBorder="1"/>
    <xf numFmtId="166" fontId="0" fillId="0" borderId="0" xfId="0" applyNumberFormat="1" applyFill="1" applyBorder="1"/>
    <xf numFmtId="0" fontId="1" fillId="0" borderId="0" xfId="0" applyFont="1" applyFill="1" applyBorder="1"/>
    <xf numFmtId="41" fontId="9" fillId="0" borderId="0" xfId="0" applyNumberFormat="1" applyFont="1" applyFill="1" applyBorder="1"/>
    <xf numFmtId="0" fontId="1" fillId="0" borderId="0" xfId="0" applyFont="1" applyFill="1" applyBorder="1" applyAlignment="1">
      <alignment horizontal="left" indent="1"/>
    </xf>
    <xf numFmtId="0" fontId="0" fillId="0" borderId="0" xfId="0" applyFont="1" applyFill="1" applyBorder="1" applyAlignment="1">
      <alignment horizontal="center"/>
    </xf>
    <xf numFmtId="0" fontId="1" fillId="0" borderId="0" xfId="0" applyFont="1" applyFill="1" applyBorder="1" applyAlignment="1">
      <alignment horizontal="left"/>
    </xf>
    <xf numFmtId="166" fontId="8" fillId="0" borderId="0" xfId="0" applyNumberFormat="1" applyFont="1" applyFill="1" applyBorder="1" applyAlignment="1">
      <alignment horizontal="center"/>
    </xf>
    <xf numFmtId="44" fontId="2" fillId="0" borderId="0" xfId="0" applyNumberFormat="1" applyFont="1" applyFill="1" applyBorder="1"/>
    <xf numFmtId="43" fontId="2" fillId="0" borderId="0" xfId="0" applyNumberFormat="1" applyFont="1" applyFill="1" applyBorder="1"/>
    <xf numFmtId="43" fontId="7" fillId="0" borderId="0" xfId="0" applyNumberFormat="1" applyFont="1" applyFill="1" applyBorder="1"/>
    <xf numFmtId="43" fontId="0" fillId="0" borderId="0" xfId="0" applyNumberFormat="1" applyFill="1" applyBorder="1"/>
    <xf numFmtId="0" fontId="0" fillId="0" borderId="6" xfId="0" applyFill="1" applyBorder="1"/>
    <xf numFmtId="0" fontId="0" fillId="0" borderId="1" xfId="0" applyFill="1" applyBorder="1"/>
    <xf numFmtId="0" fontId="0" fillId="0" borderId="1" xfId="0" applyFill="1" applyBorder="1" applyAlignment="1">
      <alignment horizontal="left" indent="1"/>
    </xf>
    <xf numFmtId="166" fontId="2" fillId="0" borderId="1" xfId="0" applyNumberFormat="1" applyFont="1" applyFill="1" applyBorder="1"/>
    <xf numFmtId="0" fontId="0" fillId="0" borderId="7" xfId="0" applyFill="1" applyBorder="1"/>
    <xf numFmtId="3" fontId="8" fillId="0" borderId="0" xfId="0" applyNumberFormat="1" applyFont="1" applyBorder="1"/>
    <xf numFmtId="0" fontId="0" fillId="0" borderId="0" xfId="0" applyFont="1" applyFill="1" applyBorder="1" applyAlignment="1">
      <alignment horizontal="left" indent="2"/>
    </xf>
    <xf numFmtId="3" fontId="1" fillId="0" borderId="10" xfId="0" applyNumberFormat="1" applyFont="1" applyBorder="1"/>
    <xf numFmtId="41" fontId="0" fillId="0" borderId="0" xfId="0" applyNumberFormat="1" applyFont="1" applyFill="1" applyBorder="1"/>
    <xf numFmtId="166" fontId="0" fillId="0" borderId="0" xfId="0" applyNumberFormat="1" applyFont="1" applyFill="1" applyBorder="1"/>
    <xf numFmtId="0" fontId="0" fillId="0" borderId="0" xfId="0" applyFont="1" applyFill="1" applyBorder="1" applyAlignment="1">
      <alignment horizontal="left"/>
    </xf>
    <xf numFmtId="0" fontId="0" fillId="0" borderId="0" xfId="0" applyFont="1" applyFill="1"/>
    <xf numFmtId="41" fontId="2" fillId="0" borderId="1" xfId="0" applyNumberFormat="1" applyFont="1" applyFill="1" applyBorder="1"/>
    <xf numFmtId="166" fontId="7" fillId="0" borderId="1" xfId="0" applyNumberFormat="1" applyFont="1" applyBorder="1"/>
    <xf numFmtId="41" fontId="7" fillId="0" borderId="0" xfId="0" applyNumberFormat="1" applyFont="1" applyBorder="1" applyAlignment="1">
      <alignment horizontal="center"/>
    </xf>
    <xf numFmtId="41" fontId="0" fillId="0" borderId="0" xfId="0" applyNumberFormat="1" applyBorder="1" applyAlignment="1">
      <alignment horizontal="centerContinuous"/>
    </xf>
    <xf numFmtId="41" fontId="0" fillId="0" borderId="0" xfId="0" applyNumberFormat="1" applyBorder="1" applyAlignment="1">
      <alignment horizontal="center"/>
    </xf>
    <xf numFmtId="41" fontId="1" fillId="0" borderId="2" xfId="0" applyNumberFormat="1" applyFont="1" applyBorder="1" applyAlignment="1">
      <alignment horizontal="left"/>
    </xf>
    <xf numFmtId="41" fontId="0" fillId="0" borderId="1" xfId="0" applyNumberFormat="1" applyFont="1" applyBorder="1" applyAlignment="1">
      <alignment horizontal="left"/>
    </xf>
    <xf numFmtId="41" fontId="1" fillId="0" borderId="0" xfId="0" applyNumberFormat="1" applyFont="1" applyBorder="1" applyAlignment="1">
      <alignment horizontal="left" indent="1"/>
    </xf>
    <xf numFmtId="2" fontId="7" fillId="0" borderId="0" xfId="0" applyNumberFormat="1" applyFont="1"/>
    <xf numFmtId="2" fontId="0" fillId="0" borderId="0" xfId="0" applyNumberFormat="1" applyFont="1"/>
    <xf numFmtId="9" fontId="0" fillId="0" borderId="0" xfId="0" applyNumberFormat="1" applyBorder="1"/>
    <xf numFmtId="174" fontId="0" fillId="0" borderId="0" xfId="0" applyNumberFormat="1" applyBorder="1"/>
    <xf numFmtId="9" fontId="2" fillId="0" borderId="0" xfId="0" applyNumberFormat="1" applyFont="1"/>
    <xf numFmtId="41" fontId="7" fillId="0" borderId="0" xfId="0" applyNumberFormat="1" applyFont="1" applyFill="1" applyBorder="1"/>
    <xf numFmtId="1" fontId="0" fillId="0" borderId="0" xfId="0" applyNumberFormat="1" applyFont="1" applyBorder="1"/>
    <xf numFmtId="44" fontId="8" fillId="0" borderId="0" xfId="0" applyNumberFormat="1" applyFont="1"/>
    <xf numFmtId="43" fontId="8" fillId="0" borderId="0" xfId="0" applyNumberFormat="1" applyFont="1"/>
    <xf numFmtId="0" fontId="1" fillId="0" borderId="0" xfId="0" applyFont="1" applyAlignment="1">
      <alignment horizontal="left" indent="1"/>
    </xf>
    <xf numFmtId="42" fontId="1" fillId="0" borderId="0" xfId="0" applyNumberFormat="1" applyFont="1"/>
    <xf numFmtId="0" fontId="2" fillId="2" borderId="4" xfId="0" applyFont="1" applyFill="1" applyBorder="1" applyAlignment="1">
      <alignment horizontal="center"/>
    </xf>
    <xf numFmtId="0" fontId="2" fillId="2" borderId="2" xfId="0" applyFont="1" applyFill="1" applyBorder="1" applyAlignment="1">
      <alignment horizontal="center"/>
    </xf>
    <xf numFmtId="0" fontId="2" fillId="2" borderId="5" xfId="0" applyFont="1" applyFill="1" applyBorder="1" applyAlignment="1">
      <alignment horizontal="center"/>
    </xf>
    <xf numFmtId="41" fontId="2" fillId="2" borderId="8" xfId="0" applyNumberFormat="1" applyFont="1" applyFill="1" applyBorder="1"/>
    <xf numFmtId="41" fontId="2" fillId="2" borderId="9" xfId="0" applyNumberFormat="1" applyFont="1" applyFill="1" applyBorder="1"/>
    <xf numFmtId="44" fontId="2" fillId="2" borderId="6" xfId="0" applyNumberFormat="1" applyFont="1" applyFill="1" applyBorder="1"/>
    <xf numFmtId="43" fontId="7" fillId="0" borderId="1" xfId="0" applyNumberFormat="1" applyFont="1" applyBorder="1"/>
    <xf numFmtId="43" fontId="7" fillId="0" borderId="2" xfId="0" applyNumberFormat="1" applyFont="1" applyBorder="1"/>
    <xf numFmtId="44" fontId="2" fillId="2" borderId="8" xfId="0" applyNumberFormat="1" applyFont="1" applyFill="1" applyBorder="1"/>
    <xf numFmtId="44" fontId="2" fillId="2" borderId="7" xfId="0" applyNumberFormat="1" applyFont="1" applyFill="1" applyBorder="1"/>
    <xf numFmtId="44" fontId="2" fillId="2" borderId="1" xfId="0" applyNumberFormat="1" applyFont="1" applyFill="1" applyBorder="1"/>
    <xf numFmtId="44" fontId="2" fillId="2" borderId="0" xfId="0" applyNumberFormat="1" applyFont="1" applyFill="1" applyBorder="1"/>
    <xf numFmtId="44" fontId="2" fillId="2" borderId="9" xfId="0" applyNumberFormat="1" applyFont="1" applyFill="1" applyBorder="1"/>
    <xf numFmtId="1" fontId="2" fillId="2" borderId="11" xfId="0" applyNumberFormat="1" applyFont="1" applyFill="1" applyBorder="1" applyAlignment="1">
      <alignment horizontal="center"/>
    </xf>
    <xf numFmtId="0" fontId="8" fillId="0" borderId="0" xfId="0" applyFont="1" applyFill="1" applyBorder="1" applyAlignment="1">
      <alignment horizontal="center"/>
    </xf>
    <xf numFmtId="0" fontId="0" fillId="0" borderId="0" xfId="0" applyFill="1" applyBorder="1" applyAlignment="1">
      <alignment horizontal="left"/>
    </xf>
    <xf numFmtId="41" fontId="8" fillId="0" borderId="1" xfId="0" applyNumberFormat="1" applyFont="1" applyBorder="1"/>
    <xf numFmtId="0" fontId="0" fillId="0" borderId="2" xfId="0" applyFill="1" applyBorder="1" applyAlignment="1">
      <alignment horizontal="left" indent="1"/>
    </xf>
    <xf numFmtId="42" fontId="8" fillId="0" borderId="0" xfId="0" applyNumberFormat="1" applyFont="1" applyBorder="1"/>
    <xf numFmtId="0" fontId="0" fillId="0" borderId="2" xfId="0" applyBorder="1" applyAlignment="1">
      <alignment horizontal="left" indent="1"/>
    </xf>
    <xf numFmtId="42" fontId="0" fillId="0" borderId="2" xfId="0" applyNumberFormat="1" applyBorder="1"/>
    <xf numFmtId="41" fontId="2" fillId="2" borderId="0" xfId="0" applyNumberFormat="1" applyFont="1" applyFill="1"/>
    <xf numFmtId="0" fontId="15" fillId="0" borderId="0" xfId="0" applyFont="1" applyFill="1" applyBorder="1"/>
    <xf numFmtId="166" fontId="15" fillId="0" borderId="0" xfId="0" applyNumberFormat="1" applyFont="1"/>
    <xf numFmtId="0" fontId="15" fillId="0" borderId="0" xfId="0" applyFont="1"/>
    <xf numFmtId="169" fontId="15" fillId="0" borderId="0" xfId="0" applyNumberFormat="1" applyFont="1"/>
    <xf numFmtId="0" fontId="0" fillId="4" borderId="0" xfId="0" applyFill="1"/>
    <xf numFmtId="14" fontId="8" fillId="4" borderId="0" xfId="0" applyNumberFormat="1" applyFont="1" applyFill="1" applyBorder="1" applyAlignment="1">
      <alignment horizontal="center"/>
    </xf>
    <xf numFmtId="14" fontId="0" fillId="4" borderId="0" xfId="0" applyNumberFormat="1" applyFill="1" applyAlignment="1">
      <alignment horizontal="center"/>
    </xf>
    <xf numFmtId="175" fontId="0" fillId="4" borderId="0" xfId="0" applyNumberFormat="1" applyFill="1"/>
    <xf numFmtId="2" fontId="8" fillId="4" borderId="0" xfId="0" applyNumberFormat="1" applyFont="1" applyFill="1"/>
    <xf numFmtId="175" fontId="8" fillId="0" borderId="2" xfId="0" applyNumberFormat="1" applyFont="1" applyBorder="1"/>
    <xf numFmtId="175" fontId="2" fillId="2" borderId="2" xfId="0" applyNumberFormat="1" applyFont="1" applyFill="1" applyBorder="1"/>
    <xf numFmtId="2" fontId="1" fillId="0" borderId="0" xfId="0" applyNumberFormat="1" applyFont="1" applyBorder="1"/>
    <xf numFmtId="2" fontId="0" fillId="0" borderId="0" xfId="0" applyNumberFormat="1"/>
    <xf numFmtId="44" fontId="8" fillId="0" borderId="3" xfId="0" applyNumberFormat="1" applyFont="1" applyBorder="1"/>
    <xf numFmtId="41" fontId="19" fillId="0" borderId="2" xfId="0" applyNumberFormat="1" applyFont="1" applyBorder="1"/>
    <xf numFmtId="166" fontId="8" fillId="0" borderId="14" xfId="0" applyNumberFormat="1" applyFont="1" applyBorder="1" applyAlignment="1">
      <alignment horizontal="center"/>
    </xf>
    <xf numFmtId="41" fontId="1" fillId="0" borderId="0" xfId="0" applyNumberFormat="1" applyFont="1"/>
    <xf numFmtId="0" fontId="1" fillId="0" borderId="2" xfId="0" applyFont="1" applyFill="1" applyBorder="1" applyAlignment="1">
      <alignment horizontal="left" indent="1"/>
    </xf>
    <xf numFmtId="42" fontId="19" fillId="0" borderId="2" xfId="0" applyNumberFormat="1" applyFont="1" applyBorder="1"/>
    <xf numFmtId="166" fontId="8" fillId="0" borderId="3" xfId="0" applyNumberFormat="1" applyFont="1" applyBorder="1" applyAlignment="1">
      <alignment horizontal="center"/>
    </xf>
    <xf numFmtId="0" fontId="1" fillId="4" borderId="0" xfId="0" applyFont="1" applyFill="1"/>
    <xf numFmtId="0" fontId="0" fillId="4" borderId="0" xfId="0" applyFill="1" applyAlignment="1">
      <alignment horizontal="center"/>
    </xf>
    <xf numFmtId="0" fontId="2" fillId="4" borderId="0" xfId="0" applyFont="1" applyFill="1" applyAlignment="1">
      <alignment horizontal="center"/>
    </xf>
    <xf numFmtId="166" fontId="8" fillId="4" borderId="1" xfId="0" applyNumberFormat="1" applyFont="1" applyFill="1" applyBorder="1" applyAlignment="1">
      <alignment horizontal="center"/>
    </xf>
    <xf numFmtId="166" fontId="2" fillId="4" borderId="1" xfId="0" applyNumberFormat="1" applyFont="1" applyFill="1" applyBorder="1" applyAlignment="1">
      <alignment horizontal="center"/>
    </xf>
    <xf numFmtId="166" fontId="0" fillId="4" borderId="1" xfId="0" applyNumberFormat="1" applyFill="1" applyBorder="1" applyAlignment="1">
      <alignment horizontal="center"/>
    </xf>
    <xf numFmtId="42" fontId="0" fillId="0" borderId="0" xfId="0" applyNumberFormat="1" applyAlignment="1"/>
    <xf numFmtId="41" fontId="0" fillId="0" borderId="0" xfId="0" applyNumberFormat="1" applyAlignment="1"/>
    <xf numFmtId="42" fontId="1" fillId="0" borderId="2" xfId="0" applyNumberFormat="1" applyFont="1" applyBorder="1" applyAlignment="1"/>
    <xf numFmtId="41" fontId="0" fillId="0" borderId="1" xfId="0" applyNumberFormat="1" applyBorder="1" applyAlignment="1"/>
    <xf numFmtId="41" fontId="2" fillId="2" borderId="1" xfId="0" applyNumberFormat="1" applyFont="1" applyFill="1" applyBorder="1" applyAlignment="1"/>
    <xf numFmtId="166" fontId="1" fillId="0" borderId="2" xfId="0" applyNumberFormat="1" applyFont="1" applyBorder="1"/>
    <xf numFmtId="42" fontId="7" fillId="0" borderId="0" xfId="0" applyNumberFormat="1" applyFont="1"/>
    <xf numFmtId="0" fontId="5" fillId="3" borderId="2" xfId="0" applyFont="1" applyFill="1" applyBorder="1" applyAlignment="1">
      <alignment horizontal="centerContinuous"/>
    </xf>
    <xf numFmtId="0" fontId="5" fillId="3" borderId="5" xfId="0" applyFont="1" applyFill="1" applyBorder="1" applyAlignment="1">
      <alignment horizontal="centerContinuous"/>
    </xf>
    <xf numFmtId="0" fontId="5" fillId="3" borderId="10" xfId="0" applyFont="1" applyFill="1" applyBorder="1" applyAlignment="1">
      <alignment horizontal="centerContinuous"/>
    </xf>
    <xf numFmtId="0" fontId="5" fillId="3" borderId="13" xfId="0" applyFont="1" applyFill="1" applyBorder="1" applyAlignment="1">
      <alignment horizontal="centerContinuous"/>
    </xf>
    <xf numFmtId="0" fontId="0" fillId="0" borderId="0" xfId="0" quotePrefix="1" applyFill="1" applyBorder="1" applyAlignment="1">
      <alignment horizontal="left" indent="1"/>
    </xf>
    <xf numFmtId="0" fontId="5" fillId="3" borderId="9" xfId="0" applyFont="1" applyFill="1" applyBorder="1" applyAlignment="1">
      <alignment horizontal="center" vertical="center" textRotation="90" wrapText="1"/>
    </xf>
    <xf numFmtId="0" fontId="5" fillId="3" borderId="7" xfId="0" applyFont="1" applyFill="1" applyBorder="1" applyAlignment="1">
      <alignment horizontal="center" vertical="center" textRotation="90" wrapText="1"/>
    </xf>
    <xf numFmtId="0" fontId="0" fillId="0" borderId="9" xfId="0" applyBorder="1" applyAlignment="1">
      <alignment wrapText="1"/>
    </xf>
    <xf numFmtId="0" fontId="0" fillId="0" borderId="7" xfId="0" applyBorder="1" applyAlignment="1">
      <alignment wrapText="1"/>
    </xf>
  </cellXfs>
  <cellStyles count="2">
    <cellStyle name="Normal" xfId="0" builtinId="0"/>
    <cellStyle name="Normal 2" xfId="1"/>
  </cellStyles>
  <dxfs count="0"/>
  <tableStyles count="0" defaultTableStyle="TableStyleMedium2" defaultPivotStyle="PivotStyleMedium9"/>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Proved Developed - Production Decline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PD!$AT$28</c:f>
              <c:strCache>
                <c:ptCount val="1"/>
                <c:pt idx="0">
                  <c:v>Annual</c:v>
                </c:pt>
              </c:strCache>
            </c:strRef>
          </c:tx>
          <c:spPr>
            <a:solidFill>
              <a:schemeClr val="accent1"/>
            </a:solidFill>
            <a:ln>
              <a:noFill/>
            </a:ln>
            <a:effectLst/>
          </c:spPr>
          <c:cat>
            <c:numRef>
              <c:f>PD!$AP$29:$AP$69</c:f>
              <c:numCache>
                <c:formatCode>General</c:formatCode>
                <c:ptCount val="41"/>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pt idx="20">
                  <c:v>2033</c:v>
                </c:pt>
                <c:pt idx="21">
                  <c:v>2034</c:v>
                </c:pt>
                <c:pt idx="22">
                  <c:v>2035</c:v>
                </c:pt>
                <c:pt idx="23">
                  <c:v>2036</c:v>
                </c:pt>
                <c:pt idx="24">
                  <c:v>2037</c:v>
                </c:pt>
                <c:pt idx="25">
                  <c:v>2038</c:v>
                </c:pt>
                <c:pt idx="26">
                  <c:v>2039</c:v>
                </c:pt>
                <c:pt idx="27">
                  <c:v>2040</c:v>
                </c:pt>
                <c:pt idx="28">
                  <c:v>2041</c:v>
                </c:pt>
                <c:pt idx="29">
                  <c:v>2042</c:v>
                </c:pt>
                <c:pt idx="30">
                  <c:v>2043</c:v>
                </c:pt>
                <c:pt idx="31">
                  <c:v>2044</c:v>
                </c:pt>
                <c:pt idx="32">
                  <c:v>2045</c:v>
                </c:pt>
                <c:pt idx="33">
                  <c:v>2046</c:v>
                </c:pt>
                <c:pt idx="34">
                  <c:v>2047</c:v>
                </c:pt>
                <c:pt idx="35">
                  <c:v>2048</c:v>
                </c:pt>
                <c:pt idx="36">
                  <c:v>2049</c:v>
                </c:pt>
                <c:pt idx="37">
                  <c:v>2050</c:v>
                </c:pt>
                <c:pt idx="38">
                  <c:v>2051</c:v>
                </c:pt>
                <c:pt idx="39">
                  <c:v>2052</c:v>
                </c:pt>
                <c:pt idx="40">
                  <c:v>2053</c:v>
                </c:pt>
              </c:numCache>
            </c:numRef>
          </c:cat>
          <c:val>
            <c:numRef>
              <c:f>PD!$AT$29:$AT$69</c:f>
              <c:numCache>
                <c:formatCode>#,##0</c:formatCode>
                <c:ptCount val="41"/>
                <c:pt idx="0">
                  <c:v>230640.30725274727</c:v>
                </c:pt>
                <c:pt idx="1">
                  <c:v>203966.09567466297</c:v>
                </c:pt>
                <c:pt idx="2">
                  <c:v>180376.83300159674</c:v>
                </c:pt>
                <c:pt idx="3">
                  <c:v>159952.76547807956</c:v>
                </c:pt>
                <c:pt idx="4">
                  <c:v>141067.28468771745</c:v>
                </c:pt>
                <c:pt idx="5">
                  <c:v>124752.44950852866</c:v>
                </c:pt>
                <c:pt idx="6">
                  <c:v>110324.47170745791</c:v>
                </c:pt>
                <c:pt idx="7">
                  <c:v>97832.432557233231</c:v>
                </c:pt>
                <c:pt idx="8">
                  <c:v>86281.444237576899</c:v>
                </c:pt>
                <c:pt idx="9">
                  <c:v>76302.748292059783</c:v>
                </c:pt>
                <c:pt idx="10">
                  <c:v>67478.117089581749</c:v>
                </c:pt>
                <c:pt idx="11">
                  <c:v>59837.570369342917</c:v>
                </c:pt>
                <c:pt idx="12">
                  <c:v>52772.60164326588</c:v>
                </c:pt>
                <c:pt idx="13">
                  <c:v>46669.299239077518</c:v>
                </c:pt>
                <c:pt idx="14">
                  <c:v>41271.861224308072</c:v>
                </c:pt>
                <c:pt idx="15">
                  <c:v>36598.648670126917</c:v>
                </c:pt>
                <c:pt idx="16">
                  <c:v>32277.478765080068</c:v>
                </c:pt>
                <c:pt idx="17">
                  <c:v>28544.495974507521</c:v>
                </c:pt>
                <c:pt idx="18">
                  <c:v>25243.243326680411</c:v>
                </c:pt>
                <c:pt idx="19">
                  <c:v>22384.951063548528</c:v>
                </c:pt>
                <c:pt idx="20">
                  <c:v>19741.979796122851</c:v>
                </c:pt>
                <c:pt idx="21">
                  <c:v>12482.92044069678</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dLbls>
          <c:showLegendKey val="0"/>
          <c:showVal val="0"/>
          <c:showCatName val="0"/>
          <c:showSerName val="0"/>
          <c:showPercent val="0"/>
          <c:showBubbleSize val="0"/>
        </c:dLbls>
        <c:axId val="242352616"/>
        <c:axId val="242345168"/>
      </c:areaChart>
      <c:catAx>
        <c:axId val="242352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2345168"/>
        <c:crosses val="autoZero"/>
        <c:auto val="1"/>
        <c:lblAlgn val="ctr"/>
        <c:lblOffset val="100"/>
        <c:noMultiLvlLbl val="0"/>
      </c:catAx>
      <c:valAx>
        <c:axId val="242345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Annual Production in Mmcfe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2352616"/>
        <c:crosses val="autoZero"/>
        <c:crossBetween val="midCat"/>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47</xdr:col>
      <xdr:colOff>84045</xdr:colOff>
      <xdr:row>27</xdr:row>
      <xdr:rowOff>167248</xdr:rowOff>
    </xdr:from>
    <xdr:to>
      <xdr:col>54</xdr:col>
      <xdr:colOff>537882</xdr:colOff>
      <xdr:row>44</xdr:row>
      <xdr:rowOff>125505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B1:AU184"/>
  <sheetViews>
    <sheetView showGridLines="0" tabSelected="1" zoomScaleNormal="100" workbookViewId="0">
      <selection activeCell="B2" sqref="B2"/>
    </sheetView>
  </sheetViews>
  <sheetFormatPr defaultRowHeight="14.4" x14ac:dyDescent="0.3"/>
  <cols>
    <col min="1" max="2" width="2.6640625" customWidth="1"/>
    <col min="3" max="11" width="11.6640625" customWidth="1"/>
    <col min="12" max="13" width="2.6640625" customWidth="1"/>
    <col min="15" max="30" width="10.6640625" customWidth="1"/>
    <col min="36" max="36" width="9.5546875" bestFit="1" customWidth="1"/>
  </cols>
  <sheetData>
    <row r="1" spans="2:37" x14ac:dyDescent="0.3">
      <c r="B1" s="1"/>
    </row>
    <row r="2" spans="2:37" x14ac:dyDescent="0.3">
      <c r="B2" s="1" t="str">
        <f>Company_Name&amp;" - Assumptions - NAV Model by Geography and Reserve Type"</f>
        <v>Ultra Petroleum Corp. - Assumptions - NAV Model by Geography and Reserve Type</v>
      </c>
    </row>
    <row r="3" spans="2:37" x14ac:dyDescent="0.3">
      <c r="B3" t="s">
        <v>14</v>
      </c>
    </row>
    <row r="5" spans="2:37" x14ac:dyDescent="0.3">
      <c r="B5" s="3" t="s">
        <v>123</v>
      </c>
      <c r="C5" s="4"/>
      <c r="D5" s="4"/>
      <c r="E5" s="4"/>
      <c r="F5" s="4"/>
      <c r="G5" s="4"/>
      <c r="H5" s="4"/>
      <c r="I5" s="4"/>
      <c r="J5" s="4"/>
      <c r="K5" s="4"/>
      <c r="M5" s="3" t="s">
        <v>125</v>
      </c>
      <c r="N5" s="4"/>
      <c r="O5" s="4"/>
      <c r="P5" s="4"/>
      <c r="Q5" s="4"/>
      <c r="R5" s="4"/>
      <c r="S5" s="4"/>
      <c r="T5" s="4"/>
      <c r="U5" s="4"/>
      <c r="V5" s="4"/>
      <c r="W5" s="4"/>
      <c r="X5" s="4"/>
      <c r="Z5" s="2"/>
      <c r="AA5" s="2"/>
      <c r="AB5" s="2"/>
      <c r="AC5" s="2"/>
      <c r="AD5" s="2"/>
      <c r="AE5" s="2"/>
      <c r="AF5" s="2"/>
      <c r="AG5" s="2"/>
      <c r="AH5" s="2"/>
      <c r="AI5" s="2"/>
      <c r="AJ5" s="2"/>
      <c r="AK5" s="2"/>
    </row>
    <row r="6" spans="2:37" x14ac:dyDescent="0.3">
      <c r="B6" s="16"/>
      <c r="C6" s="15" t="s">
        <v>75</v>
      </c>
      <c r="D6" s="15"/>
      <c r="E6" s="15"/>
      <c r="F6" s="15"/>
      <c r="G6" s="15"/>
      <c r="H6" s="15"/>
      <c r="I6" s="15"/>
      <c r="J6" s="86"/>
      <c r="K6" s="85" t="s">
        <v>76</v>
      </c>
      <c r="Z6" s="2"/>
      <c r="AA6" s="2"/>
      <c r="AB6" s="2"/>
      <c r="AC6" s="2"/>
      <c r="AD6" s="2"/>
      <c r="AE6" s="2"/>
      <c r="AF6" s="2"/>
      <c r="AG6" s="2"/>
      <c r="AH6" s="2"/>
      <c r="AI6" s="2"/>
      <c r="AJ6" s="2"/>
      <c r="AK6" s="2"/>
    </row>
    <row r="7" spans="2:37" x14ac:dyDescent="0.3">
      <c r="B7" s="16"/>
      <c r="C7" t="s">
        <v>21</v>
      </c>
      <c r="K7" s="22">
        <v>18.829999999999998</v>
      </c>
      <c r="N7" s="83" t="s">
        <v>126</v>
      </c>
      <c r="O7" s="83"/>
      <c r="P7" s="83"/>
      <c r="Q7" s="83"/>
      <c r="R7" s="83"/>
      <c r="S7" s="83"/>
      <c r="T7" s="83"/>
      <c r="U7" s="83"/>
      <c r="V7" s="83"/>
      <c r="W7" s="83"/>
      <c r="Z7" s="2"/>
      <c r="AA7" s="2"/>
      <c r="AB7" s="2"/>
      <c r="AC7" s="2"/>
      <c r="AD7" s="2"/>
      <c r="AE7" s="2"/>
      <c r="AF7" s="2"/>
      <c r="AG7" s="2"/>
      <c r="AH7" s="2"/>
      <c r="AI7" s="2"/>
      <c r="AJ7" s="2"/>
      <c r="AK7" s="2"/>
    </row>
    <row r="8" spans="2:37" x14ac:dyDescent="0.3">
      <c r="B8" s="16"/>
      <c r="C8" t="s">
        <v>3</v>
      </c>
      <c r="G8" s="15"/>
      <c r="H8" s="15"/>
      <c r="I8" s="15"/>
      <c r="J8" s="15"/>
      <c r="K8" s="25">
        <v>6</v>
      </c>
      <c r="N8" s="33" t="s">
        <v>6</v>
      </c>
      <c r="O8" s="15"/>
      <c r="P8" s="15"/>
      <c r="Q8" s="15"/>
      <c r="R8" s="22">
        <f>0.28+0.09</f>
        <v>0.37</v>
      </c>
      <c r="T8" t="s">
        <v>41</v>
      </c>
      <c r="W8" s="26">
        <v>0.94</v>
      </c>
      <c r="Z8" s="2"/>
      <c r="AA8" s="2"/>
      <c r="AB8" s="2"/>
      <c r="AC8" s="2"/>
      <c r="AD8" s="2"/>
      <c r="AE8" s="2"/>
      <c r="AF8" s="2"/>
      <c r="AG8" s="2"/>
      <c r="AH8" s="2"/>
      <c r="AI8" s="2"/>
      <c r="AJ8" s="2"/>
      <c r="AK8" s="2"/>
    </row>
    <row r="9" spans="2:37" x14ac:dyDescent="0.3">
      <c r="C9" t="s">
        <v>52</v>
      </c>
      <c r="K9" s="63">
        <v>1000</v>
      </c>
      <c r="N9" s="33" t="s">
        <v>5</v>
      </c>
      <c r="O9" s="15"/>
      <c r="P9" s="15"/>
      <c r="Q9" s="15"/>
      <c r="R9" s="21">
        <v>0.31</v>
      </c>
      <c r="T9" t="s">
        <v>13</v>
      </c>
      <c r="W9" s="26">
        <v>0.93</v>
      </c>
      <c r="Y9" t="s">
        <v>366</v>
      </c>
      <c r="Z9" s="2"/>
      <c r="AA9" s="2"/>
      <c r="AB9" s="2"/>
      <c r="AC9" s="2"/>
      <c r="AD9" s="2"/>
      <c r="AE9" s="2"/>
      <c r="AF9" s="2"/>
      <c r="AG9" s="2"/>
      <c r="AH9" s="2"/>
      <c r="AI9" s="2"/>
      <c r="AJ9" s="2"/>
      <c r="AK9" s="2"/>
    </row>
    <row r="10" spans="2:37" x14ac:dyDescent="0.3">
      <c r="C10" t="s">
        <v>40</v>
      </c>
      <c r="K10" s="26">
        <v>0.1</v>
      </c>
      <c r="N10" s="33" t="s">
        <v>7</v>
      </c>
      <c r="O10" s="15"/>
      <c r="P10" s="15"/>
      <c r="Q10" s="15"/>
      <c r="R10" s="21">
        <f>0.22+0.36</f>
        <v>0.57999999999999996</v>
      </c>
      <c r="T10" t="s">
        <v>8</v>
      </c>
      <c r="W10" s="26">
        <v>0.5</v>
      </c>
      <c r="Y10" t="s">
        <v>367</v>
      </c>
      <c r="Z10" s="2"/>
      <c r="AA10" s="2"/>
      <c r="AB10" s="2"/>
      <c r="AC10" s="2"/>
      <c r="AD10" s="2"/>
      <c r="AE10" s="2"/>
      <c r="AF10" s="2"/>
      <c r="AG10" s="2"/>
      <c r="AH10" s="2"/>
      <c r="AI10" s="2"/>
      <c r="AJ10" s="2"/>
      <c r="AK10" s="2"/>
    </row>
    <row r="11" spans="2:37" x14ac:dyDescent="0.3">
      <c r="C11" t="s">
        <v>16</v>
      </c>
      <c r="K11" s="27">
        <v>0</v>
      </c>
      <c r="N11" s="78" t="s">
        <v>131</v>
      </c>
      <c r="R11" s="21">
        <v>7.0000000000000007E-2</v>
      </c>
      <c r="Z11" s="2"/>
      <c r="AA11" s="2"/>
      <c r="AB11" s="2"/>
      <c r="AC11" s="2"/>
      <c r="AD11" s="2"/>
      <c r="AE11" s="2"/>
      <c r="AF11" s="2"/>
      <c r="AG11" s="2"/>
      <c r="AH11" s="2"/>
      <c r="AI11" s="2"/>
      <c r="AJ11" s="2"/>
      <c r="AK11" s="2"/>
    </row>
    <row r="12" spans="2:37" x14ac:dyDescent="0.3">
      <c r="K12" s="138"/>
      <c r="N12" s="33"/>
      <c r="O12" s="15"/>
      <c r="P12" s="15"/>
      <c r="Q12" s="15"/>
      <c r="Z12" s="2"/>
      <c r="AA12" s="2"/>
      <c r="AB12" s="2"/>
      <c r="AC12" s="2"/>
      <c r="AD12" s="2"/>
      <c r="AE12" s="2"/>
      <c r="AF12" s="2"/>
      <c r="AG12" s="2"/>
      <c r="AH12" s="2"/>
      <c r="AI12" s="2"/>
      <c r="AJ12" s="2"/>
      <c r="AK12" s="2"/>
    </row>
    <row r="13" spans="2:37" x14ac:dyDescent="0.3">
      <c r="C13" t="s">
        <v>108</v>
      </c>
      <c r="K13" s="25">
        <v>1</v>
      </c>
      <c r="N13" s="83" t="s">
        <v>133</v>
      </c>
      <c r="R13" s="139" t="s">
        <v>90</v>
      </c>
      <c r="S13" s="139" t="s">
        <v>0</v>
      </c>
      <c r="T13" s="139" t="s">
        <v>1</v>
      </c>
      <c r="U13" s="139" t="s">
        <v>134</v>
      </c>
      <c r="W13" s="217"/>
      <c r="Z13" s="2"/>
      <c r="AA13" s="2"/>
      <c r="AB13" s="2"/>
      <c r="AC13" s="2"/>
      <c r="AD13" s="2"/>
      <c r="AE13" s="2"/>
      <c r="AF13" s="2"/>
      <c r="AG13" s="2"/>
      <c r="AH13" s="2"/>
      <c r="AI13" s="2"/>
      <c r="AJ13" s="2"/>
      <c r="AK13" s="2"/>
    </row>
    <row r="14" spans="2:37" x14ac:dyDescent="0.3">
      <c r="C14" t="s">
        <v>79</v>
      </c>
      <c r="K14" s="22">
        <v>4.5</v>
      </c>
      <c r="N14" s="78" t="s">
        <v>127</v>
      </c>
      <c r="R14" s="132" t="s">
        <v>213</v>
      </c>
      <c r="S14" s="163">
        <f t="array" ref="S14:U14">TRANSPOSE(Data!F59:F61)</f>
        <v>0.57999999999999996</v>
      </c>
      <c r="T14" s="164">
        <v>0.50898203592814373</v>
      </c>
      <c r="U14" s="165">
        <v>1</v>
      </c>
      <c r="Z14" s="2"/>
      <c r="AA14" s="2"/>
      <c r="AB14" s="2"/>
      <c r="AC14" s="2"/>
      <c r="AD14" s="2"/>
      <c r="AE14" s="2"/>
      <c r="AF14" s="2"/>
      <c r="AG14" s="2"/>
      <c r="AH14" s="2"/>
      <c r="AI14" s="2"/>
      <c r="AJ14" s="2"/>
      <c r="AK14" s="2"/>
    </row>
    <row r="15" spans="2:37" x14ac:dyDescent="0.3">
      <c r="C15" t="s">
        <v>78</v>
      </c>
      <c r="K15" s="22">
        <v>80</v>
      </c>
      <c r="N15" s="78" t="s">
        <v>49</v>
      </c>
      <c r="R15" s="133" t="s">
        <v>213</v>
      </c>
      <c r="S15" s="134">
        <v>0</v>
      </c>
      <c r="T15" s="134">
        <v>0</v>
      </c>
      <c r="U15" s="135">
        <v>0.17499999999999999</v>
      </c>
      <c r="Z15" s="2"/>
      <c r="AA15" s="2"/>
      <c r="AB15" s="2"/>
      <c r="AC15" s="2"/>
      <c r="AD15" s="2"/>
      <c r="AE15" s="2"/>
      <c r="AF15" s="2"/>
      <c r="AG15" s="2"/>
      <c r="AH15" s="2"/>
      <c r="AI15" s="2"/>
      <c r="AJ15" s="2"/>
      <c r="AK15" s="2"/>
    </row>
    <row r="16" spans="2:37" x14ac:dyDescent="0.3">
      <c r="C16" t="s">
        <v>17</v>
      </c>
      <c r="K16" s="25">
        <v>1</v>
      </c>
      <c r="N16" s="78" t="s">
        <v>50</v>
      </c>
      <c r="R16" s="133" t="s">
        <v>213</v>
      </c>
      <c r="S16" s="159">
        <f t="array" ref="S16:U16">TRANSPOSE(Data!K59:K61)*Units</f>
        <v>4292.5477980259948</v>
      </c>
      <c r="T16" s="159">
        <v>7694.2121125604954</v>
      </c>
      <c r="U16" s="160">
        <v>885.34201954397383</v>
      </c>
      <c r="Z16" s="2"/>
      <c r="AA16" s="2"/>
      <c r="AB16" s="2"/>
      <c r="AC16" s="2"/>
      <c r="AD16" s="2"/>
      <c r="AE16" s="2"/>
      <c r="AF16" s="2"/>
      <c r="AG16" s="2"/>
      <c r="AH16" s="2"/>
      <c r="AI16" s="2"/>
      <c r="AJ16" s="2"/>
      <c r="AK16" s="2"/>
    </row>
    <row r="17" spans="2:37" x14ac:dyDescent="0.3">
      <c r="C17" t="s">
        <v>67</v>
      </c>
      <c r="K17" s="25">
        <v>3</v>
      </c>
      <c r="N17" s="78" t="s">
        <v>136</v>
      </c>
      <c r="R17" s="133" t="s">
        <v>213</v>
      </c>
      <c r="S17" s="159">
        <f t="array" ref="S17:U17">TRANSPOSE(Data!Q59:Q61)</f>
        <v>7.7</v>
      </c>
      <c r="T17" s="159">
        <v>6.4</v>
      </c>
      <c r="U17" s="160">
        <v>0.82199999999999995</v>
      </c>
      <c r="Z17" s="2"/>
      <c r="AA17" s="2"/>
      <c r="AB17" s="2"/>
      <c r="AC17" s="2"/>
      <c r="AD17" s="2"/>
      <c r="AE17" s="2"/>
      <c r="AF17" s="2"/>
      <c r="AG17" s="2"/>
      <c r="AH17" s="2"/>
      <c r="AI17" s="2"/>
      <c r="AJ17" s="2"/>
      <c r="AK17" s="2"/>
    </row>
    <row r="18" spans="2:37" x14ac:dyDescent="0.3">
      <c r="N18" s="78" t="s">
        <v>4</v>
      </c>
      <c r="R18" s="133" t="s">
        <v>213</v>
      </c>
      <c r="S18" s="161">
        <f t="array" ref="S18:U18">TRANSPOSE(Data!P59:P61)</f>
        <v>4.0999999999999996</v>
      </c>
      <c r="T18" s="161">
        <v>7</v>
      </c>
      <c r="U18" s="162">
        <v>1.334086956521739</v>
      </c>
      <c r="Z18" s="2"/>
      <c r="AA18" s="2"/>
      <c r="AB18" s="2"/>
      <c r="AC18" s="2"/>
      <c r="AD18" s="2"/>
      <c r="AE18" s="2"/>
      <c r="AF18" s="2"/>
      <c r="AG18" s="2"/>
      <c r="AH18" s="2"/>
      <c r="AI18" s="2"/>
      <c r="AJ18" s="2"/>
      <c r="AK18" s="2"/>
    </row>
    <row r="19" spans="2:37" x14ac:dyDescent="0.3">
      <c r="C19" t="s">
        <v>22</v>
      </c>
      <c r="K19" s="28">
        <v>41547</v>
      </c>
      <c r="N19" s="78" t="s">
        <v>47</v>
      </c>
      <c r="R19" s="167">
        <f>Data!$G$36</f>
        <v>0.96741753821399834</v>
      </c>
      <c r="S19" s="169">
        <f>Data!$G$37</f>
        <v>0.9618282270215972</v>
      </c>
      <c r="T19" s="169">
        <f>Data!$G$37</f>
        <v>0.9618282270215972</v>
      </c>
      <c r="U19" s="92">
        <v>0</v>
      </c>
      <c r="Z19" s="2"/>
      <c r="AA19" s="2"/>
      <c r="AB19" s="2"/>
      <c r="AC19" s="2"/>
      <c r="AD19" s="2"/>
      <c r="AE19" s="2"/>
      <c r="AF19" s="2"/>
      <c r="AG19" s="2"/>
      <c r="AH19" s="2"/>
      <c r="AI19" s="2"/>
      <c r="AJ19" s="2"/>
      <c r="AK19" s="2"/>
    </row>
    <row r="20" spans="2:37" x14ac:dyDescent="0.3">
      <c r="C20" t="s">
        <v>18</v>
      </c>
      <c r="K20" s="28">
        <v>41579</v>
      </c>
      <c r="N20" s="78" t="s">
        <v>46</v>
      </c>
      <c r="R20" s="168">
        <f>1-R19-R21</f>
        <v>0</v>
      </c>
      <c r="S20" s="171">
        <f>1-S19-S21</f>
        <v>0</v>
      </c>
      <c r="T20" s="171">
        <f>1-T19-T21</f>
        <v>0</v>
      </c>
      <c r="U20" s="92">
        <v>0</v>
      </c>
      <c r="Z20" s="2"/>
      <c r="AA20" s="2"/>
      <c r="AB20" s="2"/>
      <c r="AC20" s="2"/>
      <c r="AD20" s="2"/>
      <c r="AE20" s="2"/>
      <c r="AF20" s="2"/>
      <c r="AG20" s="2"/>
      <c r="AH20" s="2"/>
      <c r="AI20" s="2"/>
      <c r="AJ20" s="2"/>
      <c r="AK20" s="2"/>
    </row>
    <row r="21" spans="2:37" x14ac:dyDescent="0.3">
      <c r="C21" t="s">
        <v>51</v>
      </c>
      <c r="K21" s="28">
        <v>56249</v>
      </c>
      <c r="N21" s="78" t="s">
        <v>48</v>
      </c>
      <c r="R21" s="166">
        <f>Data!$H$36</f>
        <v>3.258246178600166E-2</v>
      </c>
      <c r="S21" s="170">
        <f>Data!$H$37</f>
        <v>3.8171772978402796E-2</v>
      </c>
      <c r="T21" s="170">
        <f>Data!$H$37</f>
        <v>3.8171772978402796E-2</v>
      </c>
      <c r="U21" s="95">
        <v>1</v>
      </c>
      <c r="Z21" s="2"/>
      <c r="AA21" s="2"/>
      <c r="AB21" s="2"/>
      <c r="AC21" s="2"/>
      <c r="AD21" s="2"/>
      <c r="AE21" s="2"/>
      <c r="AF21" s="2"/>
      <c r="AG21" s="2"/>
      <c r="AH21" s="2"/>
      <c r="AI21" s="2"/>
      <c r="AJ21" s="2"/>
      <c r="AK21" s="2"/>
    </row>
    <row r="22" spans="2:37" x14ac:dyDescent="0.3">
      <c r="C22" t="s">
        <v>19</v>
      </c>
      <c r="K22" s="28">
        <v>41639</v>
      </c>
      <c r="Z22" s="2"/>
      <c r="AA22" s="2"/>
      <c r="AB22" s="2"/>
      <c r="AC22" s="2"/>
      <c r="AD22" s="2"/>
      <c r="AE22" s="2"/>
      <c r="AF22" s="2"/>
      <c r="AG22" s="2"/>
      <c r="AH22" s="2"/>
      <c r="AI22" s="2"/>
      <c r="AJ22" s="2"/>
      <c r="AK22" s="2"/>
    </row>
    <row r="23" spans="2:37" x14ac:dyDescent="0.3">
      <c r="C23" t="s">
        <v>77</v>
      </c>
      <c r="K23" s="29">
        <f>DAYS360(K19,K22,FALSE)/360*12</f>
        <v>3</v>
      </c>
      <c r="M23" s="3" t="s">
        <v>132</v>
      </c>
      <c r="N23" s="36"/>
      <c r="O23" s="129"/>
      <c r="P23" s="130"/>
      <c r="Q23" s="131"/>
      <c r="R23" s="4"/>
      <c r="S23" s="4"/>
      <c r="T23" s="4"/>
      <c r="U23" s="4"/>
      <c r="V23" s="4"/>
      <c r="W23" s="4"/>
      <c r="X23" s="4"/>
      <c r="Z23" s="2"/>
      <c r="AA23" s="2"/>
      <c r="AB23" s="2"/>
      <c r="AC23" s="2"/>
      <c r="AD23" s="2"/>
      <c r="AE23" s="2"/>
      <c r="AF23" s="2"/>
      <c r="AG23" s="2"/>
      <c r="AH23" s="2"/>
      <c r="AI23" s="2"/>
      <c r="AJ23" s="2"/>
      <c r="AK23" s="2"/>
    </row>
    <row r="24" spans="2:37" x14ac:dyDescent="0.3">
      <c r="C24" t="s">
        <v>20</v>
      </c>
      <c r="K24" s="30">
        <f>K23/12</f>
        <v>0.25</v>
      </c>
      <c r="N24" s="33"/>
      <c r="O24" s="15"/>
      <c r="P24" s="15"/>
      <c r="Q24" s="108"/>
      <c r="X24" s="2"/>
      <c r="Y24" s="2"/>
      <c r="Z24" s="2"/>
      <c r="AA24" s="2"/>
      <c r="AB24" s="2"/>
      <c r="AC24" s="2"/>
      <c r="AD24" s="2"/>
      <c r="AE24" s="2"/>
      <c r="AF24" s="2"/>
      <c r="AG24" s="2"/>
      <c r="AH24" s="2"/>
      <c r="AI24" s="2"/>
      <c r="AJ24" s="2"/>
      <c r="AK24" s="2"/>
    </row>
    <row r="25" spans="2:37" x14ac:dyDescent="0.3">
      <c r="Q25" s="38" t="s">
        <v>129</v>
      </c>
      <c r="X25" s="2"/>
      <c r="Y25" s="2"/>
      <c r="Z25" s="2"/>
      <c r="AA25" s="2"/>
      <c r="AB25" s="2"/>
      <c r="AC25" s="2"/>
      <c r="AD25" s="2"/>
      <c r="AE25" s="2"/>
      <c r="AF25" s="2"/>
      <c r="AG25" s="2"/>
      <c r="AH25" s="2"/>
      <c r="AI25" s="2"/>
      <c r="AJ25" s="2"/>
      <c r="AK25" s="2"/>
    </row>
    <row r="26" spans="2:37" x14ac:dyDescent="0.3">
      <c r="B26" s="3" t="s">
        <v>124</v>
      </c>
      <c r="C26" s="4"/>
      <c r="D26" s="4"/>
      <c r="E26" s="4"/>
      <c r="F26" s="4"/>
      <c r="G26" s="4"/>
      <c r="H26" s="4"/>
      <c r="I26" s="4"/>
      <c r="J26" s="4"/>
      <c r="K26" s="4"/>
      <c r="O26" s="15"/>
      <c r="P26" s="15"/>
      <c r="Q26" s="11" t="s">
        <v>128</v>
      </c>
      <c r="R26" s="11" t="str">
        <f>$R$13</f>
        <v>PD</v>
      </c>
      <c r="S26" s="11" t="str">
        <f>$S$13</f>
        <v>WY</v>
      </c>
      <c r="T26" s="11" t="str">
        <f>$T$13</f>
        <v>PA</v>
      </c>
      <c r="U26" s="11" t="str">
        <f>$U$13</f>
        <v>UT</v>
      </c>
      <c r="X26" s="2"/>
      <c r="Y26" s="2"/>
      <c r="Z26" s="2"/>
      <c r="AA26" s="2"/>
      <c r="AB26" s="2"/>
      <c r="AC26" s="2"/>
      <c r="AD26" s="2"/>
      <c r="AE26" s="2"/>
      <c r="AF26" s="2"/>
      <c r="AG26" s="2"/>
      <c r="AH26" s="2"/>
      <c r="AI26" s="2"/>
      <c r="AJ26" s="2"/>
      <c r="AK26" s="2"/>
    </row>
    <row r="27" spans="2:37" x14ac:dyDescent="0.3">
      <c r="C27" s="73" t="s">
        <v>142</v>
      </c>
      <c r="K27" s="26">
        <v>1.4999999999999999E-2</v>
      </c>
      <c r="N27" s="78" t="str">
        <f>$N$14</f>
        <v>Working Interest:</v>
      </c>
      <c r="Q27" s="136">
        <v>0</v>
      </c>
      <c r="R27" s="140" t="str">
        <f>IFERROR(INDEX($N$13:$U$21,MATCH($N27,$N$13:$N$21,0),MATCH(R$26,$N$13:$U$13,0))*(1+$Q27),"N/A")</f>
        <v>N/A</v>
      </c>
      <c r="S27" s="140">
        <f t="shared" ref="S27:U34" si="0">IFERROR(INDEX($N$13:$U$21,MATCH($N27,$N$13:$N$21,0),MATCH(S$26,$N$13:$U$13,0))*(1+$Q27),"N/A")</f>
        <v>0.57999999999999996</v>
      </c>
      <c r="T27" s="140">
        <f t="shared" si="0"/>
        <v>0.50898203592814373</v>
      </c>
      <c r="U27" s="140">
        <f t="shared" si="0"/>
        <v>1</v>
      </c>
      <c r="X27" s="2"/>
      <c r="Y27" s="2"/>
      <c r="Z27" s="2"/>
      <c r="AA27" s="2"/>
      <c r="AB27" s="2"/>
      <c r="AC27" s="2"/>
      <c r="AD27" s="2"/>
      <c r="AE27" s="2"/>
      <c r="AF27" s="2"/>
      <c r="AG27" s="2"/>
      <c r="AH27" s="2"/>
      <c r="AI27" s="2"/>
      <c r="AJ27" s="2"/>
      <c r="AK27" s="2"/>
    </row>
    <row r="28" spans="2:37" x14ac:dyDescent="0.3">
      <c r="C28" s="73" t="s">
        <v>143</v>
      </c>
      <c r="K28" s="25">
        <v>2</v>
      </c>
      <c r="N28" s="78" t="str">
        <f>$N$15</f>
        <v>Royalty Rate:</v>
      </c>
      <c r="Q28" s="136">
        <v>0</v>
      </c>
      <c r="R28" s="140" t="str">
        <f t="shared" ref="R28:R34" si="1">IFERROR(INDEX($N$13:$U$21,MATCH($N28,$N$13:$N$21,0),MATCH(R$26,$N$13:$U$13,0))*(1+$Q28),"N/A")</f>
        <v>N/A</v>
      </c>
      <c r="S28" s="140">
        <f t="shared" si="0"/>
        <v>0</v>
      </c>
      <c r="T28" s="140">
        <f t="shared" si="0"/>
        <v>0</v>
      </c>
      <c r="U28" s="140">
        <f t="shared" si="0"/>
        <v>0.17499999999999999</v>
      </c>
      <c r="X28" s="2"/>
      <c r="Y28" s="2"/>
      <c r="Z28" s="218"/>
      <c r="AA28" s="2"/>
      <c r="AB28" s="2"/>
      <c r="AC28" s="2"/>
      <c r="AD28" s="2"/>
      <c r="AE28" s="2"/>
      <c r="AF28" s="2"/>
      <c r="AG28" s="2"/>
      <c r="AH28" s="2"/>
      <c r="AI28" s="2"/>
      <c r="AJ28" s="2"/>
      <c r="AK28" s="2"/>
    </row>
    <row r="29" spans="2:37" x14ac:dyDescent="0.3">
      <c r="C29" t="s">
        <v>56</v>
      </c>
      <c r="K29" s="26">
        <v>0.35</v>
      </c>
      <c r="N29" s="78" t="str">
        <f>$N$16</f>
        <v>EUR (Mmcfe):</v>
      </c>
      <c r="O29" s="15"/>
      <c r="P29" s="15"/>
      <c r="Q29" s="136">
        <v>0</v>
      </c>
      <c r="R29" s="141" t="str">
        <f t="shared" si="1"/>
        <v>N/A</v>
      </c>
      <c r="S29" s="141">
        <f t="shared" si="0"/>
        <v>4292.5477980259948</v>
      </c>
      <c r="T29" s="141">
        <f t="shared" si="0"/>
        <v>7694.2121125604954</v>
      </c>
      <c r="U29" s="141">
        <f t="shared" si="0"/>
        <v>885.34201954397383</v>
      </c>
      <c r="X29" s="2"/>
      <c r="Y29" s="2"/>
      <c r="Z29" s="2"/>
      <c r="AA29" s="2"/>
      <c r="AB29" s="2"/>
      <c r="AC29" s="2"/>
      <c r="AD29" s="2"/>
      <c r="AE29" s="2"/>
      <c r="AF29" s="2"/>
      <c r="AG29" s="2"/>
      <c r="AH29" s="2"/>
      <c r="AI29" s="2"/>
      <c r="AJ29" s="2"/>
      <c r="AK29" s="2"/>
    </row>
    <row r="30" spans="2:37" x14ac:dyDescent="0.3">
      <c r="C30" t="s">
        <v>57</v>
      </c>
      <c r="K30" s="77">
        <v>17755</v>
      </c>
      <c r="N30" s="78" t="str">
        <f>$N$17</f>
        <v>IP Rate (Mmcfe / d):</v>
      </c>
      <c r="O30" s="15"/>
      <c r="P30" s="15"/>
      <c r="Q30" s="136">
        <v>0</v>
      </c>
      <c r="R30" s="141" t="str">
        <f t="shared" si="1"/>
        <v>N/A</v>
      </c>
      <c r="S30" s="141">
        <f t="shared" si="0"/>
        <v>7.7</v>
      </c>
      <c r="T30" s="141">
        <f t="shared" si="0"/>
        <v>6.4</v>
      </c>
      <c r="U30" s="141">
        <f t="shared" si="0"/>
        <v>0.82199999999999995</v>
      </c>
      <c r="X30" s="2"/>
      <c r="Y30" s="2"/>
      <c r="Z30" s="218"/>
      <c r="AA30" s="2"/>
      <c r="AB30" s="2"/>
      <c r="AC30" s="2"/>
      <c r="AD30" s="2"/>
      <c r="AE30" s="2"/>
      <c r="AF30" s="2"/>
      <c r="AG30" s="2"/>
      <c r="AH30" s="2"/>
      <c r="AI30" s="2"/>
      <c r="AJ30" s="2"/>
      <c r="AK30" s="2"/>
    </row>
    <row r="31" spans="2:37" x14ac:dyDescent="0.3">
      <c r="N31" s="78" t="str">
        <f>$N$18</f>
        <v>D&amp;C Cost Per Well ($ in MMs):</v>
      </c>
      <c r="O31" s="15"/>
      <c r="P31" s="15"/>
      <c r="Q31" s="136">
        <v>0</v>
      </c>
      <c r="R31" s="142" t="str">
        <f t="shared" si="1"/>
        <v>N/A</v>
      </c>
      <c r="S31" s="142">
        <f t="shared" si="0"/>
        <v>4.0999999999999996</v>
      </c>
      <c r="T31" s="142">
        <f t="shared" si="0"/>
        <v>7</v>
      </c>
      <c r="U31" s="142">
        <f t="shared" si="0"/>
        <v>1.334086956521739</v>
      </c>
      <c r="X31" s="2"/>
      <c r="Y31" s="2"/>
      <c r="Z31" s="2"/>
      <c r="AA31" s="2"/>
      <c r="AB31" s="2"/>
      <c r="AC31" s="2"/>
      <c r="AD31" s="2"/>
      <c r="AE31" s="2"/>
      <c r="AF31" s="2"/>
      <c r="AG31" s="2"/>
      <c r="AH31" s="2"/>
      <c r="AI31" s="2"/>
      <c r="AJ31" s="2"/>
      <c r="AK31" s="2"/>
    </row>
    <row r="32" spans="2:37" x14ac:dyDescent="0.3">
      <c r="C32" s="3" t="s">
        <v>58</v>
      </c>
      <c r="D32" s="4"/>
      <c r="E32" s="4"/>
      <c r="F32" s="4"/>
      <c r="G32" s="4"/>
      <c r="H32" s="4"/>
      <c r="I32" s="4"/>
      <c r="J32" s="4"/>
      <c r="K32" s="4"/>
      <c r="N32" s="78" t="str">
        <f>$N$19</f>
        <v>% Gas:</v>
      </c>
      <c r="Q32" s="136">
        <v>0</v>
      </c>
      <c r="R32" s="140">
        <f t="shared" si="1"/>
        <v>0.96741753821399834</v>
      </c>
      <c r="S32" s="140">
        <f t="shared" si="0"/>
        <v>0.9618282270215972</v>
      </c>
      <c r="T32" s="140">
        <f t="shared" si="0"/>
        <v>0.9618282270215972</v>
      </c>
      <c r="U32" s="140">
        <f t="shared" si="0"/>
        <v>0</v>
      </c>
      <c r="V32" s="109"/>
      <c r="X32" s="2"/>
      <c r="Y32" s="2"/>
      <c r="Z32" s="2"/>
      <c r="AA32" s="2"/>
      <c r="AB32" s="2"/>
      <c r="AC32" s="2"/>
      <c r="AD32" s="2"/>
      <c r="AE32" s="2"/>
      <c r="AF32" s="2"/>
      <c r="AG32" s="2"/>
      <c r="AH32" s="2"/>
      <c r="AI32" s="2"/>
      <c r="AJ32" s="2"/>
      <c r="AK32" s="2"/>
    </row>
    <row r="33" spans="2:37" x14ac:dyDescent="0.3">
      <c r="C33" s="74" t="s">
        <v>63</v>
      </c>
      <c r="K33" s="12">
        <f ca="1">+Rollup!G72+Rollup!G122+Rollup!G172</f>
        <v>4162984.6947368309</v>
      </c>
      <c r="N33" s="78" t="str">
        <f>$N$20</f>
        <v>% NGLs:</v>
      </c>
      <c r="Q33" s="136">
        <v>0</v>
      </c>
      <c r="R33" s="140">
        <f t="shared" si="1"/>
        <v>0</v>
      </c>
      <c r="S33" s="140">
        <f t="shared" si="0"/>
        <v>0</v>
      </c>
      <c r="T33" s="140">
        <f t="shared" si="0"/>
        <v>0</v>
      </c>
      <c r="U33" s="140">
        <f t="shared" si="0"/>
        <v>0</v>
      </c>
      <c r="V33" s="110"/>
      <c r="X33" s="2"/>
      <c r="Y33" s="2"/>
      <c r="Z33" s="2"/>
      <c r="AA33" s="2"/>
      <c r="AB33" s="2"/>
      <c r="AC33" s="2"/>
      <c r="AD33" s="2"/>
      <c r="AE33" s="2"/>
      <c r="AF33" s="2"/>
      <c r="AG33" s="2"/>
      <c r="AH33" s="2"/>
      <c r="AI33" s="2"/>
      <c r="AJ33" s="2"/>
      <c r="AK33" s="2"/>
    </row>
    <row r="34" spans="2:37" x14ac:dyDescent="0.3">
      <c r="C34" s="74" t="s">
        <v>64</v>
      </c>
      <c r="K34" s="12">
        <f ca="1">+Rollup!G322-Assumptions!K33</f>
        <v>7870398.748663716</v>
      </c>
      <c r="N34" s="78" t="str">
        <f>$N$21</f>
        <v>% Oil:</v>
      </c>
      <c r="Q34" s="136">
        <v>0</v>
      </c>
      <c r="R34" s="140">
        <f t="shared" si="1"/>
        <v>3.258246178600166E-2</v>
      </c>
      <c r="S34" s="140">
        <f t="shared" si="0"/>
        <v>3.8171772978402796E-2</v>
      </c>
      <c r="T34" s="140">
        <f t="shared" si="0"/>
        <v>3.8171772978402796E-2</v>
      </c>
      <c r="U34" s="140">
        <f t="shared" si="0"/>
        <v>1</v>
      </c>
      <c r="X34" s="2"/>
      <c r="Y34" s="2"/>
      <c r="Z34" s="2"/>
      <c r="AA34" s="2"/>
      <c r="AB34" s="2"/>
      <c r="AC34" s="2"/>
      <c r="AD34" s="2"/>
      <c r="AE34" s="2"/>
      <c r="AF34" s="2"/>
      <c r="AG34" s="2"/>
      <c r="AH34" s="2"/>
      <c r="AI34" s="2"/>
      <c r="AJ34" s="2"/>
      <c r="AK34" s="2"/>
    </row>
    <row r="35" spans="2:37" x14ac:dyDescent="0.3">
      <c r="C35" s="74" t="s">
        <v>65</v>
      </c>
      <c r="K35" s="79">
        <f ca="1">+IFERROR(K36/K34,(Data!L59*Data!O59+Data!L60*Data!O60+Data!L61*Data!O61)/(Data!L59+Data!L60+Data!L61))</f>
        <v>0.94077297658489245</v>
      </c>
      <c r="X35" s="2"/>
      <c r="Y35" s="2"/>
      <c r="Z35" s="2"/>
      <c r="AA35" s="2"/>
      <c r="AB35" s="2"/>
      <c r="AC35" s="2"/>
      <c r="AD35" s="2"/>
      <c r="AE35" s="2"/>
      <c r="AF35" s="2"/>
      <c r="AG35" s="2"/>
      <c r="AH35" s="2"/>
      <c r="AI35" s="2"/>
      <c r="AJ35" s="2"/>
      <c r="AK35" s="2"/>
    </row>
    <row r="36" spans="2:37" x14ac:dyDescent="0.3">
      <c r="C36" s="78" t="s">
        <v>66</v>
      </c>
      <c r="K36" s="55">
        <f ca="1">+Rollup!AE322-Rollup!AE172-Rollup!AE122-Rollup!AE72</f>
        <v>7404258.4576903768</v>
      </c>
      <c r="X36" s="2"/>
      <c r="Y36" s="2"/>
      <c r="Z36" s="2"/>
      <c r="AA36" s="2"/>
      <c r="AB36" s="2"/>
      <c r="AC36" s="2"/>
      <c r="AD36" s="2"/>
      <c r="AE36" s="2"/>
      <c r="AF36" s="2"/>
      <c r="AG36" s="2"/>
      <c r="AH36" s="2"/>
      <c r="AI36" s="2"/>
      <c r="AJ36" s="2"/>
      <c r="AK36" s="2"/>
    </row>
    <row r="37" spans="2:37" x14ac:dyDescent="0.3">
      <c r="X37" s="2"/>
      <c r="Y37" s="2"/>
      <c r="Z37" s="2"/>
      <c r="AA37" s="2"/>
      <c r="AB37" s="2"/>
      <c r="AC37" s="2"/>
      <c r="AD37" s="2"/>
      <c r="AE37" s="2"/>
      <c r="AF37" s="2"/>
      <c r="AG37" s="2"/>
      <c r="AH37" s="2"/>
      <c r="AI37" s="2"/>
      <c r="AJ37" s="2"/>
      <c r="AK37" s="2"/>
    </row>
    <row r="38" spans="2:37" x14ac:dyDescent="0.3">
      <c r="C38" s="78" t="s">
        <v>74</v>
      </c>
      <c r="K38" s="26">
        <v>0</v>
      </c>
      <c r="M38" s="3" t="s">
        <v>23</v>
      </c>
      <c r="N38" s="4"/>
      <c r="O38" s="4"/>
      <c r="P38" s="4"/>
      <c r="Q38" s="4"/>
      <c r="R38" s="4"/>
      <c r="S38" s="4"/>
      <c r="T38" s="4"/>
      <c r="U38" s="4"/>
      <c r="V38" s="4"/>
      <c r="X38" s="2"/>
      <c r="Y38" s="2"/>
      <c r="Z38" s="2"/>
      <c r="AA38" s="2"/>
      <c r="AB38" s="2"/>
      <c r="AC38" s="2"/>
      <c r="AD38" s="2"/>
      <c r="AE38" s="2"/>
      <c r="AF38" s="2"/>
      <c r="AG38" s="2"/>
      <c r="AH38" s="2"/>
      <c r="AI38" s="2"/>
      <c r="AJ38" s="2"/>
      <c r="AK38" s="2"/>
    </row>
    <row r="39" spans="2:37" x14ac:dyDescent="0.3">
      <c r="C39" s="78" t="s">
        <v>73</v>
      </c>
      <c r="K39" s="41">
        <f>1-K38</f>
        <v>1</v>
      </c>
      <c r="M39" s="16"/>
      <c r="N39" s="15"/>
      <c r="O39" s="15"/>
      <c r="P39" s="15"/>
      <c r="Q39" s="15"/>
      <c r="R39" s="15"/>
      <c r="S39" s="15"/>
      <c r="T39" s="15"/>
      <c r="U39" s="15"/>
      <c r="V39" s="15"/>
      <c r="X39" s="2"/>
      <c r="Y39" s="2"/>
      <c r="Z39" s="2"/>
      <c r="AA39" s="2"/>
      <c r="AB39" s="2"/>
      <c r="AC39" s="2"/>
      <c r="AD39" s="2"/>
      <c r="AE39" s="2"/>
      <c r="AF39" s="2"/>
      <c r="AG39" s="2"/>
      <c r="AH39" s="2"/>
      <c r="AI39" s="2"/>
      <c r="AJ39" s="2"/>
      <c r="AK39" s="2"/>
    </row>
    <row r="40" spans="2:37" x14ac:dyDescent="0.3">
      <c r="M40" s="16"/>
      <c r="N40" s="1" t="s">
        <v>135</v>
      </c>
      <c r="P40" s="303">
        <v>2</v>
      </c>
      <c r="Q40" s="304">
        <v>6</v>
      </c>
      <c r="R40" s="304">
        <v>6</v>
      </c>
      <c r="S40" s="305">
        <v>6</v>
      </c>
      <c r="V40" s="15"/>
      <c r="X40" s="2"/>
      <c r="Y40" s="2"/>
      <c r="Z40" s="2"/>
      <c r="AA40" s="2"/>
      <c r="AB40" s="2"/>
      <c r="AC40" s="2"/>
      <c r="AD40" s="2"/>
      <c r="AE40" s="2"/>
      <c r="AF40" s="2"/>
      <c r="AG40" s="2"/>
      <c r="AH40" s="2"/>
      <c r="AI40" s="2"/>
      <c r="AJ40" s="2"/>
      <c r="AK40" s="2"/>
    </row>
    <row r="41" spans="2:37" x14ac:dyDescent="0.3">
      <c r="C41" s="78" t="s">
        <v>59</v>
      </c>
      <c r="K41" s="81">
        <v>1657500</v>
      </c>
      <c r="M41" s="2"/>
      <c r="X41" s="2"/>
      <c r="Y41" s="2"/>
      <c r="Z41" s="2"/>
      <c r="AA41" s="2"/>
      <c r="AB41" s="2"/>
      <c r="AC41" s="2"/>
      <c r="AD41" s="2"/>
      <c r="AE41" s="2"/>
      <c r="AF41" s="2"/>
      <c r="AG41" s="2"/>
      <c r="AH41" s="2"/>
      <c r="AI41" s="2"/>
      <c r="AJ41" s="2"/>
      <c r="AK41" s="2"/>
    </row>
    <row r="42" spans="2:37" x14ac:dyDescent="0.3">
      <c r="C42" s="78" t="s">
        <v>60</v>
      </c>
      <c r="K42" s="6">
        <v>0</v>
      </c>
      <c r="M42" s="2"/>
      <c r="P42" s="37" t="s">
        <v>2</v>
      </c>
      <c r="Q42" s="23"/>
      <c r="R42" s="23"/>
      <c r="S42" s="23"/>
      <c r="X42" s="2"/>
      <c r="Y42" s="2"/>
      <c r="Z42" s="2"/>
      <c r="AA42" s="2"/>
      <c r="AB42" s="2"/>
      <c r="AC42" s="2"/>
      <c r="AD42" s="2"/>
      <c r="AE42" s="2"/>
      <c r="AF42" s="2"/>
      <c r="AG42" s="2"/>
      <c r="AH42" s="2"/>
      <c r="AI42" s="2"/>
      <c r="AJ42" s="2"/>
      <c r="AK42" s="2"/>
    </row>
    <row r="43" spans="2:37" x14ac:dyDescent="0.3">
      <c r="C43" s="78" t="s">
        <v>61</v>
      </c>
      <c r="K43" s="64">
        <f>Stat_Tax_Rate</f>
        <v>0.35</v>
      </c>
      <c r="N43" s="3" t="s">
        <v>81</v>
      </c>
      <c r="O43" s="4"/>
      <c r="P43" s="11" t="str">
        <f>$R$13</f>
        <v>PD</v>
      </c>
      <c r="Q43" s="11" t="str">
        <f>$S$26</f>
        <v>WY</v>
      </c>
      <c r="R43" s="11" t="str">
        <f>$T$26</f>
        <v>PA</v>
      </c>
      <c r="S43" s="11" t="str">
        <f>$U$26</f>
        <v>UT</v>
      </c>
      <c r="T43" s="4"/>
      <c r="U43" s="13"/>
      <c r="V43" s="13"/>
      <c r="X43" s="2"/>
      <c r="Y43" s="2"/>
      <c r="Z43" s="2"/>
      <c r="AA43" s="2"/>
      <c r="AB43" s="2"/>
      <c r="AC43" s="2"/>
      <c r="AD43" s="2"/>
      <c r="AE43" s="2"/>
      <c r="AF43" s="2"/>
      <c r="AG43" s="2"/>
      <c r="AH43" s="2"/>
      <c r="AI43" s="2"/>
      <c r="AJ43" s="2"/>
      <c r="AK43" s="2"/>
    </row>
    <row r="44" spans="2:37" x14ac:dyDescent="0.3">
      <c r="C44" s="78" t="s">
        <v>62</v>
      </c>
      <c r="K44" s="52">
        <f>+K42/K43</f>
        <v>0</v>
      </c>
      <c r="N44" s="78" t="str">
        <f>$N$51</f>
        <v>PDP</v>
      </c>
      <c r="P44" s="41">
        <f ca="1">OFFSET($O51,0,P$40)</f>
        <v>1</v>
      </c>
      <c r="Q44" s="41">
        <f t="shared" ref="Q44:S44" ca="1" si="2">OFFSET($O51,0,Q$40)</f>
        <v>1</v>
      </c>
      <c r="R44" s="41">
        <f t="shared" ca="1" si="2"/>
        <v>1</v>
      </c>
      <c r="S44" s="41">
        <f t="shared" ca="1" si="2"/>
        <v>1</v>
      </c>
      <c r="X44" s="2"/>
      <c r="Y44" s="2"/>
      <c r="Z44" s="2"/>
      <c r="AA44" s="2"/>
      <c r="AB44" s="2"/>
      <c r="AC44" s="2"/>
      <c r="AD44" s="2"/>
      <c r="AE44" s="2"/>
      <c r="AF44" s="2"/>
      <c r="AG44" s="2"/>
      <c r="AH44" s="2"/>
      <c r="AI44" s="2"/>
      <c r="AJ44" s="2"/>
      <c r="AK44" s="2"/>
    </row>
    <row r="45" spans="2:37" x14ac:dyDescent="0.3">
      <c r="C45" s="78" t="s">
        <v>72</v>
      </c>
      <c r="K45" s="12">
        <f>+K41-K44</f>
        <v>1657500</v>
      </c>
      <c r="N45" s="128" t="str">
        <f>$N$52</f>
        <v>PDNP</v>
      </c>
      <c r="P45" s="41">
        <f t="shared" ref="P45:S45" ca="1" si="3">OFFSET($O52,0,P$40)</f>
        <v>1</v>
      </c>
      <c r="Q45" s="41">
        <f t="shared" ca="1" si="3"/>
        <v>1</v>
      </c>
      <c r="R45" s="41">
        <f t="shared" ca="1" si="3"/>
        <v>1</v>
      </c>
      <c r="S45" s="41">
        <f t="shared" ca="1" si="3"/>
        <v>1</v>
      </c>
      <c r="X45" s="2"/>
      <c r="Y45" s="2"/>
      <c r="Z45" s="2"/>
      <c r="AA45" s="2"/>
      <c r="AB45" s="2"/>
      <c r="AC45" s="2"/>
      <c r="AD45" s="2"/>
      <c r="AE45" s="2"/>
      <c r="AF45" s="2"/>
      <c r="AG45" s="2"/>
      <c r="AH45" s="2"/>
      <c r="AI45" s="2"/>
      <c r="AJ45" s="2"/>
      <c r="AK45" s="2"/>
    </row>
    <row r="46" spans="2:37" x14ac:dyDescent="0.3">
      <c r="N46" s="128" t="str">
        <f>$N$53</f>
        <v>PUD</v>
      </c>
      <c r="P46" s="41">
        <f t="shared" ref="P46:S46" ca="1" si="4">OFFSET($O53,0,P$40)</f>
        <v>1</v>
      </c>
      <c r="Q46" s="41">
        <f t="shared" ca="1" si="4"/>
        <v>1</v>
      </c>
      <c r="R46" s="41">
        <f t="shared" ca="1" si="4"/>
        <v>1</v>
      </c>
      <c r="S46" s="41">
        <f t="shared" ca="1" si="4"/>
        <v>1</v>
      </c>
      <c r="X46" s="2"/>
      <c r="Y46" s="2"/>
      <c r="Z46" s="2"/>
      <c r="AA46" s="2"/>
      <c r="AB46" s="2"/>
      <c r="AC46" s="2"/>
      <c r="AD46" s="2"/>
      <c r="AE46" s="2"/>
      <c r="AF46" s="2"/>
      <c r="AG46" s="2"/>
      <c r="AH46" s="2"/>
      <c r="AI46" s="2"/>
      <c r="AJ46" s="2"/>
      <c r="AK46" s="2"/>
    </row>
    <row r="47" spans="2:37" x14ac:dyDescent="0.3">
      <c r="B47" s="3" t="s">
        <v>141</v>
      </c>
      <c r="C47" s="4"/>
      <c r="D47" s="4"/>
      <c r="E47" s="4"/>
      <c r="F47" s="4"/>
      <c r="G47" s="4"/>
      <c r="H47" s="4"/>
      <c r="I47" s="4"/>
      <c r="J47" s="4"/>
      <c r="K47" s="4"/>
      <c r="N47" s="128" t="str">
        <f>$N$54</f>
        <v>PROB</v>
      </c>
      <c r="P47" s="41">
        <f t="shared" ref="P47:S47" ca="1" si="5">OFFSET($O54,0,P$40)</f>
        <v>0.75</v>
      </c>
      <c r="Q47" s="41">
        <f t="shared" ca="1" si="5"/>
        <v>0.5</v>
      </c>
      <c r="R47" s="41">
        <f t="shared" ca="1" si="5"/>
        <v>0.5</v>
      </c>
      <c r="S47" s="41">
        <f t="shared" ca="1" si="5"/>
        <v>0.5</v>
      </c>
      <c r="X47" s="2"/>
      <c r="Y47" s="2"/>
      <c r="Z47" s="2"/>
      <c r="AA47" s="2"/>
      <c r="AB47" s="2"/>
      <c r="AC47" s="2"/>
      <c r="AD47" s="2"/>
      <c r="AE47" s="2"/>
      <c r="AF47" s="2"/>
      <c r="AG47" s="2"/>
      <c r="AH47" s="2"/>
      <c r="AI47" s="2"/>
      <c r="AJ47" s="2"/>
      <c r="AK47" s="2"/>
    </row>
    <row r="48" spans="2:37" x14ac:dyDescent="0.3">
      <c r="C48" s="56">
        <f>$K$17</f>
        <v>3</v>
      </c>
      <c r="N48" s="128" t="str">
        <f>$N$55</f>
        <v>POSS</v>
      </c>
      <c r="P48" s="41">
        <f t="shared" ref="P48:S48" ca="1" si="6">OFFSET($O55,0,P$40)</f>
        <v>0.75</v>
      </c>
      <c r="Q48" s="41">
        <f t="shared" ca="1" si="6"/>
        <v>0.1</v>
      </c>
      <c r="R48" s="41">
        <f t="shared" ca="1" si="6"/>
        <v>0.1</v>
      </c>
      <c r="S48" s="41">
        <f t="shared" ca="1" si="6"/>
        <v>0.1</v>
      </c>
      <c r="X48" s="2"/>
      <c r="Y48" s="2"/>
      <c r="Z48" s="2"/>
      <c r="AA48" s="2"/>
      <c r="AB48" s="2"/>
      <c r="AC48" s="2"/>
      <c r="AD48" s="2"/>
      <c r="AE48" s="2"/>
      <c r="AF48" s="2"/>
      <c r="AG48" s="2"/>
      <c r="AH48" s="2"/>
      <c r="AI48" s="2"/>
      <c r="AJ48" s="2"/>
      <c r="AK48" s="2"/>
    </row>
    <row r="49" spans="3:37" x14ac:dyDescent="0.3">
      <c r="X49" s="2"/>
      <c r="Y49" s="2"/>
      <c r="Z49" s="2"/>
      <c r="AA49" s="2"/>
      <c r="AB49" s="2"/>
      <c r="AC49" s="2"/>
      <c r="AD49" s="2"/>
      <c r="AE49" s="2"/>
      <c r="AF49" s="2"/>
      <c r="AG49" s="2"/>
      <c r="AH49" s="2"/>
      <c r="AI49" s="2"/>
      <c r="AJ49" s="2"/>
      <c r="AK49" s="2"/>
    </row>
    <row r="50" spans="3:37" x14ac:dyDescent="0.3">
      <c r="D50" s="61" t="s">
        <v>39</v>
      </c>
      <c r="E50" s="42">
        <v>1</v>
      </c>
      <c r="F50" s="42">
        <v>2</v>
      </c>
      <c r="G50" s="42">
        <v>3</v>
      </c>
      <c r="H50" s="42">
        <v>4</v>
      </c>
      <c r="I50" s="15"/>
      <c r="J50" s="15"/>
      <c r="K50" s="15"/>
      <c r="N50" s="3" t="s">
        <v>23</v>
      </c>
      <c r="O50" s="4"/>
      <c r="P50" s="40">
        <v>1</v>
      </c>
      <c r="Q50" s="40">
        <v>2</v>
      </c>
      <c r="R50" s="40">
        <v>3</v>
      </c>
      <c r="S50" s="40">
        <v>4</v>
      </c>
      <c r="T50" s="40">
        <v>5</v>
      </c>
      <c r="U50" s="40">
        <v>6</v>
      </c>
      <c r="X50" s="2"/>
      <c r="Y50" s="2"/>
      <c r="Z50" s="2"/>
      <c r="AA50" s="2"/>
      <c r="AB50" s="2"/>
      <c r="AC50" s="2"/>
      <c r="AD50" s="2"/>
      <c r="AE50" s="2"/>
      <c r="AF50" s="2"/>
      <c r="AG50" s="2"/>
      <c r="AH50" s="2"/>
      <c r="AI50" s="2"/>
      <c r="AJ50" s="2"/>
      <c r="AK50" s="2"/>
    </row>
    <row r="51" spans="3:37" x14ac:dyDescent="0.3">
      <c r="C51" s="13" t="s">
        <v>9</v>
      </c>
      <c r="D51" s="24" t="str">
        <f ca="1">OFFSET($D$50,1,$C$48)</f>
        <v>7-Year</v>
      </c>
      <c r="E51" s="13" t="s">
        <v>68</v>
      </c>
      <c r="F51" s="13" t="s">
        <v>69</v>
      </c>
      <c r="G51" s="13" t="s">
        <v>70</v>
      </c>
      <c r="H51" s="13" t="s">
        <v>71</v>
      </c>
      <c r="N51" s="127" t="s">
        <v>27</v>
      </c>
      <c r="P51" s="87">
        <v>1</v>
      </c>
      <c r="Q51" s="88">
        <v>1</v>
      </c>
      <c r="R51" s="88">
        <v>1</v>
      </c>
      <c r="S51" s="88">
        <v>1</v>
      </c>
      <c r="T51" s="88">
        <v>1</v>
      </c>
      <c r="U51" s="89">
        <v>1</v>
      </c>
      <c r="X51" s="2"/>
      <c r="Y51" s="2"/>
      <c r="Z51" s="2"/>
      <c r="AA51" s="2"/>
      <c r="AB51" s="2"/>
      <c r="AC51" s="2"/>
      <c r="AD51" s="2"/>
      <c r="AE51" s="2"/>
      <c r="AF51" s="2"/>
      <c r="AG51" s="2"/>
      <c r="AH51" s="2"/>
      <c r="AI51" s="2"/>
      <c r="AJ51" s="2"/>
      <c r="AK51" s="2"/>
    </row>
    <row r="52" spans="3:37" x14ac:dyDescent="0.3">
      <c r="C52" s="42">
        <v>1</v>
      </c>
      <c r="D52" s="126">
        <f ca="1">+OFFSET($C52,0,$C$48+1)</f>
        <v>0.14299999999999999</v>
      </c>
      <c r="E52" s="87">
        <v>0.33300000000000002</v>
      </c>
      <c r="F52" s="88">
        <v>0.2</v>
      </c>
      <c r="G52" s="88">
        <v>0.14299999999999999</v>
      </c>
      <c r="H52" s="89">
        <v>0.1</v>
      </c>
      <c r="N52" s="127" t="s">
        <v>28</v>
      </c>
      <c r="P52" s="90">
        <v>1</v>
      </c>
      <c r="Q52" s="91">
        <v>1</v>
      </c>
      <c r="R52" s="91">
        <v>1</v>
      </c>
      <c r="S52" s="91">
        <v>1</v>
      </c>
      <c r="T52" s="91">
        <v>1</v>
      </c>
      <c r="U52" s="92">
        <v>1</v>
      </c>
      <c r="X52" s="2"/>
      <c r="Y52" s="2"/>
      <c r="Z52" s="2"/>
      <c r="AA52" s="2"/>
      <c r="AB52" s="2"/>
      <c r="AC52" s="2"/>
      <c r="AD52" s="2"/>
      <c r="AE52" s="2"/>
      <c r="AF52" s="2"/>
      <c r="AG52" s="2"/>
      <c r="AH52" s="2"/>
      <c r="AI52" s="2"/>
      <c r="AJ52" s="2"/>
      <c r="AK52" s="2"/>
    </row>
    <row r="53" spans="3:37" x14ac:dyDescent="0.3">
      <c r="C53" s="17">
        <f t="shared" ref="C53:C62" si="7">C52+1</f>
        <v>2</v>
      </c>
      <c r="D53" s="126">
        <f t="shared" ref="D53:D62" ca="1" si="8">+OFFSET($C53,0,$C$48+1)</f>
        <v>0.245</v>
      </c>
      <c r="E53" s="90">
        <v>0.44500000000000001</v>
      </c>
      <c r="F53" s="91">
        <v>0.32</v>
      </c>
      <c r="G53" s="91">
        <v>0.245</v>
      </c>
      <c r="H53" s="92">
        <v>0.18</v>
      </c>
      <c r="N53" s="127" t="s">
        <v>29</v>
      </c>
      <c r="P53" s="90">
        <v>1</v>
      </c>
      <c r="Q53" s="91">
        <v>1</v>
      </c>
      <c r="R53" s="91">
        <v>1</v>
      </c>
      <c r="S53" s="91">
        <v>1</v>
      </c>
      <c r="T53" s="91">
        <v>1</v>
      </c>
      <c r="U53" s="92">
        <v>1</v>
      </c>
      <c r="X53" s="2"/>
      <c r="Y53" s="2"/>
      <c r="Z53" s="2"/>
      <c r="AA53" s="2"/>
      <c r="AB53" s="2"/>
      <c r="AC53" s="2"/>
      <c r="AD53" s="2"/>
      <c r="AE53" s="2"/>
      <c r="AF53" s="2"/>
      <c r="AG53" s="2"/>
      <c r="AH53" s="2"/>
      <c r="AI53" s="2"/>
    </row>
    <row r="54" spans="3:37" x14ac:dyDescent="0.3">
      <c r="C54" s="17">
        <f t="shared" si="7"/>
        <v>3</v>
      </c>
      <c r="D54" s="126">
        <f t="shared" ca="1" si="8"/>
        <v>0.17499999999999999</v>
      </c>
      <c r="E54" s="90">
        <v>0.14799999999999999</v>
      </c>
      <c r="F54" s="91">
        <v>0.192</v>
      </c>
      <c r="G54" s="91">
        <v>0.17499999999999999</v>
      </c>
      <c r="H54" s="92">
        <v>0.14399999999999999</v>
      </c>
      <c r="N54" s="127" t="s">
        <v>30</v>
      </c>
      <c r="P54" s="90">
        <v>1</v>
      </c>
      <c r="Q54" s="91">
        <v>0.75</v>
      </c>
      <c r="R54" s="91">
        <v>0.5</v>
      </c>
      <c r="S54" s="91">
        <v>0.25</v>
      </c>
      <c r="T54" s="91">
        <v>0.75</v>
      </c>
      <c r="U54" s="92">
        <v>0.5</v>
      </c>
      <c r="X54" s="2"/>
      <c r="Y54" s="2"/>
      <c r="Z54" s="2"/>
      <c r="AA54" s="2"/>
      <c r="AB54" s="2"/>
      <c r="AC54" s="2"/>
      <c r="AD54" s="2"/>
      <c r="AE54" s="2"/>
      <c r="AF54" s="2"/>
      <c r="AG54" s="2"/>
      <c r="AH54" s="2"/>
      <c r="AI54" s="2"/>
    </row>
    <row r="55" spans="3:37" x14ac:dyDescent="0.3">
      <c r="C55" s="17">
        <f t="shared" si="7"/>
        <v>4</v>
      </c>
      <c r="D55" s="126">
        <f t="shared" ca="1" si="8"/>
        <v>0.125</v>
      </c>
      <c r="E55" s="90">
        <v>7.3999999999999996E-2</v>
      </c>
      <c r="F55" s="91">
        <v>0.115</v>
      </c>
      <c r="G55" s="91">
        <v>0.125</v>
      </c>
      <c r="H55" s="92">
        <v>0.115</v>
      </c>
      <c r="N55" s="127" t="s">
        <v>31</v>
      </c>
      <c r="P55" s="93">
        <v>1</v>
      </c>
      <c r="Q55" s="94">
        <v>0.75</v>
      </c>
      <c r="R55" s="94">
        <v>0.5</v>
      </c>
      <c r="S55" s="94">
        <v>0.25</v>
      </c>
      <c r="T55" s="94">
        <v>0.5</v>
      </c>
      <c r="U55" s="95">
        <v>0.1</v>
      </c>
      <c r="X55" s="2"/>
      <c r="Y55" s="2"/>
      <c r="Z55" s="2"/>
      <c r="AA55" s="2"/>
      <c r="AB55" s="2"/>
      <c r="AC55" s="2"/>
      <c r="AD55" s="2"/>
      <c r="AE55" s="2"/>
      <c r="AF55" s="2"/>
      <c r="AG55" s="2"/>
      <c r="AH55" s="2"/>
      <c r="AI55" s="2"/>
    </row>
    <row r="56" spans="3:37" x14ac:dyDescent="0.3">
      <c r="C56" s="17">
        <f t="shared" si="7"/>
        <v>5</v>
      </c>
      <c r="D56" s="126">
        <f t="shared" ca="1" si="8"/>
        <v>8.8999999999999996E-2</v>
      </c>
      <c r="E56" s="90">
        <v>0</v>
      </c>
      <c r="F56" s="91">
        <v>0.115</v>
      </c>
      <c r="G56" s="91">
        <v>8.8999999999999996E-2</v>
      </c>
      <c r="H56" s="92">
        <v>9.1999999999999998E-2</v>
      </c>
      <c r="X56" s="2"/>
      <c r="Y56" s="2"/>
      <c r="Z56" s="2"/>
      <c r="AA56" s="2"/>
      <c r="AB56" s="2"/>
      <c r="AC56" s="2"/>
      <c r="AD56" s="2"/>
      <c r="AE56" s="2"/>
      <c r="AF56" s="2"/>
      <c r="AG56" s="2"/>
      <c r="AH56" s="2"/>
      <c r="AI56" s="2"/>
    </row>
    <row r="57" spans="3:37" x14ac:dyDescent="0.3">
      <c r="C57" s="17">
        <f t="shared" si="7"/>
        <v>6</v>
      </c>
      <c r="D57" s="126">
        <f t="shared" ca="1" si="8"/>
        <v>8.8999999999999996E-2</v>
      </c>
      <c r="E57" s="90">
        <v>0</v>
      </c>
      <c r="F57" s="91">
        <v>5.8000000000000003E-2</v>
      </c>
      <c r="G57" s="91">
        <v>8.8999999999999996E-2</v>
      </c>
      <c r="H57" s="92">
        <v>7.3999999999999996E-2</v>
      </c>
      <c r="M57" s="3" t="s">
        <v>15</v>
      </c>
      <c r="N57" s="4"/>
      <c r="O57" s="4"/>
      <c r="P57" s="4"/>
      <c r="Q57" s="4"/>
      <c r="R57" s="4"/>
      <c r="S57" s="4"/>
      <c r="T57" s="4"/>
      <c r="U57" s="4"/>
      <c r="V57" s="4"/>
      <c r="W57" s="4"/>
      <c r="X57" s="4"/>
      <c r="Y57" s="4"/>
      <c r="Z57" s="4"/>
      <c r="AA57" s="4"/>
      <c r="AB57" s="4"/>
    </row>
    <row r="58" spans="3:37" x14ac:dyDescent="0.3">
      <c r="C58" s="17">
        <f t="shared" si="7"/>
        <v>7</v>
      </c>
      <c r="D58" s="126">
        <f t="shared" ca="1" si="8"/>
        <v>8.8999999999999996E-2</v>
      </c>
      <c r="E58" s="90">
        <v>0</v>
      </c>
      <c r="F58" s="91">
        <v>0</v>
      </c>
      <c r="G58" s="91">
        <v>8.8999999999999996E-2</v>
      </c>
      <c r="H58" s="92">
        <v>6.6000000000000003E-2</v>
      </c>
      <c r="N58" s="56">
        <f>$K$13</f>
        <v>1</v>
      </c>
    </row>
    <row r="59" spans="3:37" x14ac:dyDescent="0.3">
      <c r="C59" s="17">
        <f t="shared" si="7"/>
        <v>8</v>
      </c>
      <c r="D59" s="126">
        <f t="shared" ca="1" si="8"/>
        <v>4.4999999999999998E-2</v>
      </c>
      <c r="E59" s="90">
        <v>0</v>
      </c>
      <c r="F59" s="91">
        <v>0</v>
      </c>
      <c r="G59" s="91">
        <v>4.4999999999999998E-2</v>
      </c>
      <c r="H59" s="92">
        <v>6.6000000000000003E-2</v>
      </c>
      <c r="O59" s="44" t="s">
        <v>39</v>
      </c>
      <c r="P59" s="43"/>
      <c r="Q59" s="14" t="s">
        <v>32</v>
      </c>
      <c r="R59" s="45"/>
      <c r="S59" s="14" t="s">
        <v>34</v>
      </c>
      <c r="T59" s="45"/>
      <c r="U59" s="14" t="s">
        <v>35</v>
      </c>
      <c r="V59" s="45"/>
      <c r="W59" s="14" t="s">
        <v>36</v>
      </c>
      <c r="X59" s="45"/>
      <c r="Y59" s="14" t="s">
        <v>37</v>
      </c>
      <c r="Z59" s="45"/>
      <c r="AA59" s="14" t="s">
        <v>38</v>
      </c>
      <c r="AB59" s="45"/>
    </row>
    <row r="60" spans="3:37" x14ac:dyDescent="0.3">
      <c r="C60" s="17">
        <f t="shared" si="7"/>
        <v>9</v>
      </c>
      <c r="D60" s="126">
        <f t="shared" ca="1" si="8"/>
        <v>0</v>
      </c>
      <c r="E60" s="90">
        <v>0</v>
      </c>
      <c r="F60" s="91">
        <v>0</v>
      </c>
      <c r="G60" s="91">
        <v>0</v>
      </c>
      <c r="H60" s="92">
        <v>6.5000000000000002E-2</v>
      </c>
      <c r="O60" s="44" t="str">
        <f ca="1">OFFSET($Q$59,0,($N$58-1)*2)</f>
        <v>Case 1: Strip Pricing</v>
      </c>
      <c r="P60" s="14"/>
    </row>
    <row r="61" spans="3:37" x14ac:dyDescent="0.3">
      <c r="C61" s="17">
        <f t="shared" si="7"/>
        <v>10</v>
      </c>
      <c r="D61" s="126">
        <f t="shared" ca="1" si="8"/>
        <v>0</v>
      </c>
      <c r="E61" s="90">
        <v>0</v>
      </c>
      <c r="F61" s="91">
        <v>0</v>
      </c>
      <c r="G61" s="91">
        <v>0</v>
      </c>
      <c r="H61" s="92">
        <v>6.5000000000000002E-2</v>
      </c>
      <c r="O61" s="46" t="s">
        <v>10</v>
      </c>
      <c r="P61" s="46" t="s">
        <v>11</v>
      </c>
      <c r="Q61" s="46" t="str">
        <f>$O$61</f>
        <v>Gas</v>
      </c>
      <c r="R61" s="46" t="str">
        <f>$P$61</f>
        <v>Oil</v>
      </c>
      <c r="S61" s="46" t="str">
        <f>$O$61</f>
        <v>Gas</v>
      </c>
      <c r="T61" s="46" t="str">
        <f>$P$61</f>
        <v>Oil</v>
      </c>
      <c r="U61" s="46" t="str">
        <f>$O$61</f>
        <v>Gas</v>
      </c>
      <c r="V61" s="46" t="str">
        <f>$P$61</f>
        <v>Oil</v>
      </c>
      <c r="W61" s="46" t="str">
        <f>$O$61</f>
        <v>Gas</v>
      </c>
      <c r="X61" s="46" t="str">
        <f>$P$61</f>
        <v>Oil</v>
      </c>
      <c r="Y61" s="46" t="str">
        <f>$O$61</f>
        <v>Gas</v>
      </c>
      <c r="Z61" s="46" t="str">
        <f>$P$61</f>
        <v>Oil</v>
      </c>
      <c r="AA61" s="46" t="str">
        <f>$O$61</f>
        <v>Gas</v>
      </c>
      <c r="AB61" s="46" t="str">
        <f>$P$61</f>
        <v>Oil</v>
      </c>
    </row>
    <row r="62" spans="3:37" x14ac:dyDescent="0.3">
      <c r="C62" s="17">
        <f t="shared" si="7"/>
        <v>11</v>
      </c>
      <c r="D62" s="126">
        <f t="shared" ca="1" si="8"/>
        <v>0</v>
      </c>
      <c r="E62" s="93">
        <v>0</v>
      </c>
      <c r="F62" s="94">
        <v>0</v>
      </c>
      <c r="G62" s="94">
        <v>0</v>
      </c>
      <c r="H62" s="95">
        <v>3.3000000000000002E-2</v>
      </c>
      <c r="N62" s="24" t="s">
        <v>9</v>
      </c>
      <c r="O62" s="24" t="s">
        <v>24</v>
      </c>
      <c r="P62" s="24" t="s">
        <v>25</v>
      </c>
      <c r="Q62" s="24" t="str">
        <f>$O$62</f>
        <v>$ / Mcf</v>
      </c>
      <c r="R62" s="24" t="str">
        <f>$P$62</f>
        <v>$ / Bbl</v>
      </c>
      <c r="S62" s="24" t="str">
        <f>$O$62</f>
        <v>$ / Mcf</v>
      </c>
      <c r="T62" s="24" t="str">
        <f>$P$62</f>
        <v>$ / Bbl</v>
      </c>
      <c r="U62" s="24" t="str">
        <f>$O$62</f>
        <v>$ / Mcf</v>
      </c>
      <c r="V62" s="24" t="str">
        <f>$P$62</f>
        <v>$ / Bbl</v>
      </c>
      <c r="W62" s="24" t="str">
        <f>$O$62</f>
        <v>$ / Mcf</v>
      </c>
      <c r="X62" s="24" t="str">
        <f>$P$62</f>
        <v>$ / Bbl</v>
      </c>
      <c r="Y62" s="24" t="str">
        <f>$O$62</f>
        <v>$ / Mcf</v>
      </c>
      <c r="Z62" s="24" t="str">
        <f>$P$62</f>
        <v>$ / Bbl</v>
      </c>
      <c r="AA62" s="24" t="str">
        <f>$O$62</f>
        <v>$ / Mcf</v>
      </c>
      <c r="AB62" s="24" t="str">
        <f>$P$62</f>
        <v>$ / Bbl</v>
      </c>
    </row>
    <row r="63" spans="3:37" x14ac:dyDescent="0.3">
      <c r="C63" s="7" t="s">
        <v>26</v>
      </c>
      <c r="D63" s="80">
        <f ca="1">SUM(D52:D62)</f>
        <v>0.99999999999999989</v>
      </c>
      <c r="E63" s="80">
        <f t="shared" ref="E63:H63" si="9">SUM(E52:E62)</f>
        <v>1</v>
      </c>
      <c r="F63" s="80">
        <f t="shared" si="9"/>
        <v>1</v>
      </c>
      <c r="G63" s="80">
        <f t="shared" si="9"/>
        <v>0.99999999999999989</v>
      </c>
      <c r="H63" s="80">
        <f t="shared" si="9"/>
        <v>0.99999999999999989</v>
      </c>
      <c r="N63" s="17">
        <f>YEAR(FY_Date)</f>
        <v>2013</v>
      </c>
      <c r="O63" s="20">
        <f ca="1">OFFSET($Q63,0,($N$58-1)*2)</f>
        <v>3.7</v>
      </c>
      <c r="P63" s="20">
        <f ca="1">OFFSET($R63,0,($N$58-1)*2)</f>
        <v>101</v>
      </c>
      <c r="Q63" s="10">
        <v>3.7</v>
      </c>
      <c r="R63" s="10">
        <v>101</v>
      </c>
      <c r="S63" s="10">
        <v>3.7</v>
      </c>
      <c r="T63" s="50">
        <f>$R63</f>
        <v>101</v>
      </c>
      <c r="U63" s="10">
        <v>3.7</v>
      </c>
      <c r="V63" s="50">
        <f>$R63</f>
        <v>101</v>
      </c>
      <c r="W63" s="10">
        <v>3.7</v>
      </c>
      <c r="X63" s="50">
        <f>$R63</f>
        <v>101</v>
      </c>
      <c r="Y63" s="20">
        <f t="shared" ref="Y63:Y68" si="10">LT_Gas</f>
        <v>4.5</v>
      </c>
      <c r="Z63" s="20">
        <f t="shared" ref="Z63:Z68" si="11">LT_Oil</f>
        <v>80</v>
      </c>
      <c r="AA63" s="10">
        <v>2.63</v>
      </c>
      <c r="AB63" s="10">
        <v>87.85</v>
      </c>
    </row>
    <row r="64" spans="3:37" x14ac:dyDescent="0.3">
      <c r="N64" s="17">
        <f>N63+1</f>
        <v>2014</v>
      </c>
      <c r="O64" s="48">
        <f t="shared" ref="O64:O68" ca="1" si="12">OFFSET($Q64,0,($N$58-1)*2)</f>
        <v>3.8</v>
      </c>
      <c r="P64" s="48">
        <f t="shared" ref="P64:P68" ca="1" si="13">OFFSET($R64,0,($N$58-1)*2)</f>
        <v>92</v>
      </c>
      <c r="Q64" s="47">
        <v>3.8</v>
      </c>
      <c r="R64" s="47">
        <v>92</v>
      </c>
      <c r="S64" s="47">
        <v>4</v>
      </c>
      <c r="T64" s="49">
        <f t="shared" ref="T64:X68" si="14">$R64</f>
        <v>92</v>
      </c>
      <c r="U64" s="47">
        <v>3.8</v>
      </c>
      <c r="V64" s="49">
        <f t="shared" si="14"/>
        <v>92</v>
      </c>
      <c r="W64" s="47">
        <v>3.5</v>
      </c>
      <c r="X64" s="49">
        <f t="shared" si="14"/>
        <v>92</v>
      </c>
      <c r="Y64" s="48">
        <f t="shared" si="10"/>
        <v>4.5</v>
      </c>
      <c r="Z64" s="48">
        <f t="shared" si="11"/>
        <v>80</v>
      </c>
      <c r="AA64" s="49">
        <f>AA63</f>
        <v>2.63</v>
      </c>
      <c r="AB64" s="49">
        <f t="shared" ref="AB64:AB68" si="15">AB63</f>
        <v>87.85</v>
      </c>
    </row>
    <row r="65" spans="2:44" x14ac:dyDescent="0.3">
      <c r="B65" s="3" t="s">
        <v>103</v>
      </c>
      <c r="C65" s="4"/>
      <c r="D65" s="4"/>
      <c r="E65" s="4"/>
      <c r="F65" s="11" t="s">
        <v>101</v>
      </c>
      <c r="G65" s="53" t="s">
        <v>100</v>
      </c>
      <c r="H65" s="11" t="s">
        <v>102</v>
      </c>
      <c r="I65" s="4"/>
      <c r="J65" s="4"/>
      <c r="K65" s="4"/>
      <c r="N65" s="17">
        <f t="shared" ref="N65:N67" si="16">N64+1</f>
        <v>2015</v>
      </c>
      <c r="O65" s="48">
        <f t="shared" ca="1" si="12"/>
        <v>4</v>
      </c>
      <c r="P65" s="48">
        <f t="shared" ca="1" si="13"/>
        <v>88</v>
      </c>
      <c r="Q65" s="47">
        <v>4</v>
      </c>
      <c r="R65" s="47">
        <v>88</v>
      </c>
      <c r="S65" s="47">
        <v>4.5</v>
      </c>
      <c r="T65" s="49">
        <f t="shared" si="14"/>
        <v>88</v>
      </c>
      <c r="U65" s="47">
        <v>3.9</v>
      </c>
      <c r="V65" s="49">
        <f t="shared" si="14"/>
        <v>88</v>
      </c>
      <c r="W65" s="47">
        <v>3.25</v>
      </c>
      <c r="X65" s="49">
        <f t="shared" si="14"/>
        <v>88</v>
      </c>
      <c r="Y65" s="48">
        <f t="shared" si="10"/>
        <v>4.5</v>
      </c>
      <c r="Z65" s="48">
        <f t="shared" si="11"/>
        <v>80</v>
      </c>
      <c r="AA65" s="49">
        <f t="shared" ref="AA65:AA68" si="17">AA64</f>
        <v>2.63</v>
      </c>
      <c r="AB65" s="49">
        <f t="shared" si="15"/>
        <v>87.85</v>
      </c>
    </row>
    <row r="66" spans="2:44" x14ac:dyDescent="0.3">
      <c r="C66" t="s">
        <v>486</v>
      </c>
      <c r="F66" s="76">
        <f>Data!$H$9</f>
        <v>139000</v>
      </c>
      <c r="G66" s="5">
        <v>2000</v>
      </c>
      <c r="H66" s="55">
        <f>F66*G66/(Units*Units)</f>
        <v>278</v>
      </c>
      <c r="N66" s="17">
        <f t="shared" si="16"/>
        <v>2016</v>
      </c>
      <c r="O66" s="48">
        <f t="shared" ca="1" si="12"/>
        <v>4.0999999999999996</v>
      </c>
      <c r="P66" s="48">
        <f t="shared" ca="1" si="13"/>
        <v>84</v>
      </c>
      <c r="Q66" s="47">
        <v>4.0999999999999996</v>
      </c>
      <c r="R66" s="47">
        <v>84</v>
      </c>
      <c r="S66" s="47">
        <v>5</v>
      </c>
      <c r="T66" s="49">
        <f t="shared" si="14"/>
        <v>84</v>
      </c>
      <c r="U66" s="47">
        <v>4</v>
      </c>
      <c r="V66" s="49">
        <f t="shared" si="14"/>
        <v>84</v>
      </c>
      <c r="W66" s="47">
        <v>3</v>
      </c>
      <c r="X66" s="49">
        <f t="shared" si="14"/>
        <v>84</v>
      </c>
      <c r="Y66" s="48">
        <f t="shared" si="10"/>
        <v>4.5</v>
      </c>
      <c r="Z66" s="48">
        <f t="shared" si="11"/>
        <v>80</v>
      </c>
      <c r="AA66" s="49">
        <f t="shared" si="17"/>
        <v>2.63</v>
      </c>
      <c r="AB66" s="49">
        <f t="shared" si="15"/>
        <v>87.85</v>
      </c>
    </row>
    <row r="67" spans="2:44" x14ac:dyDescent="0.3">
      <c r="B67" s="7" t="s">
        <v>105</v>
      </c>
      <c r="C67" s="9"/>
      <c r="D67" s="9"/>
      <c r="E67" s="9"/>
      <c r="F67" s="9"/>
      <c r="G67" s="9"/>
      <c r="H67" s="65">
        <f>SUM(H66)</f>
        <v>278</v>
      </c>
      <c r="I67" s="9"/>
      <c r="J67" s="9"/>
      <c r="K67" s="9"/>
      <c r="N67" s="17">
        <f t="shared" si="16"/>
        <v>2017</v>
      </c>
      <c r="O67" s="48">
        <f t="shared" ca="1" si="12"/>
        <v>4.2</v>
      </c>
      <c r="P67" s="48">
        <f t="shared" ca="1" si="13"/>
        <v>82</v>
      </c>
      <c r="Q67" s="47">
        <v>4.2</v>
      </c>
      <c r="R67" s="47">
        <v>82</v>
      </c>
      <c r="S67" s="47">
        <v>5.5</v>
      </c>
      <c r="T67" s="49">
        <f t="shared" si="14"/>
        <v>82</v>
      </c>
      <c r="U67" s="47">
        <v>4</v>
      </c>
      <c r="V67" s="49">
        <f t="shared" si="14"/>
        <v>82</v>
      </c>
      <c r="W67" s="47">
        <v>2.5</v>
      </c>
      <c r="X67" s="49">
        <f t="shared" si="14"/>
        <v>82</v>
      </c>
      <c r="Y67" s="48">
        <f t="shared" si="10"/>
        <v>4.5</v>
      </c>
      <c r="Z67" s="48">
        <f t="shared" si="11"/>
        <v>80</v>
      </c>
      <c r="AA67" s="49">
        <f t="shared" si="17"/>
        <v>2.63</v>
      </c>
      <c r="AB67" s="49">
        <f t="shared" si="15"/>
        <v>87.85</v>
      </c>
    </row>
    <row r="68" spans="2:44" x14ac:dyDescent="0.3">
      <c r="N68" s="17" t="s">
        <v>33</v>
      </c>
      <c r="O68" s="48">
        <f t="shared" ca="1" si="12"/>
        <v>4.5</v>
      </c>
      <c r="P68" s="48">
        <f t="shared" ca="1" si="13"/>
        <v>80</v>
      </c>
      <c r="Q68" s="49">
        <f>LT_Gas</f>
        <v>4.5</v>
      </c>
      <c r="R68" s="49">
        <f>LT_Oil</f>
        <v>80</v>
      </c>
      <c r="S68" s="49">
        <f>S67</f>
        <v>5.5</v>
      </c>
      <c r="T68" s="49">
        <f t="shared" si="14"/>
        <v>80</v>
      </c>
      <c r="U68" s="49">
        <f>U67</f>
        <v>4</v>
      </c>
      <c r="V68" s="49">
        <f t="shared" si="14"/>
        <v>80</v>
      </c>
      <c r="W68" s="48">
        <f>W67</f>
        <v>2.5</v>
      </c>
      <c r="X68" s="49">
        <f t="shared" si="14"/>
        <v>80</v>
      </c>
      <c r="Y68" s="48">
        <f t="shared" si="10"/>
        <v>4.5</v>
      </c>
      <c r="Z68" s="48">
        <f t="shared" si="11"/>
        <v>80</v>
      </c>
      <c r="AA68" s="49">
        <f t="shared" si="17"/>
        <v>2.63</v>
      </c>
      <c r="AB68" s="49">
        <f t="shared" si="15"/>
        <v>87.85</v>
      </c>
    </row>
    <row r="70" spans="2:44" x14ac:dyDescent="0.3">
      <c r="B70" s="3" t="s">
        <v>80</v>
      </c>
      <c r="C70" s="4"/>
      <c r="D70" s="4"/>
      <c r="E70" s="4"/>
      <c r="F70" s="4"/>
      <c r="G70" s="4"/>
      <c r="H70" s="4"/>
      <c r="I70" s="4"/>
      <c r="J70" s="4"/>
      <c r="K70" s="4"/>
      <c r="M70" s="3" t="s">
        <v>55</v>
      </c>
      <c r="N70" s="4"/>
      <c r="O70" s="4"/>
      <c r="P70" s="4"/>
      <c r="Q70" s="4"/>
      <c r="R70" s="4"/>
      <c r="S70" s="4"/>
      <c r="T70" s="4"/>
      <c r="U70" s="4"/>
      <c r="V70" s="4"/>
      <c r="W70" s="4"/>
      <c r="X70" s="4"/>
      <c r="Y70" s="4"/>
      <c r="Z70" s="4"/>
      <c r="AA70" s="4"/>
      <c r="AB70" s="4"/>
      <c r="AC70" s="4"/>
      <c r="AD70" s="4"/>
    </row>
    <row r="71" spans="2:44" x14ac:dyDescent="0.3">
      <c r="N71" s="56">
        <f>$K$16</f>
        <v>1</v>
      </c>
      <c r="AF71" s="14" t="s">
        <v>309</v>
      </c>
      <c r="AG71" s="45"/>
      <c r="AH71" s="45"/>
      <c r="AI71" s="45"/>
      <c r="AJ71" s="45"/>
      <c r="AK71" s="45"/>
    </row>
    <row r="72" spans="2:44" x14ac:dyDescent="0.3">
      <c r="C72" s="97"/>
      <c r="D72" s="97"/>
      <c r="E72" s="98" t="s">
        <v>84</v>
      </c>
      <c r="F72" s="98" t="s">
        <v>53</v>
      </c>
      <c r="G72" s="98" t="s">
        <v>82</v>
      </c>
      <c r="H72" s="101" t="s">
        <v>85</v>
      </c>
      <c r="I72" s="99" t="s">
        <v>106</v>
      </c>
      <c r="J72" s="100"/>
      <c r="K72" s="100"/>
      <c r="O72" s="14" t="s">
        <v>42</v>
      </c>
      <c r="P72" s="45"/>
      <c r="Q72" s="45"/>
      <c r="R72" s="45"/>
      <c r="S72" s="57"/>
    </row>
    <row r="73" spans="2:44" x14ac:dyDescent="0.3">
      <c r="C73" s="54" t="s">
        <v>81</v>
      </c>
      <c r="D73" s="54"/>
      <c r="E73" s="84" t="s">
        <v>83</v>
      </c>
      <c r="F73" s="84" t="s">
        <v>54</v>
      </c>
      <c r="G73" s="84" t="s">
        <v>83</v>
      </c>
      <c r="H73" s="137" t="s">
        <v>130</v>
      </c>
      <c r="I73" s="103">
        <v>3.5</v>
      </c>
      <c r="J73" s="103">
        <v>4.5</v>
      </c>
      <c r="K73" s="103">
        <v>5.5</v>
      </c>
      <c r="O73" s="59" t="str">
        <f>+CHOOSE($N$71,T73,X73,AB73)</f>
        <v>Base Gas Case</v>
      </c>
      <c r="P73" s="59"/>
      <c r="Q73" s="59"/>
      <c r="R73" s="59"/>
      <c r="T73" s="59" t="s">
        <v>45</v>
      </c>
      <c r="U73" s="58"/>
      <c r="V73" s="58"/>
      <c r="X73" s="59" t="s">
        <v>43</v>
      </c>
      <c r="Y73" s="58"/>
      <c r="Z73" s="58"/>
      <c r="AB73" s="59" t="s">
        <v>44</v>
      </c>
      <c r="AC73" s="58"/>
      <c r="AD73" s="58"/>
      <c r="AF73" s="236" t="s">
        <v>310</v>
      </c>
      <c r="AG73" s="45"/>
      <c r="AH73" s="38" t="s">
        <v>28</v>
      </c>
      <c r="AI73" s="38" t="s">
        <v>27</v>
      </c>
      <c r="AJ73" s="308" t="s">
        <v>12</v>
      </c>
      <c r="AK73" s="38" t="s">
        <v>10</v>
      </c>
    </row>
    <row r="74" spans="2:44" x14ac:dyDescent="0.3">
      <c r="C74" t="str">
        <f>+N51</f>
        <v>PDP</v>
      </c>
      <c r="E74" s="76">
        <f ca="1">IFERROR(INDIRECT("'"&amp;$C$82&amp;"'"&amp;"!"&amp;E104)/Units,0)+IFERROR(INDIRECT("'"&amp;$C$84&amp;"'"&amp;"!"&amp;E104)/Units,0)+IFERROR(INDIRECT("'"&amp;$C$85&amp;"'"&amp;"!"&amp;E104)/Units,0)+IFERROR(INDIRECT("'"&amp;$C$86&amp;"'"&amp;"!"&amp;E104)/Units,0)</f>
        <v>1916.2</v>
      </c>
      <c r="F74" s="64">
        <f ca="1">IFERROR(+G74/E74,"N/A")</f>
        <v>0.99999999999999978</v>
      </c>
      <c r="G74" s="76">
        <f ca="1">Rollup!G72/Units</f>
        <v>1916.1999999999996</v>
      </c>
      <c r="H74" s="102">
        <f ca="1">Rollup!AK72/Units</f>
        <v>3280.6147791927724</v>
      </c>
      <c r="I74" s="55">
        <f t="dataTable" ref="I74:K102" dt2D="0" dtr="1" r1="K14" ca="1"/>
        <v>2919.2085695813453</v>
      </c>
      <c r="J74" s="55">
        <v>3280.6147791927724</v>
      </c>
      <c r="K74" s="55">
        <v>3642.0209888041995</v>
      </c>
      <c r="N74" s="11" t="s">
        <v>9</v>
      </c>
      <c r="O74" s="11" t="str">
        <f>$S$26</f>
        <v>WY</v>
      </c>
      <c r="P74" s="11" t="str">
        <f>$T$26</f>
        <v>PA</v>
      </c>
      <c r="Q74" s="11" t="str">
        <f>$U$26</f>
        <v>UT</v>
      </c>
      <c r="R74" s="11" t="s">
        <v>12</v>
      </c>
      <c r="S74" s="15"/>
      <c r="T74" s="11" t="str">
        <f>$O74</f>
        <v>WY</v>
      </c>
      <c r="U74" s="11" t="str">
        <f>$P74</f>
        <v>PA</v>
      </c>
      <c r="V74" s="11" t="str">
        <f>$Q74</f>
        <v>UT</v>
      </c>
      <c r="X74" s="11" t="str">
        <f>$O74</f>
        <v>WY</v>
      </c>
      <c r="Y74" s="11" t="str">
        <f>$P74</f>
        <v>PA</v>
      </c>
      <c r="Z74" s="38" t="str">
        <f>$Q74</f>
        <v>UT</v>
      </c>
      <c r="AB74" s="11" t="str">
        <f>$O74</f>
        <v>WY</v>
      </c>
      <c r="AC74" s="11" t="str">
        <f>$P74</f>
        <v>PA</v>
      </c>
      <c r="AD74" s="38" t="str">
        <f>$Q74</f>
        <v>UT</v>
      </c>
      <c r="AF74" s="309" t="s">
        <v>0</v>
      </c>
      <c r="AG74" s="309" t="s">
        <v>1</v>
      </c>
      <c r="AH74" s="11" t="s">
        <v>287</v>
      </c>
      <c r="AI74" s="11" t="s">
        <v>287</v>
      </c>
      <c r="AJ74" s="310" t="s">
        <v>311</v>
      </c>
      <c r="AK74" s="11" t="s">
        <v>312</v>
      </c>
      <c r="AM74" s="37" t="s">
        <v>313</v>
      </c>
      <c r="AN74" s="23"/>
      <c r="AO74" s="23"/>
      <c r="AP74" s="23"/>
      <c r="AQ74" s="23"/>
      <c r="AR74" s="23"/>
    </row>
    <row r="75" spans="2:44" x14ac:dyDescent="0.3">
      <c r="C75" t="str">
        <f>+N52</f>
        <v>PDNP</v>
      </c>
      <c r="E75" s="76">
        <f ca="1">IFERROR(INDIRECT("'"&amp;$C$82&amp;"'"&amp;"!"&amp;E105)/Units,0)+IFERROR(INDIRECT("'"&amp;$C$84&amp;"'"&amp;"!"&amp;E105)/Units,0)+IFERROR(INDIRECT("'"&amp;$C$85&amp;"'"&amp;"!"&amp;E105)/Units,0)+IFERROR(INDIRECT("'"&amp;$C$86&amp;"'"&amp;"!"&amp;E105)/Units,0)</f>
        <v>132</v>
      </c>
      <c r="F75" s="64">
        <f t="shared" ref="F75:F78" ca="1" si="18">IFERROR(+G75/E75,"N/A")</f>
        <v>1</v>
      </c>
      <c r="G75" s="76">
        <f ca="1">Rollup!G122/Units</f>
        <v>132</v>
      </c>
      <c r="H75" s="76">
        <f ca="1">Rollup!AK122/Units</f>
        <v>262.90472067434183</v>
      </c>
      <c r="I75" s="12">
        <v>262.90472067434183</v>
      </c>
      <c r="J75" s="12">
        <v>262.90472067434183</v>
      </c>
      <c r="K75" s="12">
        <v>262.90472067434183</v>
      </c>
      <c r="N75" s="17">
        <f>YEAR(FY_Date)</f>
        <v>2013</v>
      </c>
      <c r="O75" s="320">
        <f>+CHOOSE($N$71,T75,X75,AB75)</f>
        <v>122</v>
      </c>
      <c r="P75" s="320">
        <f t="shared" ref="P75:Q75" si="19">+CHOOSE($N$71,U75,Y75,AC75)</f>
        <v>24</v>
      </c>
      <c r="Q75" s="320">
        <f t="shared" si="19"/>
        <v>0</v>
      </c>
      <c r="R75" s="320">
        <f>SUM(O75:Q75)</f>
        <v>146</v>
      </c>
      <c r="T75" s="66">
        <f>Data!$K$44</f>
        <v>122</v>
      </c>
      <c r="U75" s="67">
        <f>Data!$K$45</f>
        <v>24</v>
      </c>
      <c r="V75" s="68">
        <v>0</v>
      </c>
      <c r="X75" s="66">
        <f>Data!$K$44</f>
        <v>122</v>
      </c>
      <c r="Y75" s="67">
        <f>Data!$K$45</f>
        <v>24</v>
      </c>
      <c r="Z75" s="158">
        <f>V75</f>
        <v>0</v>
      </c>
      <c r="AB75" s="66">
        <f>Data!$K$44</f>
        <v>122</v>
      </c>
      <c r="AC75" s="67">
        <f>Data!$K$45</f>
        <v>24</v>
      </c>
      <c r="AD75" s="158">
        <f>Z75</f>
        <v>0</v>
      </c>
      <c r="AF75" s="55">
        <f>O75*$AO$80*$AP$80</f>
        <v>290.11599999999993</v>
      </c>
      <c r="AG75" s="55">
        <f>P75*$AO$81*$AP$81</f>
        <v>85.508982035928142</v>
      </c>
      <c r="AH75" s="55">
        <f ca="1">PD!AE79/Units</f>
        <v>0</v>
      </c>
      <c r="AI75" s="55">
        <f ca="1">PD!AE29/Units</f>
        <v>25.463842625384096</v>
      </c>
      <c r="AJ75" s="311">
        <f ca="1">SUM(AF75:AI75)</f>
        <v>401.08882466131212</v>
      </c>
      <c r="AK75" s="20">
        <f ca="1">O63</f>
        <v>3.7</v>
      </c>
      <c r="AM75" t="s">
        <v>314</v>
      </c>
    </row>
    <row r="76" spans="2:44" x14ac:dyDescent="0.3">
      <c r="C76" t="str">
        <f>+N53</f>
        <v>PUD</v>
      </c>
      <c r="E76" s="76">
        <f ca="1">IFERROR(INDIRECT("'"&amp;$C$82&amp;"'"&amp;"!"&amp;E106)/Units,0)+IFERROR(INDIRECT("'"&amp;$C$84&amp;"'"&amp;"!"&amp;E106)/Units,0)+IFERROR(INDIRECT("'"&amp;$C$85&amp;"'"&amp;"!"&amp;E106)/Units,0)+IFERROR(INDIRECT("'"&amp;$C$86&amp;"'"&amp;"!"&amp;E106)/Units,0)</f>
        <v>2114.7846947368321</v>
      </c>
      <c r="F76" s="64">
        <f t="shared" ca="1" si="18"/>
        <v>0.99999999999999956</v>
      </c>
      <c r="G76" s="76">
        <f ca="1">Rollup!G172/Units</f>
        <v>2114.7846947368312</v>
      </c>
      <c r="H76" s="76">
        <f ca="1">Rollup!AK172/Units</f>
        <v>1675.0090915532862</v>
      </c>
      <c r="I76" s="12">
        <v>1335.5167437473929</v>
      </c>
      <c r="J76" s="12">
        <v>1675.0090915532862</v>
      </c>
      <c r="K76" s="12">
        <v>2014.5014393591794</v>
      </c>
      <c r="N76" s="17">
        <f>N75+1</f>
        <v>2014</v>
      </c>
      <c r="O76" s="320">
        <f t="shared" ref="O76:O115" si="20">+CHOOSE($N$71,T76,X76,AB76)</f>
        <v>135</v>
      </c>
      <c r="P76" s="320">
        <f t="shared" ref="P76:P115" si="21">+CHOOSE($N$71,U76,Y76,AC76)</f>
        <v>40</v>
      </c>
      <c r="Q76" s="320">
        <f t="shared" ref="Q76:Q115" si="22">+CHOOSE($N$71,V76,Z76,AD76)</f>
        <v>47</v>
      </c>
      <c r="R76" s="320">
        <f t="shared" ref="R76:R115" si="23">SUM(O76:Q76)</f>
        <v>222</v>
      </c>
      <c r="T76" s="69">
        <v>135</v>
      </c>
      <c r="U76" s="70">
        <v>40</v>
      </c>
      <c r="V76" s="156">
        <v>47</v>
      </c>
      <c r="X76" s="69">
        <v>140</v>
      </c>
      <c r="Y76" s="70">
        <v>45</v>
      </c>
      <c r="Z76" s="158">
        <f t="shared" ref="Z76:Z116" si="24">V76</f>
        <v>47</v>
      </c>
      <c r="AB76" s="69">
        <v>120</v>
      </c>
      <c r="AC76" s="70">
        <v>25</v>
      </c>
      <c r="AD76" s="158">
        <f t="shared" ref="AD76:AD116" si="25">Z76</f>
        <v>47</v>
      </c>
      <c r="AF76" s="12">
        <f t="shared" ref="AF76:AF115" si="26">O76*$AO$80*$AP$80</f>
        <v>321.02999999999997</v>
      </c>
      <c r="AG76" s="12">
        <f t="shared" ref="AG76:AG115" si="27">P76*$AO$81*$AP$81</f>
        <v>142.51497005988026</v>
      </c>
      <c r="AH76" s="12">
        <f ca="1">PD!AE80/Units</f>
        <v>71</v>
      </c>
      <c r="AI76" s="12">
        <f ca="1">PD!AE30/Units</f>
        <v>22.518876353568455</v>
      </c>
      <c r="AJ76" s="312">
        <f t="shared" ref="AJ76:AJ115" ca="1" si="28">SUM(AF76:AI76)</f>
        <v>557.06384641344869</v>
      </c>
      <c r="AK76" s="48">
        <f t="shared" ref="AK76:AK80" ca="1" si="29">O64</f>
        <v>3.8</v>
      </c>
      <c r="AM76" t="s">
        <v>315</v>
      </c>
    </row>
    <row r="77" spans="2:44" x14ac:dyDescent="0.3">
      <c r="C77" t="str">
        <f>+N54</f>
        <v>PROB</v>
      </c>
      <c r="E77" s="76">
        <f ca="1">IFERROR(INDIRECT("'"&amp;$C$82&amp;"'"&amp;"!"&amp;E107)/Units,0)+IFERROR(INDIRECT("'"&amp;$C$84&amp;"'"&amp;"!"&amp;E107)/Units,0)+IFERROR(INDIRECT("'"&amp;$C$85&amp;"'"&amp;"!"&amp;E107)/Units,0)+IFERROR(INDIRECT("'"&amp;$C$86&amp;"'"&amp;"!"&amp;E107)/Units,0)</f>
        <v>13717.559713806142</v>
      </c>
      <c r="F77" s="64">
        <f t="shared" ca="1" si="18"/>
        <v>0.49999999999999989</v>
      </c>
      <c r="G77" s="76">
        <f ca="1">Rollup!G222/Units</f>
        <v>6858.7798569030692</v>
      </c>
      <c r="H77" s="76">
        <f ca="1">Rollup!AK222/Units</f>
        <v>2247.3267892458693</v>
      </c>
      <c r="I77" s="12">
        <v>1070.087996895759</v>
      </c>
      <c r="J77" s="12">
        <v>2247.3267892458693</v>
      </c>
      <c r="K77" s="12">
        <v>3424.5655815959822</v>
      </c>
      <c r="N77" s="17">
        <f t="shared" ref="N77:N115" si="30">N76+1</f>
        <v>2015</v>
      </c>
      <c r="O77" s="320">
        <f t="shared" si="20"/>
        <v>145</v>
      </c>
      <c r="P77" s="320">
        <f t="shared" si="21"/>
        <v>60</v>
      </c>
      <c r="Q77" s="320">
        <f t="shared" si="22"/>
        <v>47</v>
      </c>
      <c r="R77" s="320">
        <f t="shared" si="23"/>
        <v>252</v>
      </c>
      <c r="T77" s="69">
        <v>145</v>
      </c>
      <c r="U77" s="70">
        <v>60</v>
      </c>
      <c r="V77" s="156">
        <v>47</v>
      </c>
      <c r="X77" s="69">
        <v>160</v>
      </c>
      <c r="Y77" s="70">
        <v>75</v>
      </c>
      <c r="Z77" s="158">
        <f t="shared" si="24"/>
        <v>47</v>
      </c>
      <c r="AB77" s="69">
        <v>130</v>
      </c>
      <c r="AC77" s="70">
        <v>35</v>
      </c>
      <c r="AD77" s="158">
        <f t="shared" si="25"/>
        <v>47</v>
      </c>
      <c r="AF77" s="12">
        <f t="shared" si="26"/>
        <v>344.81</v>
      </c>
      <c r="AG77" s="12">
        <f t="shared" si="27"/>
        <v>213.77245508982037</v>
      </c>
      <c r="AH77" s="12">
        <f ca="1">PD!AE81/Units</f>
        <v>0</v>
      </c>
      <c r="AI77" s="12">
        <f ca="1">PD!AE31/Units</f>
        <v>19.914503858965602</v>
      </c>
      <c r="AJ77" s="312">
        <f t="shared" ca="1" si="28"/>
        <v>578.49695894878596</v>
      </c>
      <c r="AK77" s="48">
        <f t="shared" ca="1" si="29"/>
        <v>4</v>
      </c>
    </row>
    <row r="78" spans="2:44" x14ac:dyDescent="0.3">
      <c r="C78" t="str">
        <f>+N55</f>
        <v>POSS</v>
      </c>
      <c r="E78" s="76">
        <f ca="1">IFERROR(INDIRECT("'"&amp;$C$82&amp;"'"&amp;"!"&amp;E108)/Units,0)+IFERROR(INDIRECT("'"&amp;$C$84&amp;"'"&amp;"!"&amp;E108)/Units,0)+IFERROR(INDIRECT("'"&amp;$C$85&amp;"'"&amp;"!"&amp;E108)/Units,0)+IFERROR(INDIRECT("'"&amp;$C$86&amp;"'"&amp;"!"&amp;E108)/Units,0)</f>
        <v>10116.188917606427</v>
      </c>
      <c r="F78" s="64">
        <f t="shared" ca="1" si="18"/>
        <v>9.9999999999999992E-2</v>
      </c>
      <c r="G78" s="76">
        <f ca="1">Rollup!G272/Units</f>
        <v>1011.6188917606427</v>
      </c>
      <c r="H78" s="76">
        <f ca="1">Rollup!AK272/Units</f>
        <v>115.34983062095036</v>
      </c>
      <c r="I78" s="12">
        <v>72.42010870676269</v>
      </c>
      <c r="J78" s="12">
        <v>115.34983062095036</v>
      </c>
      <c r="K78" s="12">
        <v>158.27955253513807</v>
      </c>
      <c r="N78" s="17">
        <f t="shared" si="30"/>
        <v>2016</v>
      </c>
      <c r="O78" s="320">
        <f t="shared" si="20"/>
        <v>155</v>
      </c>
      <c r="P78" s="320">
        <f t="shared" si="21"/>
        <v>75</v>
      </c>
      <c r="Q78" s="320">
        <f t="shared" si="22"/>
        <v>47</v>
      </c>
      <c r="R78" s="320">
        <f t="shared" si="23"/>
        <v>277</v>
      </c>
      <c r="T78" s="69">
        <v>155</v>
      </c>
      <c r="U78" s="70">
        <v>75</v>
      </c>
      <c r="V78" s="156">
        <v>47</v>
      </c>
      <c r="X78" s="69">
        <v>170</v>
      </c>
      <c r="Y78" s="70">
        <v>100</v>
      </c>
      <c r="Z78" s="158">
        <f t="shared" si="24"/>
        <v>47</v>
      </c>
      <c r="AB78" s="69">
        <v>140</v>
      </c>
      <c r="AC78" s="70">
        <v>45</v>
      </c>
      <c r="AD78" s="158">
        <f t="shared" si="25"/>
        <v>47</v>
      </c>
      <c r="AF78" s="12">
        <f t="shared" si="26"/>
        <v>368.59</v>
      </c>
      <c r="AG78" s="12">
        <f t="shared" si="27"/>
        <v>267.21556886227546</v>
      </c>
      <c r="AH78" s="12">
        <f ca="1">PD!AE82/Units</f>
        <v>0</v>
      </c>
      <c r="AI78" s="12">
        <f ca="1">PD!AE32/Units</f>
        <v>17.659584728030111</v>
      </c>
      <c r="AJ78" s="312">
        <f t="shared" ca="1" si="28"/>
        <v>653.46515359030559</v>
      </c>
      <c r="AK78" s="48">
        <f t="shared" ca="1" si="29"/>
        <v>4.0999999999999996</v>
      </c>
      <c r="AN78" s="38" t="s">
        <v>316</v>
      </c>
      <c r="AO78" s="38"/>
      <c r="AP78" s="38"/>
    </row>
    <row r="79" spans="2:44" x14ac:dyDescent="0.3">
      <c r="C79" s="60" t="s">
        <v>86</v>
      </c>
      <c r="D79" s="9"/>
      <c r="E79" s="8">
        <f ca="1">SUM(E74:E78)</f>
        <v>27996.733326149399</v>
      </c>
      <c r="F79" s="476"/>
      <c r="G79" s="8">
        <f ca="1">SUM(G74:G78)</f>
        <v>12033.383443400544</v>
      </c>
      <c r="H79" s="65">
        <f ca="1">SUM(H74:H78)</f>
        <v>7581.2052112872198</v>
      </c>
      <c r="I79" s="65">
        <v>5660.1381396056013</v>
      </c>
      <c r="J79" s="65">
        <v>7581.2052112872198</v>
      </c>
      <c r="K79" s="65">
        <v>9502.272282968841</v>
      </c>
      <c r="N79" s="17">
        <f t="shared" si="30"/>
        <v>2017</v>
      </c>
      <c r="O79" s="320">
        <f t="shared" si="20"/>
        <v>165</v>
      </c>
      <c r="P79" s="320">
        <f t="shared" si="21"/>
        <v>90</v>
      </c>
      <c r="Q79" s="320">
        <f t="shared" si="22"/>
        <v>47</v>
      </c>
      <c r="R79" s="320">
        <f t="shared" si="23"/>
        <v>302</v>
      </c>
      <c r="T79" s="69">
        <v>165</v>
      </c>
      <c r="U79" s="70">
        <v>90</v>
      </c>
      <c r="V79" s="156">
        <v>47</v>
      </c>
      <c r="X79" s="69">
        <v>180</v>
      </c>
      <c r="Y79" s="70">
        <v>120</v>
      </c>
      <c r="Z79" s="158">
        <f t="shared" si="24"/>
        <v>47</v>
      </c>
      <c r="AB79" s="69">
        <v>150</v>
      </c>
      <c r="AC79" s="70">
        <v>55</v>
      </c>
      <c r="AD79" s="158">
        <f t="shared" si="25"/>
        <v>47</v>
      </c>
      <c r="AF79" s="12">
        <f t="shared" si="26"/>
        <v>392.36999999999989</v>
      </c>
      <c r="AG79" s="12">
        <f t="shared" si="27"/>
        <v>320.65868263473055</v>
      </c>
      <c r="AH79" s="12">
        <f ca="1">PD!AE83/Units</f>
        <v>0</v>
      </c>
      <c r="AI79" s="12">
        <f ca="1">PD!AE33/Units</f>
        <v>15.574533262054112</v>
      </c>
      <c r="AJ79" s="312">
        <f t="shared" ca="1" si="28"/>
        <v>728.6032158967846</v>
      </c>
      <c r="AK79" s="48">
        <f t="shared" ca="1" si="29"/>
        <v>4.2</v>
      </c>
      <c r="AM79" s="4"/>
      <c r="AN79" s="11" t="s">
        <v>170</v>
      </c>
      <c r="AO79" s="11" t="s">
        <v>317</v>
      </c>
      <c r="AP79" s="11" t="s">
        <v>318</v>
      </c>
    </row>
    <row r="80" spans="2:44" x14ac:dyDescent="0.3">
      <c r="H80" s="55"/>
      <c r="I80" s="105">
        <v>0</v>
      </c>
      <c r="J80" s="105">
        <v>0</v>
      </c>
      <c r="K80" s="105">
        <v>0</v>
      </c>
      <c r="N80" s="17">
        <f t="shared" si="30"/>
        <v>2018</v>
      </c>
      <c r="O80" s="320">
        <f t="shared" si="20"/>
        <v>175</v>
      </c>
      <c r="P80" s="320">
        <f t="shared" si="21"/>
        <v>100</v>
      </c>
      <c r="Q80" s="320">
        <f t="shared" si="22"/>
        <v>47</v>
      </c>
      <c r="R80" s="320">
        <f t="shared" si="23"/>
        <v>322</v>
      </c>
      <c r="T80" s="69">
        <v>175</v>
      </c>
      <c r="U80" s="70">
        <v>100</v>
      </c>
      <c r="V80" s="156">
        <v>47</v>
      </c>
      <c r="X80" s="69">
        <v>190</v>
      </c>
      <c r="Y80" s="156">
        <v>135</v>
      </c>
      <c r="Z80" s="306">
        <f t="shared" si="24"/>
        <v>47</v>
      </c>
      <c r="AB80" s="69">
        <v>160</v>
      </c>
      <c r="AC80" s="156">
        <v>75</v>
      </c>
      <c r="AD80" s="306">
        <f t="shared" si="25"/>
        <v>47</v>
      </c>
      <c r="AF80" s="12">
        <f t="shared" si="26"/>
        <v>416.14999999999992</v>
      </c>
      <c r="AG80" s="12">
        <f t="shared" si="27"/>
        <v>356.2874251497006</v>
      </c>
      <c r="AH80" s="12">
        <f ca="1">PD!AE84/Units</f>
        <v>0</v>
      </c>
      <c r="AI80" s="12">
        <f ca="1">PD!AE34/Units</f>
        <v>13.773293919241906</v>
      </c>
      <c r="AJ80" s="312">
        <f t="shared" ca="1" si="28"/>
        <v>786.21071906894247</v>
      </c>
      <c r="AK80" s="48">
        <f t="shared" ca="1" si="29"/>
        <v>4.5</v>
      </c>
      <c r="AM80" s="1" t="s">
        <v>319</v>
      </c>
      <c r="AN80" s="313">
        <f>Data!E59</f>
        <v>5000</v>
      </c>
      <c r="AO80" s="314">
        <f>Data!P59</f>
        <v>4.0999999999999996</v>
      </c>
      <c r="AP80" s="315">
        <f>Data!F59</f>
        <v>0.57999999999999996</v>
      </c>
    </row>
    <row r="81" spans="3:47" x14ac:dyDescent="0.3">
      <c r="C81" s="1" t="s">
        <v>87</v>
      </c>
      <c r="H81" s="55"/>
      <c r="I81" s="105">
        <v>0</v>
      </c>
      <c r="J81" s="105">
        <v>0</v>
      </c>
      <c r="K81" s="105">
        <v>0</v>
      </c>
      <c r="N81" s="17">
        <f t="shared" si="30"/>
        <v>2019</v>
      </c>
      <c r="O81" s="320">
        <f t="shared" si="20"/>
        <v>175</v>
      </c>
      <c r="P81" s="320">
        <f t="shared" si="21"/>
        <v>100</v>
      </c>
      <c r="Q81" s="320">
        <f t="shared" si="22"/>
        <v>47</v>
      </c>
      <c r="R81" s="320">
        <f t="shared" si="23"/>
        <v>322</v>
      </c>
      <c r="T81" s="69">
        <v>175</v>
      </c>
      <c r="U81" s="70">
        <v>100</v>
      </c>
      <c r="V81" s="156">
        <v>47</v>
      </c>
      <c r="X81" s="69">
        <v>190</v>
      </c>
      <c r="Y81" s="156">
        <v>135</v>
      </c>
      <c r="Z81" s="157">
        <f t="shared" si="24"/>
        <v>47</v>
      </c>
      <c r="AB81" s="69">
        <v>160</v>
      </c>
      <c r="AC81" s="156">
        <v>75</v>
      </c>
      <c r="AD81" s="157">
        <f t="shared" si="25"/>
        <v>47</v>
      </c>
      <c r="AF81" s="12">
        <f t="shared" si="26"/>
        <v>416.14999999999992</v>
      </c>
      <c r="AG81" s="12">
        <f t="shared" si="27"/>
        <v>356.2874251497006</v>
      </c>
      <c r="AH81" s="12">
        <f ca="1">PD!AE85/Units</f>
        <v>0</v>
      </c>
      <c r="AI81" s="12">
        <f ca="1">PD!AE35/Units</f>
        <v>12.180373061196073</v>
      </c>
      <c r="AJ81" s="312">
        <f t="shared" ca="1" si="28"/>
        <v>784.61779821089658</v>
      </c>
      <c r="AK81" s="48">
        <f ca="1">AK80</f>
        <v>4.5</v>
      </c>
      <c r="AM81" s="1" t="s">
        <v>320</v>
      </c>
      <c r="AN81" s="313">
        <f>Data!E60</f>
        <v>3340</v>
      </c>
      <c r="AO81" s="313">
        <f>Data!P60</f>
        <v>7</v>
      </c>
      <c r="AP81" s="315">
        <f>Data!F60</f>
        <v>0.50898203592814373</v>
      </c>
    </row>
    <row r="82" spans="3:47" x14ac:dyDescent="0.3">
      <c r="C82" s="78" t="s">
        <v>90</v>
      </c>
      <c r="E82" s="52">
        <f ca="1">+E74+E75</f>
        <v>2048.1999999999998</v>
      </c>
      <c r="F82" s="64">
        <f t="shared" ref="F82:F86" ca="1" si="31">IFERROR(+G82/E82,"N/A")</f>
        <v>1</v>
      </c>
      <c r="G82" s="52">
        <f ca="1">+G74+G75</f>
        <v>2048.1999999999998</v>
      </c>
      <c r="H82" s="477">
        <f ca="1">+H74+H75</f>
        <v>3543.5194998671141</v>
      </c>
      <c r="I82" s="55">
        <v>3182.1132902556869</v>
      </c>
      <c r="J82" s="55">
        <v>3543.5194998671141</v>
      </c>
      <c r="K82" s="55">
        <v>3904.9257094785412</v>
      </c>
      <c r="N82" s="17">
        <f t="shared" si="30"/>
        <v>2020</v>
      </c>
      <c r="O82" s="320">
        <f t="shared" si="20"/>
        <v>175</v>
      </c>
      <c r="P82" s="320">
        <f t="shared" si="21"/>
        <v>100</v>
      </c>
      <c r="Q82" s="320">
        <f t="shared" si="22"/>
        <v>47</v>
      </c>
      <c r="R82" s="320">
        <f t="shared" si="23"/>
        <v>322</v>
      </c>
      <c r="T82" s="69">
        <v>175</v>
      </c>
      <c r="U82" s="70">
        <v>100</v>
      </c>
      <c r="V82" s="156">
        <v>47</v>
      </c>
      <c r="X82" s="69">
        <v>190</v>
      </c>
      <c r="Y82" s="156">
        <v>135</v>
      </c>
      <c r="Z82" s="157">
        <f t="shared" si="24"/>
        <v>47</v>
      </c>
      <c r="AB82" s="69">
        <v>160</v>
      </c>
      <c r="AC82" s="156">
        <v>75</v>
      </c>
      <c r="AD82" s="157">
        <f t="shared" si="25"/>
        <v>47</v>
      </c>
      <c r="AF82" s="12">
        <f t="shared" si="26"/>
        <v>416.14999999999992</v>
      </c>
      <c r="AG82" s="12">
        <f t="shared" si="27"/>
        <v>356.2874251497006</v>
      </c>
      <c r="AH82" s="12">
        <f ca="1">PD!AE86/Units</f>
        <v>0</v>
      </c>
      <c r="AI82" s="12">
        <f ca="1">PD!AE36/Units</f>
        <v>10.801189505726418</v>
      </c>
      <c r="AJ82" s="312">
        <f t="shared" ca="1" si="28"/>
        <v>783.23861465542689</v>
      </c>
      <c r="AK82" s="48">
        <f t="shared" ref="AK82:AK115" ca="1" si="32">AK81</f>
        <v>4.5</v>
      </c>
      <c r="AM82" s="60" t="s">
        <v>26</v>
      </c>
      <c r="AN82" s="207">
        <f>SUM(AN80:AN81)</f>
        <v>8340</v>
      </c>
      <c r="AO82" s="9"/>
      <c r="AP82" s="9"/>
    </row>
    <row r="83" spans="3:47" x14ac:dyDescent="0.3">
      <c r="C83" s="78" t="str">
        <f>+C76</f>
        <v>PUD</v>
      </c>
      <c r="E83" s="12">
        <f ca="1">+E76</f>
        <v>2114.7846947368321</v>
      </c>
      <c r="F83" s="64">
        <f t="shared" ca="1" si="31"/>
        <v>0.99999999999999956</v>
      </c>
      <c r="G83" s="12">
        <f ca="1">+G76</f>
        <v>2114.7846947368312</v>
      </c>
      <c r="H83" s="12">
        <f ca="1">+H76</f>
        <v>1675.0090915532862</v>
      </c>
      <c r="I83" s="12">
        <v>1335.5167437473929</v>
      </c>
      <c r="J83" s="12">
        <v>1675.0090915532862</v>
      </c>
      <c r="K83" s="12">
        <v>2014.5014393591794</v>
      </c>
      <c r="N83" s="17">
        <f t="shared" si="30"/>
        <v>2021</v>
      </c>
      <c r="O83" s="320">
        <f t="shared" si="20"/>
        <v>175</v>
      </c>
      <c r="P83" s="320">
        <f t="shared" si="21"/>
        <v>100</v>
      </c>
      <c r="Q83" s="320">
        <f t="shared" si="22"/>
        <v>47</v>
      </c>
      <c r="R83" s="320">
        <f t="shared" si="23"/>
        <v>322</v>
      </c>
      <c r="T83" s="69">
        <v>175</v>
      </c>
      <c r="U83" s="70">
        <v>100</v>
      </c>
      <c r="V83" s="156">
        <v>47</v>
      </c>
      <c r="X83" s="69">
        <v>190</v>
      </c>
      <c r="Y83" s="156">
        <v>135</v>
      </c>
      <c r="Z83" s="157">
        <f t="shared" si="24"/>
        <v>47</v>
      </c>
      <c r="AB83" s="69">
        <v>160</v>
      </c>
      <c r="AC83" s="156">
        <v>75</v>
      </c>
      <c r="AD83" s="157">
        <f t="shared" si="25"/>
        <v>47</v>
      </c>
      <c r="AF83" s="12">
        <f t="shared" si="26"/>
        <v>416.14999999999992</v>
      </c>
      <c r="AG83" s="12">
        <f t="shared" si="27"/>
        <v>356.2874251497006</v>
      </c>
      <c r="AH83" s="12">
        <f ca="1">PD!AE87/Units</f>
        <v>0</v>
      </c>
      <c r="AI83" s="12">
        <f ca="1">PD!AE37/Units</f>
        <v>9.5259026651784069</v>
      </c>
      <c r="AJ83" s="312">
        <f t="shared" ca="1" si="28"/>
        <v>781.96332781487888</v>
      </c>
      <c r="AK83" s="48">
        <f t="shared" ca="1" si="32"/>
        <v>4.5</v>
      </c>
    </row>
    <row r="84" spans="3:47" x14ac:dyDescent="0.3">
      <c r="C84" s="78" t="str">
        <f>+Q43</f>
        <v>WY</v>
      </c>
      <c r="E84" s="76">
        <f ca="1">IFERROR(INDIRECT("'"&amp;$C84&amp;"'"&amp;"!"&amp;E$109)/Units,0)-IFERROR(INDIRECT("'"&amp;$C84&amp;"'"&amp;"!"&amp;E$106)/Units,0)-IFERROR(INDIRECT("'"&amp;$C84&amp;"'"&amp;"!"&amp;E$105)/Units,0)-IFERROR(INDIRECT("'"&amp;$C84&amp;"'"&amp;"!"&amp;E$104)/Units,0)</f>
        <v>11463.465792359222</v>
      </c>
      <c r="F84" s="64">
        <f t="shared" ca="1" si="31"/>
        <v>0.33146505085479333</v>
      </c>
      <c r="G84" s="76">
        <f t="shared" ref="G84:H86" ca="1" si="33">IFERROR(INDIRECT("'"&amp;$C84&amp;"'"&amp;"!"&amp;G$104)/Units,0)-IFERROR(INDIRECT("'"&amp;$C84&amp;"'"&amp;"!"&amp;G$105)/Units,0)-IFERROR(INDIRECT("'"&amp;$C84&amp;"'"&amp;"!"&amp;G$106)/Units,0)-IFERROR(INDIRECT("'"&amp;$C84&amp;"'"&amp;"!"&amp;G$107)/Units,0)</f>
        <v>3799.7382718365334</v>
      </c>
      <c r="H84" s="76">
        <f t="shared" ca="1" si="33"/>
        <v>1197.9510923026749</v>
      </c>
      <c r="I84" s="12">
        <v>543.54102004354513</v>
      </c>
      <c r="J84" s="12">
        <v>1197.9510923026749</v>
      </c>
      <c r="K84" s="12">
        <v>1852.3611645618062</v>
      </c>
      <c r="N84" s="17">
        <f t="shared" si="30"/>
        <v>2022</v>
      </c>
      <c r="O84" s="320">
        <f t="shared" si="20"/>
        <v>175</v>
      </c>
      <c r="P84" s="320">
        <f t="shared" si="21"/>
        <v>100</v>
      </c>
      <c r="Q84" s="320">
        <f t="shared" si="22"/>
        <v>47</v>
      </c>
      <c r="R84" s="320">
        <f t="shared" si="23"/>
        <v>322</v>
      </c>
      <c r="T84" s="69">
        <v>175</v>
      </c>
      <c r="U84" s="70">
        <v>100</v>
      </c>
      <c r="V84" s="156">
        <v>47</v>
      </c>
      <c r="X84" s="69">
        <v>190</v>
      </c>
      <c r="Y84" s="156">
        <v>135</v>
      </c>
      <c r="Z84" s="157">
        <f t="shared" si="24"/>
        <v>47</v>
      </c>
      <c r="AB84" s="69">
        <v>160</v>
      </c>
      <c r="AC84" s="156">
        <v>75</v>
      </c>
      <c r="AD84" s="157">
        <f t="shared" si="25"/>
        <v>47</v>
      </c>
      <c r="AF84" s="12">
        <f t="shared" si="26"/>
        <v>416.14999999999992</v>
      </c>
      <c r="AG84" s="12">
        <f t="shared" si="27"/>
        <v>356.2874251497006</v>
      </c>
      <c r="AH84" s="12">
        <f ca="1">PD!AE88/Units</f>
        <v>0</v>
      </c>
      <c r="AI84" s="12">
        <f ca="1">PD!AE38/Units</f>
        <v>8.4242047608101345</v>
      </c>
      <c r="AJ84" s="312">
        <f t="shared" ca="1" si="28"/>
        <v>780.8616299105106</v>
      </c>
      <c r="AK84" s="48">
        <f t="shared" ca="1" si="32"/>
        <v>4.5</v>
      </c>
      <c r="AP84" s="11">
        <v>2007</v>
      </c>
      <c r="AQ84" s="11">
        <v>2008</v>
      </c>
      <c r="AR84" s="11">
        <v>2009</v>
      </c>
      <c r="AS84" s="11">
        <v>2010</v>
      </c>
      <c r="AT84" s="11">
        <v>2011</v>
      </c>
      <c r="AU84" s="11">
        <v>2012</v>
      </c>
    </row>
    <row r="85" spans="3:47" x14ac:dyDescent="0.3">
      <c r="C85" s="78" t="str">
        <f>+R43</f>
        <v>PA</v>
      </c>
      <c r="E85" s="76">
        <f ca="1">IFERROR(INDIRECT("'"&amp;$C85&amp;"'"&amp;"!"&amp;E$109)/Units,0)-IFERROR(INDIRECT("'"&amp;$C85&amp;"'"&amp;"!"&amp;E$106)/Units,0)-IFERROR(INDIRECT("'"&amp;$C85&amp;"'"&amp;"!"&amp;E$105)/Units,0)-IFERROR(INDIRECT("'"&amp;$C85&amp;"'"&amp;"!"&amp;E$104)/Units,0)</f>
        <v>12045.251650128264</v>
      </c>
      <c r="F85" s="64">
        <f t="shared" ca="1" si="31"/>
        <v>0.33146505085479333</v>
      </c>
      <c r="G85" s="76">
        <f t="shared" ca="1" si="33"/>
        <v>3992.5799507685483</v>
      </c>
      <c r="H85" s="76">
        <f t="shared" ca="1" si="33"/>
        <v>998.14732681669216</v>
      </c>
      <c r="I85" s="12">
        <v>432.3888848115231</v>
      </c>
      <c r="J85" s="12">
        <v>998.14732681669216</v>
      </c>
      <c r="K85" s="12">
        <v>1563.9057688218604</v>
      </c>
      <c r="N85" s="17">
        <f t="shared" si="30"/>
        <v>2023</v>
      </c>
      <c r="O85" s="320">
        <f t="shared" si="20"/>
        <v>175</v>
      </c>
      <c r="P85" s="320">
        <f t="shared" si="21"/>
        <v>100</v>
      </c>
      <c r="Q85" s="320">
        <f t="shared" si="22"/>
        <v>47</v>
      </c>
      <c r="R85" s="320">
        <f t="shared" si="23"/>
        <v>322</v>
      </c>
      <c r="T85" s="69">
        <v>175</v>
      </c>
      <c r="U85" s="70">
        <v>100</v>
      </c>
      <c r="V85" s="156">
        <v>47</v>
      </c>
      <c r="X85" s="69">
        <v>190</v>
      </c>
      <c r="Y85" s="156">
        <v>135</v>
      </c>
      <c r="Z85" s="157">
        <f t="shared" si="24"/>
        <v>47</v>
      </c>
      <c r="AB85" s="69">
        <v>160</v>
      </c>
      <c r="AC85" s="156">
        <v>75</v>
      </c>
      <c r="AD85" s="157">
        <f t="shared" si="25"/>
        <v>47</v>
      </c>
      <c r="AF85" s="12">
        <f t="shared" si="26"/>
        <v>416.14999999999992</v>
      </c>
      <c r="AG85" s="12">
        <f t="shared" si="27"/>
        <v>356.2874251497006</v>
      </c>
      <c r="AH85" s="12">
        <f ca="1">PD!AE89/Units</f>
        <v>0</v>
      </c>
      <c r="AI85" s="12">
        <f ca="1">PD!AE39/Units</f>
        <v>7.4499213719109534</v>
      </c>
      <c r="AJ85" s="312">
        <f t="shared" ca="1" si="28"/>
        <v>779.88734652161145</v>
      </c>
      <c r="AK85" s="48">
        <f t="shared" ca="1" si="32"/>
        <v>4.5</v>
      </c>
      <c r="AM85" t="s">
        <v>321</v>
      </c>
      <c r="AP85" s="5">
        <v>696.12400000000002</v>
      </c>
      <c r="AQ85" s="5">
        <v>949.65</v>
      </c>
      <c r="AR85" s="5">
        <v>673.51800000000003</v>
      </c>
      <c r="AS85" s="5">
        <v>1164.3889999999999</v>
      </c>
      <c r="AT85" s="5">
        <v>1435.6110000000001</v>
      </c>
      <c r="AU85" s="5">
        <v>708.01700000000005</v>
      </c>
    </row>
    <row r="86" spans="3:47" x14ac:dyDescent="0.3">
      <c r="C86" s="78" t="str">
        <f>+S43</f>
        <v>UT</v>
      </c>
      <c r="E86" s="76">
        <f ca="1">IFERROR(INDIRECT("'"&amp;$C86&amp;"'"&amp;"!"&amp;E$109)/Units,0)-IFERROR(INDIRECT("'"&amp;$C86&amp;"'"&amp;"!"&amp;E$106)/Units,0)-IFERROR(INDIRECT("'"&amp;$C86&amp;"'"&amp;"!"&amp;E$105)/Units,0)-IFERROR(INDIRECT("'"&amp;$C86&amp;"'"&amp;"!"&amp;E$104)/Units,0)</f>
        <v>325.03118892508144</v>
      </c>
      <c r="F86" s="64">
        <f t="shared" ca="1" si="31"/>
        <v>0.24022471910112361</v>
      </c>
      <c r="G86" s="76">
        <f t="shared" ca="1" si="33"/>
        <v>78.080526058631932</v>
      </c>
      <c r="H86" s="76">
        <f t="shared" ca="1" si="33"/>
        <v>166.57820074745331</v>
      </c>
      <c r="I86" s="12">
        <v>166.57820074745331</v>
      </c>
      <c r="J86" s="12">
        <v>166.57820074745331</v>
      </c>
      <c r="K86" s="12">
        <v>166.57820074745331</v>
      </c>
      <c r="N86" s="17">
        <f t="shared" si="30"/>
        <v>2024</v>
      </c>
      <c r="O86" s="320">
        <f t="shared" si="20"/>
        <v>175</v>
      </c>
      <c r="P86" s="320">
        <f t="shared" si="21"/>
        <v>100</v>
      </c>
      <c r="Q86" s="320">
        <f t="shared" si="22"/>
        <v>47</v>
      </c>
      <c r="R86" s="320">
        <f t="shared" si="23"/>
        <v>322</v>
      </c>
      <c r="T86" s="69">
        <v>175</v>
      </c>
      <c r="U86" s="70">
        <v>100</v>
      </c>
      <c r="V86" s="156">
        <v>47</v>
      </c>
      <c r="X86" s="69">
        <v>190</v>
      </c>
      <c r="Y86" s="156">
        <v>135</v>
      </c>
      <c r="Z86" s="157">
        <f t="shared" si="24"/>
        <v>47</v>
      </c>
      <c r="AB86" s="69">
        <v>160</v>
      </c>
      <c r="AC86" s="156">
        <v>75</v>
      </c>
      <c r="AD86" s="157">
        <f t="shared" si="25"/>
        <v>47</v>
      </c>
      <c r="AF86" s="12">
        <f t="shared" si="26"/>
        <v>416.14999999999992</v>
      </c>
      <c r="AG86" s="12">
        <f t="shared" si="27"/>
        <v>356.2874251497006</v>
      </c>
      <c r="AH86" s="12">
        <f ca="1">PD!AE90/Units</f>
        <v>0</v>
      </c>
      <c r="AI86" s="12">
        <f ca="1">PD!AE40/Units</f>
        <v>6.6063668277225869</v>
      </c>
      <c r="AJ86" s="312">
        <f t="shared" ca="1" si="28"/>
        <v>779.0437919774231</v>
      </c>
      <c r="AK86" s="48">
        <f t="shared" ca="1" si="32"/>
        <v>4.5</v>
      </c>
      <c r="AM86" t="s">
        <v>322</v>
      </c>
      <c r="AP86" s="316">
        <v>4.66</v>
      </c>
      <c r="AQ86" s="316">
        <v>7.11</v>
      </c>
      <c r="AR86" s="316">
        <v>3.49</v>
      </c>
      <c r="AS86" s="317">
        <f>Data!E41</f>
        <v>4.3099999999999996</v>
      </c>
      <c r="AT86" s="317">
        <f>Data!G41</f>
        <v>4.1500000000000004</v>
      </c>
      <c r="AU86" s="317">
        <f>Data!I41</f>
        <v>2.79</v>
      </c>
    </row>
    <row r="87" spans="3:47" x14ac:dyDescent="0.3">
      <c r="C87" s="96" t="s">
        <v>86</v>
      </c>
      <c r="D87" s="9"/>
      <c r="E87" s="8">
        <f ca="1">SUM(E82:E86)</f>
        <v>27996.733326149399</v>
      </c>
      <c r="F87" s="9"/>
      <c r="G87" s="8">
        <f ca="1">SUM(G82:G86)</f>
        <v>12033.383443400544</v>
      </c>
      <c r="H87" s="65">
        <f ca="1">SUM(H82:H86)</f>
        <v>7581.2052112872207</v>
      </c>
      <c r="I87" s="65">
        <v>5660.1381396056013</v>
      </c>
      <c r="J87" s="65">
        <v>7581.2052112872207</v>
      </c>
      <c r="K87" s="65">
        <v>9502.272282968841</v>
      </c>
      <c r="N87" s="17">
        <f t="shared" si="30"/>
        <v>2025</v>
      </c>
      <c r="O87" s="320">
        <f t="shared" si="20"/>
        <v>175</v>
      </c>
      <c r="P87" s="320">
        <f t="shared" si="21"/>
        <v>100</v>
      </c>
      <c r="Q87" s="320">
        <f t="shared" si="22"/>
        <v>47</v>
      </c>
      <c r="R87" s="320">
        <f t="shared" si="23"/>
        <v>322</v>
      </c>
      <c r="T87" s="69">
        <v>175</v>
      </c>
      <c r="U87" s="70">
        <v>100</v>
      </c>
      <c r="V87" s="156">
        <v>47</v>
      </c>
      <c r="X87" s="69">
        <v>190</v>
      </c>
      <c r="Y87" s="156">
        <v>135</v>
      </c>
      <c r="Z87" s="157">
        <f t="shared" si="24"/>
        <v>47</v>
      </c>
      <c r="AB87" s="69">
        <v>160</v>
      </c>
      <c r="AC87" s="156">
        <v>75</v>
      </c>
      <c r="AD87" s="157">
        <f t="shared" si="25"/>
        <v>47</v>
      </c>
      <c r="AF87" s="12">
        <f t="shared" si="26"/>
        <v>416.14999999999992</v>
      </c>
      <c r="AG87" s="12">
        <f t="shared" si="27"/>
        <v>356.2874251497006</v>
      </c>
      <c r="AH87" s="12">
        <f ca="1">PD!AE91/Units</f>
        <v>0</v>
      </c>
      <c r="AI87" s="12">
        <f ca="1">PD!AE41/Units</f>
        <v>5.8263589707397161</v>
      </c>
      <c r="AJ87" s="312">
        <f t="shared" ca="1" si="28"/>
        <v>778.26378412044028</v>
      </c>
      <c r="AK87" s="48">
        <f t="shared" ca="1" si="32"/>
        <v>4.5</v>
      </c>
    </row>
    <row r="88" spans="3:47" x14ac:dyDescent="0.3">
      <c r="C88" s="78" t="s">
        <v>93</v>
      </c>
      <c r="H88" s="76">
        <f ca="1">-DCF!AX68/Units</f>
        <v>-250.6863148088805</v>
      </c>
      <c r="I88" s="12">
        <v>-250.6863148088805</v>
      </c>
      <c r="J88" s="12">
        <v>-250.6863148088805</v>
      </c>
      <c r="K88" s="12">
        <v>-250.6863148088805</v>
      </c>
      <c r="N88" s="17">
        <f t="shared" si="30"/>
        <v>2026</v>
      </c>
      <c r="O88" s="320">
        <f t="shared" si="20"/>
        <v>175</v>
      </c>
      <c r="P88" s="320">
        <f t="shared" si="21"/>
        <v>100</v>
      </c>
      <c r="Q88" s="320">
        <f t="shared" si="22"/>
        <v>0</v>
      </c>
      <c r="R88" s="320">
        <f t="shared" si="23"/>
        <v>275</v>
      </c>
      <c r="T88" s="69">
        <v>175</v>
      </c>
      <c r="U88" s="70">
        <v>100</v>
      </c>
      <c r="V88" s="156">
        <v>0</v>
      </c>
      <c r="X88" s="69">
        <v>190</v>
      </c>
      <c r="Y88" s="156">
        <v>135</v>
      </c>
      <c r="Z88" s="157">
        <f t="shared" si="24"/>
        <v>0</v>
      </c>
      <c r="AB88" s="69">
        <v>160</v>
      </c>
      <c r="AC88" s="156">
        <v>75</v>
      </c>
      <c r="AD88" s="157">
        <f t="shared" si="25"/>
        <v>0</v>
      </c>
      <c r="AF88" s="12">
        <f t="shared" si="26"/>
        <v>416.14999999999992</v>
      </c>
      <c r="AG88" s="12">
        <f t="shared" si="27"/>
        <v>356.2874251497006</v>
      </c>
      <c r="AH88" s="12">
        <f ca="1">PD!AE92/Units</f>
        <v>0</v>
      </c>
      <c r="AI88" s="12">
        <f ca="1">PD!AE42/Units</f>
        <v>5.1525238819533019</v>
      </c>
      <c r="AJ88" s="312">
        <f t="shared" ca="1" si="28"/>
        <v>777.58994903165387</v>
      </c>
      <c r="AK88" s="48">
        <f t="shared" ca="1" si="32"/>
        <v>4.5</v>
      </c>
      <c r="AM88" t="s">
        <v>323</v>
      </c>
      <c r="AP88" s="179">
        <f>72+79</f>
        <v>151</v>
      </c>
      <c r="AQ88" s="179">
        <f>120+108</f>
        <v>228</v>
      </c>
      <c r="AR88" s="179">
        <f>155+8</f>
        <v>163</v>
      </c>
      <c r="AS88" s="313">
        <f>Data!E44</f>
        <v>181</v>
      </c>
      <c r="AT88" s="313">
        <f>Data!G44</f>
        <v>200</v>
      </c>
      <c r="AU88" s="313">
        <f>Data!K44</f>
        <v>122</v>
      </c>
    </row>
    <row r="89" spans="3:47" x14ac:dyDescent="0.3">
      <c r="C89" s="104" t="s">
        <v>94</v>
      </c>
      <c r="H89" s="76">
        <f ca="1">+DCF!AX69/Units</f>
        <v>0.80756039996585127</v>
      </c>
      <c r="I89" s="12">
        <v>0.80756039996585127</v>
      </c>
      <c r="J89" s="12">
        <v>0.80756039996585127</v>
      </c>
      <c r="K89" s="12">
        <v>0.80756039996585127</v>
      </c>
      <c r="N89" s="17">
        <f t="shared" si="30"/>
        <v>2027</v>
      </c>
      <c r="O89" s="320">
        <f t="shared" si="20"/>
        <v>175</v>
      </c>
      <c r="P89" s="320">
        <f t="shared" si="21"/>
        <v>100</v>
      </c>
      <c r="Q89" s="320">
        <f t="shared" si="22"/>
        <v>0</v>
      </c>
      <c r="R89" s="320">
        <f t="shared" si="23"/>
        <v>275</v>
      </c>
      <c r="T89" s="69">
        <v>175</v>
      </c>
      <c r="U89" s="70">
        <v>100</v>
      </c>
      <c r="V89" s="156">
        <v>0</v>
      </c>
      <c r="X89" s="69">
        <v>190</v>
      </c>
      <c r="Y89" s="156">
        <v>135</v>
      </c>
      <c r="Z89" s="157">
        <f t="shared" si="24"/>
        <v>0</v>
      </c>
      <c r="AB89" s="69">
        <v>160</v>
      </c>
      <c r="AC89" s="156">
        <v>75</v>
      </c>
      <c r="AD89" s="157">
        <f t="shared" si="25"/>
        <v>0</v>
      </c>
      <c r="AF89" s="12">
        <f t="shared" si="26"/>
        <v>416.14999999999992</v>
      </c>
      <c r="AG89" s="12">
        <f t="shared" si="27"/>
        <v>356.2874251497006</v>
      </c>
      <c r="AH89" s="12">
        <f ca="1">PD!AE93/Units</f>
        <v>0</v>
      </c>
      <c r="AI89" s="12">
        <f ca="1">PD!AE43/Units</f>
        <v>4.5566197495600793</v>
      </c>
      <c r="AJ89" s="312">
        <f t="shared" ca="1" si="28"/>
        <v>776.99404489926064</v>
      </c>
      <c r="AK89" s="48">
        <f t="shared" ca="1" si="32"/>
        <v>4.5</v>
      </c>
      <c r="AM89" t="s">
        <v>324</v>
      </c>
      <c r="AP89" s="179">
        <v>2</v>
      </c>
      <c r="AQ89" s="179">
        <v>0</v>
      </c>
      <c r="AR89" s="179">
        <v>35</v>
      </c>
      <c r="AS89" s="313">
        <f>Data!E45</f>
        <v>171</v>
      </c>
      <c r="AT89" s="313">
        <f>Data!G45</f>
        <v>185</v>
      </c>
      <c r="AU89" s="313">
        <f>Data!K45</f>
        <v>24</v>
      </c>
    </row>
    <row r="90" spans="3:47" x14ac:dyDescent="0.3">
      <c r="C90" s="78" t="s">
        <v>95</v>
      </c>
      <c r="H90" s="76">
        <f ca="1">-DCF!AX70/Units</f>
        <v>-2138.6214958037681</v>
      </c>
      <c r="I90" s="12">
        <v>-1465.7797404511521</v>
      </c>
      <c r="J90" s="12">
        <v>-2138.6214958037681</v>
      </c>
      <c r="K90" s="12">
        <v>-2811.4632511563832</v>
      </c>
      <c r="N90" s="17">
        <f t="shared" si="30"/>
        <v>2028</v>
      </c>
      <c r="O90" s="320">
        <f t="shared" si="20"/>
        <v>175</v>
      </c>
      <c r="P90" s="320">
        <f t="shared" si="21"/>
        <v>100</v>
      </c>
      <c r="Q90" s="320">
        <f t="shared" si="22"/>
        <v>0</v>
      </c>
      <c r="R90" s="320">
        <f t="shared" si="23"/>
        <v>275</v>
      </c>
      <c r="T90" s="69">
        <v>175</v>
      </c>
      <c r="U90" s="70">
        <v>100</v>
      </c>
      <c r="V90" s="156">
        <v>0</v>
      </c>
      <c r="X90" s="69">
        <v>190</v>
      </c>
      <c r="Y90" s="156">
        <v>135</v>
      </c>
      <c r="Z90" s="157">
        <f t="shared" si="24"/>
        <v>0</v>
      </c>
      <c r="AB90" s="69">
        <v>160</v>
      </c>
      <c r="AC90" s="156">
        <v>75</v>
      </c>
      <c r="AD90" s="157">
        <f t="shared" si="25"/>
        <v>0</v>
      </c>
      <c r="AF90" s="12">
        <f t="shared" si="26"/>
        <v>416.14999999999992</v>
      </c>
      <c r="AG90" s="12">
        <f t="shared" si="27"/>
        <v>356.2874251497006</v>
      </c>
      <c r="AH90" s="12">
        <f ca="1">PD!AE94/Units</f>
        <v>0</v>
      </c>
      <c r="AI90" s="12">
        <f ca="1">PD!AE44/Units</f>
        <v>4.0406737275829485</v>
      </c>
      <c r="AJ90" s="312">
        <f t="shared" ca="1" si="28"/>
        <v>776.47809887728351</v>
      </c>
      <c r="AK90" s="48">
        <f t="shared" ca="1" si="32"/>
        <v>4.5</v>
      </c>
      <c r="AM90" s="60" t="s">
        <v>325</v>
      </c>
      <c r="AN90" s="9"/>
      <c r="AO90" s="9"/>
      <c r="AP90" s="207">
        <f>SUM(AP88:AP89)</f>
        <v>153</v>
      </c>
      <c r="AQ90" s="207">
        <f t="shared" ref="AQ90:AU90" si="34">SUM(AQ88:AQ89)</f>
        <v>228</v>
      </c>
      <c r="AR90" s="207">
        <f t="shared" si="34"/>
        <v>198</v>
      </c>
      <c r="AS90" s="207">
        <f t="shared" si="34"/>
        <v>352</v>
      </c>
      <c r="AT90" s="207">
        <f t="shared" si="34"/>
        <v>385</v>
      </c>
      <c r="AU90" s="207">
        <f t="shared" si="34"/>
        <v>146</v>
      </c>
    </row>
    <row r="91" spans="3:47" x14ac:dyDescent="0.3">
      <c r="C91" s="96" t="s">
        <v>96</v>
      </c>
      <c r="D91" s="9"/>
      <c r="E91" s="9"/>
      <c r="F91" s="9"/>
      <c r="G91" s="9"/>
      <c r="H91" s="65">
        <f ca="1">SUM(H87:H90)</f>
        <v>5192.704961074538</v>
      </c>
      <c r="I91" s="65">
        <v>3944.4796447455346</v>
      </c>
      <c r="J91" s="65">
        <v>5192.704961074538</v>
      </c>
      <c r="K91" s="65">
        <v>6440.9302774035441</v>
      </c>
      <c r="N91" s="17">
        <f t="shared" si="30"/>
        <v>2029</v>
      </c>
      <c r="O91" s="320">
        <f t="shared" si="20"/>
        <v>175</v>
      </c>
      <c r="P91" s="320">
        <f t="shared" si="21"/>
        <v>100</v>
      </c>
      <c r="Q91" s="320">
        <f t="shared" si="22"/>
        <v>0</v>
      </c>
      <c r="R91" s="320">
        <f t="shared" si="23"/>
        <v>275</v>
      </c>
      <c r="T91" s="69">
        <v>175</v>
      </c>
      <c r="U91" s="70">
        <v>100</v>
      </c>
      <c r="V91" s="156">
        <v>0</v>
      </c>
      <c r="X91" s="69">
        <v>190</v>
      </c>
      <c r="Y91" s="156">
        <v>135</v>
      </c>
      <c r="Z91" s="157">
        <f t="shared" si="24"/>
        <v>0</v>
      </c>
      <c r="AB91" s="69">
        <v>160</v>
      </c>
      <c r="AC91" s="156">
        <v>75</v>
      </c>
      <c r="AD91" s="157">
        <f t="shared" si="25"/>
        <v>0</v>
      </c>
      <c r="AF91" s="12">
        <f t="shared" si="26"/>
        <v>416.14999999999992</v>
      </c>
      <c r="AG91" s="12">
        <f t="shared" si="27"/>
        <v>356.2874251497006</v>
      </c>
      <c r="AH91" s="12">
        <f ca="1">PD!AE95/Units</f>
        <v>0</v>
      </c>
      <c r="AI91" s="12">
        <f ca="1">PD!AE45/Units</f>
        <v>3.5635949735251042</v>
      </c>
      <c r="AJ91" s="312">
        <f t="shared" ca="1" si="28"/>
        <v>776.00102012322566</v>
      </c>
      <c r="AK91" s="48">
        <f t="shared" ca="1" si="32"/>
        <v>4.5</v>
      </c>
    </row>
    <row r="92" spans="3:47" x14ac:dyDescent="0.3">
      <c r="C92" s="78" t="s">
        <v>104</v>
      </c>
      <c r="H92" s="12">
        <f>+H67</f>
        <v>278</v>
      </c>
      <c r="I92" s="12">
        <v>278</v>
      </c>
      <c r="J92" s="12">
        <v>278</v>
      </c>
      <c r="K92" s="12">
        <v>278</v>
      </c>
      <c r="N92" s="17">
        <f t="shared" si="30"/>
        <v>2030</v>
      </c>
      <c r="O92" s="320">
        <f t="shared" si="20"/>
        <v>175</v>
      </c>
      <c r="P92" s="320">
        <f t="shared" si="21"/>
        <v>100</v>
      </c>
      <c r="Q92" s="320">
        <f t="shared" si="22"/>
        <v>0</v>
      </c>
      <c r="R92" s="320">
        <f t="shared" si="23"/>
        <v>275</v>
      </c>
      <c r="T92" s="69">
        <v>175</v>
      </c>
      <c r="U92" s="70">
        <v>100</v>
      </c>
      <c r="V92" s="156">
        <v>0</v>
      </c>
      <c r="X92" s="69">
        <v>190</v>
      </c>
      <c r="Y92" s="156">
        <v>135</v>
      </c>
      <c r="Z92" s="157">
        <f t="shared" si="24"/>
        <v>0</v>
      </c>
      <c r="AB92" s="69">
        <v>160</v>
      </c>
      <c r="AC92" s="156">
        <v>75</v>
      </c>
      <c r="AD92" s="157">
        <f t="shared" si="25"/>
        <v>0</v>
      </c>
      <c r="AF92" s="12">
        <f t="shared" si="26"/>
        <v>416.14999999999992</v>
      </c>
      <c r="AG92" s="12">
        <f t="shared" si="27"/>
        <v>356.2874251497006</v>
      </c>
      <c r="AH92" s="12">
        <f ca="1">PD!AE96/Units</f>
        <v>0</v>
      </c>
      <c r="AI92" s="12">
        <f ca="1">PD!AE46/Units</f>
        <v>3.1514550165736974</v>
      </c>
      <c r="AJ92" s="312">
        <f t="shared" ca="1" si="28"/>
        <v>775.58888016627418</v>
      </c>
      <c r="AK92" s="48">
        <f t="shared" ca="1" si="32"/>
        <v>4.5</v>
      </c>
      <c r="AM92" t="s">
        <v>326</v>
      </c>
      <c r="AP92" s="179">
        <f>32.35+43.76</f>
        <v>76.11</v>
      </c>
      <c r="AQ92" s="179">
        <f>61.98+59.5</f>
        <v>121.47999999999999</v>
      </c>
      <c r="AR92" s="179">
        <f>76.09+2.8</f>
        <v>78.89</v>
      </c>
      <c r="AS92" s="313">
        <f>Data!F44</f>
        <v>94.5</v>
      </c>
      <c r="AT92" s="313">
        <f>Data!H44</f>
        <v>113.5</v>
      </c>
      <c r="AU92" s="313">
        <f>Data!J44</f>
        <v>44.2</v>
      </c>
    </row>
    <row r="93" spans="3:47" x14ac:dyDescent="0.3">
      <c r="C93" s="106" t="s">
        <v>99</v>
      </c>
      <c r="D93" s="9"/>
      <c r="E93" s="9"/>
      <c r="F93" s="9"/>
      <c r="G93" s="9"/>
      <c r="H93" s="65">
        <f ca="1">SUM(H91:H92)</f>
        <v>5470.704961074538</v>
      </c>
      <c r="I93" s="65">
        <v>4222.4796447455346</v>
      </c>
      <c r="J93" s="65">
        <v>5470.704961074538</v>
      </c>
      <c r="K93" s="65">
        <v>6718.9302774035441</v>
      </c>
      <c r="N93" s="17">
        <f t="shared" si="30"/>
        <v>2031</v>
      </c>
      <c r="O93" s="320">
        <f t="shared" si="20"/>
        <v>175</v>
      </c>
      <c r="P93" s="320">
        <f t="shared" si="21"/>
        <v>100</v>
      </c>
      <c r="Q93" s="320">
        <f t="shared" si="22"/>
        <v>0</v>
      </c>
      <c r="R93" s="320">
        <f t="shared" si="23"/>
        <v>275</v>
      </c>
      <c r="T93" s="69">
        <v>175</v>
      </c>
      <c r="U93" s="70">
        <v>100</v>
      </c>
      <c r="V93" s="156">
        <v>0</v>
      </c>
      <c r="X93" s="69">
        <v>190</v>
      </c>
      <c r="Y93" s="156">
        <v>135</v>
      </c>
      <c r="Z93" s="157">
        <f t="shared" si="24"/>
        <v>0</v>
      </c>
      <c r="AB93" s="69">
        <v>160</v>
      </c>
      <c r="AC93" s="156">
        <v>75</v>
      </c>
      <c r="AD93" s="157">
        <f t="shared" si="25"/>
        <v>0</v>
      </c>
      <c r="AF93" s="12">
        <f t="shared" si="26"/>
        <v>416.14999999999992</v>
      </c>
      <c r="AG93" s="12">
        <f t="shared" si="27"/>
        <v>356.2874251497006</v>
      </c>
      <c r="AH93" s="12">
        <f ca="1">PD!AE97/Units</f>
        <v>0</v>
      </c>
      <c r="AI93" s="12">
        <f ca="1">PD!AE47/Units</f>
        <v>2.7869802251020488</v>
      </c>
      <c r="AJ93" s="312">
        <f t="shared" ca="1" si="28"/>
        <v>775.22440537480259</v>
      </c>
      <c r="AK93" s="48">
        <f t="shared" ca="1" si="32"/>
        <v>4.5</v>
      </c>
      <c r="AM93" t="s">
        <v>327</v>
      </c>
      <c r="AP93" s="179">
        <v>1.1200000000000001</v>
      </c>
      <c r="AQ93" s="179">
        <v>0</v>
      </c>
      <c r="AR93" s="179">
        <v>21</v>
      </c>
      <c r="AS93" s="313">
        <f>Data!F45</f>
        <v>99</v>
      </c>
      <c r="AT93" s="313">
        <f>Data!H45</f>
        <v>87.100000000000009</v>
      </c>
      <c r="AU93" s="313">
        <f>Data!J45</f>
        <v>26.9</v>
      </c>
    </row>
    <row r="94" spans="3:47" x14ac:dyDescent="0.3">
      <c r="I94" s="105">
        <v>0</v>
      </c>
      <c r="J94" s="105">
        <v>0</v>
      </c>
      <c r="K94" s="105">
        <v>0</v>
      </c>
      <c r="N94" s="17">
        <f t="shared" si="30"/>
        <v>2032</v>
      </c>
      <c r="O94" s="320">
        <f t="shared" si="20"/>
        <v>175</v>
      </c>
      <c r="P94" s="320">
        <f t="shared" si="21"/>
        <v>100</v>
      </c>
      <c r="Q94" s="320">
        <f t="shared" si="22"/>
        <v>0</v>
      </c>
      <c r="R94" s="320">
        <f t="shared" si="23"/>
        <v>275</v>
      </c>
      <c r="T94" s="69">
        <v>175</v>
      </c>
      <c r="U94" s="70">
        <v>100</v>
      </c>
      <c r="V94" s="156">
        <v>0</v>
      </c>
      <c r="X94" s="69">
        <v>190</v>
      </c>
      <c r="Y94" s="156">
        <v>135</v>
      </c>
      <c r="Z94" s="157">
        <f t="shared" si="24"/>
        <v>0</v>
      </c>
      <c r="AB94" s="69">
        <v>160</v>
      </c>
      <c r="AC94" s="156">
        <v>75</v>
      </c>
      <c r="AD94" s="157">
        <f t="shared" si="25"/>
        <v>0</v>
      </c>
      <c r="AF94" s="12">
        <f t="shared" si="26"/>
        <v>416.14999999999992</v>
      </c>
      <c r="AG94" s="12">
        <f t="shared" si="27"/>
        <v>356.2874251497006</v>
      </c>
      <c r="AH94" s="12">
        <f ca="1">PD!AE98/Units</f>
        <v>0</v>
      </c>
      <c r="AI94" s="12">
        <f ca="1">PD!AE48/Units</f>
        <v>2.4714104739484317</v>
      </c>
      <c r="AJ94" s="312">
        <f t="shared" ca="1" si="28"/>
        <v>774.908835623649</v>
      </c>
      <c r="AK94" s="48">
        <f t="shared" ca="1" si="32"/>
        <v>4.5</v>
      </c>
      <c r="AM94" s="60" t="s">
        <v>328</v>
      </c>
      <c r="AN94" s="9"/>
      <c r="AO94" s="9"/>
      <c r="AP94" s="207">
        <f>SUM(AP92:AP93)</f>
        <v>77.23</v>
      </c>
      <c r="AQ94" s="207">
        <f t="shared" ref="AQ94:AU94" si="35">SUM(AQ92:AQ93)</f>
        <v>121.47999999999999</v>
      </c>
      <c r="AR94" s="207">
        <f t="shared" si="35"/>
        <v>99.89</v>
      </c>
      <c r="AS94" s="207">
        <f t="shared" si="35"/>
        <v>193.5</v>
      </c>
      <c r="AT94" s="207">
        <f t="shared" si="35"/>
        <v>200.60000000000002</v>
      </c>
      <c r="AU94" s="207">
        <f t="shared" si="35"/>
        <v>71.099999999999994</v>
      </c>
    </row>
    <row r="95" spans="3:47" x14ac:dyDescent="0.3">
      <c r="C95" t="s">
        <v>107</v>
      </c>
      <c r="H95" s="6">
        <f>-1860+4.532+0.119</f>
        <v>-1855.3490000000002</v>
      </c>
      <c r="I95" s="6">
        <v>-1855.3490000000002</v>
      </c>
      <c r="J95" s="6">
        <v>-1855.3490000000002</v>
      </c>
      <c r="K95" s="6">
        <v>-1855.3490000000002</v>
      </c>
      <c r="N95" s="17">
        <f t="shared" si="30"/>
        <v>2033</v>
      </c>
      <c r="O95" s="320">
        <f t="shared" si="20"/>
        <v>175</v>
      </c>
      <c r="P95" s="320">
        <f t="shared" si="21"/>
        <v>100</v>
      </c>
      <c r="Q95" s="320">
        <f t="shared" si="22"/>
        <v>0</v>
      </c>
      <c r="R95" s="320">
        <f t="shared" si="23"/>
        <v>275</v>
      </c>
      <c r="T95" s="69">
        <v>175</v>
      </c>
      <c r="U95" s="70">
        <v>100</v>
      </c>
      <c r="V95" s="156">
        <v>0</v>
      </c>
      <c r="X95" s="69">
        <v>190</v>
      </c>
      <c r="Y95" s="156">
        <v>135</v>
      </c>
      <c r="Z95" s="157">
        <f t="shared" si="24"/>
        <v>0</v>
      </c>
      <c r="AB95" s="69">
        <v>160</v>
      </c>
      <c r="AC95" s="156">
        <v>75</v>
      </c>
      <c r="AD95" s="157">
        <f t="shared" si="25"/>
        <v>0</v>
      </c>
      <c r="AF95" s="12">
        <f t="shared" si="26"/>
        <v>416.14999999999992</v>
      </c>
      <c r="AG95" s="12">
        <f t="shared" si="27"/>
        <v>356.2874251497006</v>
      </c>
      <c r="AH95" s="12">
        <f ca="1">PD!AE99/Units</f>
        <v>0</v>
      </c>
      <c r="AI95" s="12">
        <f ca="1">PD!AE49/Units</f>
        <v>2.1796132368619046</v>
      </c>
      <c r="AJ95" s="312">
        <f t="shared" ca="1" si="28"/>
        <v>774.6170383865624</v>
      </c>
      <c r="AK95" s="48">
        <f t="shared" ca="1" si="32"/>
        <v>4.5</v>
      </c>
    </row>
    <row r="96" spans="3:47" x14ac:dyDescent="0.3">
      <c r="C96" t="s">
        <v>477</v>
      </c>
      <c r="H96" s="248">
        <v>-650</v>
      </c>
      <c r="I96" s="6">
        <v>-650</v>
      </c>
      <c r="J96" s="6">
        <v>-650</v>
      </c>
      <c r="K96" s="6">
        <v>-650</v>
      </c>
      <c r="N96" s="17">
        <f t="shared" si="30"/>
        <v>2034</v>
      </c>
      <c r="O96" s="320">
        <f t="shared" si="20"/>
        <v>175</v>
      </c>
      <c r="P96" s="320">
        <f t="shared" si="21"/>
        <v>100</v>
      </c>
      <c r="Q96" s="320">
        <f t="shared" si="22"/>
        <v>0</v>
      </c>
      <c r="R96" s="320">
        <f t="shared" si="23"/>
        <v>275</v>
      </c>
      <c r="T96" s="69">
        <v>175</v>
      </c>
      <c r="U96" s="70">
        <v>100</v>
      </c>
      <c r="V96" s="156">
        <v>0</v>
      </c>
      <c r="X96" s="69">
        <v>190</v>
      </c>
      <c r="Y96" s="156">
        <v>135</v>
      </c>
      <c r="Z96" s="157">
        <f t="shared" si="24"/>
        <v>0</v>
      </c>
      <c r="AB96" s="69">
        <v>160</v>
      </c>
      <c r="AC96" s="156">
        <v>75</v>
      </c>
      <c r="AD96" s="157">
        <f t="shared" si="25"/>
        <v>0</v>
      </c>
      <c r="AF96" s="12">
        <f t="shared" si="26"/>
        <v>416.14999999999992</v>
      </c>
      <c r="AG96" s="12">
        <f t="shared" si="27"/>
        <v>356.2874251497006</v>
      </c>
      <c r="AH96" s="12">
        <f ca="1">PD!AE100/Units</f>
        <v>0</v>
      </c>
      <c r="AI96" s="12">
        <f ca="1">PD!AE50/Units</f>
        <v>1.3781768043638734</v>
      </c>
      <c r="AJ96" s="312">
        <f t="shared" ca="1" si="28"/>
        <v>773.81560195406439</v>
      </c>
      <c r="AK96" s="48">
        <f t="shared" ca="1" si="32"/>
        <v>4.5</v>
      </c>
      <c r="AM96" s="1" t="s">
        <v>329</v>
      </c>
      <c r="AP96" s="318">
        <f>AP85/AP94</f>
        <v>9.0136475462903007</v>
      </c>
      <c r="AQ96" s="318">
        <f t="shared" ref="AQ96:AU96" si="36">AQ85/AQ94</f>
        <v>7.8173361870266715</v>
      </c>
      <c r="AR96" s="318">
        <f t="shared" si="36"/>
        <v>6.742596856542197</v>
      </c>
      <c r="AS96" s="318">
        <f t="shared" si="36"/>
        <v>6.0175142118863043</v>
      </c>
      <c r="AT96" s="318">
        <f t="shared" si="36"/>
        <v>7.1565852442671982</v>
      </c>
      <c r="AU96" s="318">
        <f t="shared" si="36"/>
        <v>9.9580450070323501</v>
      </c>
    </row>
    <row r="97" spans="2:39" x14ac:dyDescent="0.3">
      <c r="C97" s="117" t="s">
        <v>119</v>
      </c>
      <c r="D97" s="116"/>
      <c r="E97" s="116"/>
      <c r="F97" s="116"/>
      <c r="G97" s="116"/>
      <c r="H97" s="120">
        <f ca="1">+H93+H95+H96</f>
        <v>2965.3559610745378</v>
      </c>
      <c r="I97" s="120">
        <v>1717.1306447455345</v>
      </c>
      <c r="J97" s="120">
        <v>2965.3559610745378</v>
      </c>
      <c r="K97" s="120">
        <v>4213.5812774035439</v>
      </c>
      <c r="N97" s="17">
        <f t="shared" si="30"/>
        <v>2035</v>
      </c>
      <c r="O97" s="320">
        <f t="shared" si="20"/>
        <v>175</v>
      </c>
      <c r="P97" s="320">
        <f t="shared" si="21"/>
        <v>100</v>
      </c>
      <c r="Q97" s="320">
        <f t="shared" si="22"/>
        <v>0</v>
      </c>
      <c r="R97" s="320">
        <f t="shared" si="23"/>
        <v>275</v>
      </c>
      <c r="T97" s="69">
        <v>175</v>
      </c>
      <c r="U97" s="70">
        <v>100</v>
      </c>
      <c r="V97" s="156">
        <v>0</v>
      </c>
      <c r="X97" s="69">
        <v>190</v>
      </c>
      <c r="Y97" s="156">
        <v>135</v>
      </c>
      <c r="Z97" s="157">
        <f t="shared" si="24"/>
        <v>0</v>
      </c>
      <c r="AB97" s="69">
        <v>160</v>
      </c>
      <c r="AC97" s="156">
        <v>75</v>
      </c>
      <c r="AD97" s="157">
        <f t="shared" si="25"/>
        <v>0</v>
      </c>
      <c r="AF97" s="12">
        <f t="shared" si="26"/>
        <v>416.14999999999992</v>
      </c>
      <c r="AG97" s="12">
        <f t="shared" si="27"/>
        <v>356.2874251497006</v>
      </c>
      <c r="AH97" s="12">
        <f ca="1">PD!AE101/Units</f>
        <v>0</v>
      </c>
      <c r="AI97" s="12">
        <f ca="1">PD!AE51/Units</f>
        <v>0</v>
      </c>
      <c r="AJ97" s="312">
        <f t="shared" ca="1" si="28"/>
        <v>772.43742514970052</v>
      </c>
      <c r="AK97" s="48">
        <f t="shared" ca="1" si="32"/>
        <v>4.5</v>
      </c>
    </row>
    <row r="98" spans="2:39" x14ac:dyDescent="0.3">
      <c r="I98" s="105">
        <v>0</v>
      </c>
      <c r="J98" s="105">
        <v>0</v>
      </c>
      <c r="K98" s="105">
        <v>0</v>
      </c>
      <c r="N98" s="17">
        <f t="shared" si="30"/>
        <v>2036</v>
      </c>
      <c r="O98" s="320">
        <f t="shared" si="20"/>
        <v>175</v>
      </c>
      <c r="P98" s="320">
        <f t="shared" si="21"/>
        <v>100</v>
      </c>
      <c r="Q98" s="320">
        <f t="shared" si="22"/>
        <v>0</v>
      </c>
      <c r="R98" s="320">
        <f t="shared" si="23"/>
        <v>275</v>
      </c>
      <c r="T98" s="69">
        <v>175</v>
      </c>
      <c r="U98" s="70">
        <v>100</v>
      </c>
      <c r="V98" s="156">
        <v>0</v>
      </c>
      <c r="X98" s="69">
        <v>190</v>
      </c>
      <c r="Y98" s="156">
        <v>135</v>
      </c>
      <c r="Z98" s="157">
        <f t="shared" si="24"/>
        <v>0</v>
      </c>
      <c r="AB98" s="69">
        <v>160</v>
      </c>
      <c r="AC98" s="156">
        <v>75</v>
      </c>
      <c r="AD98" s="157">
        <f t="shared" si="25"/>
        <v>0</v>
      </c>
      <c r="AF98" s="12">
        <f t="shared" si="26"/>
        <v>416.14999999999992</v>
      </c>
      <c r="AG98" s="12">
        <f t="shared" si="27"/>
        <v>356.2874251497006</v>
      </c>
      <c r="AH98" s="12">
        <f ca="1">PD!AE102/Units</f>
        <v>0</v>
      </c>
      <c r="AI98" s="12">
        <f ca="1">PD!AE52/Units</f>
        <v>0</v>
      </c>
      <c r="AJ98" s="312">
        <f t="shared" ca="1" si="28"/>
        <v>772.43742514970052</v>
      </c>
      <c r="AK98" s="48">
        <f t="shared" ca="1" si="32"/>
        <v>4.5</v>
      </c>
      <c r="AM98" t="s">
        <v>330</v>
      </c>
    </row>
    <row r="99" spans="2:39" x14ac:dyDescent="0.3">
      <c r="C99" t="s">
        <v>120</v>
      </c>
      <c r="H99" s="19">
        <f>+F116</f>
        <v>152.981584141795</v>
      </c>
      <c r="I99" s="19">
        <v>152.981584141795</v>
      </c>
      <c r="J99" s="19">
        <v>152.981584141795</v>
      </c>
      <c r="K99" s="19">
        <v>152.981584141795</v>
      </c>
      <c r="N99" s="17">
        <f t="shared" si="30"/>
        <v>2037</v>
      </c>
      <c r="O99" s="320">
        <f t="shared" si="20"/>
        <v>175</v>
      </c>
      <c r="P99" s="320">
        <f t="shared" si="21"/>
        <v>100</v>
      </c>
      <c r="Q99" s="320">
        <f t="shared" si="22"/>
        <v>0</v>
      </c>
      <c r="R99" s="320">
        <f t="shared" si="23"/>
        <v>275</v>
      </c>
      <c r="T99" s="69">
        <v>175</v>
      </c>
      <c r="U99" s="70">
        <v>100</v>
      </c>
      <c r="V99" s="156">
        <v>0</v>
      </c>
      <c r="X99" s="69">
        <v>190</v>
      </c>
      <c r="Y99" s="156">
        <v>135</v>
      </c>
      <c r="Z99" s="157">
        <f t="shared" si="24"/>
        <v>0</v>
      </c>
      <c r="AB99" s="69">
        <v>160</v>
      </c>
      <c r="AC99" s="156">
        <v>75</v>
      </c>
      <c r="AD99" s="157">
        <f t="shared" si="25"/>
        <v>0</v>
      </c>
      <c r="AF99" s="12">
        <f t="shared" si="26"/>
        <v>416.14999999999992</v>
      </c>
      <c r="AG99" s="12">
        <f t="shared" si="27"/>
        <v>356.2874251497006</v>
      </c>
      <c r="AH99" s="12">
        <f ca="1">PD!AE103/Units</f>
        <v>0</v>
      </c>
      <c r="AI99" s="12">
        <f ca="1">PD!AE53/Units</f>
        <v>0</v>
      </c>
      <c r="AJ99" s="312">
        <f t="shared" ca="1" si="28"/>
        <v>772.43742514970052</v>
      </c>
      <c r="AK99" s="48">
        <f t="shared" ca="1" si="32"/>
        <v>4.5</v>
      </c>
    </row>
    <row r="100" spans="2:39" x14ac:dyDescent="0.3">
      <c r="C100" s="117" t="s">
        <v>121</v>
      </c>
      <c r="D100" s="116"/>
      <c r="E100" s="116"/>
      <c r="F100" s="116"/>
      <c r="G100" s="116"/>
      <c r="H100" s="118">
        <f ca="1">+H97/H99</f>
        <v>19.383744636387213</v>
      </c>
      <c r="I100" s="118">
        <v>11.224427138589222</v>
      </c>
      <c r="J100" s="118">
        <v>19.383744636387213</v>
      </c>
      <c r="K100" s="118">
        <v>27.54306213418522</v>
      </c>
      <c r="N100" s="17">
        <f t="shared" si="30"/>
        <v>2038</v>
      </c>
      <c r="O100" s="320">
        <f t="shared" si="20"/>
        <v>175</v>
      </c>
      <c r="P100" s="320">
        <f t="shared" si="21"/>
        <v>100</v>
      </c>
      <c r="Q100" s="320">
        <f t="shared" si="22"/>
        <v>0</v>
      </c>
      <c r="R100" s="320">
        <f t="shared" si="23"/>
        <v>275</v>
      </c>
      <c r="T100" s="69">
        <v>175</v>
      </c>
      <c r="U100" s="70">
        <v>100</v>
      </c>
      <c r="V100" s="156">
        <v>0</v>
      </c>
      <c r="X100" s="69">
        <v>190</v>
      </c>
      <c r="Y100" s="156">
        <v>135</v>
      </c>
      <c r="Z100" s="157">
        <f t="shared" si="24"/>
        <v>0</v>
      </c>
      <c r="AB100" s="69">
        <v>160</v>
      </c>
      <c r="AC100" s="156">
        <v>75</v>
      </c>
      <c r="AD100" s="157">
        <f t="shared" si="25"/>
        <v>0</v>
      </c>
      <c r="AF100" s="12">
        <f t="shared" si="26"/>
        <v>416.14999999999992</v>
      </c>
      <c r="AG100" s="12">
        <f t="shared" si="27"/>
        <v>356.2874251497006</v>
      </c>
      <c r="AH100" s="12">
        <f ca="1">PD!AE104/Units</f>
        <v>0</v>
      </c>
      <c r="AI100" s="12">
        <f ca="1">PD!AE54/Units</f>
        <v>0</v>
      </c>
      <c r="AJ100" s="312">
        <f t="shared" ca="1" si="28"/>
        <v>772.43742514970052</v>
      </c>
      <c r="AK100" s="48">
        <f t="shared" ca="1" si="32"/>
        <v>4.5</v>
      </c>
    </row>
    <row r="101" spans="2:39" x14ac:dyDescent="0.3">
      <c r="C101" s="117" t="s">
        <v>21</v>
      </c>
      <c r="D101" s="116"/>
      <c r="E101" s="116"/>
      <c r="F101" s="116"/>
      <c r="G101" s="116"/>
      <c r="H101" s="118">
        <f>+Share_Price</f>
        <v>18.829999999999998</v>
      </c>
      <c r="I101" s="118">
        <v>18.829999999999998</v>
      </c>
      <c r="J101" s="118">
        <v>18.829999999999998</v>
      </c>
      <c r="K101" s="118">
        <v>18.829999999999998</v>
      </c>
      <c r="N101" s="17">
        <f t="shared" si="30"/>
        <v>2039</v>
      </c>
      <c r="O101" s="320">
        <f t="shared" si="20"/>
        <v>175</v>
      </c>
      <c r="P101" s="320">
        <f t="shared" si="21"/>
        <v>100</v>
      </c>
      <c r="Q101" s="320">
        <f t="shared" si="22"/>
        <v>0</v>
      </c>
      <c r="R101" s="320">
        <f t="shared" si="23"/>
        <v>275</v>
      </c>
      <c r="T101" s="69">
        <v>175</v>
      </c>
      <c r="U101" s="70">
        <v>100</v>
      </c>
      <c r="V101" s="156">
        <v>0</v>
      </c>
      <c r="X101" s="69">
        <v>190</v>
      </c>
      <c r="Y101" s="156">
        <v>135</v>
      </c>
      <c r="Z101" s="157">
        <f t="shared" si="24"/>
        <v>0</v>
      </c>
      <c r="AB101" s="69">
        <v>160</v>
      </c>
      <c r="AC101" s="156">
        <v>75</v>
      </c>
      <c r="AD101" s="157">
        <f t="shared" si="25"/>
        <v>0</v>
      </c>
      <c r="AF101" s="12">
        <f t="shared" si="26"/>
        <v>416.14999999999992</v>
      </c>
      <c r="AG101" s="12">
        <f t="shared" si="27"/>
        <v>356.2874251497006</v>
      </c>
      <c r="AH101" s="12">
        <f ca="1">PD!AE105/Units</f>
        <v>0</v>
      </c>
      <c r="AI101" s="12">
        <f ca="1">PD!AE55/Units</f>
        <v>0</v>
      </c>
      <c r="AJ101" s="312">
        <f t="shared" ca="1" si="28"/>
        <v>772.43742514970052</v>
      </c>
      <c r="AK101" s="48">
        <f t="shared" ca="1" si="32"/>
        <v>4.5</v>
      </c>
    </row>
    <row r="102" spans="2:39" x14ac:dyDescent="0.3">
      <c r="C102" s="117" t="s">
        <v>122</v>
      </c>
      <c r="D102" s="116"/>
      <c r="E102" s="116"/>
      <c r="F102" s="116"/>
      <c r="G102" s="116"/>
      <c r="H102" s="119">
        <f ca="1">+H101/H100-1</f>
        <v>-2.8567474797811965E-2</v>
      </c>
      <c r="I102" s="119">
        <v>0.67759118282865938</v>
      </c>
      <c r="J102" s="119">
        <v>-2.8567474797811965E-2</v>
      </c>
      <c r="K102" s="119">
        <v>-0.31634326247882794</v>
      </c>
      <c r="N102" s="17">
        <f t="shared" si="30"/>
        <v>2040</v>
      </c>
      <c r="O102" s="320">
        <f t="shared" si="20"/>
        <v>0</v>
      </c>
      <c r="P102" s="320">
        <f t="shared" si="21"/>
        <v>0</v>
      </c>
      <c r="Q102" s="320">
        <f t="shared" si="22"/>
        <v>0</v>
      </c>
      <c r="R102" s="320">
        <f t="shared" si="23"/>
        <v>0</v>
      </c>
      <c r="T102" s="69">
        <v>0</v>
      </c>
      <c r="U102" s="70">
        <v>0</v>
      </c>
      <c r="V102" s="156">
        <v>0</v>
      </c>
      <c r="X102" s="69">
        <v>0</v>
      </c>
      <c r="Y102" s="156">
        <v>0</v>
      </c>
      <c r="Z102" s="157">
        <f t="shared" si="24"/>
        <v>0</v>
      </c>
      <c r="AB102" s="69">
        <v>0</v>
      </c>
      <c r="AC102" s="156">
        <v>0</v>
      </c>
      <c r="AD102" s="157">
        <f t="shared" si="25"/>
        <v>0</v>
      </c>
      <c r="AF102" s="12">
        <f t="shared" si="26"/>
        <v>0</v>
      </c>
      <c r="AG102" s="12">
        <f t="shared" si="27"/>
        <v>0</v>
      </c>
      <c r="AH102" s="12">
        <f ca="1">PD!AE106/Units</f>
        <v>0</v>
      </c>
      <c r="AI102" s="12">
        <f ca="1">PD!AE56/Units</f>
        <v>0</v>
      </c>
      <c r="AJ102" s="312">
        <f t="shared" ca="1" si="28"/>
        <v>0</v>
      </c>
      <c r="AK102" s="48">
        <f t="shared" ca="1" si="32"/>
        <v>4.5</v>
      </c>
    </row>
    <row r="103" spans="2:39" x14ac:dyDescent="0.3">
      <c r="N103" s="17">
        <f t="shared" si="30"/>
        <v>2041</v>
      </c>
      <c r="O103" s="320">
        <f t="shared" si="20"/>
        <v>0</v>
      </c>
      <c r="P103" s="320">
        <f t="shared" si="21"/>
        <v>0</v>
      </c>
      <c r="Q103" s="320">
        <f t="shared" si="22"/>
        <v>0</v>
      </c>
      <c r="R103" s="320">
        <f t="shared" si="23"/>
        <v>0</v>
      </c>
      <c r="T103" s="69">
        <v>0</v>
      </c>
      <c r="U103" s="70">
        <v>0</v>
      </c>
      <c r="V103" s="156">
        <v>0</v>
      </c>
      <c r="X103" s="69">
        <v>0</v>
      </c>
      <c r="Y103" s="156">
        <v>0</v>
      </c>
      <c r="Z103" s="157">
        <f t="shared" si="24"/>
        <v>0</v>
      </c>
      <c r="AB103" s="69">
        <v>0</v>
      </c>
      <c r="AC103" s="156">
        <v>0</v>
      </c>
      <c r="AD103" s="157">
        <f t="shared" si="25"/>
        <v>0</v>
      </c>
      <c r="AF103" s="12">
        <f t="shared" si="26"/>
        <v>0</v>
      </c>
      <c r="AG103" s="12">
        <f t="shared" si="27"/>
        <v>0</v>
      </c>
      <c r="AH103" s="12">
        <f ca="1">PD!AE107/Units</f>
        <v>0</v>
      </c>
      <c r="AI103" s="12">
        <f ca="1">PD!AE57/Units</f>
        <v>0</v>
      </c>
      <c r="AJ103" s="312">
        <f t="shared" ca="1" si="28"/>
        <v>0</v>
      </c>
      <c r="AK103" s="48">
        <f t="shared" ca="1" si="32"/>
        <v>4.5</v>
      </c>
    </row>
    <row r="104" spans="2:39" x14ac:dyDescent="0.3">
      <c r="E104" s="121" t="s">
        <v>478</v>
      </c>
      <c r="G104" s="121" t="s">
        <v>91</v>
      </c>
      <c r="H104" s="121" t="s">
        <v>97</v>
      </c>
      <c r="N104" s="17">
        <f t="shared" si="30"/>
        <v>2042</v>
      </c>
      <c r="O104" s="320">
        <f t="shared" si="20"/>
        <v>0</v>
      </c>
      <c r="P104" s="320">
        <f t="shared" si="21"/>
        <v>0</v>
      </c>
      <c r="Q104" s="320">
        <f t="shared" si="22"/>
        <v>0</v>
      </c>
      <c r="R104" s="320">
        <f t="shared" si="23"/>
        <v>0</v>
      </c>
      <c r="T104" s="69">
        <v>0</v>
      </c>
      <c r="U104" s="70">
        <v>0</v>
      </c>
      <c r="V104" s="156">
        <v>0</v>
      </c>
      <c r="X104" s="69">
        <v>0</v>
      </c>
      <c r="Y104" s="156">
        <v>0</v>
      </c>
      <c r="Z104" s="157">
        <f t="shared" si="24"/>
        <v>0</v>
      </c>
      <c r="AB104" s="69">
        <v>0</v>
      </c>
      <c r="AC104" s="156">
        <v>0</v>
      </c>
      <c r="AD104" s="157">
        <f t="shared" si="25"/>
        <v>0</v>
      </c>
      <c r="AF104" s="12">
        <f t="shared" si="26"/>
        <v>0</v>
      </c>
      <c r="AG104" s="12">
        <f t="shared" si="27"/>
        <v>0</v>
      </c>
      <c r="AH104" s="12">
        <f ca="1">PD!AE108/Units</f>
        <v>0</v>
      </c>
      <c r="AI104" s="12">
        <f ca="1">PD!AE58/Units</f>
        <v>0</v>
      </c>
      <c r="AJ104" s="312">
        <f t="shared" ca="1" si="28"/>
        <v>0</v>
      </c>
      <c r="AK104" s="48">
        <f t="shared" ca="1" si="32"/>
        <v>4.5</v>
      </c>
    </row>
    <row r="105" spans="2:39" x14ac:dyDescent="0.3">
      <c r="E105" s="121" t="s">
        <v>479</v>
      </c>
      <c r="G105" s="75" t="s">
        <v>92</v>
      </c>
      <c r="H105" s="75" t="s">
        <v>98</v>
      </c>
      <c r="N105" s="17">
        <f t="shared" si="30"/>
        <v>2043</v>
      </c>
      <c r="O105" s="320">
        <f t="shared" si="20"/>
        <v>0</v>
      </c>
      <c r="P105" s="320">
        <f t="shared" si="21"/>
        <v>0</v>
      </c>
      <c r="Q105" s="320">
        <f t="shared" si="22"/>
        <v>0</v>
      </c>
      <c r="R105" s="320">
        <f t="shared" si="23"/>
        <v>0</v>
      </c>
      <c r="T105" s="69">
        <v>0</v>
      </c>
      <c r="U105" s="70">
        <v>0</v>
      </c>
      <c r="V105" s="156">
        <v>0</v>
      </c>
      <c r="X105" s="69">
        <v>0</v>
      </c>
      <c r="Y105" s="156">
        <v>0</v>
      </c>
      <c r="Z105" s="157">
        <f t="shared" si="24"/>
        <v>0</v>
      </c>
      <c r="AB105" s="69">
        <v>0</v>
      </c>
      <c r="AC105" s="156">
        <v>0</v>
      </c>
      <c r="AD105" s="157">
        <f t="shared" si="25"/>
        <v>0</v>
      </c>
      <c r="AF105" s="12">
        <f t="shared" si="26"/>
        <v>0</v>
      </c>
      <c r="AG105" s="12">
        <f t="shared" si="27"/>
        <v>0</v>
      </c>
      <c r="AH105" s="12">
        <f ca="1">PD!AE109/Units</f>
        <v>0</v>
      </c>
      <c r="AI105" s="12">
        <f ca="1">PD!AE59/Units</f>
        <v>0</v>
      </c>
      <c r="AJ105" s="312">
        <f t="shared" ca="1" si="28"/>
        <v>0</v>
      </c>
      <c r="AK105" s="48">
        <f t="shared" ca="1" si="32"/>
        <v>4.5</v>
      </c>
    </row>
    <row r="106" spans="2:39" x14ac:dyDescent="0.3">
      <c r="E106" s="121" t="s">
        <v>89</v>
      </c>
      <c r="G106" s="75" t="s">
        <v>480</v>
      </c>
      <c r="H106" s="75" t="s">
        <v>481</v>
      </c>
      <c r="N106" s="17">
        <f t="shared" si="30"/>
        <v>2044</v>
      </c>
      <c r="O106" s="320">
        <f t="shared" si="20"/>
        <v>0</v>
      </c>
      <c r="P106" s="320">
        <f t="shared" si="21"/>
        <v>0</v>
      </c>
      <c r="Q106" s="320">
        <f t="shared" si="22"/>
        <v>0</v>
      </c>
      <c r="R106" s="320">
        <f t="shared" si="23"/>
        <v>0</v>
      </c>
      <c r="T106" s="69">
        <v>0</v>
      </c>
      <c r="U106" s="70">
        <v>0</v>
      </c>
      <c r="V106" s="156">
        <v>0</v>
      </c>
      <c r="X106" s="69">
        <v>0</v>
      </c>
      <c r="Y106" s="156">
        <v>0</v>
      </c>
      <c r="Z106" s="157">
        <f t="shared" si="24"/>
        <v>0</v>
      </c>
      <c r="AB106" s="69">
        <v>0</v>
      </c>
      <c r="AC106" s="156">
        <v>0</v>
      </c>
      <c r="AD106" s="157">
        <f t="shared" si="25"/>
        <v>0</v>
      </c>
      <c r="AF106" s="12">
        <f t="shared" si="26"/>
        <v>0</v>
      </c>
      <c r="AG106" s="12">
        <f t="shared" si="27"/>
        <v>0</v>
      </c>
      <c r="AH106" s="12">
        <f ca="1">PD!AE110/Units</f>
        <v>0</v>
      </c>
      <c r="AI106" s="12">
        <f ca="1">PD!AE60/Units</f>
        <v>0</v>
      </c>
      <c r="AJ106" s="312">
        <f t="shared" ca="1" si="28"/>
        <v>0</v>
      </c>
      <c r="AK106" s="48">
        <f t="shared" ca="1" si="32"/>
        <v>4.5</v>
      </c>
    </row>
    <row r="107" spans="2:39" x14ac:dyDescent="0.3">
      <c r="E107" s="121" t="s">
        <v>482</v>
      </c>
      <c r="G107" s="75" t="s">
        <v>483</v>
      </c>
      <c r="H107" s="75" t="s">
        <v>484</v>
      </c>
      <c r="N107" s="17">
        <f t="shared" si="30"/>
        <v>2045</v>
      </c>
      <c r="O107" s="320">
        <f t="shared" si="20"/>
        <v>0</v>
      </c>
      <c r="P107" s="320">
        <f t="shared" si="21"/>
        <v>0</v>
      </c>
      <c r="Q107" s="320">
        <f t="shared" si="22"/>
        <v>0</v>
      </c>
      <c r="R107" s="320">
        <f t="shared" si="23"/>
        <v>0</v>
      </c>
      <c r="T107" s="69">
        <v>0</v>
      </c>
      <c r="U107" s="70">
        <v>0</v>
      </c>
      <c r="V107" s="156">
        <v>0</v>
      </c>
      <c r="X107" s="69">
        <v>0</v>
      </c>
      <c r="Y107" s="156">
        <v>0</v>
      </c>
      <c r="Z107" s="157">
        <f t="shared" si="24"/>
        <v>0</v>
      </c>
      <c r="AB107" s="69">
        <v>0</v>
      </c>
      <c r="AC107" s="156">
        <v>0</v>
      </c>
      <c r="AD107" s="157">
        <f t="shared" si="25"/>
        <v>0</v>
      </c>
      <c r="AF107" s="12">
        <f t="shared" si="26"/>
        <v>0</v>
      </c>
      <c r="AG107" s="12">
        <f t="shared" si="27"/>
        <v>0</v>
      </c>
      <c r="AH107" s="12">
        <f ca="1">PD!AE111/Units</f>
        <v>0</v>
      </c>
      <c r="AI107" s="12">
        <f ca="1">PD!AE61/Units</f>
        <v>0</v>
      </c>
      <c r="AJ107" s="312">
        <f t="shared" ca="1" si="28"/>
        <v>0</v>
      </c>
      <c r="AK107" s="48">
        <f t="shared" ca="1" si="32"/>
        <v>4.5</v>
      </c>
    </row>
    <row r="108" spans="2:39" x14ac:dyDescent="0.3">
      <c r="E108" s="121" t="s">
        <v>485</v>
      </c>
      <c r="N108" s="17">
        <f t="shared" si="30"/>
        <v>2046</v>
      </c>
      <c r="O108" s="320">
        <f t="shared" si="20"/>
        <v>0</v>
      </c>
      <c r="P108" s="320">
        <f t="shared" si="21"/>
        <v>0</v>
      </c>
      <c r="Q108" s="320">
        <f t="shared" si="22"/>
        <v>0</v>
      </c>
      <c r="R108" s="320">
        <f t="shared" si="23"/>
        <v>0</v>
      </c>
      <c r="T108" s="69">
        <v>0</v>
      </c>
      <c r="U108" s="70">
        <v>0</v>
      </c>
      <c r="V108" s="156">
        <v>0</v>
      </c>
      <c r="X108" s="69">
        <v>0</v>
      </c>
      <c r="Y108" s="156">
        <v>0</v>
      </c>
      <c r="Z108" s="157">
        <f t="shared" si="24"/>
        <v>0</v>
      </c>
      <c r="AB108" s="69">
        <v>0</v>
      </c>
      <c r="AC108" s="156">
        <v>0</v>
      </c>
      <c r="AD108" s="157">
        <f t="shared" si="25"/>
        <v>0</v>
      </c>
      <c r="AF108" s="12">
        <f t="shared" si="26"/>
        <v>0</v>
      </c>
      <c r="AG108" s="12">
        <f t="shared" si="27"/>
        <v>0</v>
      </c>
      <c r="AH108" s="12">
        <f ca="1">PD!AE112/Units</f>
        <v>0</v>
      </c>
      <c r="AI108" s="12">
        <f ca="1">PD!AE62/Units</f>
        <v>0</v>
      </c>
      <c r="AJ108" s="312">
        <f t="shared" ca="1" si="28"/>
        <v>0</v>
      </c>
      <c r="AK108" s="48">
        <f t="shared" ca="1" si="32"/>
        <v>4.5</v>
      </c>
    </row>
    <row r="109" spans="2:39" x14ac:dyDescent="0.3">
      <c r="E109" s="121" t="s">
        <v>88</v>
      </c>
      <c r="N109" s="17">
        <f t="shared" si="30"/>
        <v>2047</v>
      </c>
      <c r="O109" s="320">
        <f t="shared" si="20"/>
        <v>0</v>
      </c>
      <c r="P109" s="320">
        <f t="shared" si="21"/>
        <v>0</v>
      </c>
      <c r="Q109" s="320">
        <f t="shared" si="22"/>
        <v>0</v>
      </c>
      <c r="R109" s="320">
        <f t="shared" si="23"/>
        <v>0</v>
      </c>
      <c r="T109" s="69">
        <v>0</v>
      </c>
      <c r="U109" s="70">
        <v>0</v>
      </c>
      <c r="V109" s="156">
        <v>0</v>
      </c>
      <c r="X109" s="69">
        <v>0</v>
      </c>
      <c r="Y109" s="156">
        <v>0</v>
      </c>
      <c r="Z109" s="157">
        <f t="shared" si="24"/>
        <v>0</v>
      </c>
      <c r="AB109" s="69">
        <v>0</v>
      </c>
      <c r="AC109" s="156">
        <v>0</v>
      </c>
      <c r="AD109" s="157">
        <f t="shared" si="25"/>
        <v>0</v>
      </c>
      <c r="AF109" s="12">
        <f t="shared" si="26"/>
        <v>0</v>
      </c>
      <c r="AG109" s="12">
        <f t="shared" si="27"/>
        <v>0</v>
      </c>
      <c r="AH109" s="12">
        <f ca="1">PD!AE113/Units</f>
        <v>0</v>
      </c>
      <c r="AI109" s="12">
        <f ca="1">PD!AE63/Units</f>
        <v>0</v>
      </c>
      <c r="AJ109" s="312">
        <f t="shared" ca="1" si="28"/>
        <v>0</v>
      </c>
      <c r="AK109" s="48">
        <f t="shared" ca="1" si="32"/>
        <v>4.5</v>
      </c>
    </row>
    <row r="110" spans="2:39" x14ac:dyDescent="0.3">
      <c r="N110" s="17">
        <f t="shared" si="30"/>
        <v>2048</v>
      </c>
      <c r="O110" s="320">
        <f t="shared" si="20"/>
        <v>0</v>
      </c>
      <c r="P110" s="320">
        <f t="shared" si="21"/>
        <v>0</v>
      </c>
      <c r="Q110" s="320">
        <f t="shared" si="22"/>
        <v>0</v>
      </c>
      <c r="R110" s="320">
        <f t="shared" si="23"/>
        <v>0</v>
      </c>
      <c r="T110" s="69">
        <v>0</v>
      </c>
      <c r="U110" s="70">
        <v>0</v>
      </c>
      <c r="V110" s="156">
        <v>0</v>
      </c>
      <c r="X110" s="69">
        <v>0</v>
      </c>
      <c r="Y110" s="156">
        <v>0</v>
      </c>
      <c r="Z110" s="157">
        <f t="shared" si="24"/>
        <v>0</v>
      </c>
      <c r="AB110" s="69">
        <v>0</v>
      </c>
      <c r="AC110" s="156">
        <v>0</v>
      </c>
      <c r="AD110" s="157">
        <f t="shared" si="25"/>
        <v>0</v>
      </c>
      <c r="AF110" s="12">
        <f t="shared" si="26"/>
        <v>0</v>
      </c>
      <c r="AG110" s="12">
        <f t="shared" si="27"/>
        <v>0</v>
      </c>
      <c r="AH110" s="12">
        <f ca="1">PD!AE114/Units</f>
        <v>0</v>
      </c>
      <c r="AI110" s="12">
        <f ca="1">PD!AE64/Units</f>
        <v>0</v>
      </c>
      <c r="AJ110" s="312">
        <f t="shared" ca="1" si="28"/>
        <v>0</v>
      </c>
      <c r="AK110" s="48">
        <f t="shared" ca="1" si="32"/>
        <v>4.5</v>
      </c>
    </row>
    <row r="111" spans="2:39" x14ac:dyDescent="0.3">
      <c r="B111" s="3" t="s">
        <v>114</v>
      </c>
      <c r="C111" s="4"/>
      <c r="D111" s="4"/>
      <c r="E111" s="4"/>
      <c r="F111" s="4"/>
      <c r="G111" s="4"/>
      <c r="H111" s="4"/>
      <c r="I111" s="4"/>
      <c r="J111" s="4"/>
      <c r="K111" s="4"/>
      <c r="N111" s="17">
        <f t="shared" si="30"/>
        <v>2049</v>
      </c>
      <c r="O111" s="320">
        <f t="shared" si="20"/>
        <v>0</v>
      </c>
      <c r="P111" s="320">
        <f t="shared" si="21"/>
        <v>0</v>
      </c>
      <c r="Q111" s="320">
        <f t="shared" si="22"/>
        <v>0</v>
      </c>
      <c r="R111" s="320">
        <f t="shared" si="23"/>
        <v>0</v>
      </c>
      <c r="T111" s="69">
        <v>0</v>
      </c>
      <c r="U111" s="70">
        <v>0</v>
      </c>
      <c r="V111" s="156">
        <v>0</v>
      </c>
      <c r="X111" s="69">
        <v>0</v>
      </c>
      <c r="Y111" s="156">
        <v>0</v>
      </c>
      <c r="Z111" s="157">
        <f t="shared" si="24"/>
        <v>0</v>
      </c>
      <c r="AB111" s="69">
        <v>0</v>
      </c>
      <c r="AC111" s="156">
        <v>0</v>
      </c>
      <c r="AD111" s="157">
        <f t="shared" si="25"/>
        <v>0</v>
      </c>
      <c r="AF111" s="12">
        <f t="shared" si="26"/>
        <v>0</v>
      </c>
      <c r="AG111" s="12">
        <f t="shared" si="27"/>
        <v>0</v>
      </c>
      <c r="AH111" s="12">
        <f ca="1">PD!AE115/Units</f>
        <v>0</v>
      </c>
      <c r="AI111" s="12">
        <f ca="1">PD!AE65/Units</f>
        <v>0</v>
      </c>
      <c r="AJ111" s="312">
        <f t="shared" ca="1" si="28"/>
        <v>0</v>
      </c>
      <c r="AK111" s="48">
        <f t="shared" ca="1" si="32"/>
        <v>4.5</v>
      </c>
    </row>
    <row r="112" spans="2:39" x14ac:dyDescent="0.3">
      <c r="N112" s="17">
        <f t="shared" si="30"/>
        <v>2050</v>
      </c>
      <c r="O112" s="320">
        <f t="shared" si="20"/>
        <v>0</v>
      </c>
      <c r="P112" s="320">
        <f t="shared" si="21"/>
        <v>0</v>
      </c>
      <c r="Q112" s="320">
        <f t="shared" si="22"/>
        <v>0</v>
      </c>
      <c r="R112" s="320">
        <f t="shared" si="23"/>
        <v>0</v>
      </c>
      <c r="T112" s="69">
        <v>0</v>
      </c>
      <c r="U112" s="70">
        <v>0</v>
      </c>
      <c r="V112" s="156">
        <v>0</v>
      </c>
      <c r="X112" s="69">
        <v>0</v>
      </c>
      <c r="Y112" s="156">
        <v>0</v>
      </c>
      <c r="Z112" s="157">
        <f t="shared" si="24"/>
        <v>0</v>
      </c>
      <c r="AB112" s="69">
        <v>0</v>
      </c>
      <c r="AC112" s="156">
        <v>0</v>
      </c>
      <c r="AD112" s="157">
        <f t="shared" si="25"/>
        <v>0</v>
      </c>
      <c r="AF112" s="12">
        <f t="shared" si="26"/>
        <v>0</v>
      </c>
      <c r="AG112" s="12">
        <f t="shared" si="27"/>
        <v>0</v>
      </c>
      <c r="AH112" s="12">
        <f ca="1">PD!AE116/Units</f>
        <v>0</v>
      </c>
      <c r="AI112" s="12">
        <f ca="1">PD!AE66/Units</f>
        <v>0</v>
      </c>
      <c r="AJ112" s="312">
        <f t="shared" ca="1" si="28"/>
        <v>0</v>
      </c>
      <c r="AK112" s="48">
        <f t="shared" ca="1" si="32"/>
        <v>4.5</v>
      </c>
    </row>
    <row r="113" spans="3:40" x14ac:dyDescent="0.3">
      <c r="C113" s="114" t="s">
        <v>109</v>
      </c>
      <c r="D113" s="15"/>
      <c r="E113" s="15"/>
      <c r="F113" s="125">
        <v>152.977633</v>
      </c>
      <c r="H113" s="37" t="s">
        <v>115</v>
      </c>
      <c r="I113" s="23"/>
      <c r="J113" s="23"/>
      <c r="K113" s="23"/>
      <c r="N113" s="17">
        <f t="shared" si="30"/>
        <v>2051</v>
      </c>
      <c r="O113" s="320">
        <f t="shared" si="20"/>
        <v>0</v>
      </c>
      <c r="P113" s="320">
        <f t="shared" si="21"/>
        <v>0</v>
      </c>
      <c r="Q113" s="320">
        <f t="shared" si="22"/>
        <v>0</v>
      </c>
      <c r="R113" s="320">
        <f t="shared" si="23"/>
        <v>0</v>
      </c>
      <c r="T113" s="69">
        <v>0</v>
      </c>
      <c r="U113" s="70">
        <v>0</v>
      </c>
      <c r="V113" s="156">
        <v>0</v>
      </c>
      <c r="X113" s="69">
        <v>0</v>
      </c>
      <c r="Y113" s="156">
        <v>0</v>
      </c>
      <c r="Z113" s="157">
        <f t="shared" si="24"/>
        <v>0</v>
      </c>
      <c r="AB113" s="69">
        <v>0</v>
      </c>
      <c r="AC113" s="156">
        <v>0</v>
      </c>
      <c r="AD113" s="157">
        <f t="shared" si="25"/>
        <v>0</v>
      </c>
      <c r="AF113" s="12">
        <f t="shared" si="26"/>
        <v>0</v>
      </c>
      <c r="AG113" s="12">
        <f t="shared" si="27"/>
        <v>0</v>
      </c>
      <c r="AH113" s="12">
        <f ca="1">PD!AE117/Units</f>
        <v>0</v>
      </c>
      <c r="AI113" s="12">
        <f ca="1">PD!AE67/Units</f>
        <v>0</v>
      </c>
      <c r="AJ113" s="312">
        <f t="shared" ca="1" si="28"/>
        <v>0</v>
      </c>
      <c r="AK113" s="48">
        <f t="shared" ca="1" si="32"/>
        <v>4.5</v>
      </c>
    </row>
    <row r="114" spans="3:40" x14ac:dyDescent="0.3">
      <c r="C114" s="78" t="s">
        <v>118</v>
      </c>
      <c r="F114" s="125">
        <v>0</v>
      </c>
      <c r="N114" s="17">
        <f t="shared" si="30"/>
        <v>2052</v>
      </c>
      <c r="O114" s="320">
        <f t="shared" si="20"/>
        <v>0</v>
      </c>
      <c r="P114" s="320">
        <f t="shared" si="21"/>
        <v>0</v>
      </c>
      <c r="Q114" s="320">
        <f t="shared" si="22"/>
        <v>0</v>
      </c>
      <c r="R114" s="320">
        <f t="shared" si="23"/>
        <v>0</v>
      </c>
      <c r="T114" s="69">
        <v>0</v>
      </c>
      <c r="U114" s="70">
        <v>0</v>
      </c>
      <c r="V114" s="156">
        <v>0</v>
      </c>
      <c r="X114" s="69">
        <v>0</v>
      </c>
      <c r="Y114" s="156">
        <v>0</v>
      </c>
      <c r="Z114" s="157">
        <f t="shared" si="24"/>
        <v>0</v>
      </c>
      <c r="AB114" s="69">
        <v>0</v>
      </c>
      <c r="AC114" s="156">
        <v>0</v>
      </c>
      <c r="AD114" s="157">
        <f t="shared" si="25"/>
        <v>0</v>
      </c>
      <c r="AF114" s="12">
        <f t="shared" si="26"/>
        <v>0</v>
      </c>
      <c r="AG114" s="12">
        <f t="shared" si="27"/>
        <v>0</v>
      </c>
      <c r="AH114" s="12">
        <f ca="1">PD!AE118/Units</f>
        <v>0</v>
      </c>
      <c r="AI114" s="12">
        <f ca="1">PD!AE68/Units</f>
        <v>0</v>
      </c>
      <c r="AJ114" s="312">
        <f t="shared" ca="1" si="28"/>
        <v>0</v>
      </c>
      <c r="AK114" s="48">
        <f t="shared" ca="1" si="32"/>
        <v>4.5</v>
      </c>
    </row>
    <row r="115" spans="3:40" x14ac:dyDescent="0.3">
      <c r="C115" s="78" t="s">
        <v>116</v>
      </c>
      <c r="F115" s="113">
        <f>+K121</f>
        <v>3.9511417950079675E-3</v>
      </c>
      <c r="H115" s="53" t="s">
        <v>110</v>
      </c>
      <c r="I115" s="11" t="s">
        <v>111</v>
      </c>
      <c r="J115" s="11" t="s">
        <v>112</v>
      </c>
      <c r="K115" s="53" t="s">
        <v>113</v>
      </c>
      <c r="N115" s="17">
        <f t="shared" si="30"/>
        <v>2053</v>
      </c>
      <c r="O115" s="320">
        <f t="shared" si="20"/>
        <v>0</v>
      </c>
      <c r="P115" s="320">
        <f t="shared" si="21"/>
        <v>0</v>
      </c>
      <c r="Q115" s="320">
        <f t="shared" si="22"/>
        <v>0</v>
      </c>
      <c r="R115" s="320">
        <f t="shared" si="23"/>
        <v>0</v>
      </c>
      <c r="T115" s="71">
        <v>0</v>
      </c>
      <c r="U115" s="72">
        <v>0</v>
      </c>
      <c r="V115" s="307">
        <v>0</v>
      </c>
      <c r="X115" s="71">
        <v>0</v>
      </c>
      <c r="Y115" s="307">
        <v>0</v>
      </c>
      <c r="Z115" s="157">
        <f t="shared" si="24"/>
        <v>0</v>
      </c>
      <c r="AB115" s="71">
        <v>0</v>
      </c>
      <c r="AC115" s="307">
        <v>0</v>
      </c>
      <c r="AD115" s="157">
        <f t="shared" si="25"/>
        <v>0</v>
      </c>
      <c r="AF115" s="12">
        <f t="shared" si="26"/>
        <v>0</v>
      </c>
      <c r="AG115" s="12">
        <f t="shared" si="27"/>
        <v>0</v>
      </c>
      <c r="AH115" s="12">
        <f ca="1">PD!AE119/Units</f>
        <v>0</v>
      </c>
      <c r="AI115" s="12">
        <f ca="1">PD!AE69/Units</f>
        <v>0</v>
      </c>
      <c r="AJ115" s="312">
        <f t="shared" ca="1" si="28"/>
        <v>0</v>
      </c>
      <c r="AK115" s="48">
        <f t="shared" ca="1" si="32"/>
        <v>4.5</v>
      </c>
    </row>
    <row r="116" spans="3:40" x14ac:dyDescent="0.3">
      <c r="C116" s="7" t="s">
        <v>117</v>
      </c>
      <c r="D116" s="7"/>
      <c r="E116" s="7"/>
      <c r="F116" s="115">
        <f>SUM(F113:F115)</f>
        <v>152.981584141795</v>
      </c>
      <c r="H116" s="33" t="s">
        <v>492</v>
      </c>
      <c r="I116" s="122">
        <v>0.04</v>
      </c>
      <c r="J116" s="123">
        <v>16.97</v>
      </c>
      <c r="K116" s="109">
        <f>IF(J116&gt;IF(Circ_Ref,$H$100,Share_Price),0,I116-I116*J116/IF(Circ_Ref,$H$100,Share_Price))</f>
        <v>3.9511417950079675E-3</v>
      </c>
      <c r="N116" s="7" t="s">
        <v>26</v>
      </c>
      <c r="O116" s="39">
        <f>SUM(O75:O115)</f>
        <v>4572</v>
      </c>
      <c r="P116" s="39">
        <f>SUM(P75:P115)</f>
        <v>2489</v>
      </c>
      <c r="Q116" s="39">
        <f>SUM(Q75:Q115)</f>
        <v>564</v>
      </c>
      <c r="R116" s="39">
        <f>SUM(R75:R115)</f>
        <v>7625</v>
      </c>
      <c r="S116" s="9"/>
      <c r="T116" s="39">
        <f>SUM(T75:T115)</f>
        <v>4572</v>
      </c>
      <c r="U116" s="39">
        <f>SUM(U75:U115)</f>
        <v>2489</v>
      </c>
      <c r="V116" s="39">
        <f>SUM(V75:V115)</f>
        <v>564</v>
      </c>
      <c r="W116" s="9"/>
      <c r="X116" s="39">
        <f>SUM(X75:X115)</f>
        <v>4952</v>
      </c>
      <c r="Y116" s="39">
        <f>SUM(Y75:Y115)</f>
        <v>3334</v>
      </c>
      <c r="Z116" s="39">
        <f t="shared" si="24"/>
        <v>564</v>
      </c>
      <c r="AA116" s="9"/>
      <c r="AB116" s="39">
        <f>SUM(AB75:AB115)</f>
        <v>4182</v>
      </c>
      <c r="AC116" s="39">
        <f>SUM(AC75:AC115)</f>
        <v>1834</v>
      </c>
      <c r="AD116" s="39">
        <f t="shared" si="25"/>
        <v>564</v>
      </c>
      <c r="AJ116" s="319">
        <f ca="1">SUM(AJ75:AJ115)</f>
        <v>20016.21001197604</v>
      </c>
    </row>
    <row r="117" spans="3:40" x14ac:dyDescent="0.3">
      <c r="C117" s="18"/>
      <c r="D117" s="15"/>
      <c r="E117" s="15"/>
      <c r="F117" s="107"/>
      <c r="H117" s="33" t="s">
        <v>493</v>
      </c>
      <c r="I117" s="122">
        <v>0.60399999999999998</v>
      </c>
      <c r="J117" s="124">
        <v>39.21</v>
      </c>
      <c r="K117" s="109">
        <f>IF(J117&gt;IF(Circ_Ref,$H$100,Share_Price),0,I117-I117*J117/IF(Circ_Ref,$H$100,Share_Price))</f>
        <v>0</v>
      </c>
      <c r="U117" s="208"/>
      <c r="V117" s="412"/>
      <c r="Y117" s="208"/>
    </row>
    <row r="118" spans="3:40" x14ac:dyDescent="0.3">
      <c r="C118" s="15"/>
      <c r="D118" s="15"/>
      <c r="E118" s="15"/>
      <c r="F118" s="15"/>
      <c r="H118" s="33" t="s">
        <v>494</v>
      </c>
      <c r="I118" s="122">
        <v>0.16600000000000001</v>
      </c>
      <c r="J118" s="124">
        <v>56.44</v>
      </c>
      <c r="K118" s="109">
        <f>IF(J118&gt;IF(Circ_Ref,$H$100,Share_Price),0,I118-I118*J118/IF(Circ_Ref,$H$100,Share_Price))</f>
        <v>0</v>
      </c>
      <c r="M118" s="3" t="str">
        <f>"Sensitivity Tables - NAV Analysis - "&amp;Company_Name</f>
        <v>Sensitivity Tables - NAV Analysis - Ultra Petroleum Corp.</v>
      </c>
      <c r="N118" s="4"/>
      <c r="O118" s="4"/>
      <c r="P118" s="4"/>
      <c r="Q118" s="4"/>
      <c r="R118" s="4"/>
      <c r="S118" s="4"/>
      <c r="T118" s="4"/>
      <c r="U118" s="4"/>
      <c r="V118" s="4"/>
      <c r="W118" s="4"/>
      <c r="X118" s="4"/>
      <c r="Y118" s="4"/>
      <c r="Z118" s="4"/>
      <c r="AA118" s="4"/>
      <c r="AB118" s="4"/>
      <c r="AC118" s="4"/>
      <c r="AD118" s="4"/>
    </row>
    <row r="119" spans="3:40" x14ac:dyDescent="0.3">
      <c r="C119" s="16"/>
      <c r="D119" s="15"/>
      <c r="E119" s="15"/>
      <c r="F119" s="82"/>
      <c r="H119" s="33" t="s">
        <v>495</v>
      </c>
      <c r="I119" s="122">
        <v>0.36199999999999999</v>
      </c>
      <c r="J119" s="124">
        <v>54.66</v>
      </c>
      <c r="K119" s="109">
        <f>IF(J119&gt;IF(Circ_Ref,$H$100,Share_Price),0,I119-I119*J119/IF(Circ_Ref,$H$100,Share_Price))</f>
        <v>0</v>
      </c>
      <c r="M119" s="1"/>
    </row>
    <row r="120" spans="3:40" x14ac:dyDescent="0.3">
      <c r="C120" s="33"/>
      <c r="D120" s="15"/>
      <c r="E120" s="15"/>
      <c r="F120" s="34"/>
      <c r="H120" s="33" t="s">
        <v>496</v>
      </c>
      <c r="I120" s="122">
        <v>0.185</v>
      </c>
      <c r="J120" s="124">
        <v>70.239999999999995</v>
      </c>
      <c r="K120" s="109">
        <f>IF(J120&gt;IF(Circ_Ref,$H$100,Share_Price),0,I120-I120*J120/IF(Circ_Ref,$H$100,Share_Price))</f>
        <v>0</v>
      </c>
      <c r="N120" s="1" t="s">
        <v>137</v>
      </c>
      <c r="AF120" s="2"/>
      <c r="AG120" s="2"/>
      <c r="AH120" s="2"/>
      <c r="AI120" s="2"/>
      <c r="AJ120" s="2"/>
      <c r="AK120" s="2"/>
      <c r="AL120" s="2"/>
      <c r="AM120" s="2"/>
      <c r="AN120" s="2"/>
    </row>
    <row r="121" spans="3:40" x14ac:dyDescent="0.3">
      <c r="C121" s="33"/>
      <c r="D121" s="15"/>
      <c r="E121" s="15"/>
      <c r="F121" s="34"/>
      <c r="H121" s="7" t="s">
        <v>26</v>
      </c>
      <c r="I121" s="32"/>
      <c r="J121" s="111"/>
      <c r="K121" s="112">
        <f>SUM(K116:K120)</f>
        <v>3.9511417950079675E-3</v>
      </c>
      <c r="AF121" s="2"/>
      <c r="AG121" s="2"/>
      <c r="AH121" s="2"/>
      <c r="AI121" s="2"/>
      <c r="AJ121" s="2"/>
      <c r="AK121" s="2"/>
      <c r="AL121" s="2"/>
      <c r="AM121" s="2"/>
      <c r="AN121" s="2"/>
    </row>
    <row r="122" spans="3:40" x14ac:dyDescent="0.3">
      <c r="N122" s="143"/>
      <c r="O122" s="31"/>
      <c r="P122" s="478" t="s">
        <v>487</v>
      </c>
      <c r="Q122" s="478"/>
      <c r="R122" s="478"/>
      <c r="S122" s="478"/>
      <c r="T122" s="478"/>
      <c r="U122" s="478"/>
      <c r="V122" s="478"/>
      <c r="W122" s="478"/>
      <c r="X122" s="478"/>
      <c r="Y122" s="479"/>
      <c r="Z122" s="478"/>
      <c r="AF122" s="2"/>
      <c r="AG122" s="2"/>
      <c r="AH122" s="2"/>
      <c r="AI122" s="2"/>
      <c r="AJ122" s="2"/>
      <c r="AK122" s="2"/>
      <c r="AL122" s="2"/>
      <c r="AM122" s="2"/>
      <c r="AN122" s="2"/>
    </row>
    <row r="123" spans="3:40" ht="14.4" customHeight="1" x14ac:dyDescent="0.3">
      <c r="C123" s="2"/>
      <c r="D123" s="2"/>
      <c r="E123" s="2"/>
      <c r="F123" s="2"/>
      <c r="G123" s="2"/>
      <c r="H123" s="2"/>
      <c r="I123" s="2"/>
      <c r="J123" s="2"/>
      <c r="K123" s="2"/>
      <c r="L123" s="2"/>
      <c r="N123" s="144"/>
      <c r="O123" s="145">
        <f ca="1">+$H$100</f>
        <v>19.383744636387213</v>
      </c>
      <c r="P123" s="150">
        <v>-0.25</v>
      </c>
      <c r="Q123" s="150">
        <f>+P123+5%</f>
        <v>-0.2</v>
      </c>
      <c r="R123" s="150">
        <f t="shared" ref="R123:Z123" si="37">+Q123+5%</f>
        <v>-0.15000000000000002</v>
      </c>
      <c r="S123" s="150">
        <f t="shared" si="37"/>
        <v>-0.10000000000000002</v>
      </c>
      <c r="T123" s="150">
        <f t="shared" si="37"/>
        <v>-5.0000000000000017E-2</v>
      </c>
      <c r="U123" s="150">
        <f t="shared" si="37"/>
        <v>0</v>
      </c>
      <c r="V123" s="150">
        <f t="shared" si="37"/>
        <v>0.05</v>
      </c>
      <c r="W123" s="150">
        <f t="shared" si="37"/>
        <v>0.1</v>
      </c>
      <c r="X123" s="150">
        <f t="shared" si="37"/>
        <v>0.15000000000000002</v>
      </c>
      <c r="Y123" s="150">
        <f t="shared" si="37"/>
        <v>0.2</v>
      </c>
      <c r="Z123" s="151">
        <f t="shared" si="37"/>
        <v>0.25</v>
      </c>
      <c r="AF123" s="2"/>
      <c r="AG123" s="2"/>
      <c r="AH123" s="2"/>
      <c r="AI123" s="2"/>
      <c r="AJ123" s="2"/>
      <c r="AK123" s="2"/>
      <c r="AL123" s="2"/>
      <c r="AM123" s="2"/>
      <c r="AN123" s="2"/>
    </row>
    <row r="124" spans="3:40" x14ac:dyDescent="0.3">
      <c r="C124" s="2"/>
      <c r="D124" s="2"/>
      <c r="E124" s="2"/>
      <c r="F124" s="2"/>
      <c r="G124" s="2"/>
      <c r="H124" s="2"/>
      <c r="I124" s="2"/>
      <c r="J124" s="2"/>
      <c r="K124" s="2"/>
      <c r="L124" s="2"/>
      <c r="N124" s="483" t="s">
        <v>491</v>
      </c>
      <c r="O124" s="146">
        <v>5.5</v>
      </c>
      <c r="P124" s="51">
        <f t="dataTable" ref="P124:Z134" dt2D="1" dtr="1" r1="Q29" r2="K14" ca="1"/>
        <v>17.214398617130676</v>
      </c>
      <c r="Q124" s="51">
        <v>19.280234308481223</v>
      </c>
      <c r="R124" s="51">
        <v>21.346020707598282</v>
      </c>
      <c r="S124" s="51">
        <v>23.41175493880549</v>
      </c>
      <c r="T124" s="51">
        <v>25.477435555966473</v>
      </c>
      <c r="U124" s="51">
        <v>27.54306213418522</v>
      </c>
      <c r="V124" s="51">
        <v>29.608634975197234</v>
      </c>
      <c r="W124" s="51">
        <v>31.674154893186302</v>
      </c>
      <c r="X124" s="51">
        <v>33.739623058158145</v>
      </c>
      <c r="Y124" s="51">
        <v>35.80504088092593</v>
      </c>
      <c r="Z124" s="155">
        <v>37.870409928444076</v>
      </c>
      <c r="AB124" s="51"/>
      <c r="AC124" s="51"/>
      <c r="AD124" s="51"/>
      <c r="AF124" s="2"/>
      <c r="AG124" s="2"/>
      <c r="AH124" s="2"/>
      <c r="AI124" s="2"/>
      <c r="AJ124" s="2"/>
      <c r="AK124" s="2"/>
      <c r="AL124" s="2"/>
      <c r="AM124" s="2"/>
      <c r="AN124" s="2"/>
    </row>
    <row r="125" spans="3:40" x14ac:dyDescent="0.3">
      <c r="C125" s="2"/>
      <c r="D125" s="2"/>
      <c r="E125" s="2"/>
      <c r="F125" s="2"/>
      <c r="G125" s="2"/>
      <c r="H125" s="2"/>
      <c r="I125" s="2"/>
      <c r="J125" s="2"/>
      <c r="K125" s="2"/>
      <c r="L125" s="2"/>
      <c r="N125" s="483"/>
      <c r="O125" s="147">
        <f>O124-0.25</f>
        <v>5.25</v>
      </c>
      <c r="P125" s="35">
        <v>15.588553418360775</v>
      </c>
      <c r="Q125" s="35">
        <v>17.571592274575394</v>
      </c>
      <c r="R125" s="35">
        <v>19.554581838556548</v>
      </c>
      <c r="S125" s="35">
        <v>21.53751923462784</v>
      </c>
      <c r="T125" s="35">
        <v>23.52040301665291</v>
      </c>
      <c r="U125" s="35">
        <v>25.503232759735702</v>
      </c>
      <c r="V125" s="35">
        <v>27.486008765611828</v>
      </c>
      <c r="W125" s="35">
        <v>29.468731848464969</v>
      </c>
      <c r="X125" s="35">
        <v>31.451403178300922</v>
      </c>
      <c r="Y125" s="35">
        <v>33.434024165932755</v>
      </c>
      <c r="Z125" s="152">
        <v>35.416596378314971</v>
      </c>
      <c r="AB125" s="35"/>
      <c r="AC125" s="35"/>
      <c r="AD125" s="35"/>
      <c r="AF125" s="2"/>
      <c r="AG125" s="2"/>
      <c r="AH125" s="2"/>
      <c r="AI125" s="2"/>
      <c r="AJ125" s="2"/>
      <c r="AK125" s="2"/>
      <c r="AL125" s="2"/>
      <c r="AM125" s="2"/>
      <c r="AN125" s="2"/>
    </row>
    <row r="126" spans="3:40" x14ac:dyDescent="0.3">
      <c r="C126" s="2"/>
      <c r="D126" s="2"/>
      <c r="E126" s="2"/>
      <c r="F126" s="2"/>
      <c r="G126" s="2"/>
      <c r="H126" s="2"/>
      <c r="I126" s="2"/>
      <c r="J126" s="2"/>
      <c r="K126" s="2"/>
      <c r="L126" s="2"/>
      <c r="N126" s="483"/>
      <c r="O126" s="147">
        <f t="shared" ref="O126:O134" si="38">O125-0.25</f>
        <v>5</v>
      </c>
      <c r="P126" s="35">
        <v>13.96270821959085</v>
      </c>
      <c r="Q126" s="35">
        <v>15.862950240669573</v>
      </c>
      <c r="R126" s="35">
        <v>17.763142969514803</v>
      </c>
      <c r="S126" s="35">
        <v>19.663283530450165</v>
      </c>
      <c r="T126" s="35">
        <v>21.563370477339333</v>
      </c>
      <c r="U126" s="35">
        <v>23.46340338528621</v>
      </c>
      <c r="V126" s="35">
        <v>25.363382556026409</v>
      </c>
      <c r="W126" s="35">
        <v>27.263308803743644</v>
      </c>
      <c r="X126" s="35">
        <v>29.163183298443659</v>
      </c>
      <c r="Y126" s="35">
        <v>31.063007450939583</v>
      </c>
      <c r="Z126" s="152">
        <v>32.962782828185887</v>
      </c>
      <c r="AB126" s="35"/>
      <c r="AC126" s="35"/>
      <c r="AD126" s="35"/>
      <c r="AF126" s="2"/>
      <c r="AG126" s="2"/>
      <c r="AH126" s="2"/>
      <c r="AI126" s="2"/>
      <c r="AJ126" s="2"/>
      <c r="AK126" s="2"/>
      <c r="AL126" s="2"/>
      <c r="AM126" s="2"/>
      <c r="AN126" s="2"/>
    </row>
    <row r="127" spans="3:40" x14ac:dyDescent="0.3">
      <c r="C127" s="2"/>
      <c r="D127" s="2"/>
      <c r="E127" s="2"/>
      <c r="F127" s="2"/>
      <c r="G127" s="2"/>
      <c r="H127" s="2"/>
      <c r="I127" s="2"/>
      <c r="J127" s="2"/>
      <c r="K127" s="2"/>
      <c r="L127" s="2"/>
      <c r="N127" s="483"/>
      <c r="O127" s="147">
        <f t="shared" si="38"/>
        <v>4.75</v>
      </c>
      <c r="P127" s="35">
        <v>12.33686302082095</v>
      </c>
      <c r="Q127" s="35">
        <v>14.154308206763746</v>
      </c>
      <c r="R127" s="35">
        <v>15.971704100473044</v>
      </c>
      <c r="S127" s="35">
        <v>17.789047826272501</v>
      </c>
      <c r="T127" s="35">
        <v>19.606337938025742</v>
      </c>
      <c r="U127" s="35">
        <v>21.423574010836717</v>
      </c>
      <c r="V127" s="35">
        <v>23.240756346440985</v>
      </c>
      <c r="W127" s="35">
        <v>25.057885759022312</v>
      </c>
      <c r="X127" s="35">
        <v>26.874963418586411</v>
      </c>
      <c r="Y127" s="35">
        <v>28.691990735946444</v>
      </c>
      <c r="Z127" s="152">
        <v>30.508969278056782</v>
      </c>
      <c r="AB127" s="35"/>
      <c r="AC127" s="35"/>
      <c r="AD127" s="35"/>
      <c r="AF127" s="2"/>
      <c r="AG127" s="2"/>
      <c r="AH127" s="2"/>
      <c r="AI127" s="2"/>
      <c r="AJ127" s="2"/>
      <c r="AK127" s="2"/>
      <c r="AL127" s="2"/>
      <c r="AM127" s="2"/>
      <c r="AN127" s="2"/>
    </row>
    <row r="128" spans="3:40" x14ac:dyDescent="0.3">
      <c r="C128" s="2"/>
      <c r="D128" s="2"/>
      <c r="E128" s="2"/>
      <c r="F128" s="2"/>
      <c r="G128" s="2"/>
      <c r="H128" s="2"/>
      <c r="I128" s="2"/>
      <c r="J128" s="2"/>
      <c r="K128" s="2"/>
      <c r="L128" s="2"/>
      <c r="N128" s="483"/>
      <c r="O128" s="147">
        <f t="shared" si="38"/>
        <v>4.5</v>
      </c>
      <c r="P128" s="35">
        <v>10.711017822051037</v>
      </c>
      <c r="Q128" s="35">
        <v>12.445666172857919</v>
      </c>
      <c r="R128" s="35">
        <v>14.180265231431319</v>
      </c>
      <c r="S128" s="35">
        <v>15.914812122094844</v>
      </c>
      <c r="T128" s="35">
        <v>17.649305398712176</v>
      </c>
      <c r="U128" s="35">
        <v>19.383744636387213</v>
      </c>
      <c r="V128" s="35">
        <v>21.118130136855573</v>
      </c>
      <c r="W128" s="35">
        <v>22.852462714300966</v>
      </c>
      <c r="X128" s="35">
        <v>24.586743538729159</v>
      </c>
      <c r="Y128" s="35">
        <v>26.320974020953269</v>
      </c>
      <c r="Z128" s="152">
        <v>28.055155727927719</v>
      </c>
      <c r="AB128" s="35"/>
      <c r="AC128" s="35"/>
      <c r="AD128" s="35"/>
      <c r="AF128" s="2"/>
      <c r="AG128" s="2"/>
      <c r="AH128" s="2"/>
      <c r="AI128" s="2"/>
      <c r="AJ128" s="2"/>
      <c r="AK128" s="2"/>
      <c r="AL128" s="2"/>
      <c r="AM128" s="2"/>
      <c r="AN128" s="2"/>
    </row>
    <row r="129" spans="3:40" x14ac:dyDescent="0.3">
      <c r="C129" s="2"/>
      <c r="D129" s="2"/>
      <c r="E129" s="2"/>
      <c r="F129" s="2"/>
      <c r="G129" s="2"/>
      <c r="H129" s="2"/>
      <c r="I129" s="2"/>
      <c r="J129" s="2"/>
      <c r="K129" s="2"/>
      <c r="L129" s="2"/>
      <c r="N129" s="483"/>
      <c r="O129" s="147">
        <f t="shared" si="38"/>
        <v>4.25</v>
      </c>
      <c r="P129" s="35">
        <v>9.0851726232811281</v>
      </c>
      <c r="Q129" s="35">
        <v>10.737024138952085</v>
      </c>
      <c r="R129" s="35">
        <v>12.388826362389553</v>
      </c>
      <c r="S129" s="35">
        <v>14.040576417917187</v>
      </c>
      <c r="T129" s="35">
        <v>15.692272859398587</v>
      </c>
      <c r="U129" s="35">
        <v>17.34391526193772</v>
      </c>
      <c r="V129" s="35">
        <v>18.995503927270153</v>
      </c>
      <c r="W129" s="35">
        <v>20.64703966957963</v>
      </c>
      <c r="X129" s="35">
        <v>22.298523658871936</v>
      </c>
      <c r="Y129" s="35">
        <v>23.949957305960098</v>
      </c>
      <c r="Z129" s="152">
        <v>25.601342177798646</v>
      </c>
      <c r="AB129" s="35"/>
      <c r="AC129" s="35"/>
      <c r="AD129" s="35"/>
      <c r="AF129" s="2"/>
      <c r="AG129" s="2"/>
      <c r="AH129" s="2"/>
      <c r="AI129" s="2"/>
      <c r="AJ129" s="2"/>
      <c r="AK129" s="2"/>
      <c r="AL129" s="2"/>
      <c r="AM129" s="2"/>
      <c r="AN129" s="2"/>
    </row>
    <row r="130" spans="3:40" x14ac:dyDescent="0.3">
      <c r="C130" s="2"/>
      <c r="D130" s="2"/>
      <c r="E130" s="2"/>
      <c r="F130" s="2"/>
      <c r="G130" s="2"/>
      <c r="H130" s="2"/>
      <c r="I130" s="2"/>
      <c r="J130" s="2"/>
      <c r="K130" s="2"/>
      <c r="L130" s="2"/>
      <c r="N130" s="483"/>
      <c r="O130" s="147">
        <f t="shared" si="38"/>
        <v>4</v>
      </c>
      <c r="P130" s="35">
        <v>7.4593274245112235</v>
      </c>
      <c r="Q130" s="35">
        <v>9.0283821050462674</v>
      </c>
      <c r="R130" s="35">
        <v>10.597387493347817</v>
      </c>
      <c r="S130" s="35">
        <v>12.166340713739535</v>
      </c>
      <c r="T130" s="35">
        <v>13.735240320085015</v>
      </c>
      <c r="U130" s="35">
        <v>15.304085887488228</v>
      </c>
      <c r="V130" s="35">
        <v>16.872877717684744</v>
      </c>
      <c r="W130" s="35">
        <v>18.441616624858302</v>
      </c>
      <c r="X130" s="35">
        <v>20.010303779014695</v>
      </c>
      <c r="Y130" s="35">
        <v>21.578940590966898</v>
      </c>
      <c r="Z130" s="152">
        <v>23.147528627669562</v>
      </c>
      <c r="AB130" s="35"/>
      <c r="AC130" s="35"/>
      <c r="AD130" s="35"/>
      <c r="AF130" s="2"/>
      <c r="AG130" s="2"/>
      <c r="AH130" s="2"/>
      <c r="AI130" s="2"/>
      <c r="AJ130" s="2"/>
      <c r="AK130" s="2"/>
      <c r="AL130" s="2"/>
      <c r="AM130" s="2"/>
      <c r="AN130" s="2"/>
    </row>
    <row r="131" spans="3:40" x14ac:dyDescent="0.3">
      <c r="C131" s="2"/>
      <c r="D131" s="2"/>
      <c r="E131" s="2"/>
      <c r="F131" s="2"/>
      <c r="G131" s="2"/>
      <c r="H131" s="2"/>
      <c r="I131" s="2"/>
      <c r="J131" s="2"/>
      <c r="K131" s="2"/>
      <c r="L131" s="2"/>
      <c r="N131" s="483"/>
      <c r="O131" s="147">
        <f t="shared" si="38"/>
        <v>3.75</v>
      </c>
      <c r="P131" s="35">
        <v>5.8334822257413048</v>
      </c>
      <c r="Q131" s="35">
        <v>7.3197400711404477</v>
      </c>
      <c r="R131" s="35">
        <v>8.8059486243060796</v>
      </c>
      <c r="S131" s="35">
        <v>10.292105009561856</v>
      </c>
      <c r="T131" s="35">
        <v>11.778207780771437</v>
      </c>
      <c r="U131" s="35">
        <v>13.264256513038735</v>
      </c>
      <c r="V131" s="35">
        <v>14.750251508099332</v>
      </c>
      <c r="W131" s="35">
        <v>16.236193580136977</v>
      </c>
      <c r="X131" s="35">
        <v>17.722083899157429</v>
      </c>
      <c r="Y131" s="35">
        <v>19.207923875973758</v>
      </c>
      <c r="Z131" s="152">
        <v>20.693715077540489</v>
      </c>
      <c r="AB131" s="35"/>
      <c r="AC131" s="35"/>
      <c r="AD131" s="35"/>
      <c r="AF131" s="2"/>
      <c r="AG131" s="2"/>
      <c r="AH131" s="2"/>
      <c r="AI131" s="2"/>
      <c r="AJ131" s="2"/>
      <c r="AK131" s="2"/>
      <c r="AL131" s="2"/>
      <c r="AM131" s="2"/>
      <c r="AN131" s="2"/>
    </row>
    <row r="132" spans="3:40" x14ac:dyDescent="0.3">
      <c r="C132" s="2"/>
      <c r="D132" s="2"/>
      <c r="E132" s="2"/>
      <c r="F132" s="2"/>
      <c r="G132" s="2"/>
      <c r="H132" s="2"/>
      <c r="I132" s="2"/>
      <c r="J132" s="2"/>
      <c r="K132" s="2"/>
      <c r="L132" s="2"/>
      <c r="N132" s="483"/>
      <c r="O132" s="147">
        <f t="shared" si="38"/>
        <v>3.5</v>
      </c>
      <c r="P132" s="35">
        <v>4.2076370269713985</v>
      </c>
      <c r="Q132" s="35">
        <v>5.6110980372346146</v>
      </c>
      <c r="R132" s="35">
        <v>7.0145097552643376</v>
      </c>
      <c r="S132" s="35">
        <v>8.4178693053841975</v>
      </c>
      <c r="T132" s="35">
        <v>9.821175241457853</v>
      </c>
      <c r="U132" s="35">
        <v>11.224427138589222</v>
      </c>
      <c r="V132" s="35">
        <v>12.627625298513925</v>
      </c>
      <c r="W132" s="35">
        <v>14.030770535415645</v>
      </c>
      <c r="X132" s="35">
        <v>15.433864019300168</v>
      </c>
      <c r="Y132" s="35">
        <v>16.836907160980587</v>
      </c>
      <c r="Z132" s="152">
        <v>18.239901527411373</v>
      </c>
      <c r="AB132" s="35"/>
      <c r="AC132" s="35"/>
      <c r="AD132" s="35"/>
      <c r="AF132" s="2"/>
      <c r="AG132" s="2"/>
      <c r="AH132" s="2"/>
      <c r="AI132" s="2"/>
      <c r="AJ132" s="2"/>
      <c r="AK132" s="2"/>
      <c r="AL132" s="2"/>
      <c r="AM132" s="2"/>
      <c r="AN132" s="2"/>
    </row>
    <row r="133" spans="3:40" x14ac:dyDescent="0.3">
      <c r="C133" s="2"/>
      <c r="D133" s="2"/>
      <c r="E133" s="2"/>
      <c r="F133" s="2"/>
      <c r="G133" s="2"/>
      <c r="H133" s="2"/>
      <c r="I133" s="2"/>
      <c r="J133" s="2"/>
      <c r="K133" s="2"/>
      <c r="L133" s="2"/>
      <c r="N133" s="483"/>
      <c r="O133" s="147">
        <f t="shared" si="38"/>
        <v>3.25</v>
      </c>
      <c r="P133" s="35">
        <v>2.5817918282014949</v>
      </c>
      <c r="Q133" s="35">
        <v>3.9024560033287932</v>
      </c>
      <c r="R133" s="35">
        <v>5.2230708862225956</v>
      </c>
      <c r="S133" s="35">
        <v>6.5436336012065457</v>
      </c>
      <c r="T133" s="35">
        <v>7.8641427021442878</v>
      </c>
      <c r="U133" s="35">
        <v>9.1845977641397418</v>
      </c>
      <c r="V133" s="35">
        <v>10.504999088928511</v>
      </c>
      <c r="W133" s="35">
        <v>11.825347490694314</v>
      </c>
      <c r="X133" s="35">
        <v>13.145644139442931</v>
      </c>
      <c r="Y133" s="35">
        <v>14.465890445987423</v>
      </c>
      <c r="Z133" s="152">
        <v>15.786087977282305</v>
      </c>
      <c r="AB133" s="35"/>
      <c r="AC133" s="35"/>
      <c r="AD133" s="35"/>
      <c r="AF133" s="2"/>
      <c r="AG133" s="2"/>
      <c r="AH133" s="2"/>
      <c r="AI133" s="2"/>
      <c r="AJ133" s="2"/>
      <c r="AK133" s="2"/>
      <c r="AL133" s="2"/>
      <c r="AM133" s="2"/>
      <c r="AN133" s="2"/>
    </row>
    <row r="134" spans="3:40" x14ac:dyDescent="0.3">
      <c r="C134" s="2"/>
      <c r="D134" s="2"/>
      <c r="E134" s="2"/>
      <c r="F134" s="2"/>
      <c r="G134" s="2"/>
      <c r="H134" s="2"/>
      <c r="I134" s="2"/>
      <c r="J134" s="2"/>
      <c r="K134" s="2"/>
      <c r="L134" s="2"/>
      <c r="N134" s="484"/>
      <c r="O134" s="149">
        <f t="shared" si="38"/>
        <v>3</v>
      </c>
      <c r="P134" s="153">
        <v>0.95594662943158537</v>
      </c>
      <c r="Q134" s="153">
        <v>2.1938139694229628</v>
      </c>
      <c r="R134" s="153">
        <v>3.431632017180847</v>
      </c>
      <c r="S134" s="153">
        <v>4.6693978970288761</v>
      </c>
      <c r="T134" s="153">
        <v>5.9071101628306915</v>
      </c>
      <c r="U134" s="153">
        <v>7.144768389690249</v>
      </c>
      <c r="V134" s="153">
        <v>8.3823728793431052</v>
      </c>
      <c r="W134" s="153">
        <v>9.6199244459729716</v>
      </c>
      <c r="X134" s="153">
        <v>10.857424259585686</v>
      </c>
      <c r="Y134" s="153">
        <v>12.094873730994259</v>
      </c>
      <c r="Z134" s="154">
        <v>13.332274427153219</v>
      </c>
      <c r="AB134" s="35"/>
      <c r="AC134" s="35"/>
      <c r="AD134" s="35"/>
      <c r="AF134" s="2"/>
      <c r="AG134" s="2"/>
      <c r="AH134" s="2"/>
      <c r="AI134" s="2"/>
      <c r="AJ134" s="2"/>
      <c r="AK134" s="2"/>
      <c r="AL134" s="2"/>
      <c r="AM134" s="2"/>
      <c r="AN134" s="2"/>
    </row>
    <row r="135" spans="3:40" x14ac:dyDescent="0.3">
      <c r="C135" s="2"/>
      <c r="D135" s="2"/>
      <c r="E135" s="2"/>
      <c r="F135" s="2"/>
      <c r="G135" s="2"/>
      <c r="H135" s="2"/>
      <c r="I135" s="2"/>
      <c r="J135" s="2"/>
      <c r="K135" s="2"/>
      <c r="L135" s="2"/>
      <c r="R135" s="48"/>
      <c r="S135" s="48"/>
      <c r="AF135" s="2"/>
      <c r="AG135" s="2"/>
      <c r="AH135" s="2"/>
      <c r="AI135" s="2"/>
      <c r="AJ135" s="2"/>
      <c r="AK135" s="2"/>
      <c r="AL135" s="2"/>
      <c r="AM135" s="2"/>
      <c r="AN135" s="2"/>
    </row>
    <row r="136" spans="3:40" x14ac:dyDescent="0.3">
      <c r="C136" s="2"/>
      <c r="D136" s="2"/>
      <c r="E136" s="2"/>
      <c r="F136" s="2"/>
      <c r="G136" s="2"/>
      <c r="H136" s="2"/>
      <c r="I136" s="2"/>
      <c r="J136" s="2"/>
      <c r="K136" s="2"/>
      <c r="L136" s="2"/>
      <c r="N136" s="1" t="s">
        <v>138</v>
      </c>
      <c r="AF136" s="2"/>
      <c r="AG136" s="2"/>
      <c r="AH136" s="2"/>
      <c r="AI136" s="2"/>
      <c r="AJ136" s="2"/>
      <c r="AK136" s="2"/>
      <c r="AL136" s="2"/>
      <c r="AM136" s="2"/>
      <c r="AN136" s="2"/>
    </row>
    <row r="137" spans="3:40" x14ac:dyDescent="0.3">
      <c r="C137" s="2"/>
      <c r="D137" s="2"/>
      <c r="E137" s="2"/>
      <c r="F137" s="2"/>
      <c r="G137" s="2"/>
      <c r="H137" s="2"/>
      <c r="I137" s="2"/>
      <c r="J137" s="2"/>
      <c r="K137" s="2"/>
      <c r="L137" s="2"/>
      <c r="AF137" s="2"/>
      <c r="AG137" s="2"/>
      <c r="AH137" s="2"/>
      <c r="AI137" s="2"/>
      <c r="AJ137" s="2"/>
      <c r="AK137" s="2"/>
      <c r="AL137" s="2"/>
      <c r="AM137" s="2"/>
      <c r="AN137" s="2"/>
    </row>
    <row r="138" spans="3:40" x14ac:dyDescent="0.3">
      <c r="C138" s="2"/>
      <c r="D138" s="2"/>
      <c r="E138" s="2"/>
      <c r="F138" s="2"/>
      <c r="G138" s="2"/>
      <c r="H138" s="2"/>
      <c r="I138" s="2"/>
      <c r="J138" s="2"/>
      <c r="K138" s="2"/>
      <c r="L138" s="2"/>
      <c r="N138" s="143"/>
      <c r="O138" s="31"/>
      <c r="P138" s="478" t="s">
        <v>488</v>
      </c>
      <c r="Q138" s="478"/>
      <c r="R138" s="478"/>
      <c r="S138" s="478"/>
      <c r="T138" s="478"/>
      <c r="U138" s="478"/>
      <c r="V138" s="478"/>
      <c r="W138" s="478"/>
      <c r="X138" s="478"/>
      <c r="Y138" s="479"/>
      <c r="Z138" s="478"/>
      <c r="AF138" s="2"/>
      <c r="AG138" s="2"/>
      <c r="AH138" s="2"/>
      <c r="AI138" s="2"/>
      <c r="AJ138" s="2"/>
      <c r="AK138" s="2"/>
      <c r="AL138" s="2"/>
      <c r="AM138" s="2"/>
      <c r="AN138" s="2"/>
    </row>
    <row r="139" spans="3:40" ht="15" customHeight="1" x14ac:dyDescent="0.3">
      <c r="C139" s="2"/>
      <c r="D139" s="2"/>
      <c r="E139" s="2"/>
      <c r="F139" s="2"/>
      <c r="G139" s="2"/>
      <c r="H139" s="2"/>
      <c r="I139" s="2"/>
      <c r="J139" s="2"/>
      <c r="K139" s="2"/>
      <c r="L139" s="2"/>
      <c r="N139" s="144"/>
      <c r="O139" s="145">
        <f ca="1">+$H$100</f>
        <v>19.383744636387213</v>
      </c>
      <c r="P139" s="150">
        <v>-0.25</v>
      </c>
      <c r="Q139" s="150">
        <f>+P139+5%</f>
        <v>-0.2</v>
      </c>
      <c r="R139" s="150">
        <f t="shared" ref="R139:Z139" si="39">+Q139+5%</f>
        <v>-0.15000000000000002</v>
      </c>
      <c r="S139" s="150">
        <f t="shared" si="39"/>
        <v>-0.10000000000000002</v>
      </c>
      <c r="T139" s="150">
        <f t="shared" si="39"/>
        <v>-5.0000000000000017E-2</v>
      </c>
      <c r="U139" s="150">
        <f t="shared" si="39"/>
        <v>0</v>
      </c>
      <c r="V139" s="150">
        <f t="shared" si="39"/>
        <v>0.05</v>
      </c>
      <c r="W139" s="150">
        <f t="shared" si="39"/>
        <v>0.1</v>
      </c>
      <c r="X139" s="150">
        <f t="shared" si="39"/>
        <v>0.15000000000000002</v>
      </c>
      <c r="Y139" s="150">
        <f t="shared" si="39"/>
        <v>0.2</v>
      </c>
      <c r="Z139" s="151">
        <f t="shared" si="39"/>
        <v>0.25</v>
      </c>
      <c r="AF139" s="2"/>
      <c r="AG139" s="2"/>
      <c r="AH139" s="2"/>
      <c r="AI139" s="2"/>
      <c r="AJ139" s="2"/>
      <c r="AK139" s="2"/>
      <c r="AL139" s="2"/>
      <c r="AM139" s="2"/>
      <c r="AN139" s="2"/>
    </row>
    <row r="140" spans="3:40" x14ac:dyDescent="0.3">
      <c r="C140" s="218"/>
      <c r="D140" s="2"/>
      <c r="E140" s="2"/>
      <c r="F140" s="2"/>
      <c r="G140" s="2"/>
      <c r="H140" s="2"/>
      <c r="I140" s="2"/>
      <c r="J140" s="2"/>
      <c r="K140" s="2"/>
      <c r="L140" s="2"/>
      <c r="N140" s="483" t="str">
        <f>N124</f>
        <v>Long-Term Gas Prices:</v>
      </c>
      <c r="O140" s="146">
        <f>+O124</f>
        <v>5.5</v>
      </c>
      <c r="P140" s="51">
        <f t="dataTable" ref="P140:Z150" dt2D="1" dtr="1" r1="Q30" r2="K14" ca="1"/>
        <v>18.029973382711141</v>
      </c>
      <c r="Q140" s="51">
        <v>19.934937224914336</v>
      </c>
      <c r="R140" s="51">
        <v>21.838765259254618</v>
      </c>
      <c r="S140" s="51">
        <v>23.741420862411317</v>
      </c>
      <c r="T140" s="51">
        <v>25.642866177820533</v>
      </c>
      <c r="U140" s="51">
        <v>27.54306213418522</v>
      </c>
      <c r="V140" s="51">
        <v>29.43367713278576</v>
      </c>
      <c r="W140" s="51">
        <v>31.276681585979841</v>
      </c>
      <c r="X140" s="51">
        <v>33.043873640191016</v>
      </c>
      <c r="Y140" s="51">
        <v>34.724395085310235</v>
      </c>
      <c r="Z140" s="155">
        <v>36.313502530595109</v>
      </c>
      <c r="AF140" s="2"/>
      <c r="AG140" s="2"/>
      <c r="AH140" s="2"/>
      <c r="AI140" s="2"/>
      <c r="AJ140" s="2"/>
      <c r="AK140" s="2"/>
      <c r="AL140" s="2"/>
      <c r="AM140" s="2"/>
      <c r="AN140" s="2"/>
    </row>
    <row r="141" spans="3:40" x14ac:dyDescent="0.3">
      <c r="C141" s="2"/>
      <c r="D141" s="2"/>
      <c r="E141" s="2"/>
      <c r="F141" s="2"/>
      <c r="G141" s="2"/>
      <c r="H141" s="2"/>
      <c r="I141" s="2"/>
      <c r="J141" s="2"/>
      <c r="K141" s="2"/>
      <c r="L141" s="2"/>
      <c r="N141" s="485"/>
      <c r="O141" s="147">
        <f t="shared" ref="O141:O150" si="40">+O125</f>
        <v>5.25</v>
      </c>
      <c r="P141" s="35">
        <v>16.351808240801361</v>
      </c>
      <c r="Q141" s="35">
        <v>18.184439236496608</v>
      </c>
      <c r="R141" s="35">
        <v>20.015934424328979</v>
      </c>
      <c r="S141" s="35">
        <v>21.846257180977712</v>
      </c>
      <c r="T141" s="35">
        <v>23.675369649878995</v>
      </c>
      <c r="U141" s="35">
        <v>25.503232759735702</v>
      </c>
      <c r="V141" s="35">
        <v>27.321965997836006</v>
      </c>
      <c r="W141" s="35">
        <v>29.095217384422476</v>
      </c>
      <c r="X141" s="35">
        <v>30.795969388934129</v>
      </c>
      <c r="Y141" s="35">
        <v>32.414086303399628</v>
      </c>
      <c r="Z141" s="152">
        <v>33.945185858080016</v>
      </c>
    </row>
    <row r="142" spans="3:40" x14ac:dyDescent="0.3">
      <c r="C142" s="2"/>
      <c r="D142" s="2"/>
      <c r="E142" s="2"/>
      <c r="F142" s="2"/>
      <c r="G142" s="2"/>
      <c r="H142" s="2"/>
      <c r="I142" s="2"/>
      <c r="J142" s="2"/>
      <c r="K142" s="2"/>
      <c r="L142" s="2"/>
      <c r="N142" s="485"/>
      <c r="O142" s="147">
        <f t="shared" si="40"/>
        <v>5</v>
      </c>
      <c r="P142" s="35">
        <v>14.673643098891578</v>
      </c>
      <c r="Q142" s="35">
        <v>16.433941248078877</v>
      </c>
      <c r="R142" s="35">
        <v>18.193103589403307</v>
      </c>
      <c r="S142" s="35">
        <v>19.951093499544108</v>
      </c>
      <c r="T142" s="35">
        <v>21.707873121937432</v>
      </c>
      <c r="U142" s="35">
        <v>23.46340338528621</v>
      </c>
      <c r="V142" s="35">
        <v>25.210254862886263</v>
      </c>
      <c r="W142" s="35">
        <v>26.913753182865097</v>
      </c>
      <c r="X142" s="35">
        <v>28.548065137677249</v>
      </c>
      <c r="Y142" s="35">
        <v>30.103777521489</v>
      </c>
      <c r="Z142" s="152">
        <v>31.576869185564924</v>
      </c>
    </row>
    <row r="143" spans="3:40" x14ac:dyDescent="0.3">
      <c r="C143" s="2"/>
      <c r="D143" s="2"/>
      <c r="E143" s="2"/>
      <c r="F143" s="2"/>
      <c r="G143" s="2"/>
      <c r="H143" s="2"/>
      <c r="I143" s="2"/>
      <c r="J143" s="2"/>
      <c r="K143" s="2"/>
      <c r="L143" s="2"/>
      <c r="N143" s="485"/>
      <c r="O143" s="147">
        <f t="shared" si="40"/>
        <v>4.75</v>
      </c>
      <c r="P143" s="35">
        <v>12.995477956981818</v>
      </c>
      <c r="Q143" s="35">
        <v>14.683443259661169</v>
      </c>
      <c r="R143" s="35">
        <v>16.370272754477639</v>
      </c>
      <c r="S143" s="35">
        <v>18.055929818110489</v>
      </c>
      <c r="T143" s="35">
        <v>19.74037659399588</v>
      </c>
      <c r="U143" s="35">
        <v>21.423574010836717</v>
      </c>
      <c r="V143" s="35">
        <v>23.098543727936487</v>
      </c>
      <c r="W143" s="35">
        <v>24.73228898130775</v>
      </c>
      <c r="X143" s="35">
        <v>26.300160886420397</v>
      </c>
      <c r="Y143" s="35">
        <v>27.793468739578412</v>
      </c>
      <c r="Z143" s="152">
        <v>29.208552513049842</v>
      </c>
    </row>
    <row r="144" spans="3:40" x14ac:dyDescent="0.3">
      <c r="C144" s="2"/>
      <c r="D144" s="2"/>
      <c r="E144" s="2"/>
      <c r="F144" s="2"/>
      <c r="G144" s="2"/>
      <c r="H144" s="2"/>
      <c r="I144" s="2"/>
      <c r="J144" s="2"/>
      <c r="K144" s="2"/>
      <c r="L144" s="2"/>
      <c r="N144" s="485"/>
      <c r="O144" s="147">
        <f t="shared" si="40"/>
        <v>4.5</v>
      </c>
      <c r="P144" s="35">
        <v>11.317312815072039</v>
      </c>
      <c r="Q144" s="35">
        <v>12.932945271243454</v>
      </c>
      <c r="R144" s="35">
        <v>14.547441919551977</v>
      </c>
      <c r="S144" s="35">
        <v>16.160766136676894</v>
      </c>
      <c r="T144" s="35">
        <v>17.772880066054334</v>
      </c>
      <c r="U144" s="35">
        <v>19.383744636387213</v>
      </c>
      <c r="V144" s="35">
        <v>20.986832592986723</v>
      </c>
      <c r="W144" s="35">
        <v>22.550824779750386</v>
      </c>
      <c r="X144" s="35">
        <v>24.052256635163516</v>
      </c>
      <c r="Y144" s="35">
        <v>25.483159957667791</v>
      </c>
      <c r="Z144" s="152">
        <v>26.840235840534749</v>
      </c>
    </row>
    <row r="145" spans="3:26" x14ac:dyDescent="0.3">
      <c r="C145" s="2"/>
      <c r="D145" s="2"/>
      <c r="E145" s="2"/>
      <c r="F145" s="2"/>
      <c r="G145" s="2"/>
      <c r="H145" s="2"/>
      <c r="I145" s="2"/>
      <c r="J145" s="2"/>
      <c r="K145" s="2"/>
      <c r="L145" s="2"/>
      <c r="N145" s="485"/>
      <c r="O145" s="147">
        <f t="shared" si="40"/>
        <v>4.25</v>
      </c>
      <c r="P145" s="35">
        <v>9.6391476731622738</v>
      </c>
      <c r="Q145" s="35">
        <v>11.182447282825741</v>
      </c>
      <c r="R145" s="35">
        <v>12.724611084626304</v>
      </c>
      <c r="S145" s="35">
        <v>14.265602455243299</v>
      </c>
      <c r="T145" s="35">
        <v>15.805383538112771</v>
      </c>
      <c r="U145" s="35">
        <v>17.34391526193772</v>
      </c>
      <c r="V145" s="35">
        <v>18.875121458036979</v>
      </c>
      <c r="W145" s="35">
        <v>20.369360578193014</v>
      </c>
      <c r="X145" s="35">
        <v>21.804352383906661</v>
      </c>
      <c r="Y145" s="35">
        <v>23.172851175757177</v>
      </c>
      <c r="Z145" s="152">
        <v>24.471919168019667</v>
      </c>
    </row>
    <row r="146" spans="3:26" x14ac:dyDescent="0.3">
      <c r="C146" s="2"/>
      <c r="D146" s="2"/>
      <c r="E146" s="2"/>
      <c r="F146" s="2"/>
      <c r="G146" s="2"/>
      <c r="H146" s="2"/>
      <c r="I146" s="2"/>
      <c r="J146" s="2"/>
      <c r="K146" s="2"/>
      <c r="L146" s="2"/>
      <c r="N146" s="485"/>
      <c r="O146" s="147">
        <f t="shared" si="40"/>
        <v>4</v>
      </c>
      <c r="P146" s="35">
        <v>7.9609825312525011</v>
      </c>
      <c r="Q146" s="35">
        <v>9.4319492944080174</v>
      </c>
      <c r="R146" s="35">
        <v>10.901780249700648</v>
      </c>
      <c r="S146" s="35">
        <v>12.370438773809688</v>
      </c>
      <c r="T146" s="35">
        <v>13.837887010171221</v>
      </c>
      <c r="U146" s="35">
        <v>15.304085887488228</v>
      </c>
      <c r="V146" s="35">
        <v>16.763410323087214</v>
      </c>
      <c r="W146" s="35">
        <v>18.18789637663566</v>
      </c>
      <c r="X146" s="35">
        <v>19.556448132649802</v>
      </c>
      <c r="Y146" s="35">
        <v>20.86254239384656</v>
      </c>
      <c r="Z146" s="152">
        <v>22.1036024955046</v>
      </c>
    </row>
    <row r="147" spans="3:26" x14ac:dyDescent="0.3">
      <c r="C147" s="2"/>
      <c r="D147" s="2"/>
      <c r="E147" s="2"/>
      <c r="F147" s="2"/>
      <c r="G147" s="2"/>
      <c r="H147" s="2"/>
      <c r="I147" s="2"/>
      <c r="J147" s="2"/>
      <c r="K147" s="2"/>
      <c r="L147" s="2"/>
      <c r="N147" s="485"/>
      <c r="O147" s="147">
        <f t="shared" si="40"/>
        <v>3.75</v>
      </c>
      <c r="P147" s="35">
        <v>6.2828173893427222</v>
      </c>
      <c r="Q147" s="35">
        <v>7.6814513059903184</v>
      </c>
      <c r="R147" s="35">
        <v>9.0789494147749927</v>
      </c>
      <c r="S147" s="35">
        <v>10.475275092376073</v>
      </c>
      <c r="T147" s="35">
        <v>11.870390482229668</v>
      </c>
      <c r="U147" s="35">
        <v>13.264256513038735</v>
      </c>
      <c r="V147" s="35">
        <v>14.65169918813746</v>
      </c>
      <c r="W147" s="35">
        <v>16.006432175078302</v>
      </c>
      <c r="X147" s="35">
        <v>17.308543881392939</v>
      </c>
      <c r="Y147" s="35">
        <v>18.552233611935932</v>
      </c>
      <c r="Z147" s="152">
        <v>19.735285822989532</v>
      </c>
    </row>
    <row r="148" spans="3:26" x14ac:dyDescent="0.3">
      <c r="C148" s="2"/>
      <c r="D148" s="2"/>
      <c r="E148" s="2"/>
      <c r="F148" s="2"/>
      <c r="G148" s="2"/>
      <c r="H148" s="2"/>
      <c r="I148" s="2"/>
      <c r="J148" s="2"/>
      <c r="K148" s="2"/>
      <c r="L148" s="2"/>
      <c r="N148" s="485"/>
      <c r="O148" s="147">
        <f t="shared" si="40"/>
        <v>3.5</v>
      </c>
      <c r="P148" s="35">
        <v>4.6046522474329592</v>
      </c>
      <c r="Q148" s="35">
        <v>5.9309533175725928</v>
      </c>
      <c r="R148" s="35">
        <v>7.2561185798493364</v>
      </c>
      <c r="S148" s="35">
        <v>8.5801114109424645</v>
      </c>
      <c r="T148" s="35">
        <v>9.9028939542881211</v>
      </c>
      <c r="U148" s="35">
        <v>11.224427138589222</v>
      </c>
      <c r="V148" s="35">
        <v>12.539988053187718</v>
      </c>
      <c r="W148" s="35">
        <v>13.824967973520943</v>
      </c>
      <c r="X148" s="35">
        <v>15.060639630136061</v>
      </c>
      <c r="Y148" s="35">
        <v>16.241924830025326</v>
      </c>
      <c r="Z148" s="152">
        <v>17.366969150474425</v>
      </c>
    </row>
    <row r="149" spans="3:26" x14ac:dyDescent="0.3">
      <c r="C149" s="2"/>
      <c r="D149" s="2"/>
      <c r="E149" s="2"/>
      <c r="F149" s="2"/>
      <c r="G149" s="2"/>
      <c r="H149" s="2"/>
      <c r="I149" s="2"/>
      <c r="J149" s="2"/>
      <c r="K149" s="2"/>
      <c r="L149" s="2"/>
      <c r="N149" s="485"/>
      <c r="O149" s="147">
        <f t="shared" si="40"/>
        <v>3.25</v>
      </c>
      <c r="P149" s="35">
        <v>2.9264871055231869</v>
      </c>
      <c r="Q149" s="35">
        <v>4.1804553291548725</v>
      </c>
      <c r="R149" s="35">
        <v>5.4332877449236721</v>
      </c>
      <c r="S149" s="35">
        <v>6.6849477295088633</v>
      </c>
      <c r="T149" s="35">
        <v>7.9353974263465723</v>
      </c>
      <c r="U149" s="35">
        <v>9.1845977641397418</v>
      </c>
      <c r="V149" s="35">
        <v>10.428276918237954</v>
      </c>
      <c r="W149" s="35">
        <v>11.643503771963577</v>
      </c>
      <c r="X149" s="35">
        <v>12.812735378879204</v>
      </c>
      <c r="Y149" s="35">
        <v>13.931616048114716</v>
      </c>
      <c r="Z149" s="152">
        <v>14.998652477959363</v>
      </c>
    </row>
    <row r="150" spans="3:26" x14ac:dyDescent="0.3">
      <c r="C150" s="2"/>
      <c r="D150" s="2"/>
      <c r="E150" s="2"/>
      <c r="F150" s="2"/>
      <c r="G150" s="2"/>
      <c r="H150" s="2"/>
      <c r="I150" s="2"/>
      <c r="J150" s="2"/>
      <c r="K150" s="2"/>
      <c r="L150" s="2"/>
      <c r="N150" s="486"/>
      <c r="O150" s="149">
        <f t="shared" si="40"/>
        <v>3</v>
      </c>
      <c r="P150" s="153">
        <v>1.2483219636134117</v>
      </c>
      <c r="Q150" s="153">
        <v>2.4299573407371526</v>
      </c>
      <c r="R150" s="153">
        <v>3.6104569099980042</v>
      </c>
      <c r="S150" s="153">
        <v>4.7897840480752603</v>
      </c>
      <c r="T150" s="153">
        <v>5.9679008984050181</v>
      </c>
      <c r="U150" s="153">
        <v>7.144768389690249</v>
      </c>
      <c r="V150" s="153">
        <v>8.3165657832882047</v>
      </c>
      <c r="W150" s="153">
        <v>9.4620395704062172</v>
      </c>
      <c r="X150" s="153">
        <v>10.564831127622341</v>
      </c>
      <c r="Y150" s="153">
        <v>11.621307266204099</v>
      </c>
      <c r="Z150" s="154">
        <v>12.630335805444275</v>
      </c>
    </row>
    <row r="151" spans="3:26" x14ac:dyDescent="0.3">
      <c r="C151" s="2"/>
      <c r="D151" s="2"/>
      <c r="E151" s="2"/>
      <c r="F151" s="2"/>
      <c r="G151" s="2"/>
      <c r="H151" s="2"/>
      <c r="I151" s="2"/>
      <c r="J151" s="2"/>
      <c r="K151" s="2"/>
      <c r="L151" s="2"/>
    </row>
    <row r="152" spans="3:26" x14ac:dyDescent="0.3">
      <c r="C152" s="2"/>
      <c r="D152" s="2"/>
      <c r="E152" s="2"/>
      <c r="F152" s="2"/>
      <c r="G152" s="2"/>
      <c r="H152" s="2"/>
      <c r="I152" s="2"/>
      <c r="J152" s="2"/>
      <c r="K152" s="2"/>
      <c r="L152" s="2"/>
      <c r="N152" s="1" t="s">
        <v>139</v>
      </c>
    </row>
    <row r="153" spans="3:26" x14ac:dyDescent="0.3">
      <c r="C153" s="2"/>
      <c r="D153" s="2"/>
      <c r="E153" s="2"/>
      <c r="F153" s="2"/>
      <c r="G153" s="2"/>
      <c r="H153" s="2"/>
      <c r="I153" s="2"/>
      <c r="J153" s="2"/>
      <c r="K153" s="2"/>
      <c r="L153" s="2"/>
    </row>
    <row r="154" spans="3:26" x14ac:dyDescent="0.3">
      <c r="C154" s="2"/>
      <c r="D154" s="2"/>
      <c r="E154" s="2"/>
      <c r="F154" s="2"/>
      <c r="G154" s="2"/>
      <c r="H154" s="2"/>
      <c r="I154" s="2"/>
      <c r="J154" s="2"/>
      <c r="K154" s="2"/>
      <c r="L154" s="2"/>
      <c r="N154" s="143"/>
      <c r="O154" s="31"/>
      <c r="P154" s="478" t="s">
        <v>489</v>
      </c>
      <c r="Q154" s="478"/>
      <c r="R154" s="478"/>
      <c r="S154" s="478"/>
      <c r="T154" s="478"/>
      <c r="U154" s="478"/>
      <c r="V154" s="478"/>
      <c r="W154" s="478"/>
      <c r="X154" s="478"/>
      <c r="Y154" s="479"/>
      <c r="Z154" s="478"/>
    </row>
    <row r="155" spans="3:26" ht="15" customHeight="1" x14ac:dyDescent="0.3">
      <c r="C155" s="2"/>
      <c r="D155" s="2"/>
      <c r="E155" s="2"/>
      <c r="F155" s="2"/>
      <c r="G155" s="2"/>
      <c r="H155" s="2"/>
      <c r="I155" s="2"/>
      <c r="J155" s="2"/>
      <c r="K155" s="2"/>
      <c r="L155" s="2"/>
      <c r="N155" s="144"/>
      <c r="O155" s="145">
        <f ca="1">+$H$100</f>
        <v>19.383744636387213</v>
      </c>
      <c r="P155" s="150">
        <v>-0.25</v>
      </c>
      <c r="Q155" s="150">
        <f>+P155+5%</f>
        <v>-0.2</v>
      </c>
      <c r="R155" s="150">
        <f t="shared" ref="R155:Z155" si="41">+Q155+5%</f>
        <v>-0.15000000000000002</v>
      </c>
      <c r="S155" s="150">
        <f t="shared" si="41"/>
        <v>-0.10000000000000002</v>
      </c>
      <c r="T155" s="150">
        <f t="shared" si="41"/>
        <v>-5.0000000000000017E-2</v>
      </c>
      <c r="U155" s="150">
        <f t="shared" si="41"/>
        <v>0</v>
      </c>
      <c r="V155" s="150">
        <f t="shared" si="41"/>
        <v>0.05</v>
      </c>
      <c r="W155" s="150">
        <f t="shared" si="41"/>
        <v>0.1</v>
      </c>
      <c r="X155" s="150">
        <f t="shared" si="41"/>
        <v>0.15000000000000002</v>
      </c>
      <c r="Y155" s="150">
        <f t="shared" si="41"/>
        <v>0.2</v>
      </c>
      <c r="Z155" s="151">
        <f t="shared" si="41"/>
        <v>0.25</v>
      </c>
    </row>
    <row r="156" spans="3:26" x14ac:dyDescent="0.3">
      <c r="C156" s="2"/>
      <c r="D156" s="2"/>
      <c r="E156" s="2"/>
      <c r="F156" s="2"/>
      <c r="G156" s="2"/>
      <c r="H156" s="2"/>
      <c r="I156" s="2"/>
      <c r="J156" s="2"/>
      <c r="K156" s="2"/>
      <c r="L156" s="2"/>
      <c r="N156" s="483" t="str">
        <f>N140</f>
        <v>Long-Term Gas Prices:</v>
      </c>
      <c r="O156" s="146">
        <f>+O140</f>
        <v>5.5</v>
      </c>
      <c r="P156" s="51">
        <f t="dataTable" ref="P156:Z166" dt2D="1" dtr="1" r1="Q31" r2="K14" ca="1"/>
        <v>32.319796125434031</v>
      </c>
      <c r="Q156" s="51">
        <v>31.364449327184261</v>
      </c>
      <c r="R156" s="51">
        <v>30.409102528934486</v>
      </c>
      <c r="S156" s="51">
        <v>29.453755730684723</v>
      </c>
      <c r="T156" s="51">
        <v>28.498408932434966</v>
      </c>
      <c r="U156" s="51">
        <v>27.54306213418522</v>
      </c>
      <c r="V156" s="51">
        <v>26.587715335935457</v>
      </c>
      <c r="W156" s="51">
        <v>25.632368537685693</v>
      </c>
      <c r="X156" s="51">
        <v>24.677021739435926</v>
      </c>
      <c r="Y156" s="51">
        <v>23.721674941186169</v>
      </c>
      <c r="Z156" s="155">
        <v>22.766328142936405</v>
      </c>
    </row>
    <row r="157" spans="3:26" x14ac:dyDescent="0.3">
      <c r="C157" s="2"/>
      <c r="D157" s="2"/>
      <c r="E157" s="2"/>
      <c r="F157" s="2"/>
      <c r="G157" s="2"/>
      <c r="H157" s="2"/>
      <c r="I157" s="2"/>
      <c r="J157" s="2"/>
      <c r="K157" s="2"/>
      <c r="L157" s="2"/>
      <c r="N157" s="485"/>
      <c r="O157" s="147">
        <f t="shared" ref="O157:O166" si="42">+O141</f>
        <v>5.25</v>
      </c>
      <c r="P157" s="35">
        <v>30.279966750984517</v>
      </c>
      <c r="Q157" s="35">
        <v>29.324619952734768</v>
      </c>
      <c r="R157" s="35">
        <v>28.369273154484993</v>
      </c>
      <c r="S157" s="35">
        <v>27.41392635623524</v>
      </c>
      <c r="T157" s="35">
        <v>26.458579557985477</v>
      </c>
      <c r="U157" s="35">
        <v>25.503232759735702</v>
      </c>
      <c r="V157" s="35">
        <v>24.547885961485942</v>
      </c>
      <c r="W157" s="35">
        <v>23.592539163236179</v>
      </c>
      <c r="X157" s="35">
        <v>22.637192364986415</v>
      </c>
      <c r="Y157" s="35">
        <v>21.681845566736666</v>
      </c>
      <c r="Z157" s="152">
        <v>20.726498768486902</v>
      </c>
    </row>
    <row r="158" spans="3:26" x14ac:dyDescent="0.3">
      <c r="C158" s="2"/>
      <c r="D158" s="2"/>
      <c r="E158" s="2"/>
      <c r="F158" s="2"/>
      <c r="G158" s="2"/>
      <c r="H158" s="2"/>
      <c r="I158" s="2"/>
      <c r="J158" s="2"/>
      <c r="K158" s="2"/>
      <c r="L158" s="2"/>
      <c r="N158" s="485"/>
      <c r="O158" s="147">
        <f t="shared" si="42"/>
        <v>5</v>
      </c>
      <c r="P158" s="35">
        <v>28.240137376535024</v>
      </c>
      <c r="Q158" s="35">
        <v>27.284790578285275</v>
      </c>
      <c r="R158" s="35">
        <v>26.329443780035501</v>
      </c>
      <c r="S158" s="35">
        <v>25.374096981785723</v>
      </c>
      <c r="T158" s="35">
        <v>24.418750183535973</v>
      </c>
      <c r="U158" s="35">
        <v>23.46340338528621</v>
      </c>
      <c r="V158" s="35">
        <v>22.50805658703646</v>
      </c>
      <c r="W158" s="35">
        <v>21.552709788786686</v>
      </c>
      <c r="X158" s="35">
        <v>20.597362990536929</v>
      </c>
      <c r="Y158" s="35">
        <v>19.642016192287159</v>
      </c>
      <c r="Z158" s="152">
        <v>18.686669394037395</v>
      </c>
    </row>
    <row r="159" spans="3:26" x14ac:dyDescent="0.3">
      <c r="C159" s="2"/>
      <c r="D159" s="2"/>
      <c r="E159" s="2"/>
      <c r="F159" s="2"/>
      <c r="G159" s="2"/>
      <c r="H159" s="2"/>
      <c r="I159" s="2"/>
      <c r="J159" s="2"/>
      <c r="K159" s="2"/>
      <c r="L159" s="2"/>
      <c r="N159" s="485"/>
      <c r="O159" s="147">
        <f t="shared" si="42"/>
        <v>4.75</v>
      </c>
      <c r="P159" s="35">
        <v>26.200308002085531</v>
      </c>
      <c r="Q159" s="35">
        <v>25.244961203835768</v>
      </c>
      <c r="R159" s="35">
        <v>24.289614405586018</v>
      </c>
      <c r="S159" s="35">
        <v>23.334267607336237</v>
      </c>
      <c r="T159" s="35">
        <v>22.378920809086473</v>
      </c>
      <c r="U159" s="35">
        <v>21.423574010836717</v>
      </c>
      <c r="V159" s="35">
        <v>20.468227212586953</v>
      </c>
      <c r="W159" s="35">
        <v>19.512880414337193</v>
      </c>
      <c r="X159" s="35">
        <v>18.55753361608744</v>
      </c>
      <c r="Y159" s="35">
        <v>17.602186817837666</v>
      </c>
      <c r="Z159" s="152">
        <v>16.646840019587909</v>
      </c>
    </row>
    <row r="160" spans="3:26" x14ac:dyDescent="0.3">
      <c r="C160" s="2"/>
      <c r="D160" s="2"/>
      <c r="E160" s="2"/>
      <c r="F160" s="2"/>
      <c r="G160" s="2"/>
      <c r="H160" s="2"/>
      <c r="I160" s="2"/>
      <c r="J160" s="2"/>
      <c r="K160" s="2"/>
      <c r="L160" s="2"/>
      <c r="N160" s="485"/>
      <c r="O160" s="147">
        <f t="shared" si="42"/>
        <v>4.5</v>
      </c>
      <c r="P160" s="35">
        <v>24.160478627636028</v>
      </c>
      <c r="Q160" s="35">
        <v>23.205131829386264</v>
      </c>
      <c r="R160" s="35">
        <v>22.24978503113649</v>
      </c>
      <c r="S160" s="35">
        <v>21.294438232886737</v>
      </c>
      <c r="T160" s="35">
        <v>20.33909143463698</v>
      </c>
      <c r="U160" s="35">
        <v>19.383744636387213</v>
      </c>
      <c r="V160" s="35">
        <v>18.42839783813745</v>
      </c>
      <c r="W160" s="35">
        <v>17.473051039887693</v>
      </c>
      <c r="X160" s="35">
        <v>16.517704241637929</v>
      </c>
      <c r="Y160" s="35">
        <v>15.562357443388168</v>
      </c>
      <c r="Z160" s="152">
        <v>14.607010645138404</v>
      </c>
    </row>
    <row r="161" spans="3:26" x14ac:dyDescent="0.3">
      <c r="C161" s="2"/>
      <c r="D161" s="2"/>
      <c r="E161" s="2"/>
      <c r="F161" s="2"/>
      <c r="G161" s="2"/>
      <c r="H161" s="2"/>
      <c r="I161" s="2"/>
      <c r="J161" s="2"/>
      <c r="K161" s="2"/>
      <c r="L161" s="2"/>
      <c r="N161" s="485"/>
      <c r="O161" s="147">
        <f t="shared" si="42"/>
        <v>4.25</v>
      </c>
      <c r="P161" s="35">
        <v>22.120649253186521</v>
      </c>
      <c r="Q161" s="35">
        <v>21.165302454936779</v>
      </c>
      <c r="R161" s="35">
        <v>20.209955656687008</v>
      </c>
      <c r="S161" s="35">
        <v>19.254608858437244</v>
      </c>
      <c r="T161" s="35">
        <v>18.299262060187495</v>
      </c>
      <c r="U161" s="35">
        <v>17.34391526193772</v>
      </c>
      <c r="V161" s="35">
        <v>16.388568463687964</v>
      </c>
      <c r="W161" s="35">
        <v>15.4332216654382</v>
      </c>
      <c r="X161" s="35">
        <v>14.477874867188437</v>
      </c>
      <c r="Y161" s="35">
        <v>13.522528068938675</v>
      </c>
      <c r="Z161" s="152">
        <v>12.567181270688918</v>
      </c>
    </row>
    <row r="162" spans="3:26" x14ac:dyDescent="0.3">
      <c r="C162" s="2"/>
      <c r="D162" s="2"/>
      <c r="E162" s="2"/>
      <c r="F162" s="2"/>
      <c r="G162" s="2"/>
      <c r="H162" s="2"/>
      <c r="I162" s="2"/>
      <c r="J162" s="2"/>
      <c r="K162" s="2"/>
      <c r="L162" s="2"/>
      <c r="N162" s="485"/>
      <c r="O162" s="147">
        <f t="shared" si="42"/>
        <v>4</v>
      </c>
      <c r="P162" s="35">
        <v>20.080819878737028</v>
      </c>
      <c r="Q162" s="35">
        <v>19.125473080487264</v>
      </c>
      <c r="R162" s="35">
        <v>18.170126282237504</v>
      </c>
      <c r="S162" s="35">
        <v>17.214779483987748</v>
      </c>
      <c r="T162" s="35">
        <v>16.259432685737984</v>
      </c>
      <c r="U162" s="35">
        <v>15.304085887488228</v>
      </c>
      <c r="V162" s="35">
        <v>14.348739089238451</v>
      </c>
      <c r="W162" s="35">
        <v>13.39339229098869</v>
      </c>
      <c r="X162" s="35">
        <v>12.438045492738938</v>
      </c>
      <c r="Y162" s="35">
        <v>11.482698694489176</v>
      </c>
      <c r="Z162" s="152">
        <v>10.527351896239418</v>
      </c>
    </row>
    <row r="163" spans="3:26" x14ac:dyDescent="0.3">
      <c r="C163" s="2"/>
      <c r="D163" s="2"/>
      <c r="E163" s="2"/>
      <c r="F163" s="2"/>
      <c r="G163" s="2"/>
      <c r="H163" s="2"/>
      <c r="I163" s="2"/>
      <c r="J163" s="2"/>
      <c r="K163" s="2"/>
      <c r="L163" s="2"/>
      <c r="N163" s="485"/>
      <c r="O163" s="147">
        <f t="shared" si="42"/>
        <v>3.75</v>
      </c>
      <c r="P163" s="35">
        <v>18.040990504287542</v>
      </c>
      <c r="Q163" s="35">
        <v>17.085643706037779</v>
      </c>
      <c r="R163" s="35">
        <v>16.130296907788015</v>
      </c>
      <c r="S163" s="35">
        <v>15.174950109538253</v>
      </c>
      <c r="T163" s="35">
        <v>14.219603311288497</v>
      </c>
      <c r="U163" s="35">
        <v>13.264256513038735</v>
      </c>
      <c r="V163" s="35">
        <v>12.308909714788976</v>
      </c>
      <c r="W163" s="35">
        <v>11.353562916539209</v>
      </c>
      <c r="X163" s="35">
        <v>10.398216118289451</v>
      </c>
      <c r="Y163" s="35">
        <v>9.4428693200396836</v>
      </c>
      <c r="Z163" s="152">
        <v>8.4875225217899253</v>
      </c>
    </row>
    <row r="164" spans="3:26" x14ac:dyDescent="0.3">
      <c r="C164" s="2"/>
      <c r="D164" s="2"/>
      <c r="E164" s="2"/>
      <c r="F164" s="2"/>
      <c r="G164" s="2"/>
      <c r="H164" s="2"/>
      <c r="I164" s="2"/>
      <c r="J164" s="2"/>
      <c r="K164" s="2"/>
      <c r="L164" s="2"/>
      <c r="N164" s="485"/>
      <c r="O164" s="147">
        <f t="shared" si="42"/>
        <v>3.5</v>
      </c>
      <c r="P164" s="35">
        <v>16.001161129838039</v>
      </c>
      <c r="Q164" s="35">
        <v>15.045814331588275</v>
      </c>
      <c r="R164" s="35">
        <v>14.090467533338517</v>
      </c>
      <c r="S164" s="35">
        <v>13.135120735088748</v>
      </c>
      <c r="T164" s="35">
        <v>12.179773936838986</v>
      </c>
      <c r="U164" s="35">
        <v>11.224427138589222</v>
      </c>
      <c r="V164" s="35">
        <v>10.269080340339466</v>
      </c>
      <c r="W164" s="35">
        <v>9.3137335420897056</v>
      </c>
      <c r="X164" s="35">
        <v>8.3583867438399437</v>
      </c>
      <c r="Y164" s="35">
        <v>7.403039945590181</v>
      </c>
      <c r="Z164" s="152">
        <v>6.4476931473404271</v>
      </c>
    </row>
    <row r="165" spans="3:26" x14ac:dyDescent="0.3">
      <c r="C165" s="2"/>
      <c r="D165" s="2"/>
      <c r="E165" s="2"/>
      <c r="F165" s="2"/>
      <c r="G165" s="2"/>
      <c r="H165" s="2"/>
      <c r="I165" s="2"/>
      <c r="J165" s="2"/>
      <c r="K165" s="2"/>
      <c r="L165" s="2"/>
      <c r="N165" s="485"/>
      <c r="O165" s="147">
        <f t="shared" si="42"/>
        <v>3.25</v>
      </c>
      <c r="P165" s="35">
        <v>13.961331755388549</v>
      </c>
      <c r="Q165" s="35">
        <v>13.005984957138788</v>
      </c>
      <c r="R165" s="35">
        <v>12.050638158889013</v>
      </c>
      <c r="S165" s="35">
        <v>11.095291360639262</v>
      </c>
      <c r="T165" s="35">
        <v>10.139944562389505</v>
      </c>
      <c r="U165" s="35">
        <v>9.1845977641397418</v>
      </c>
      <c r="V165" s="35">
        <v>8.22925096588998</v>
      </c>
      <c r="W165" s="35">
        <v>7.2739041676402136</v>
      </c>
      <c r="X165" s="35">
        <v>6.318557369390466</v>
      </c>
      <c r="Y165" s="35">
        <v>5.3632105711407032</v>
      </c>
      <c r="Z165" s="152">
        <v>4.4078637728909369</v>
      </c>
    </row>
    <row r="166" spans="3:26" x14ac:dyDescent="0.3">
      <c r="C166" s="2"/>
      <c r="D166" s="2"/>
      <c r="E166" s="2"/>
      <c r="F166" s="2"/>
      <c r="G166" s="2"/>
      <c r="H166" s="2"/>
      <c r="I166" s="2"/>
      <c r="J166" s="2"/>
      <c r="K166" s="2"/>
      <c r="L166" s="2"/>
      <c r="N166" s="486"/>
      <c r="O166" s="149">
        <f t="shared" si="42"/>
        <v>3</v>
      </c>
      <c r="P166" s="153">
        <v>11.921502380939046</v>
      </c>
      <c r="Q166" s="153">
        <v>10.966155582689295</v>
      </c>
      <c r="R166" s="153">
        <v>10.01080878443952</v>
      </c>
      <c r="S166" s="153">
        <v>9.0554619861897745</v>
      </c>
      <c r="T166" s="153">
        <v>8.1001151879400055</v>
      </c>
      <c r="U166" s="153">
        <v>7.144768389690249</v>
      </c>
      <c r="V166" s="153">
        <v>6.1894215914404773</v>
      </c>
      <c r="W166" s="153">
        <v>5.2340747931907208</v>
      </c>
      <c r="X166" s="153">
        <v>4.2787279949409633</v>
      </c>
      <c r="Y166" s="153">
        <v>3.3233811966911979</v>
      </c>
      <c r="Z166" s="154">
        <v>2.3680343984414352</v>
      </c>
    </row>
    <row r="167" spans="3:26" x14ac:dyDescent="0.3">
      <c r="C167" s="2"/>
      <c r="D167" s="2"/>
      <c r="E167" s="2"/>
      <c r="F167" s="2"/>
      <c r="G167" s="2"/>
      <c r="H167" s="2"/>
      <c r="I167" s="2"/>
      <c r="J167" s="2"/>
      <c r="K167" s="2"/>
      <c r="L167" s="2"/>
    </row>
    <row r="168" spans="3:26" x14ac:dyDescent="0.3">
      <c r="C168" s="2"/>
      <c r="D168" s="2"/>
      <c r="E168" s="2"/>
      <c r="F168" s="2"/>
      <c r="G168" s="2"/>
      <c r="H168" s="2"/>
      <c r="I168" s="2"/>
      <c r="J168" s="2"/>
      <c r="K168" s="2"/>
      <c r="L168" s="2"/>
      <c r="N168" s="1" t="s">
        <v>140</v>
      </c>
    </row>
    <row r="169" spans="3:26" x14ac:dyDescent="0.3">
      <c r="C169" s="2"/>
      <c r="D169" s="2"/>
      <c r="E169" s="2"/>
      <c r="F169" s="2"/>
      <c r="G169" s="2"/>
      <c r="H169" s="2"/>
      <c r="I169" s="2"/>
      <c r="J169" s="2"/>
      <c r="K169" s="2"/>
      <c r="L169" s="2"/>
    </row>
    <row r="170" spans="3:26" x14ac:dyDescent="0.3">
      <c r="C170" s="2"/>
      <c r="D170" s="2"/>
      <c r="E170" s="2"/>
      <c r="F170" s="2"/>
      <c r="G170" s="2"/>
      <c r="H170" s="2"/>
      <c r="I170" s="2"/>
      <c r="J170" s="2"/>
      <c r="K170" s="2"/>
      <c r="L170" s="2"/>
      <c r="N170" s="143"/>
      <c r="O170" s="31"/>
      <c r="P170" s="480" t="s">
        <v>490</v>
      </c>
      <c r="Q170" s="480"/>
      <c r="R170" s="480"/>
      <c r="S170" s="480"/>
      <c r="T170" s="480"/>
      <c r="U170" s="480"/>
      <c r="V170" s="480"/>
      <c r="W170" s="480"/>
      <c r="X170" s="480"/>
      <c r="Y170" s="481"/>
      <c r="Z170" s="480"/>
    </row>
    <row r="171" spans="3:26" x14ac:dyDescent="0.3">
      <c r="C171" s="2"/>
      <c r="D171" s="2"/>
      <c r="E171" s="2"/>
      <c r="F171" s="2"/>
      <c r="G171" s="2"/>
      <c r="H171" s="2"/>
      <c r="I171" s="2"/>
      <c r="J171" s="2"/>
      <c r="K171" s="2"/>
      <c r="L171" s="2"/>
      <c r="N171" s="144"/>
      <c r="O171" s="145"/>
      <c r="P171" s="172">
        <f t="shared" ref="P171:Z171" si="43">+P172/LOE_Per_Mcfe-1</f>
        <v>-0.21621621621621623</v>
      </c>
      <c r="Q171" s="172">
        <f t="shared" si="43"/>
        <v>-0.16216216216216217</v>
      </c>
      <c r="R171" s="172">
        <f t="shared" si="43"/>
        <v>-0.108108108108108</v>
      </c>
      <c r="S171" s="172">
        <f t="shared" si="43"/>
        <v>-5.4054054054053946E-2</v>
      </c>
      <c r="T171" s="172">
        <f t="shared" si="43"/>
        <v>0</v>
      </c>
      <c r="U171" s="172">
        <f t="shared" si="43"/>
        <v>5.4054054054054168E-2</v>
      </c>
      <c r="V171" s="172">
        <f t="shared" si="43"/>
        <v>0.10810810810810834</v>
      </c>
      <c r="W171" s="172">
        <f t="shared" si="43"/>
        <v>0.1621621621621625</v>
      </c>
      <c r="X171" s="172">
        <f t="shared" si="43"/>
        <v>0.21621621621621645</v>
      </c>
      <c r="Y171" s="172">
        <f t="shared" si="43"/>
        <v>0.27027027027027062</v>
      </c>
      <c r="Z171" s="173">
        <f t="shared" si="43"/>
        <v>0.32432432432432479</v>
      </c>
    </row>
    <row r="172" spans="3:26" ht="15" customHeight="1" x14ac:dyDescent="0.3">
      <c r="C172" s="2"/>
      <c r="D172" s="2"/>
      <c r="E172" s="2"/>
      <c r="F172" s="2"/>
      <c r="G172" s="2"/>
      <c r="H172" s="2"/>
      <c r="I172" s="2"/>
      <c r="J172" s="2"/>
      <c r="K172" s="2"/>
      <c r="L172" s="2"/>
      <c r="N172" s="144"/>
      <c r="O172" s="148">
        <f ca="1">+$H$100</f>
        <v>19.383744636387213</v>
      </c>
      <c r="P172" s="175">
        <v>0.28999999999999998</v>
      </c>
      <c r="Q172" s="175">
        <f>+P172+0.02</f>
        <v>0.31</v>
      </c>
      <c r="R172" s="175">
        <f t="shared" ref="R172:Z172" si="44">+Q172+0.02</f>
        <v>0.33</v>
      </c>
      <c r="S172" s="175">
        <f t="shared" si="44"/>
        <v>0.35000000000000003</v>
      </c>
      <c r="T172" s="175">
        <f t="shared" si="44"/>
        <v>0.37000000000000005</v>
      </c>
      <c r="U172" s="175">
        <f t="shared" si="44"/>
        <v>0.39000000000000007</v>
      </c>
      <c r="V172" s="175">
        <f t="shared" si="44"/>
        <v>0.41000000000000009</v>
      </c>
      <c r="W172" s="175">
        <f t="shared" si="44"/>
        <v>0.4300000000000001</v>
      </c>
      <c r="X172" s="175">
        <f t="shared" si="44"/>
        <v>0.45000000000000012</v>
      </c>
      <c r="Y172" s="175">
        <f t="shared" si="44"/>
        <v>0.47000000000000014</v>
      </c>
      <c r="Z172" s="176">
        <f t="shared" si="44"/>
        <v>0.49000000000000016</v>
      </c>
    </row>
    <row r="173" spans="3:26" x14ac:dyDescent="0.3">
      <c r="C173" s="2"/>
      <c r="D173" s="2"/>
      <c r="E173" s="2"/>
      <c r="F173" s="2"/>
      <c r="G173" s="2"/>
      <c r="H173" s="2"/>
      <c r="I173" s="2"/>
      <c r="J173" s="2"/>
      <c r="K173" s="2"/>
      <c r="L173" s="2"/>
      <c r="N173" s="483" t="str">
        <f>N156</f>
        <v>Long-Term Gas Prices:</v>
      </c>
      <c r="O173" s="146">
        <f>O156</f>
        <v>5.5</v>
      </c>
      <c r="P173" s="51">
        <f t="dataTable" ref="P173:Z183" dt2D="1" dtr="1" r1="R8" r2="K14" ca="1"/>
        <v>28.81060863919809</v>
      </c>
      <c r="Q173" s="51">
        <v>28.493722012944868</v>
      </c>
      <c r="R173" s="51">
        <v>28.176835386691636</v>
      </c>
      <c r="S173" s="51">
        <v>27.859948760438417</v>
      </c>
      <c r="T173" s="51">
        <v>27.54306213418522</v>
      </c>
      <c r="U173" s="51">
        <v>27.226175507932005</v>
      </c>
      <c r="V173" s="51">
        <v>26.909288881678773</v>
      </c>
      <c r="W173" s="51">
        <v>26.592402255425558</v>
      </c>
      <c r="X173" s="51">
        <v>26.27551562917235</v>
      </c>
      <c r="Y173" s="51">
        <v>25.958629002919114</v>
      </c>
      <c r="Z173" s="174">
        <v>25.64174237666591</v>
      </c>
    </row>
    <row r="174" spans="3:26" x14ac:dyDescent="0.3">
      <c r="C174" s="2"/>
      <c r="D174" s="2"/>
      <c r="E174" s="2"/>
      <c r="F174" s="2"/>
      <c r="G174" s="2"/>
      <c r="H174" s="2"/>
      <c r="I174" s="2"/>
      <c r="J174" s="2"/>
      <c r="K174" s="2"/>
      <c r="L174" s="2"/>
      <c r="N174" s="485"/>
      <c r="O174" s="147">
        <f t="shared" ref="O174:O183" si="45">O157</f>
        <v>5.25</v>
      </c>
      <c r="P174" s="35">
        <v>26.770779264748583</v>
      </c>
      <c r="Q174" s="35">
        <v>26.453892638495375</v>
      </c>
      <c r="R174" s="35">
        <v>26.137006012242143</v>
      </c>
      <c r="S174" s="35">
        <v>25.820119385988942</v>
      </c>
      <c r="T174" s="35">
        <v>25.503232759735702</v>
      </c>
      <c r="U174" s="35">
        <v>25.18634613348247</v>
      </c>
      <c r="V174" s="35">
        <v>24.869459507229287</v>
      </c>
      <c r="W174" s="35">
        <v>24.552572880976044</v>
      </c>
      <c r="X174" s="35">
        <v>24.23568625472284</v>
      </c>
      <c r="Y174" s="35">
        <v>23.918799628469614</v>
      </c>
      <c r="Z174" s="152">
        <v>23.601913002216406</v>
      </c>
    </row>
    <row r="175" spans="3:26" x14ac:dyDescent="0.3">
      <c r="C175" s="2"/>
      <c r="D175" s="2"/>
      <c r="E175" s="2"/>
      <c r="F175" s="2"/>
      <c r="G175" s="2"/>
      <c r="H175" s="2"/>
      <c r="I175" s="2"/>
      <c r="J175" s="2"/>
      <c r="K175" s="2"/>
      <c r="L175" s="2"/>
      <c r="N175" s="485"/>
      <c r="O175" s="147">
        <f t="shared" si="45"/>
        <v>5</v>
      </c>
      <c r="P175" s="35">
        <v>24.730949890299087</v>
      </c>
      <c r="Q175" s="35">
        <v>24.414063264045872</v>
      </c>
      <c r="R175" s="35">
        <v>24.097176637792639</v>
      </c>
      <c r="S175" s="35">
        <v>23.780290011539435</v>
      </c>
      <c r="T175" s="35">
        <v>23.46340338528621</v>
      </c>
      <c r="U175" s="35">
        <v>23.146516759032991</v>
      </c>
      <c r="V175" s="35">
        <v>22.829630132779783</v>
      </c>
      <c r="W175" s="35">
        <v>22.512743506526544</v>
      </c>
      <c r="X175" s="35">
        <v>22.195856880273336</v>
      </c>
      <c r="Y175" s="35">
        <v>21.878970254020111</v>
      </c>
      <c r="Z175" s="152">
        <v>21.562083627766899</v>
      </c>
    </row>
    <row r="176" spans="3:26" x14ac:dyDescent="0.3">
      <c r="C176" s="2"/>
      <c r="D176" s="2"/>
      <c r="E176" s="2"/>
      <c r="F176" s="2"/>
      <c r="G176" s="2"/>
      <c r="H176" s="2"/>
      <c r="I176" s="2"/>
      <c r="J176" s="2"/>
      <c r="K176" s="2"/>
      <c r="L176" s="2"/>
      <c r="N176" s="485"/>
      <c r="O176" s="147">
        <f t="shared" si="45"/>
        <v>4.75</v>
      </c>
      <c r="P176" s="35">
        <v>22.691120515849597</v>
      </c>
      <c r="Q176" s="35">
        <v>22.374233889596379</v>
      </c>
      <c r="R176" s="35">
        <v>22.057347263343154</v>
      </c>
      <c r="S176" s="35">
        <v>21.740460637089924</v>
      </c>
      <c r="T176" s="35">
        <v>21.423574010836717</v>
      </c>
      <c r="U176" s="35">
        <v>21.106687384583484</v>
      </c>
      <c r="V176" s="35">
        <v>20.789800758330276</v>
      </c>
      <c r="W176" s="35">
        <v>20.472914132077044</v>
      </c>
      <c r="X176" s="35">
        <v>20.15602750582385</v>
      </c>
      <c r="Y176" s="35">
        <v>19.839140879570618</v>
      </c>
      <c r="Z176" s="152">
        <v>19.522254253317396</v>
      </c>
    </row>
    <row r="177" spans="3:26" x14ac:dyDescent="0.3">
      <c r="C177" s="2"/>
      <c r="D177" s="2"/>
      <c r="E177" s="2"/>
      <c r="F177" s="2"/>
      <c r="G177" s="2"/>
      <c r="H177" s="2"/>
      <c r="I177" s="2"/>
      <c r="J177" s="2"/>
      <c r="K177" s="2"/>
      <c r="L177" s="2"/>
      <c r="N177" s="485"/>
      <c r="O177" s="147">
        <f t="shared" si="45"/>
        <v>4.5</v>
      </c>
      <c r="P177" s="35">
        <v>20.651291141400112</v>
      </c>
      <c r="Q177" s="35">
        <v>20.334404515146886</v>
      </c>
      <c r="R177" s="35">
        <v>20.017517888893664</v>
      </c>
      <c r="S177" s="35">
        <v>19.700631262640432</v>
      </c>
      <c r="T177" s="35">
        <v>19.383744636387213</v>
      </c>
      <c r="U177" s="35">
        <v>19.066858010134005</v>
      </c>
      <c r="V177" s="35">
        <v>18.749971383880773</v>
      </c>
      <c r="W177" s="35">
        <v>18.433084757627565</v>
      </c>
      <c r="X177" s="35">
        <v>18.116198131374343</v>
      </c>
      <c r="Y177" s="35">
        <v>17.799311505121111</v>
      </c>
      <c r="Z177" s="152">
        <v>17.482424878867896</v>
      </c>
    </row>
    <row r="178" spans="3:26" x14ac:dyDescent="0.3">
      <c r="C178" s="2"/>
      <c r="D178" s="2"/>
      <c r="E178" s="2"/>
      <c r="F178" s="2"/>
      <c r="G178" s="2"/>
      <c r="H178" s="2"/>
      <c r="I178" s="2"/>
      <c r="J178" s="2"/>
      <c r="K178" s="2"/>
      <c r="L178" s="2"/>
      <c r="N178" s="485"/>
      <c r="O178" s="147">
        <f t="shared" si="45"/>
        <v>4.25</v>
      </c>
      <c r="P178" s="35">
        <v>18.611461766950608</v>
      </c>
      <c r="Q178" s="35">
        <v>18.294575140697393</v>
      </c>
      <c r="R178" s="35">
        <v>17.977688514444161</v>
      </c>
      <c r="S178" s="35">
        <v>17.660801888190953</v>
      </c>
      <c r="T178" s="35">
        <v>17.34391526193772</v>
      </c>
      <c r="U178" s="35">
        <v>17.027028635684498</v>
      </c>
      <c r="V178" s="35">
        <v>16.710142009431291</v>
      </c>
      <c r="W178" s="35">
        <v>16.393255383178065</v>
      </c>
      <c r="X178" s="35">
        <v>16.07636875692485</v>
      </c>
      <c r="Y178" s="35">
        <v>15.759482130671637</v>
      </c>
      <c r="Z178" s="152">
        <v>15.44259550441841</v>
      </c>
    </row>
    <row r="179" spans="3:26" x14ac:dyDescent="0.3">
      <c r="C179" s="2"/>
      <c r="D179" s="2"/>
      <c r="E179" s="2"/>
      <c r="F179" s="2"/>
      <c r="G179" s="2"/>
      <c r="H179" s="2"/>
      <c r="I179" s="2"/>
      <c r="J179" s="2"/>
      <c r="K179" s="2"/>
      <c r="L179" s="2"/>
      <c r="M179" s="1"/>
      <c r="N179" s="485"/>
      <c r="O179" s="147">
        <f t="shared" si="45"/>
        <v>4</v>
      </c>
      <c r="P179" s="35">
        <v>16.571632392501108</v>
      </c>
      <c r="Q179" s="35">
        <v>16.254745766247893</v>
      </c>
      <c r="R179" s="35">
        <v>15.937859139994655</v>
      </c>
      <c r="S179" s="35">
        <v>15.62097251374143</v>
      </c>
      <c r="T179" s="35">
        <v>15.30408588748822</v>
      </c>
      <c r="U179" s="35">
        <v>14.987199261235007</v>
      </c>
      <c r="V179" s="35">
        <v>14.670312634981798</v>
      </c>
      <c r="W179" s="35">
        <v>14.353426008728567</v>
      </c>
      <c r="X179" s="35">
        <v>14.036539382475352</v>
      </c>
      <c r="Y179" s="35">
        <v>13.719652756222125</v>
      </c>
      <c r="Z179" s="152">
        <v>13.402766129968912</v>
      </c>
    </row>
    <row r="180" spans="3:26" x14ac:dyDescent="0.3">
      <c r="C180" s="2"/>
      <c r="D180" s="2"/>
      <c r="E180" s="2"/>
      <c r="F180" s="2"/>
      <c r="G180" s="2"/>
      <c r="H180" s="2"/>
      <c r="I180" s="2"/>
      <c r="J180" s="2"/>
      <c r="K180" s="2"/>
      <c r="L180" s="2"/>
      <c r="M180" s="1"/>
      <c r="N180" s="485"/>
      <c r="O180" s="147">
        <f t="shared" si="45"/>
        <v>3.75</v>
      </c>
      <c r="P180" s="35">
        <v>14.531803018051626</v>
      </c>
      <c r="Q180" s="35">
        <v>14.214916391798388</v>
      </c>
      <c r="R180" s="35">
        <v>13.898029765545175</v>
      </c>
      <c r="S180" s="35">
        <v>13.58114313929196</v>
      </c>
      <c r="T180" s="35">
        <v>13.264256513038735</v>
      </c>
      <c r="U180" s="35">
        <v>12.947369886785507</v>
      </c>
      <c r="V180" s="35">
        <v>12.630483260532305</v>
      </c>
      <c r="W180" s="35">
        <v>12.313596634279079</v>
      </c>
      <c r="X180" s="35">
        <v>11.996710008025865</v>
      </c>
      <c r="Y180" s="35">
        <v>11.679823381772627</v>
      </c>
      <c r="Z180" s="152">
        <v>11.362936755519407</v>
      </c>
    </row>
    <row r="181" spans="3:26" x14ac:dyDescent="0.3">
      <c r="C181" s="2"/>
      <c r="D181" s="2"/>
      <c r="E181" s="2"/>
      <c r="F181" s="2"/>
      <c r="G181" s="2"/>
      <c r="H181" s="2"/>
      <c r="I181" s="2"/>
      <c r="J181" s="2"/>
      <c r="K181" s="2"/>
      <c r="L181" s="2"/>
      <c r="M181" s="1"/>
      <c r="N181" s="485"/>
      <c r="O181" s="147">
        <f t="shared" si="45"/>
        <v>3.5</v>
      </c>
      <c r="P181" s="35">
        <v>12.491973643602122</v>
      </c>
      <c r="Q181" s="35">
        <v>12.175087017348895</v>
      </c>
      <c r="R181" s="35">
        <v>11.858200391095675</v>
      </c>
      <c r="S181" s="35">
        <v>11.541313764842455</v>
      </c>
      <c r="T181" s="35">
        <v>11.224427138589222</v>
      </c>
      <c r="U181" s="35">
        <v>10.90754051233602</v>
      </c>
      <c r="V181" s="35">
        <v>10.590653886082794</v>
      </c>
      <c r="W181" s="35">
        <v>10.273767259829587</v>
      </c>
      <c r="X181" s="35">
        <v>9.9568806335763664</v>
      </c>
      <c r="Y181" s="35">
        <v>9.6399940073231463</v>
      </c>
      <c r="Z181" s="152">
        <v>9.3231073810699261</v>
      </c>
    </row>
    <row r="182" spans="3:26" x14ac:dyDescent="0.3">
      <c r="C182" s="2"/>
      <c r="D182" s="2"/>
      <c r="E182" s="2"/>
      <c r="F182" s="2"/>
      <c r="G182" s="2"/>
      <c r="H182" s="2"/>
      <c r="I182" s="2"/>
      <c r="J182" s="2"/>
      <c r="K182" s="2"/>
      <c r="L182" s="2"/>
      <c r="N182" s="485"/>
      <c r="O182" s="147">
        <f t="shared" si="45"/>
        <v>3.25</v>
      </c>
      <c r="P182" s="35">
        <v>10.452144269152623</v>
      </c>
      <c r="Q182" s="35">
        <v>10.135257642899392</v>
      </c>
      <c r="R182" s="35">
        <v>9.8183710166461893</v>
      </c>
      <c r="S182" s="35">
        <v>9.5014843903929673</v>
      </c>
      <c r="T182" s="35">
        <v>9.1845977641397418</v>
      </c>
      <c r="U182" s="35">
        <v>8.8677111378865163</v>
      </c>
      <c r="V182" s="35">
        <v>8.550824511633305</v>
      </c>
      <c r="W182" s="35">
        <v>8.2339378853800813</v>
      </c>
      <c r="X182" s="35">
        <v>7.9170512591268762</v>
      </c>
      <c r="Y182" s="35">
        <v>7.6001646328736472</v>
      </c>
      <c r="Z182" s="152">
        <v>7.283278006620427</v>
      </c>
    </row>
    <row r="183" spans="3:26" x14ac:dyDescent="0.3">
      <c r="C183" s="2"/>
      <c r="D183" s="2"/>
      <c r="E183" s="2"/>
      <c r="F183" s="2"/>
      <c r="G183" s="2"/>
      <c r="H183" s="2"/>
      <c r="I183" s="2"/>
      <c r="J183" s="2"/>
      <c r="K183" s="2"/>
      <c r="L183" s="2"/>
      <c r="N183" s="486"/>
      <c r="O183" s="149">
        <f t="shared" si="45"/>
        <v>3</v>
      </c>
      <c r="P183" s="153">
        <v>8.4123148947031172</v>
      </c>
      <c r="Q183" s="153">
        <v>8.0954282684499059</v>
      </c>
      <c r="R183" s="153">
        <v>7.7785416421966929</v>
      </c>
      <c r="S183" s="153">
        <v>7.4616550159434576</v>
      </c>
      <c r="T183" s="153">
        <v>7.144768389690249</v>
      </c>
      <c r="U183" s="153">
        <v>6.827881763437011</v>
      </c>
      <c r="V183" s="153">
        <v>6.5109951371838086</v>
      </c>
      <c r="W183" s="153">
        <v>6.1941085109305885</v>
      </c>
      <c r="X183" s="153">
        <v>5.8772218846773621</v>
      </c>
      <c r="Y183" s="153">
        <v>5.5603352584241543</v>
      </c>
      <c r="Z183" s="154">
        <v>5.2434486321709333</v>
      </c>
    </row>
    <row r="184" spans="3:26" x14ac:dyDescent="0.3">
      <c r="C184" s="2"/>
      <c r="D184" s="2"/>
      <c r="E184" s="2"/>
      <c r="F184" s="2"/>
      <c r="G184" s="2"/>
      <c r="H184" s="2"/>
      <c r="I184" s="2"/>
      <c r="J184" s="2"/>
      <c r="K184" s="2"/>
      <c r="L184" s="2"/>
    </row>
  </sheetData>
  <mergeCells count="4">
    <mergeCell ref="N124:N134"/>
    <mergeCell ref="N140:N150"/>
    <mergeCell ref="N156:N166"/>
    <mergeCell ref="N173:N183"/>
  </mergeCells>
  <pageMargins left="0.7" right="0.7" top="0.75" bottom="0.75" header="0.3" footer="0.3"/>
  <pageSetup orientation="portrait" r:id="rId1"/>
  <ignoredErrors>
    <ignoredError sqref="R61:AB62 O74 F82:F83" formula="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T323"/>
  <sheetViews>
    <sheetView showGridLines="0" zoomScaleNormal="100" workbookViewId="0"/>
  </sheetViews>
  <sheetFormatPr defaultRowHeight="14.4" x14ac:dyDescent="0.3"/>
  <cols>
    <col min="1" max="2" width="2.6640625" customWidth="1"/>
    <col min="3" max="3" width="11.33203125" bestFit="1" customWidth="1"/>
    <col min="4" max="4" width="9.33203125" bestFit="1" customWidth="1"/>
    <col min="7" max="7" width="10.6640625" bestFit="1" customWidth="1"/>
    <col min="17" max="20" width="11.6640625" customWidth="1"/>
    <col min="22" max="28" width="10.6640625" customWidth="1"/>
    <col min="30" max="32" width="11.6640625" customWidth="1"/>
    <col min="34" max="36" width="10.6640625" customWidth="1"/>
    <col min="37" max="37" width="11.6640625" customWidth="1"/>
    <col min="38" max="40" width="2.6640625" customWidth="1"/>
    <col min="41" max="45" width="12.6640625" customWidth="1"/>
    <col min="46" max="46" width="10.6640625" customWidth="1"/>
    <col min="47" max="50" width="12.6640625" customWidth="1"/>
    <col min="51" max="91" width="10.6640625" customWidth="1"/>
    <col min="92" max="92" width="12.109375" customWidth="1"/>
    <col min="93" max="93" width="10.6640625" customWidth="1"/>
    <col min="94" max="94" width="12.109375" customWidth="1"/>
    <col min="95" max="98" width="10.6640625" customWidth="1"/>
  </cols>
  <sheetData>
    <row r="2" spans="2:64" x14ac:dyDescent="0.3">
      <c r="B2" s="225" t="s">
        <v>238</v>
      </c>
      <c r="C2" s="31"/>
      <c r="D2" s="31"/>
      <c r="E2" s="31"/>
      <c r="F2" s="31"/>
      <c r="G2" s="31"/>
      <c r="H2" s="31"/>
      <c r="I2" s="31"/>
      <c r="J2" s="31"/>
      <c r="K2" s="31"/>
      <c r="L2" s="31"/>
      <c r="M2" s="31"/>
      <c r="N2" s="31"/>
      <c r="O2" s="31"/>
      <c r="P2" s="31"/>
      <c r="Q2" s="31"/>
      <c r="R2" s="31"/>
      <c r="S2" s="31"/>
      <c r="T2" s="31"/>
      <c r="U2" s="31"/>
      <c r="V2" s="31"/>
      <c r="W2" s="31"/>
      <c r="X2" s="31"/>
      <c r="Y2" s="31"/>
      <c r="Z2" s="226"/>
      <c r="AB2" s="2"/>
      <c r="AC2" s="2"/>
      <c r="AD2" s="2"/>
      <c r="AE2" s="2"/>
      <c r="AF2" s="2"/>
      <c r="AG2" s="2"/>
      <c r="AH2" s="2"/>
      <c r="AI2" s="2"/>
      <c r="AJ2" s="2"/>
      <c r="AK2" s="2"/>
      <c r="AL2" s="2"/>
      <c r="AM2" s="2"/>
      <c r="AN2" s="225" t="s">
        <v>239</v>
      </c>
      <c r="AO2" s="31"/>
      <c r="AP2" s="31"/>
      <c r="AQ2" s="31"/>
      <c r="AR2" s="31"/>
      <c r="AS2" s="31"/>
      <c r="AT2" s="31"/>
      <c r="AU2" s="31"/>
      <c r="AV2" s="31"/>
      <c r="AW2" s="31"/>
      <c r="AX2" s="31"/>
      <c r="AY2" s="31"/>
      <c r="AZ2" s="31"/>
      <c r="BA2" s="31"/>
      <c r="BB2" s="31"/>
      <c r="BC2" s="31"/>
      <c r="BD2" s="31"/>
      <c r="BE2" s="31"/>
      <c r="BF2" s="31"/>
      <c r="BG2" s="31"/>
      <c r="BH2" s="31"/>
      <c r="BI2" s="31"/>
      <c r="BJ2" s="31"/>
      <c r="BK2" s="31"/>
      <c r="BL2" s="226"/>
    </row>
    <row r="3" spans="2:64" x14ac:dyDescent="0.3">
      <c r="B3" s="227"/>
      <c r="C3" s="228" t="s">
        <v>252</v>
      </c>
      <c r="D3" s="54"/>
      <c r="E3" s="54"/>
      <c r="F3" s="54"/>
      <c r="G3" s="54"/>
      <c r="H3" s="54"/>
      <c r="I3" s="228" t="s">
        <v>241</v>
      </c>
      <c r="J3" s="54"/>
      <c r="K3" s="54"/>
      <c r="L3" s="54"/>
      <c r="M3" s="54"/>
      <c r="N3" s="54"/>
      <c r="O3" s="228" t="s">
        <v>242</v>
      </c>
      <c r="P3" s="54"/>
      <c r="Q3" s="54"/>
      <c r="R3" s="54"/>
      <c r="S3" s="54"/>
      <c r="T3" s="228"/>
      <c r="U3" s="54"/>
      <c r="V3" s="54"/>
      <c r="W3" s="54"/>
      <c r="X3" s="54"/>
      <c r="Y3" s="54"/>
      <c r="Z3" s="229"/>
      <c r="AB3" s="2"/>
      <c r="AC3" s="2"/>
      <c r="AD3" s="2"/>
      <c r="AE3" s="2"/>
      <c r="AF3" s="2"/>
      <c r="AG3" s="2"/>
      <c r="AH3" s="2"/>
      <c r="AI3" s="2"/>
      <c r="AJ3" s="2"/>
      <c r="AK3" s="2"/>
      <c r="AL3" s="2"/>
      <c r="AM3" s="2"/>
      <c r="AN3" s="227"/>
      <c r="AO3" s="228" t="s">
        <v>244</v>
      </c>
      <c r="AP3" s="54"/>
      <c r="AQ3" s="54"/>
      <c r="AR3" s="54"/>
      <c r="AS3" s="54"/>
      <c r="AT3" s="54"/>
      <c r="AU3" s="228"/>
      <c r="AV3" s="54"/>
      <c r="AW3" s="54"/>
      <c r="AX3" s="54"/>
      <c r="AY3" s="54"/>
      <c r="AZ3" s="54"/>
      <c r="BA3" s="228"/>
      <c r="BB3" s="54"/>
      <c r="BC3" s="54"/>
      <c r="BD3" s="54"/>
      <c r="BE3" s="54"/>
      <c r="BF3" s="228"/>
      <c r="BG3" s="54"/>
      <c r="BH3" s="54"/>
      <c r="BI3" s="54"/>
      <c r="BJ3" s="54"/>
      <c r="BK3" s="54"/>
      <c r="BL3" s="229"/>
    </row>
    <row r="4" spans="2:64" x14ac:dyDescent="0.3">
      <c r="B4" s="230"/>
      <c r="C4" s="9"/>
      <c r="D4" s="9"/>
      <c r="E4" s="9"/>
      <c r="F4" s="9"/>
      <c r="G4" s="9"/>
      <c r="H4" s="9"/>
      <c r="I4" s="7"/>
      <c r="J4" s="9"/>
      <c r="K4" s="9"/>
      <c r="L4" s="9"/>
      <c r="M4" s="9"/>
      <c r="N4" s="9"/>
      <c r="O4" s="7"/>
      <c r="P4" s="9"/>
      <c r="Q4" s="9"/>
      <c r="R4" s="9"/>
      <c r="S4" s="9"/>
      <c r="T4" s="9"/>
      <c r="U4" s="9"/>
      <c r="V4" s="32" t="s">
        <v>10</v>
      </c>
      <c r="W4" s="32" t="s">
        <v>11</v>
      </c>
      <c r="X4" s="32" t="s">
        <v>245</v>
      </c>
      <c r="Y4" s="32" t="s">
        <v>12</v>
      </c>
      <c r="Z4" s="231"/>
      <c r="AB4" s="209"/>
      <c r="AC4" s="2"/>
      <c r="AD4" s="2"/>
      <c r="AE4" s="2"/>
      <c r="AF4" s="2"/>
      <c r="AG4" s="2"/>
      <c r="AH4" s="2"/>
      <c r="AI4" s="2"/>
      <c r="AJ4" s="2"/>
      <c r="AK4" s="2"/>
      <c r="AL4" s="2"/>
      <c r="AM4" s="2"/>
      <c r="AN4" s="232"/>
      <c r="AO4" s="15"/>
      <c r="AP4" s="15"/>
      <c r="AQ4" s="15"/>
      <c r="AR4" s="15"/>
      <c r="AS4" s="15"/>
      <c r="AT4" s="15"/>
      <c r="AU4" s="15"/>
      <c r="AV4" s="15"/>
      <c r="AW4" s="15"/>
      <c r="AX4" s="15"/>
      <c r="AY4" s="15"/>
      <c r="AZ4" s="15"/>
      <c r="BA4" s="15"/>
      <c r="BB4" s="15"/>
      <c r="BC4" s="15"/>
      <c r="BD4" s="15"/>
      <c r="BE4" s="15"/>
      <c r="BF4" s="15"/>
      <c r="BG4" s="15"/>
      <c r="BH4" s="15"/>
      <c r="BI4" s="15"/>
      <c r="BJ4" s="15"/>
      <c r="BK4" s="15"/>
      <c r="BL4" s="233"/>
    </row>
    <row r="5" spans="2:64" x14ac:dyDescent="0.3">
      <c r="B5" s="232"/>
      <c r="C5" s="15" t="s">
        <v>363</v>
      </c>
      <c r="D5" s="15"/>
      <c r="E5" s="15"/>
      <c r="F5" s="15"/>
      <c r="G5" s="34">
        <f>Y8</f>
        <v>59400</v>
      </c>
      <c r="H5" s="15"/>
      <c r="I5" s="78" t="str">
        <f>Assumptions!$N$27</f>
        <v>Working Interest:</v>
      </c>
      <c r="M5" s="234">
        <f t="shared" ref="M5:M6" ca="1" si="0">IFERROR(INDEX(Regional_Input_Range,MATCH($I5,Regional_Input_Var_Column,0),MATCH(MID(CELL("filename",$A$1),FIND("]",CELL("filename",$A$1))+1,255),Regional_Input_Region_Row,0)),"N/A")</f>
        <v>1</v>
      </c>
      <c r="N5" s="15"/>
      <c r="O5" s="33" t="s">
        <v>41</v>
      </c>
      <c r="P5" s="15"/>
      <c r="Q5" s="15"/>
      <c r="R5" s="235">
        <f>Gas_Price_Diff</f>
        <v>0.94</v>
      </c>
      <c r="S5" s="15"/>
      <c r="T5" s="3" t="s">
        <v>247</v>
      </c>
      <c r="U5" s="4"/>
      <c r="V5" s="13" t="s">
        <v>307</v>
      </c>
      <c r="W5" s="13" t="s">
        <v>308</v>
      </c>
      <c r="X5" s="13" t="s">
        <v>308</v>
      </c>
      <c r="Y5" s="13" t="s">
        <v>248</v>
      </c>
      <c r="Z5" s="233"/>
      <c r="AB5" s="2"/>
      <c r="AC5" s="2"/>
      <c r="AD5" s="2"/>
      <c r="AE5" s="2"/>
      <c r="AF5" s="2"/>
      <c r="AG5" s="2"/>
      <c r="AH5" s="2"/>
      <c r="AI5" s="2"/>
      <c r="AJ5" s="2"/>
      <c r="AK5" s="2"/>
      <c r="AL5" s="2"/>
      <c r="AM5" s="2"/>
      <c r="AN5" s="232"/>
      <c r="AQ5" s="177" t="s">
        <v>53</v>
      </c>
      <c r="AR5" s="38" t="s">
        <v>147</v>
      </c>
      <c r="AT5" s="37" t="s">
        <v>331</v>
      </c>
      <c r="AU5" s="23"/>
      <c r="AV5" s="37" t="s">
        <v>249</v>
      </c>
      <c r="AW5" s="23"/>
      <c r="AX5" s="37" t="s">
        <v>250</v>
      </c>
      <c r="AY5" s="23"/>
      <c r="AZ5" s="15"/>
      <c r="BA5" s="15"/>
      <c r="BB5" s="15"/>
      <c r="BC5" s="15"/>
      <c r="BD5" s="15"/>
      <c r="BE5" s="15"/>
      <c r="BF5" s="15"/>
      <c r="BG5" s="15"/>
      <c r="BH5" s="15"/>
      <c r="BI5" s="15"/>
      <c r="BJ5" s="15"/>
      <c r="BK5" s="15"/>
      <c r="BL5" s="233"/>
    </row>
    <row r="6" spans="2:64" x14ac:dyDescent="0.3">
      <c r="B6" s="232"/>
      <c r="C6" s="15" t="s">
        <v>364</v>
      </c>
      <c r="D6" s="15"/>
      <c r="E6" s="15"/>
      <c r="F6" s="15"/>
      <c r="G6" s="34">
        <f>Y16</f>
        <v>24</v>
      </c>
      <c r="H6" s="15"/>
      <c r="I6" s="78" t="str">
        <f>Assumptions!$N$28</f>
        <v>Royalty Rate:</v>
      </c>
      <c r="M6" s="234">
        <f t="shared" ca="1" si="0"/>
        <v>0.17499999999999999</v>
      </c>
      <c r="N6" s="15"/>
      <c r="O6" s="33" t="s">
        <v>13</v>
      </c>
      <c r="P6" s="15"/>
      <c r="Q6" s="15"/>
      <c r="R6" s="294">
        <v>0.8</v>
      </c>
      <c r="S6" s="15"/>
      <c r="T6" s="33" t="s">
        <v>252</v>
      </c>
      <c r="U6" s="15"/>
      <c r="V6" s="191">
        <v>0</v>
      </c>
      <c r="W6" s="191">
        <v>9900</v>
      </c>
      <c r="X6" s="191">
        <v>0</v>
      </c>
      <c r="Y6" s="34">
        <f>V6+(W6+X6)*Bbl_to_Mcfe</f>
        <v>59400</v>
      </c>
      <c r="Z6" s="233"/>
      <c r="AB6" s="2"/>
      <c r="AC6" s="2"/>
      <c r="AD6" s="2"/>
      <c r="AE6" s="2"/>
      <c r="AF6" s="2"/>
      <c r="AG6" s="2"/>
      <c r="AH6" s="2"/>
      <c r="AI6" s="2"/>
      <c r="AJ6" s="2"/>
      <c r="AK6" s="2"/>
      <c r="AL6" s="2"/>
      <c r="AM6" s="2"/>
      <c r="AN6" s="232"/>
      <c r="AO6" s="188" t="s">
        <v>253</v>
      </c>
      <c r="AP6" s="4"/>
      <c r="AQ6" s="11" t="s">
        <v>54</v>
      </c>
      <c r="AR6" s="11" t="s">
        <v>254</v>
      </c>
      <c r="AS6" s="4"/>
      <c r="AT6" s="240" t="s">
        <v>164</v>
      </c>
      <c r="AU6" s="241" t="s">
        <v>178</v>
      </c>
      <c r="AV6" s="240" t="s">
        <v>164</v>
      </c>
      <c r="AW6" s="241" t="s">
        <v>178</v>
      </c>
      <c r="AX6" s="240" t="s">
        <v>164</v>
      </c>
      <c r="AY6" s="241" t="s">
        <v>178</v>
      </c>
      <c r="AZ6" s="15"/>
      <c r="BA6" s="15"/>
      <c r="BB6" s="15"/>
      <c r="BC6" s="15"/>
      <c r="BD6" s="15"/>
      <c r="BE6" s="15"/>
      <c r="BF6" s="15"/>
      <c r="BG6" s="15"/>
      <c r="BH6" s="15"/>
      <c r="BI6" s="15"/>
      <c r="BJ6" s="15"/>
      <c r="BK6" s="15"/>
      <c r="BL6" s="233"/>
    </row>
    <row r="7" spans="2:64" x14ac:dyDescent="0.3">
      <c r="B7" s="232"/>
      <c r="C7" t="s">
        <v>362</v>
      </c>
      <c r="G7" s="34">
        <f ca="1">G6*_xlfn.DAYS(FY_Date,EOMONTH(FY_Date,-12))*$AQ$7</f>
        <v>8760</v>
      </c>
      <c r="H7" s="15"/>
      <c r="I7" s="78" t="str">
        <f>Assumptions!$N$29</f>
        <v>EUR (Mmcfe):</v>
      </c>
      <c r="M7" s="242">
        <f ca="1">IFERROR(INDEX(Regional_Input_Range,MATCH($I7,Regional_Input_Var_Column,0),MATCH(MID(CELL("filename",$A$1),FIND("]",CELL("filename",$A$1))+1,255),Regional_Input_Region_Row,0)),"N/A")</f>
        <v>885.34201954397383</v>
      </c>
      <c r="N7" s="15"/>
      <c r="O7" s="33" t="s">
        <v>8</v>
      </c>
      <c r="P7" s="15"/>
      <c r="Q7" s="15"/>
      <c r="R7" s="235">
        <f>NGL_Price_Diff_vs_Oil</f>
        <v>0.5</v>
      </c>
      <c r="S7" s="15"/>
      <c r="T7" s="33" t="s">
        <v>256</v>
      </c>
      <c r="U7" s="15"/>
      <c r="V7" s="191">
        <v>0</v>
      </c>
      <c r="W7" s="191">
        <v>0</v>
      </c>
      <c r="X7" s="191">
        <v>0</v>
      </c>
      <c r="Y7" s="34">
        <f>V7+(W7+X7)*Bbl_to_Mcfe</f>
        <v>0</v>
      </c>
      <c r="Z7" s="233"/>
      <c r="AB7" s="2"/>
      <c r="AC7" s="2"/>
      <c r="AD7" s="2"/>
      <c r="AE7" s="2"/>
      <c r="AF7" s="2"/>
      <c r="AG7" s="2"/>
      <c r="AH7" s="2"/>
      <c r="AI7" s="2"/>
      <c r="AJ7" s="2"/>
      <c r="AK7" s="2"/>
      <c r="AL7" s="2"/>
      <c r="AM7" s="2"/>
      <c r="AN7" s="232"/>
      <c r="AO7" s="243" t="str">
        <f>Assumptions!$N$44</f>
        <v>PDP</v>
      </c>
      <c r="AP7" s="15"/>
      <c r="AQ7" s="244">
        <f ca="1">IFERROR(INDEX(Reserve_Credit_Range,MATCH($AO7,Reserve_Credit_Categories_Col,0),MATCH(MID(CELL("filename",$A$1),FIND("]",CELL("filename",$A$1))+1,255),Reserve_Credit_Regions_Row,0)),"N/A")</f>
        <v>1</v>
      </c>
      <c r="AR7" s="322">
        <f ca="1">$M$5</f>
        <v>1</v>
      </c>
      <c r="AT7" s="15"/>
      <c r="AU7" s="293"/>
      <c r="AV7" s="34">
        <f ca="1">+AW7/AR7</f>
        <v>59400</v>
      </c>
      <c r="AW7" s="34">
        <f>Y6</f>
        <v>59400</v>
      </c>
      <c r="AX7" s="34">
        <f t="shared" ref="AX7:AY8" ca="1" si="1">+AV7*$AQ7</f>
        <v>59400</v>
      </c>
      <c r="AY7" s="34">
        <f t="shared" ca="1" si="1"/>
        <v>59400</v>
      </c>
      <c r="AZ7" s="15"/>
      <c r="BA7" s="15"/>
      <c r="BB7" s="15"/>
      <c r="BC7" s="15"/>
      <c r="BD7" s="15"/>
      <c r="BE7" s="15"/>
      <c r="BF7" s="15"/>
      <c r="BG7" s="15"/>
      <c r="BH7" s="15"/>
      <c r="BI7" s="15"/>
      <c r="BJ7" s="15"/>
      <c r="BK7" s="15"/>
      <c r="BL7" s="233"/>
    </row>
    <row r="8" spans="2:64" x14ac:dyDescent="0.3">
      <c r="B8" s="232"/>
      <c r="C8" s="15" t="s">
        <v>365</v>
      </c>
      <c r="D8" s="15"/>
      <c r="E8" s="15"/>
      <c r="F8" s="15"/>
      <c r="G8" s="294">
        <v>0.10007822165353752</v>
      </c>
      <c r="H8" s="15"/>
      <c r="I8" s="78" t="str">
        <f>Assumptions!$N$30</f>
        <v>IP Rate (Mmcfe / d):</v>
      </c>
      <c r="M8" s="242">
        <f ca="1">IFERROR(INDEX(Regional_Input_Range,MATCH($I8,Regional_Input_Var_Column,0),MATCH(MID(CELL("filename",$A$1),FIND("]",CELL("filename",$A$1))+1,255),Regional_Input_Region_Row,0)),"N/A")</f>
        <v>0.82199999999999995</v>
      </c>
      <c r="N8" s="15"/>
      <c r="O8" s="15"/>
      <c r="P8" s="15"/>
      <c r="Q8" s="15"/>
      <c r="R8" s="15"/>
      <c r="S8" s="15"/>
      <c r="T8" s="7" t="s">
        <v>258</v>
      </c>
      <c r="U8" s="9"/>
      <c r="V8" s="185">
        <f>SUM(V6:V7)</f>
        <v>0</v>
      </c>
      <c r="W8" s="185">
        <f>SUM(W6:W7)</f>
        <v>9900</v>
      </c>
      <c r="X8" s="185">
        <f>SUM(X6:X7)</f>
        <v>0</v>
      </c>
      <c r="Y8" s="8">
        <f>SUM(Y6:Y7)</f>
        <v>59400</v>
      </c>
      <c r="Z8" s="233"/>
      <c r="AB8" s="2"/>
      <c r="AC8" s="2"/>
      <c r="AD8" s="2"/>
      <c r="AE8" s="2"/>
      <c r="AF8" s="2"/>
      <c r="AG8" s="2"/>
      <c r="AH8" s="2"/>
      <c r="AI8" s="2"/>
      <c r="AJ8" s="2"/>
      <c r="AK8" s="2"/>
      <c r="AL8" s="2"/>
      <c r="AM8" s="2"/>
      <c r="AN8" s="232"/>
      <c r="AO8" s="243" t="str">
        <f>Assumptions!$N$45</f>
        <v>PDNP</v>
      </c>
      <c r="AP8" s="15"/>
      <c r="AQ8" s="244">
        <f ca="1">IFERROR(INDEX(Reserve_Credit_Range,MATCH($AO8,Reserve_Credit_Categories_Col,0),MATCH(MID(CELL("filename",$A$1),FIND("]",CELL("filename",$A$1))+1,255),Reserve_Credit_Regions_Row,0)),"N/A")</f>
        <v>1</v>
      </c>
      <c r="AR8" s="322">
        <f t="shared" ref="AR8:AR11" ca="1" si="2">$M$5</f>
        <v>1</v>
      </c>
      <c r="AT8" s="15"/>
      <c r="AU8" s="293"/>
      <c r="AV8" s="34">
        <f ca="1">+AW8/AR8</f>
        <v>0</v>
      </c>
      <c r="AW8" s="34">
        <f>Y7</f>
        <v>0</v>
      </c>
      <c r="AX8" s="34">
        <f t="shared" ca="1" si="1"/>
        <v>0</v>
      </c>
      <c r="AY8" s="34">
        <f t="shared" ca="1" si="1"/>
        <v>0</v>
      </c>
      <c r="AZ8" s="15"/>
      <c r="BA8" s="15"/>
      <c r="BB8" s="15"/>
      <c r="BC8" s="15"/>
      <c r="BD8" s="15"/>
      <c r="BE8" s="15"/>
      <c r="BF8" s="15"/>
      <c r="BG8" s="15"/>
      <c r="BH8" s="15"/>
      <c r="BI8" s="15"/>
      <c r="BJ8" s="15"/>
      <c r="BK8" s="15"/>
      <c r="BL8" s="233"/>
    </row>
    <row r="9" spans="2:64" x14ac:dyDescent="0.3">
      <c r="B9" s="232"/>
      <c r="C9" s="15" t="s">
        <v>257</v>
      </c>
      <c r="D9" s="15"/>
      <c r="E9" s="15"/>
      <c r="F9" s="15"/>
      <c r="G9" s="34">
        <f ca="1">COUNTIF(G30:G69,"&gt;0")</f>
        <v>14</v>
      </c>
      <c r="H9" s="15"/>
      <c r="I9" s="78" t="str">
        <f>Assumptions!$N$31</f>
        <v>D&amp;C Cost Per Well ($ in MMs):</v>
      </c>
      <c r="M9" s="246">
        <f ca="1">IFERROR(INDEX(Regional_Input_Range,MATCH($I9,Regional_Input_Var_Column,0),MATCH(MID(CELL("filename",$A$1),FIND("]",CELL("filename",$A$1))+1,255),Regional_Input_Region_Row,0)),"N/A")</f>
        <v>1.334086956521739</v>
      </c>
      <c r="N9" s="15"/>
      <c r="O9" s="482"/>
      <c r="P9" s="15"/>
      <c r="Q9" s="15"/>
      <c r="R9" s="15"/>
      <c r="S9" s="15"/>
      <c r="T9" s="15"/>
      <c r="U9" s="15"/>
      <c r="V9" s="238"/>
      <c r="W9" s="238"/>
      <c r="X9" s="191"/>
      <c r="Y9" s="34"/>
      <c r="Z9" s="233"/>
      <c r="AB9" s="2"/>
      <c r="AC9" s="2"/>
      <c r="AD9" s="2"/>
      <c r="AE9" s="2"/>
      <c r="AF9" s="2"/>
      <c r="AG9" s="2"/>
      <c r="AH9" s="2"/>
      <c r="AI9" s="2"/>
      <c r="AJ9" s="2"/>
      <c r="AK9" s="2"/>
      <c r="AL9" s="2"/>
      <c r="AM9" s="2"/>
      <c r="AN9" s="232"/>
      <c r="AO9" s="243" t="str">
        <f>Assumptions!$N$46</f>
        <v>PUD</v>
      </c>
      <c r="AP9" s="15"/>
      <c r="AQ9" s="244">
        <f ca="1">IFERROR(INDEX(Reserve_Credit_Range,MATCH($AO9,Reserve_Credit_Categories_Col,0),MATCH(MID(CELL("filename",$A$1),FIND("]",CELL("filename",$A$1))+1,255),Reserve_Credit_Regions_Row,0)),"N/A")</f>
        <v>1</v>
      </c>
      <c r="AR9" s="322">
        <f t="shared" ca="1" si="2"/>
        <v>1</v>
      </c>
      <c r="AT9" s="247">
        <f ca="1">AU9/AR9</f>
        <v>130</v>
      </c>
      <c r="AU9" s="324">
        <f ca="1">IFERROR(INDEX(Wells_Input_Range,MATCH(MID(CELL("filename",$A$1),FIND("]",CELL("filename",$A$1))+1,255),Wells_Input_Region_Column,0),MATCH($AO9,Wells_Input_Reserve_Row,0)),"N/A")</f>
        <v>130</v>
      </c>
      <c r="AV9" s="34">
        <f t="shared" ref="AV9:AW11" ca="1" si="3">+AT9*$M$7*(1-$M$6)</f>
        <v>94952.931596091192</v>
      </c>
      <c r="AW9" s="34">
        <f t="shared" ca="1" si="3"/>
        <v>94952.931596091192</v>
      </c>
      <c r="AX9" s="34">
        <f ca="1">+AV9*$AQ9</f>
        <v>94952.931596091192</v>
      </c>
      <c r="AY9" s="34">
        <f t="shared" ref="AY9:AY11" ca="1" si="4">+AW9*$AQ9</f>
        <v>94952.931596091192</v>
      </c>
      <c r="AZ9" s="15"/>
      <c r="BA9" s="15"/>
      <c r="BB9" s="15"/>
      <c r="BC9" s="15"/>
      <c r="BD9" s="15"/>
      <c r="BE9" s="15"/>
      <c r="BF9" s="15"/>
      <c r="BG9" s="15"/>
      <c r="BH9" s="15"/>
      <c r="BI9" s="15"/>
      <c r="BJ9" s="15"/>
      <c r="BK9" s="15"/>
      <c r="BL9" s="233"/>
    </row>
    <row r="10" spans="2:64" x14ac:dyDescent="0.3">
      <c r="B10" s="232"/>
      <c r="G10" s="12"/>
      <c r="H10" s="15"/>
      <c r="I10" s="33" t="s">
        <v>260</v>
      </c>
      <c r="J10" s="15"/>
      <c r="K10" s="15"/>
      <c r="L10" s="15"/>
      <c r="M10" s="248">
        <v>12</v>
      </c>
      <c r="N10" s="15"/>
      <c r="O10" s="15"/>
      <c r="P10" s="15"/>
      <c r="Q10" s="15"/>
      <c r="R10" s="15"/>
      <c r="S10" s="15"/>
      <c r="T10" s="249"/>
      <c r="U10" s="15"/>
      <c r="V10" s="250" t="s">
        <v>10</v>
      </c>
      <c r="W10" s="250" t="s">
        <v>11</v>
      </c>
      <c r="X10" s="250" t="s">
        <v>245</v>
      </c>
      <c r="Y10" s="61" t="s">
        <v>12</v>
      </c>
      <c r="Z10" s="233"/>
      <c r="AB10" s="209"/>
      <c r="AC10" s="2"/>
      <c r="AD10" s="2"/>
      <c r="AE10" s="2"/>
      <c r="AF10" s="2"/>
      <c r="AG10" s="2"/>
      <c r="AH10" s="2"/>
      <c r="AI10" s="2"/>
      <c r="AJ10" s="2"/>
      <c r="AK10" s="2"/>
      <c r="AL10" s="2"/>
      <c r="AM10" s="2"/>
      <c r="AN10" s="232"/>
      <c r="AO10" s="243" t="str">
        <f>Assumptions!$N$47</f>
        <v>PROB</v>
      </c>
      <c r="AP10" s="15"/>
      <c r="AQ10" s="244">
        <f ca="1">IFERROR(INDEX(Reserve_Credit_Range,MATCH($AO10,Reserve_Credit_Categories_Col,0),MATCH(MID(CELL("filename",$A$1),FIND("]",CELL("filename",$A$1))+1,255),Reserve_Credit_Regions_Row,0)),"N/A")</f>
        <v>0.5</v>
      </c>
      <c r="AR10" s="322">
        <f t="shared" ca="1" si="2"/>
        <v>1</v>
      </c>
      <c r="AT10" s="247">
        <f ca="1">AU10/AR10</f>
        <v>156</v>
      </c>
      <c r="AU10" s="324">
        <f ca="1">IFERROR(INDEX(Wells_Input_Range,MATCH(MID(CELL("filename",$A$1),FIND("]",CELL("filename",$A$1))+1,255),Wells_Input_Region_Column,0),MATCH($AO10,Wells_Input_Reserve_Row,0)),"N/A")</f>
        <v>156</v>
      </c>
      <c r="AV10" s="34">
        <f t="shared" ca="1" si="3"/>
        <v>113943.51791530944</v>
      </c>
      <c r="AW10" s="34">
        <f t="shared" ca="1" si="3"/>
        <v>113943.51791530944</v>
      </c>
      <c r="AX10" s="34">
        <f t="shared" ref="AX10:AX11" ca="1" si="5">+AV10*$AQ10</f>
        <v>56971.758957654718</v>
      </c>
      <c r="AY10" s="34">
        <f t="shared" ca="1" si="4"/>
        <v>56971.758957654718</v>
      </c>
      <c r="AZ10" s="15"/>
      <c r="BA10" s="15"/>
      <c r="BB10" s="15"/>
      <c r="BC10" s="15"/>
      <c r="BD10" s="15"/>
      <c r="BE10" s="15"/>
      <c r="BF10" s="15"/>
      <c r="BG10" s="15"/>
      <c r="BH10" s="15"/>
      <c r="BI10" s="15"/>
      <c r="BJ10" s="15"/>
      <c r="BK10" s="15"/>
      <c r="BL10" s="233"/>
    </row>
    <row r="11" spans="2:64" x14ac:dyDescent="0.3">
      <c r="B11" s="232"/>
      <c r="H11" s="15"/>
      <c r="I11" s="33" t="s">
        <v>261</v>
      </c>
      <c r="J11" s="15"/>
      <c r="K11" s="15"/>
      <c r="L11" s="15"/>
      <c r="M11" s="248" t="s">
        <v>213</v>
      </c>
      <c r="N11" s="15"/>
      <c r="O11" s="15"/>
      <c r="P11" s="15"/>
      <c r="Q11" s="15"/>
      <c r="R11" s="15"/>
      <c r="S11" s="15"/>
      <c r="T11" s="251" t="s">
        <v>262</v>
      </c>
      <c r="U11" s="4"/>
      <c r="V11" s="13" t="s">
        <v>307</v>
      </c>
      <c r="W11" s="13" t="s">
        <v>308</v>
      </c>
      <c r="X11" s="13" t="s">
        <v>308</v>
      </c>
      <c r="Y11" s="13" t="s">
        <v>248</v>
      </c>
      <c r="Z11" s="233"/>
      <c r="AB11" s="2"/>
      <c r="AC11" s="2"/>
      <c r="AD11" s="2"/>
      <c r="AE11" s="2"/>
      <c r="AF11" s="2"/>
      <c r="AG11" s="2"/>
      <c r="AH11" s="2"/>
      <c r="AI11" s="2"/>
      <c r="AJ11" s="2"/>
      <c r="AK11" s="2"/>
      <c r="AL11" s="2"/>
      <c r="AM11" s="2"/>
      <c r="AN11" s="232"/>
      <c r="AO11" s="243" t="str">
        <f>Assumptions!$N$48</f>
        <v>POSS</v>
      </c>
      <c r="AP11" s="15"/>
      <c r="AQ11" s="244">
        <f ca="1">IFERROR(INDEX(Reserve_Credit_Range,MATCH($AO11,Reserve_Credit_Categories_Col,0),MATCH(MID(CELL("filename",$A$1),FIND("]",CELL("filename",$A$1))+1,255),Reserve_Credit_Regions_Row,0)),"N/A")</f>
        <v>0.1</v>
      </c>
      <c r="AR11" s="322">
        <f t="shared" ca="1" si="2"/>
        <v>1</v>
      </c>
      <c r="AT11" s="247">
        <f ca="1">AU11/AR11</f>
        <v>289</v>
      </c>
      <c r="AU11" s="324">
        <f ca="1">IFERROR(INDEX(Wells_Input_Range,MATCH(MID(CELL("filename",$A$1),FIND("]",CELL("filename",$A$1))+1,255),Wells_Input_Region_Column,0),MATCH($AO11,Wells_Input_Reserve_Row,0)),"N/A")</f>
        <v>289</v>
      </c>
      <c r="AV11" s="34">
        <f t="shared" ca="1" si="3"/>
        <v>211087.67100977196</v>
      </c>
      <c r="AW11" s="34">
        <f t="shared" ca="1" si="3"/>
        <v>211087.67100977196</v>
      </c>
      <c r="AX11" s="34">
        <f t="shared" ca="1" si="5"/>
        <v>21108.767100977198</v>
      </c>
      <c r="AY11" s="34">
        <f t="shared" ca="1" si="4"/>
        <v>21108.767100977198</v>
      </c>
      <c r="AZ11" s="15"/>
      <c r="BA11" s="15"/>
      <c r="BB11" s="15"/>
      <c r="BC11" s="15"/>
      <c r="BD11" s="15"/>
      <c r="BE11" s="15"/>
      <c r="BF11" s="15"/>
      <c r="BG11" s="15"/>
      <c r="BH11" s="15"/>
      <c r="BI11" s="15"/>
      <c r="BJ11" s="15"/>
      <c r="BK11" s="15"/>
      <c r="BL11" s="233"/>
    </row>
    <row r="12" spans="2:64" x14ac:dyDescent="0.3">
      <c r="B12" s="232"/>
      <c r="H12" s="15"/>
      <c r="I12" s="78" t="str">
        <f>Assumptions!$N$32</f>
        <v>% Gas:</v>
      </c>
      <c r="J12" s="15"/>
      <c r="K12" s="15"/>
      <c r="M12" s="234">
        <f ca="1">IFERROR(INDEX(Regional_Input_Range,MATCH($I12,Regional_Input_Var_Column,0),MATCH(MID(CELL("filename",$A$1),FIND("]",CELL("filename",$A$1))+1,255),Regional_Input_Region_Row,0)),"N/A")</f>
        <v>0</v>
      </c>
      <c r="N12" s="15"/>
      <c r="O12" s="16"/>
      <c r="P12" s="15"/>
      <c r="Q12" s="15"/>
      <c r="R12" s="15"/>
      <c r="S12" s="15"/>
      <c r="T12" s="114" t="s">
        <v>263</v>
      </c>
      <c r="U12" s="15"/>
      <c r="V12" s="191">
        <v>0</v>
      </c>
      <c r="W12" s="62">
        <f>4000*Y13/Units</f>
        <v>364</v>
      </c>
      <c r="X12" s="191">
        <v>0</v>
      </c>
      <c r="Y12" s="34">
        <f>V12+(W12+X12)*Bbl_to_Mcfe</f>
        <v>2184</v>
      </c>
      <c r="Z12" s="233"/>
      <c r="AB12" s="2"/>
      <c r="AC12" s="2"/>
      <c r="AD12" s="2"/>
      <c r="AE12" s="2"/>
      <c r="AF12" s="2"/>
      <c r="AG12" s="2"/>
      <c r="AH12" s="2"/>
      <c r="AI12" s="2"/>
      <c r="AJ12" s="2"/>
      <c r="AK12" s="2"/>
      <c r="AL12" s="2"/>
      <c r="AM12" s="2"/>
      <c r="AN12" s="232"/>
      <c r="AO12" s="96" t="s">
        <v>26</v>
      </c>
      <c r="AP12" s="9"/>
      <c r="AQ12" s="9"/>
      <c r="AR12" s="9"/>
      <c r="AS12" s="9"/>
      <c r="AT12" s="207">
        <f ca="1">SUM(AT7:AT11)</f>
        <v>575</v>
      </c>
      <c r="AU12" s="207">
        <f ca="1">SUM(AU7:AU11)</f>
        <v>575</v>
      </c>
      <c r="AV12" s="8">
        <f t="shared" ref="AV12:AY12" ca="1" si="6">SUM(AV7:AV11)</f>
        <v>479384.12052117265</v>
      </c>
      <c r="AW12" s="8">
        <f t="shared" ca="1" si="6"/>
        <v>479384.12052117265</v>
      </c>
      <c r="AX12" s="8">
        <f t="shared" ca="1" si="6"/>
        <v>232433.45765472308</v>
      </c>
      <c r="AY12" s="8">
        <f t="shared" ca="1" si="6"/>
        <v>232433.45765472308</v>
      </c>
      <c r="AZ12" s="15"/>
      <c r="BA12" s="15"/>
      <c r="BB12" s="15"/>
      <c r="BC12" s="15"/>
      <c r="BD12" s="15"/>
      <c r="BE12" s="15"/>
      <c r="BF12" s="15"/>
      <c r="BG12" s="15"/>
      <c r="BH12" s="15"/>
      <c r="BI12" s="15"/>
      <c r="BJ12" s="15"/>
      <c r="BK12" s="15"/>
      <c r="BL12" s="233"/>
    </row>
    <row r="13" spans="2:64" x14ac:dyDescent="0.3">
      <c r="B13" s="232"/>
      <c r="H13" s="15"/>
      <c r="I13" s="78" t="str">
        <f>Assumptions!$N$33</f>
        <v>% NGLs:</v>
      </c>
      <c r="J13" s="15"/>
      <c r="K13" s="15"/>
      <c r="M13" s="234">
        <f ca="1">IFERROR(INDEX(Regional_Input_Range,MATCH($I13,Regional_Input_Var_Column,0),MATCH(MID(CELL("filename",$A$1),FIND("]",CELL("filename",$A$1))+1,255),Regional_Input_Region_Row,0)),"N/A")</f>
        <v>0</v>
      </c>
      <c r="N13" s="15"/>
      <c r="S13" s="15"/>
      <c r="T13" s="128" t="s">
        <v>264</v>
      </c>
      <c r="U13" s="15"/>
      <c r="V13" s="15"/>
      <c r="W13" s="15"/>
      <c r="X13" s="15"/>
      <c r="Y13" s="252">
        <v>91</v>
      </c>
      <c r="Z13" s="233"/>
      <c r="AB13" s="413"/>
      <c r="AC13" s="2"/>
      <c r="AD13" s="2"/>
      <c r="AE13" s="2"/>
      <c r="AF13" s="2"/>
      <c r="AG13" s="2"/>
      <c r="AH13" s="2"/>
      <c r="AI13" s="2"/>
      <c r="AJ13" s="2"/>
      <c r="AK13" s="2"/>
      <c r="AL13" s="2"/>
      <c r="AM13" s="2"/>
      <c r="AN13" s="232"/>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233"/>
    </row>
    <row r="14" spans="2:64" x14ac:dyDescent="0.3">
      <c r="B14" s="232"/>
      <c r="H14" s="15"/>
      <c r="I14" s="78" t="str">
        <f>Assumptions!$N$34</f>
        <v>% Oil:</v>
      </c>
      <c r="J14" s="15"/>
      <c r="K14" s="15"/>
      <c r="M14" s="234">
        <f ca="1">IFERROR(INDEX(Regional_Input_Range,MATCH($I14,Regional_Input_Var_Column,0),MATCH(MID(CELL("filename",$A$1),FIND("]",CELL("filename",$A$1))+1,255),Regional_Input_Region_Row,0)),"N/A")</f>
        <v>1</v>
      </c>
      <c r="N14" s="15"/>
      <c r="S14" s="15"/>
      <c r="T14" s="15"/>
      <c r="U14" s="15"/>
      <c r="V14" s="15"/>
      <c r="W14" s="15"/>
      <c r="X14" s="15"/>
      <c r="Y14" s="15"/>
      <c r="Z14" s="233"/>
      <c r="AB14" s="2"/>
      <c r="AC14" s="2"/>
      <c r="AD14" s="2"/>
      <c r="AE14" s="2"/>
      <c r="AF14" s="2"/>
      <c r="AG14" s="2"/>
      <c r="AH14" s="2"/>
      <c r="AI14" s="2"/>
      <c r="AJ14" s="2"/>
      <c r="AK14" s="2"/>
      <c r="AL14" s="2"/>
      <c r="AM14" s="2"/>
      <c r="AN14" s="232"/>
      <c r="AO14" s="15"/>
      <c r="AP14" s="15"/>
      <c r="AQ14" s="15"/>
      <c r="AR14" s="15"/>
      <c r="AS14" s="15"/>
      <c r="AT14" s="15"/>
      <c r="AU14" s="15"/>
      <c r="AV14" s="15"/>
      <c r="AW14" s="15"/>
      <c r="AX14" s="15"/>
      <c r="AY14" s="414"/>
      <c r="AZ14" s="15"/>
      <c r="BA14" s="15"/>
      <c r="BB14" s="15"/>
      <c r="BC14" s="15"/>
      <c r="BD14" s="15"/>
      <c r="BE14" s="15"/>
      <c r="BF14" s="15"/>
      <c r="BG14" s="15"/>
      <c r="BH14" s="15"/>
      <c r="BI14" s="15"/>
      <c r="BJ14" s="15"/>
      <c r="BK14" s="15"/>
      <c r="BL14" s="233"/>
    </row>
    <row r="15" spans="2:64" x14ac:dyDescent="0.3">
      <c r="B15" s="232"/>
      <c r="H15" s="15"/>
      <c r="N15" s="15"/>
      <c r="O15" s="15"/>
      <c r="P15" s="15"/>
      <c r="Q15" s="15"/>
      <c r="R15" s="15"/>
      <c r="S15" s="15"/>
      <c r="T15" s="3" t="s">
        <v>265</v>
      </c>
      <c r="U15" s="4"/>
      <c r="V15" s="4"/>
      <c r="W15" s="4"/>
      <c r="X15" s="4"/>
      <c r="Y15" s="4"/>
      <c r="Z15" s="233"/>
      <c r="AB15" s="223"/>
      <c r="AC15" s="2"/>
      <c r="AD15" s="2"/>
      <c r="AE15" s="2"/>
      <c r="AF15" s="2"/>
      <c r="AG15" s="2"/>
      <c r="AH15" s="2"/>
      <c r="AI15" s="2"/>
      <c r="AJ15" s="2"/>
      <c r="AK15" s="2"/>
      <c r="AL15" s="2"/>
      <c r="AM15" s="2"/>
      <c r="AN15" s="232"/>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233"/>
    </row>
    <row r="16" spans="2:64" x14ac:dyDescent="0.3">
      <c r="B16" s="232"/>
      <c r="H16" s="15"/>
      <c r="I16" s="251" t="s">
        <v>266</v>
      </c>
      <c r="J16" s="4"/>
      <c r="K16" s="4"/>
      <c r="L16" s="4"/>
      <c r="M16" s="4"/>
      <c r="N16" s="15"/>
      <c r="O16" s="15"/>
      <c r="P16" s="15"/>
      <c r="Q16" s="15"/>
      <c r="R16" s="15"/>
      <c r="S16" s="15"/>
      <c r="T16" s="33" t="s">
        <v>267</v>
      </c>
      <c r="U16" s="15"/>
      <c r="V16" s="15"/>
      <c r="W16" s="15"/>
      <c r="X16" s="15"/>
      <c r="Y16" s="35">
        <f>Y12/Y13</f>
        <v>24</v>
      </c>
      <c r="Z16" s="152"/>
      <c r="AB16" s="223"/>
      <c r="AC16" s="2"/>
      <c r="AD16" s="2"/>
      <c r="AE16" s="2"/>
      <c r="AF16" s="2"/>
      <c r="AG16" s="2"/>
      <c r="AH16" s="2"/>
      <c r="AI16" s="2"/>
      <c r="AJ16" s="2"/>
      <c r="AK16" s="2"/>
      <c r="AL16" s="2"/>
      <c r="AM16" s="2"/>
      <c r="AN16" s="232"/>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233"/>
    </row>
    <row r="17" spans="2:64" x14ac:dyDescent="0.3">
      <c r="B17" s="232"/>
      <c r="H17" s="15"/>
      <c r="I17" s="33" t="s">
        <v>6</v>
      </c>
      <c r="J17" s="15"/>
      <c r="K17" s="15"/>
      <c r="L17" s="15"/>
      <c r="M17" s="22">
        <v>0.222</v>
      </c>
      <c r="N17" s="15"/>
      <c r="O17" s="51"/>
      <c r="P17" s="15"/>
      <c r="Q17" s="15"/>
      <c r="R17" s="15"/>
      <c r="S17" s="15"/>
      <c r="T17" s="33" t="s">
        <v>268</v>
      </c>
      <c r="U17" s="15"/>
      <c r="V17" s="15"/>
      <c r="W17" s="15"/>
      <c r="X17" s="15"/>
      <c r="Y17" s="35">
        <f ca="1">(Y8+AW9)/(Y16*365)</f>
        <v>17.620197670786666</v>
      </c>
      <c r="Z17" s="233"/>
      <c r="AB17" s="223"/>
      <c r="AC17" s="2"/>
      <c r="AD17" s="2"/>
      <c r="AE17" s="2"/>
      <c r="AF17" s="2"/>
      <c r="AG17" s="2"/>
      <c r="AH17" s="2"/>
      <c r="AI17" s="2"/>
      <c r="AJ17" s="2"/>
      <c r="AK17" s="2"/>
      <c r="AL17" s="2"/>
      <c r="AM17" s="2"/>
      <c r="AN17" s="232"/>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233"/>
    </row>
    <row r="18" spans="2:64" x14ac:dyDescent="0.3">
      <c r="B18" s="232"/>
      <c r="H18" s="15"/>
      <c r="I18" s="33" t="s">
        <v>5</v>
      </c>
      <c r="J18" s="15"/>
      <c r="K18" s="15"/>
      <c r="L18" s="15"/>
      <c r="M18" s="21">
        <v>0.7</v>
      </c>
      <c r="N18" s="15"/>
      <c r="O18" s="15"/>
      <c r="P18" s="15"/>
      <c r="Q18" s="15"/>
      <c r="R18" s="15"/>
      <c r="S18" s="15"/>
      <c r="T18" s="33" t="s">
        <v>269</v>
      </c>
      <c r="U18" s="15"/>
      <c r="V18" s="15"/>
      <c r="W18" s="15"/>
      <c r="X18" s="15"/>
      <c r="Y18" s="35">
        <f>Y8/(Y16*365)</f>
        <v>6.7808219178082192</v>
      </c>
      <c r="Z18" s="233"/>
      <c r="AB18" s="223"/>
      <c r="AC18" s="2"/>
      <c r="AD18" s="2"/>
      <c r="AE18" s="2"/>
      <c r="AF18" s="2"/>
      <c r="AG18" s="2"/>
      <c r="AH18" s="2"/>
      <c r="AI18" s="2"/>
      <c r="AJ18" s="2"/>
      <c r="AK18" s="2"/>
      <c r="AL18" s="2"/>
      <c r="AM18" s="2"/>
      <c r="AN18" s="232"/>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233"/>
    </row>
    <row r="19" spans="2:64" x14ac:dyDescent="0.3">
      <c r="B19" s="232"/>
      <c r="H19" s="15"/>
      <c r="I19" s="33" t="s">
        <v>7</v>
      </c>
      <c r="J19" s="15"/>
      <c r="K19" s="15"/>
      <c r="L19" s="15"/>
      <c r="M19" s="21">
        <v>0.34799999999999998</v>
      </c>
      <c r="N19" s="15"/>
      <c r="O19" s="15"/>
      <c r="P19" s="15"/>
      <c r="Q19" s="15"/>
      <c r="R19" s="15"/>
      <c r="S19" s="15"/>
      <c r="T19" s="33" t="s">
        <v>270</v>
      </c>
      <c r="U19" s="15"/>
      <c r="V19" s="15"/>
      <c r="W19" s="15"/>
      <c r="X19" s="15"/>
      <c r="Y19" s="321">
        <f>V8/$Y$8</f>
        <v>0</v>
      </c>
      <c r="Z19" s="233"/>
      <c r="AB19" s="2"/>
      <c r="AC19" s="2"/>
      <c r="AD19" s="2"/>
      <c r="AE19" s="2"/>
      <c r="AF19" s="2"/>
      <c r="AG19" s="2"/>
      <c r="AH19" s="2"/>
      <c r="AI19" s="2"/>
      <c r="AJ19" s="2"/>
      <c r="AK19" s="2"/>
      <c r="AL19" s="2"/>
      <c r="AM19" s="2"/>
      <c r="AN19" s="232"/>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233"/>
    </row>
    <row r="20" spans="2:64" x14ac:dyDescent="0.3">
      <c r="B20" s="232"/>
      <c r="C20" s="15"/>
      <c r="D20" s="15"/>
      <c r="E20" s="15"/>
      <c r="F20" s="15"/>
      <c r="G20" s="15"/>
      <c r="H20" s="15"/>
      <c r="N20" s="15"/>
      <c r="O20" s="15"/>
      <c r="P20" s="15"/>
      <c r="Q20" s="15"/>
      <c r="R20" s="15"/>
      <c r="S20" s="15"/>
      <c r="T20" s="33" t="s">
        <v>271</v>
      </c>
      <c r="U20" s="15"/>
      <c r="V20" s="15"/>
      <c r="W20" s="15"/>
      <c r="X20" s="15"/>
      <c r="Y20" s="321">
        <f>(W8*Bbl_to_Mcfe)/$Y$8</f>
        <v>1</v>
      </c>
      <c r="Z20" s="233"/>
      <c r="AB20" s="2"/>
      <c r="AC20" s="2"/>
      <c r="AD20" s="2"/>
      <c r="AE20" s="354"/>
      <c r="AF20" s="2"/>
      <c r="AG20" s="2"/>
      <c r="AH20" s="2"/>
      <c r="AI20" s="2"/>
      <c r="AJ20" s="2"/>
      <c r="AK20" s="2"/>
      <c r="AL20" s="2"/>
      <c r="AM20" s="2"/>
      <c r="AN20" s="232"/>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233"/>
    </row>
    <row r="21" spans="2:64" x14ac:dyDescent="0.3">
      <c r="B21" s="256"/>
      <c r="C21" s="4"/>
      <c r="D21" s="4"/>
      <c r="E21" s="4"/>
      <c r="F21" s="4"/>
      <c r="G21" s="4"/>
      <c r="H21" s="4"/>
      <c r="I21" s="394"/>
      <c r="J21" s="393"/>
      <c r="K21" s="393"/>
      <c r="L21" s="393"/>
      <c r="M21" s="404"/>
      <c r="N21" s="4"/>
      <c r="O21" s="4"/>
      <c r="P21" s="4"/>
      <c r="Q21" s="4"/>
      <c r="R21" s="4"/>
      <c r="S21" s="4"/>
      <c r="T21" s="36" t="s">
        <v>272</v>
      </c>
      <c r="U21" s="4"/>
      <c r="V21" s="4"/>
      <c r="W21" s="4"/>
      <c r="X21" s="4"/>
      <c r="Y21" s="405">
        <f>(X8*Bbl_to_Mcfe)/$Y$8</f>
        <v>0</v>
      </c>
      <c r="Z21" s="258"/>
      <c r="AB21" s="362"/>
      <c r="AC21" s="2"/>
      <c r="AD21" s="2"/>
      <c r="AE21" s="2"/>
      <c r="AF21" s="2"/>
      <c r="AG21" s="2"/>
      <c r="AH21" s="2"/>
      <c r="AI21" s="2"/>
      <c r="AJ21" s="2"/>
      <c r="AK21" s="2"/>
      <c r="AL21" s="2"/>
      <c r="AN21" s="256"/>
      <c r="AO21" s="4"/>
      <c r="AP21" s="4"/>
      <c r="AQ21" s="4"/>
      <c r="AR21" s="4"/>
      <c r="AS21" s="4"/>
      <c r="AT21" s="4"/>
      <c r="AU21" s="4"/>
      <c r="AV21" s="4"/>
      <c r="AW21" s="4"/>
      <c r="AX21" s="4"/>
      <c r="AY21" s="4"/>
      <c r="AZ21" s="4"/>
      <c r="BA21" s="4"/>
      <c r="BB21" s="4"/>
      <c r="BC21" s="4"/>
      <c r="BD21" s="4"/>
      <c r="BE21" s="4"/>
      <c r="BF21" s="4"/>
      <c r="BG21" s="4"/>
      <c r="BH21" s="4"/>
      <c r="BI21" s="4"/>
      <c r="BJ21" s="4"/>
      <c r="BK21" s="4"/>
      <c r="BL21" s="258"/>
    </row>
    <row r="23" spans="2:64" x14ac:dyDescent="0.3">
      <c r="B23" s="225" t="s">
        <v>273</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226"/>
      <c r="AN23" s="225" t="s">
        <v>332</v>
      </c>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226"/>
    </row>
    <row r="24" spans="2:64" x14ac:dyDescent="0.3">
      <c r="B24" s="259" t="s">
        <v>27</v>
      </c>
      <c r="C24" s="259"/>
      <c r="D24" s="54"/>
      <c r="E24" s="54"/>
      <c r="F24" s="54"/>
      <c r="G24" s="54"/>
      <c r="H24" s="54"/>
      <c r="I24" s="54"/>
      <c r="J24" s="54"/>
      <c r="K24" s="54"/>
      <c r="L24" s="54"/>
      <c r="M24" s="54"/>
      <c r="N24" s="54"/>
      <c r="O24" s="54"/>
      <c r="P24" s="54"/>
      <c r="Q24" s="228" t="str">
        <f>B24</f>
        <v>PDP</v>
      </c>
      <c r="R24" s="54"/>
      <c r="S24" s="54"/>
      <c r="T24" s="54"/>
      <c r="U24" s="54"/>
      <c r="V24" s="54"/>
      <c r="W24" s="54"/>
      <c r="X24" s="54"/>
      <c r="Y24" s="54"/>
      <c r="Z24" s="54"/>
      <c r="AA24" s="54"/>
      <c r="AB24" s="54"/>
      <c r="AC24" s="54"/>
      <c r="AD24" s="228" t="str">
        <f>Q24</f>
        <v>PDP</v>
      </c>
      <c r="AE24" s="54"/>
      <c r="AF24" s="54"/>
      <c r="AG24" s="54"/>
      <c r="AH24" s="54"/>
      <c r="AI24" s="54"/>
      <c r="AJ24" s="54"/>
      <c r="AK24" s="54"/>
      <c r="AL24" s="229"/>
      <c r="AN24" s="328"/>
      <c r="AO24" s="286"/>
      <c r="AP24" s="287"/>
      <c r="AQ24" s="287"/>
      <c r="AR24" s="287"/>
      <c r="AS24" s="287"/>
      <c r="AT24" s="287"/>
      <c r="AU24" s="286"/>
      <c r="AV24" s="287"/>
      <c r="AW24" s="287"/>
      <c r="AX24" s="287"/>
      <c r="AY24" s="287"/>
      <c r="AZ24" s="287"/>
      <c r="BA24" s="286"/>
      <c r="BB24" s="287"/>
      <c r="BC24" s="287"/>
      <c r="BD24" s="287"/>
      <c r="BE24" s="287"/>
      <c r="BF24" s="286"/>
      <c r="BG24" s="287"/>
      <c r="BH24" s="287"/>
      <c r="BI24" s="287"/>
      <c r="BJ24" s="287"/>
      <c r="BK24" s="287"/>
      <c r="BL24" s="288"/>
    </row>
    <row r="25" spans="2:64" x14ac:dyDescent="0.3">
      <c r="B25" s="232"/>
      <c r="C25" s="15"/>
      <c r="D25" s="15"/>
      <c r="E25" s="15"/>
      <c r="F25" s="15"/>
      <c r="G25" s="15"/>
      <c r="H25" s="15"/>
      <c r="I25" s="15"/>
      <c r="J25" s="15"/>
      <c r="K25" s="15"/>
      <c r="L25" s="15"/>
      <c r="M25" s="15"/>
      <c r="N25" s="15"/>
      <c r="O25" s="15"/>
      <c r="P25" s="15"/>
      <c r="Q25" s="15"/>
      <c r="R25" s="15"/>
      <c r="S25" s="15"/>
      <c r="T25" s="15"/>
      <c r="U25" s="415"/>
      <c r="V25" s="415"/>
      <c r="W25" s="15"/>
      <c r="X25" s="15"/>
      <c r="Y25" s="15"/>
      <c r="Z25" s="15"/>
      <c r="AA25" s="15"/>
      <c r="AB25" s="15"/>
      <c r="AC25" s="15"/>
      <c r="AD25" s="15"/>
      <c r="AE25" s="15"/>
      <c r="AF25" s="15"/>
      <c r="AG25" s="15"/>
      <c r="AH25" s="15"/>
      <c r="AI25" s="15"/>
      <c r="AJ25" s="15"/>
      <c r="AK25" s="15"/>
      <c r="AL25" s="233"/>
      <c r="AN25" s="232"/>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233"/>
    </row>
    <row r="26" spans="2:64" x14ac:dyDescent="0.3">
      <c r="B26" s="232"/>
      <c r="C26" s="37" t="s">
        <v>277</v>
      </c>
      <c r="D26" s="23"/>
      <c r="E26" s="23"/>
      <c r="F26" s="23"/>
      <c r="G26" s="23"/>
      <c r="H26" s="261"/>
      <c r="I26" s="37" t="s">
        <v>15</v>
      </c>
      <c r="J26" s="23"/>
      <c r="K26" s="23"/>
      <c r="L26" s="15"/>
      <c r="M26" s="37" t="s">
        <v>278</v>
      </c>
      <c r="N26" s="23"/>
      <c r="O26" s="23"/>
      <c r="P26" s="15"/>
      <c r="Q26" s="37" t="s">
        <v>279</v>
      </c>
      <c r="R26" s="23"/>
      <c r="S26" s="23"/>
      <c r="T26" s="23"/>
      <c r="U26" s="15"/>
      <c r="V26" s="37" t="s">
        <v>280</v>
      </c>
      <c r="W26" s="23"/>
      <c r="X26" s="23"/>
      <c r="Y26" s="23"/>
      <c r="Z26" s="23"/>
      <c r="AA26" s="23"/>
      <c r="AB26" s="4"/>
      <c r="AC26" s="15"/>
      <c r="AD26" s="37" t="s">
        <v>281</v>
      </c>
      <c r="AE26" s="23"/>
      <c r="AF26" s="23"/>
      <c r="AG26" s="15"/>
      <c r="AH26" s="37" t="s">
        <v>282</v>
      </c>
      <c r="AI26" s="23"/>
      <c r="AJ26" s="23"/>
      <c r="AK26" s="23"/>
      <c r="AL26" s="233"/>
      <c r="AN26" s="232"/>
      <c r="AO26" s="37" t="s">
        <v>333</v>
      </c>
      <c r="AP26" s="37"/>
      <c r="AQ26" s="329"/>
      <c r="AR26" s="37" t="s">
        <v>334</v>
      </c>
      <c r="AS26" s="23"/>
      <c r="AT26" s="23"/>
      <c r="AU26" s="15"/>
      <c r="AV26" s="37" t="s">
        <v>335</v>
      </c>
      <c r="AW26" s="23"/>
      <c r="AX26" s="23"/>
      <c r="AY26" s="15"/>
      <c r="AZ26" s="37" t="s">
        <v>336</v>
      </c>
      <c r="BA26" s="23"/>
      <c r="BB26" s="23"/>
      <c r="BC26" s="15"/>
      <c r="BD26" s="15"/>
      <c r="BE26" s="15"/>
      <c r="BF26" s="15"/>
      <c r="BG26" s="15"/>
      <c r="BH26" s="15"/>
      <c r="BI26" s="15"/>
      <c r="BJ26" s="15"/>
      <c r="BK26" s="15"/>
      <c r="BL26" s="233"/>
    </row>
    <row r="27" spans="2:64" x14ac:dyDescent="0.3">
      <c r="B27" s="232"/>
      <c r="C27" s="250"/>
      <c r="D27" s="250" t="s">
        <v>10</v>
      </c>
      <c r="E27" s="250" t="s">
        <v>11</v>
      </c>
      <c r="F27" s="250" t="s">
        <v>245</v>
      </c>
      <c r="G27" s="250" t="s">
        <v>12</v>
      </c>
      <c r="H27" s="261"/>
      <c r="I27" s="262" t="s">
        <v>10</v>
      </c>
      <c r="J27" s="262" t="s">
        <v>11</v>
      </c>
      <c r="K27" s="262" t="s">
        <v>245</v>
      </c>
      <c r="L27" s="15"/>
      <c r="M27" s="262" t="s">
        <v>10</v>
      </c>
      <c r="N27" s="262" t="s">
        <v>11</v>
      </c>
      <c r="O27" s="262" t="s">
        <v>245</v>
      </c>
      <c r="P27" s="15"/>
      <c r="Q27" s="262" t="s">
        <v>10</v>
      </c>
      <c r="R27" s="262" t="s">
        <v>11</v>
      </c>
      <c r="S27" s="262" t="s">
        <v>245</v>
      </c>
      <c r="T27" s="262" t="s">
        <v>12</v>
      </c>
      <c r="U27" s="15"/>
      <c r="V27" s="262" t="s">
        <v>283</v>
      </c>
      <c r="W27" s="262" t="s">
        <v>283</v>
      </c>
      <c r="X27" s="262" t="s">
        <v>284</v>
      </c>
      <c r="Y27" s="262" t="s">
        <v>284</v>
      </c>
      <c r="Z27" s="262" t="s">
        <v>285</v>
      </c>
      <c r="AA27" s="262" t="s">
        <v>285</v>
      </c>
      <c r="AB27" s="262" t="s">
        <v>12</v>
      </c>
      <c r="AC27" s="15"/>
      <c r="AD27" s="262" t="s">
        <v>286</v>
      </c>
      <c r="AE27" s="262" t="s">
        <v>287</v>
      </c>
      <c r="AF27" s="262" t="s">
        <v>281</v>
      </c>
      <c r="AG27" s="15"/>
      <c r="AH27" s="262"/>
      <c r="AI27" s="262" t="s">
        <v>288</v>
      </c>
      <c r="AJ27" s="262" t="s">
        <v>288</v>
      </c>
      <c r="AK27" s="262" t="s">
        <v>289</v>
      </c>
      <c r="AL27" s="233"/>
      <c r="AN27" s="232"/>
      <c r="AO27" s="330"/>
      <c r="AP27" s="330" t="s">
        <v>170</v>
      </c>
      <c r="AQ27" s="15"/>
      <c r="AR27" s="250" t="s">
        <v>337</v>
      </c>
      <c r="AS27" s="250" t="s">
        <v>338</v>
      </c>
      <c r="AT27" s="262" t="s">
        <v>292</v>
      </c>
      <c r="AU27" s="15"/>
      <c r="AV27" s="250" t="s">
        <v>337</v>
      </c>
      <c r="AW27" s="250" t="s">
        <v>338</v>
      </c>
      <c r="AX27" s="262" t="s">
        <v>292</v>
      </c>
      <c r="AY27" s="15"/>
      <c r="AZ27" s="250" t="s">
        <v>337</v>
      </c>
      <c r="BA27" s="250" t="s">
        <v>338</v>
      </c>
      <c r="BB27" s="262" t="s">
        <v>292</v>
      </c>
      <c r="BC27" s="15"/>
      <c r="BD27" s="15"/>
      <c r="BE27" s="15"/>
      <c r="BF27" s="15"/>
      <c r="BG27" s="15"/>
      <c r="BH27" s="15"/>
      <c r="BI27" s="15"/>
      <c r="BJ27" s="15"/>
      <c r="BK27" s="15"/>
      <c r="BL27" s="233"/>
    </row>
    <row r="28" spans="2:64" x14ac:dyDescent="0.3">
      <c r="B28" s="232"/>
      <c r="C28" s="13" t="s">
        <v>9</v>
      </c>
      <c r="D28" s="13" t="s">
        <v>307</v>
      </c>
      <c r="E28" s="13" t="s">
        <v>308</v>
      </c>
      <c r="F28" s="13" t="s">
        <v>308</v>
      </c>
      <c r="G28" s="13" t="s">
        <v>248</v>
      </c>
      <c r="H28" s="4"/>
      <c r="I28" s="13" t="s">
        <v>24</v>
      </c>
      <c r="J28" s="13" t="s">
        <v>25</v>
      </c>
      <c r="K28" s="13" t="s">
        <v>25</v>
      </c>
      <c r="L28" s="4"/>
      <c r="M28" s="13" t="s">
        <v>24</v>
      </c>
      <c r="N28" s="13" t="s">
        <v>25</v>
      </c>
      <c r="O28" s="13" t="s">
        <v>25</v>
      </c>
      <c r="P28" s="4"/>
      <c r="Q28" s="13" t="s">
        <v>293</v>
      </c>
      <c r="R28" s="13" t="s">
        <v>293</v>
      </c>
      <c r="S28" s="13" t="s">
        <v>293</v>
      </c>
      <c r="T28" s="13" t="s">
        <v>293</v>
      </c>
      <c r="U28" s="4"/>
      <c r="V28" s="13" t="s">
        <v>294</v>
      </c>
      <c r="W28" s="13" t="s">
        <v>293</v>
      </c>
      <c r="X28" s="13" t="s">
        <v>294</v>
      </c>
      <c r="Y28" s="13" t="s">
        <v>293</v>
      </c>
      <c r="Z28" s="13" t="s">
        <v>294</v>
      </c>
      <c r="AA28" s="13" t="s">
        <v>293</v>
      </c>
      <c r="AB28" s="13" t="s">
        <v>293</v>
      </c>
      <c r="AC28" s="4"/>
      <c r="AD28" s="13" t="s">
        <v>293</v>
      </c>
      <c r="AE28" s="13" t="s">
        <v>293</v>
      </c>
      <c r="AF28" s="13" t="s">
        <v>293</v>
      </c>
      <c r="AG28" s="4"/>
      <c r="AH28" s="13" t="s">
        <v>295</v>
      </c>
      <c r="AI28" s="13" t="s">
        <v>296</v>
      </c>
      <c r="AJ28" s="13" t="s">
        <v>297</v>
      </c>
      <c r="AK28" s="13" t="s">
        <v>293</v>
      </c>
      <c r="AL28" s="233"/>
      <c r="AN28" s="232"/>
      <c r="AO28" s="331" t="s">
        <v>9</v>
      </c>
      <c r="AP28" s="331" t="s">
        <v>339</v>
      </c>
      <c r="AQ28" s="15"/>
      <c r="AR28" s="13" t="s">
        <v>339</v>
      </c>
      <c r="AS28" s="13" t="s">
        <v>339</v>
      </c>
      <c r="AT28" s="13" t="s">
        <v>339</v>
      </c>
      <c r="AU28" s="15"/>
      <c r="AV28" s="13" t="s">
        <v>339</v>
      </c>
      <c r="AW28" s="13" t="s">
        <v>339</v>
      </c>
      <c r="AX28" s="13" t="s">
        <v>339</v>
      </c>
      <c r="AY28" s="15"/>
      <c r="AZ28" s="13" t="s">
        <v>339</v>
      </c>
      <c r="BA28" s="13" t="s">
        <v>339</v>
      </c>
      <c r="BB28" s="13" t="s">
        <v>339</v>
      </c>
      <c r="BC28" s="15"/>
      <c r="BD28" s="15"/>
      <c r="BE28" s="15"/>
      <c r="BF28" s="15"/>
      <c r="BG28" s="15"/>
      <c r="BH28" s="15"/>
      <c r="BI28" s="15"/>
      <c r="BJ28" s="15"/>
      <c r="BK28" s="15"/>
      <c r="BL28" s="233"/>
    </row>
    <row r="29" spans="2:64" x14ac:dyDescent="0.3">
      <c r="B29" s="232"/>
      <c r="C29" s="250">
        <f>YEAR(FY_Date)</f>
        <v>2013</v>
      </c>
      <c r="D29" s="263">
        <f ca="1">$G29*$M$12</f>
        <v>0</v>
      </c>
      <c r="E29" s="263">
        <f t="shared" ref="E29:E69" ca="1" si="7">$G29*$M$14/Bbl_to_Mcfe</f>
        <v>0</v>
      </c>
      <c r="F29" s="263">
        <f t="shared" ref="F29:F69" ca="1" si="8">$G29*$M$13/Bbl_to_Mcfe</f>
        <v>0</v>
      </c>
      <c r="G29" s="302">
        <v>0</v>
      </c>
      <c r="H29" s="15"/>
      <c r="I29" s="264">
        <f ca="1">Assumptions!$O$63</f>
        <v>3.7</v>
      </c>
      <c r="J29" s="264">
        <f ca="1">Assumptions!$P$63</f>
        <v>101</v>
      </c>
      <c r="K29" s="264">
        <f ca="1">J29*$R$7</f>
        <v>50.5</v>
      </c>
      <c r="L29" s="15"/>
      <c r="M29" s="51">
        <f ca="1">I29*$R$5</f>
        <v>3.4779999999999998</v>
      </c>
      <c r="N29" s="51">
        <f ca="1">J29*$R$6</f>
        <v>80.800000000000011</v>
      </c>
      <c r="O29" s="51">
        <f ca="1">N29*$R$7</f>
        <v>40.400000000000006</v>
      </c>
      <c r="P29" s="15"/>
      <c r="Q29" s="265">
        <f ca="1">D29*M29</f>
        <v>0</v>
      </c>
      <c r="R29" s="265">
        <f ca="1">E29*N29</f>
        <v>0</v>
      </c>
      <c r="S29" s="265">
        <f ca="1">F29*O29</f>
        <v>0</v>
      </c>
      <c r="T29" s="265">
        <f ca="1">SUM(Q29:S29)</f>
        <v>0</v>
      </c>
      <c r="U29" s="15"/>
      <c r="V29" s="51">
        <f>$M$18</f>
        <v>0.7</v>
      </c>
      <c r="W29" s="265">
        <f ca="1">V29*$G29/(1-$M$6)</f>
        <v>0</v>
      </c>
      <c r="X29" s="51">
        <f>$M$17</f>
        <v>0.222</v>
      </c>
      <c r="Y29" s="265">
        <f ca="1">X29*$G29/(1-$M$6)</f>
        <v>0</v>
      </c>
      <c r="Z29" s="51">
        <f>$M$19</f>
        <v>0.34799999999999998</v>
      </c>
      <c r="AA29" s="265">
        <f ca="1">Z29*$G29/(1-$M$6)</f>
        <v>0</v>
      </c>
      <c r="AB29" s="265">
        <f ca="1">W29+Y29+AA29</f>
        <v>0</v>
      </c>
      <c r="AC29" s="15"/>
      <c r="AD29" s="265">
        <f ca="1">T29-AB29</f>
        <v>0</v>
      </c>
      <c r="AE29" s="265">
        <f t="shared" ref="AE29:AE69" ca="1" si="9">$M$10*(G29/$G$72)*Units</f>
        <v>0</v>
      </c>
      <c r="AF29" s="265">
        <f ca="1">AD29-AE29</f>
        <v>0</v>
      </c>
      <c r="AG29" s="15"/>
      <c r="AH29" s="266">
        <f>FY_Date</f>
        <v>41639</v>
      </c>
      <c r="AI29" s="267">
        <f t="shared" ref="AI29:AI69" si="10">DAYS360(Valuation_Date,AH29)/360-MIN(0.5,0.5*DAYS360(Valuation_Date,AH29)/360)</f>
        <v>8.3333333333333329E-2</v>
      </c>
      <c r="AJ29" s="267">
        <f t="shared" ref="AJ29:AJ69" si="11">1/((1+Discount_Rate)^AI29)</f>
        <v>0.99208894344699095</v>
      </c>
      <c r="AK29" s="265">
        <f ca="1">AF29*AJ29*Stub_Per_Adj</f>
        <v>0</v>
      </c>
      <c r="AL29" s="233"/>
      <c r="AN29" s="232"/>
      <c r="AO29" s="332">
        <f>YEAR(FY_Date)</f>
        <v>2013</v>
      </c>
      <c r="AP29" s="333">
        <f t="shared" ref="AP29:AP69" ca="1" si="12">IFERROR(INDEX(Drill_Schedule_Range,MATCH($AO29,Drill_Schedule_Year_Column,0),MATCH(MID(CELL("filename",$A$1),FIND("]",CELL("filename",$A$1))+1,255),Drill_Schedule_Region_Row,0)),"N/A")</f>
        <v>0</v>
      </c>
      <c r="AQ29" s="15"/>
      <c r="AR29" s="247">
        <f ca="1">AT9</f>
        <v>130</v>
      </c>
      <c r="AS29" s="247">
        <f ca="1">MIN(AR29,AP29)</f>
        <v>0</v>
      </c>
      <c r="AT29" s="247">
        <f ca="1">AR29-AS29</f>
        <v>130</v>
      </c>
      <c r="AU29" s="15"/>
      <c r="AV29" s="247">
        <f ca="1">AT10</f>
        <v>156</v>
      </c>
      <c r="AW29" s="247">
        <f ca="1">MIN(AV29,AP29-AS29)</f>
        <v>0</v>
      </c>
      <c r="AX29" s="247">
        <f ca="1">AV29-AW29</f>
        <v>156</v>
      </c>
      <c r="AY29" s="15"/>
      <c r="AZ29" s="247">
        <f ca="1">AT11</f>
        <v>289</v>
      </c>
      <c r="BA29" s="247">
        <f ca="1">MIN(AZ29,AP29-AS29-AW29)</f>
        <v>0</v>
      </c>
      <c r="BB29" s="247">
        <f ca="1">AZ29-BA29</f>
        <v>289</v>
      </c>
      <c r="BC29" s="15"/>
      <c r="BD29" s="15"/>
      <c r="BE29" s="15"/>
      <c r="BF29" s="15"/>
      <c r="BG29" s="15"/>
      <c r="BH29" s="15"/>
      <c r="BI29" s="15"/>
      <c r="BJ29" s="15"/>
      <c r="BK29" s="15"/>
      <c r="BL29" s="233"/>
    </row>
    <row r="30" spans="2:64" x14ac:dyDescent="0.3">
      <c r="B30" s="232"/>
      <c r="C30" s="270">
        <f>C29+1</f>
        <v>2014</v>
      </c>
      <c r="D30" s="263">
        <f t="shared" ref="D30:D69" ca="1" si="13">$G30*$M$12</f>
        <v>0</v>
      </c>
      <c r="E30" s="263">
        <f t="shared" ca="1" si="7"/>
        <v>1313.8857963858352</v>
      </c>
      <c r="F30" s="263">
        <f t="shared" ca="1" si="8"/>
        <v>0</v>
      </c>
      <c r="G30" s="263">
        <f ca="1">MIN($G$5*$AQ$7-SUM(G$29:G29),$G$7*(1-$G$8))</f>
        <v>7883.3147783150116</v>
      </c>
      <c r="H30" s="15"/>
      <c r="I30" s="271">
        <f ca="1">Assumptions!$O$64</f>
        <v>3.8</v>
      </c>
      <c r="J30" s="271">
        <f ca="1">Assumptions!$P$64</f>
        <v>92</v>
      </c>
      <c r="K30" s="271">
        <f t="shared" ref="K30:K69" ca="1" si="14">J30*$R$7</f>
        <v>46</v>
      </c>
      <c r="L30" s="15"/>
      <c r="M30" s="35">
        <f t="shared" ref="M30:M69" ca="1" si="15">I30*$R$5</f>
        <v>3.5719999999999996</v>
      </c>
      <c r="N30" s="35">
        <f t="shared" ref="N30:N69" ca="1" si="16">J30*$R$6</f>
        <v>73.600000000000009</v>
      </c>
      <c r="O30" s="35">
        <f t="shared" ref="O30:O69" ca="1" si="17">N30*$R$7</f>
        <v>36.800000000000004</v>
      </c>
      <c r="P30" s="15"/>
      <c r="Q30" s="34">
        <f t="shared" ref="Q30:S69" ca="1" si="18">D30*M30</f>
        <v>0</v>
      </c>
      <c r="R30" s="34">
        <f t="shared" ca="1" si="18"/>
        <v>96701.994613997478</v>
      </c>
      <c r="S30" s="34">
        <f t="shared" ca="1" si="18"/>
        <v>0</v>
      </c>
      <c r="T30" s="34">
        <f t="shared" ref="T30:T70" ca="1" si="19">SUM(Q30:S30)</f>
        <v>96701.994613997478</v>
      </c>
      <c r="U30" s="369"/>
      <c r="V30" s="35">
        <f t="shared" ref="V30:V69" si="20">$M$18</f>
        <v>0.7</v>
      </c>
      <c r="W30" s="34">
        <f t="shared" ref="W30:W71" ca="1" si="21">V30*$G30/(1-$M$6)</f>
        <v>6688.8731452369793</v>
      </c>
      <c r="X30" s="35">
        <f t="shared" ref="X30:X69" si="22">$M$17</f>
        <v>0.222</v>
      </c>
      <c r="Y30" s="34">
        <f t="shared" ref="Y30:Y71" ca="1" si="23">X30*$G30/(1-$M$6)</f>
        <v>2121.3283403465853</v>
      </c>
      <c r="Z30" s="35">
        <f t="shared" ref="Z30:Z69" si="24">$M$19</f>
        <v>0.34799999999999998</v>
      </c>
      <c r="AA30" s="34">
        <f t="shared" ref="AA30:AA71" ca="1" si="25">Z30*$G30/(1-$M$6)</f>
        <v>3325.325506489241</v>
      </c>
      <c r="AB30" s="34">
        <f t="shared" ref="AB30:AB69" ca="1" si="26">W30+Y30+AA30</f>
        <v>12135.526992072806</v>
      </c>
      <c r="AC30" s="15"/>
      <c r="AD30" s="34">
        <f t="shared" ref="AD30:AD69" ca="1" si="27">T30-AB30</f>
        <v>84566.467621924676</v>
      </c>
      <c r="AE30" s="34">
        <f t="shared" ca="1" si="9"/>
        <v>1592.5888441040429</v>
      </c>
      <c r="AF30" s="34">
        <f t="shared" ref="AF30:AF69" ca="1" si="28">AD30-AE30</f>
        <v>82973.878777820632</v>
      </c>
      <c r="AG30" s="15"/>
      <c r="AH30" s="272">
        <f>EOMONTH(AH29,12)</f>
        <v>42004</v>
      </c>
      <c r="AI30" s="267">
        <f t="shared" si="10"/>
        <v>0.66666666666666674</v>
      </c>
      <c r="AJ30" s="267">
        <f t="shared" si="11"/>
        <v>0.93843646859669738</v>
      </c>
      <c r="AK30" s="34">
        <f ca="1">AF30*AJ30</f>
        <v>77865.713786028442</v>
      </c>
      <c r="AL30" s="233"/>
      <c r="AN30" s="232"/>
      <c r="AO30" s="17">
        <f>AO29+1</f>
        <v>2014</v>
      </c>
      <c r="AP30" s="333">
        <f t="shared" ca="1" si="12"/>
        <v>47</v>
      </c>
      <c r="AQ30" s="15"/>
      <c r="AR30" s="247">
        <f ca="1">AT29</f>
        <v>130</v>
      </c>
      <c r="AS30" s="247">
        <f t="shared" ref="AS30:AS69" ca="1" si="29">MIN(AR30,AP30)</f>
        <v>47</v>
      </c>
      <c r="AT30" s="247">
        <f t="shared" ref="AT30:AT69" ca="1" si="30">AR30-AS30</f>
        <v>83</v>
      </c>
      <c r="AU30" s="15"/>
      <c r="AV30" s="247">
        <f ca="1">AX29</f>
        <v>156</v>
      </c>
      <c r="AW30" s="247">
        <f ca="1">MIN(AV30,AP30-AS30)</f>
        <v>0</v>
      </c>
      <c r="AX30" s="247">
        <f ca="1">AV30-AW30</f>
        <v>156</v>
      </c>
      <c r="AY30" s="15"/>
      <c r="AZ30" s="247">
        <f ca="1">BB29</f>
        <v>289</v>
      </c>
      <c r="BA30" s="247">
        <f ca="1">MIN(AZ30,AP30-AS30-AW30)</f>
        <v>0</v>
      </c>
      <c r="BB30" s="247">
        <f ca="1">AZ30-BA30</f>
        <v>289</v>
      </c>
      <c r="BC30" s="15"/>
      <c r="BD30" s="15"/>
      <c r="BE30" s="15"/>
      <c r="BF30" s="15"/>
      <c r="BG30" s="15"/>
      <c r="BH30" s="15"/>
      <c r="BI30" s="15"/>
      <c r="BJ30" s="15"/>
      <c r="BK30" s="15"/>
      <c r="BL30" s="233"/>
    </row>
    <row r="31" spans="2:64" x14ac:dyDescent="0.3">
      <c r="B31" s="232"/>
      <c r="C31" s="250">
        <f t="shared" ref="C31:C69" si="31">C30+1</f>
        <v>2015</v>
      </c>
      <c r="D31" s="263">
        <f t="shared" ca="1" si="13"/>
        <v>0</v>
      </c>
      <c r="E31" s="263">
        <f t="shared" ca="1" si="7"/>
        <v>1182.394442427699</v>
      </c>
      <c r="F31" s="263">
        <f t="shared" ca="1" si="8"/>
        <v>0</v>
      </c>
      <c r="G31" s="263">
        <f ca="1">MIN($G$5*$AQ$7-SUM(G$29:G30),G30*(1-$G$8))</f>
        <v>7094.3666545661936</v>
      </c>
      <c r="H31" s="15"/>
      <c r="I31" s="271">
        <f ca="1">Assumptions!$O$65</f>
        <v>4</v>
      </c>
      <c r="J31" s="271">
        <f ca="1">Assumptions!$P$65</f>
        <v>88</v>
      </c>
      <c r="K31" s="271">
        <f t="shared" ca="1" si="14"/>
        <v>44</v>
      </c>
      <c r="L31" s="15"/>
      <c r="M31" s="35">
        <f t="shared" ca="1" si="15"/>
        <v>3.76</v>
      </c>
      <c r="N31" s="35">
        <f t="shared" ca="1" si="16"/>
        <v>70.400000000000006</v>
      </c>
      <c r="O31" s="35">
        <f t="shared" ca="1" si="17"/>
        <v>35.200000000000003</v>
      </c>
      <c r="P31" s="15"/>
      <c r="Q31" s="34">
        <f t="shared" ca="1" si="18"/>
        <v>0</v>
      </c>
      <c r="R31" s="34">
        <f t="shared" ca="1" si="18"/>
        <v>83240.568746910023</v>
      </c>
      <c r="S31" s="34">
        <f t="shared" ca="1" si="18"/>
        <v>0</v>
      </c>
      <c r="T31" s="34">
        <f t="shared" ca="1" si="19"/>
        <v>83240.568746910023</v>
      </c>
      <c r="U31" s="369"/>
      <c r="V31" s="35">
        <f t="shared" si="20"/>
        <v>0.7</v>
      </c>
      <c r="W31" s="34">
        <f t="shared" ca="1" si="21"/>
        <v>6019.4626159955578</v>
      </c>
      <c r="X31" s="35">
        <f t="shared" si="22"/>
        <v>0.222</v>
      </c>
      <c r="Y31" s="34">
        <f t="shared" ca="1" si="23"/>
        <v>1909.0295725014487</v>
      </c>
      <c r="Z31" s="35">
        <f t="shared" si="24"/>
        <v>0.34799999999999998</v>
      </c>
      <c r="AA31" s="34">
        <f t="shared" ca="1" si="25"/>
        <v>2992.532843380649</v>
      </c>
      <c r="AB31" s="34">
        <f t="shared" ca="1" si="26"/>
        <v>10921.025031877656</v>
      </c>
      <c r="AC31" s="15"/>
      <c r="AD31" s="34">
        <f t="shared" ca="1" si="27"/>
        <v>72319.543715032371</v>
      </c>
      <c r="AE31" s="34">
        <f t="shared" ca="1" si="9"/>
        <v>1433.2053847608472</v>
      </c>
      <c r="AF31" s="34">
        <f t="shared" ca="1" si="28"/>
        <v>70886.338330271523</v>
      </c>
      <c r="AG31" s="15"/>
      <c r="AH31" s="273">
        <f t="shared" ref="AH31:AH69" si="32">EOMONTH(AH30,12)</f>
        <v>42369</v>
      </c>
      <c r="AI31" s="267">
        <f t="shared" si="10"/>
        <v>1.6666666666666665</v>
      </c>
      <c r="AJ31" s="267">
        <f t="shared" si="11"/>
        <v>0.85312406236063398</v>
      </c>
      <c r="AK31" s="34">
        <f t="shared" ref="AK31:AK69" ca="1" si="33">AF31*AJ31</f>
        <v>60474.840922191564</v>
      </c>
      <c r="AL31" s="233"/>
      <c r="AN31" s="232"/>
      <c r="AO31" s="17">
        <f t="shared" ref="AO31:AO69" si="34">AO30+1</f>
        <v>2015</v>
      </c>
      <c r="AP31" s="333">
        <f t="shared" ca="1" si="12"/>
        <v>47</v>
      </c>
      <c r="AQ31" s="15"/>
      <c r="AR31" s="247">
        <f t="shared" ref="AR31:AR69" ca="1" si="35">AT30</f>
        <v>83</v>
      </c>
      <c r="AS31" s="247">
        <f t="shared" ca="1" si="29"/>
        <v>47</v>
      </c>
      <c r="AT31" s="247">
        <f t="shared" ca="1" si="30"/>
        <v>36</v>
      </c>
      <c r="AU31" s="15"/>
      <c r="AV31" s="247">
        <f t="shared" ref="AV31:AV69" ca="1" si="36">AX30</f>
        <v>156</v>
      </c>
      <c r="AW31" s="247">
        <f t="shared" ref="AW31:AW69" ca="1" si="37">MIN(AV31,AP31-AS31)</f>
        <v>0</v>
      </c>
      <c r="AX31" s="247">
        <f t="shared" ref="AX31:AX69" ca="1" si="38">AV31-AW31</f>
        <v>156</v>
      </c>
      <c r="AY31" s="15"/>
      <c r="AZ31" s="247">
        <f t="shared" ref="AZ31:AZ69" ca="1" si="39">BB30</f>
        <v>289</v>
      </c>
      <c r="BA31" s="247">
        <f t="shared" ref="BA31:BA69" ca="1" si="40">MIN(AZ31,AP31-AS31-AW31)</f>
        <v>0</v>
      </c>
      <c r="BB31" s="247">
        <f t="shared" ref="BB31:BB69" ca="1" si="41">AZ31-BA31</f>
        <v>289</v>
      </c>
      <c r="BC31" s="15"/>
      <c r="BD31" s="15"/>
      <c r="BE31" s="15"/>
      <c r="BF31" s="15"/>
      <c r="BG31" s="15"/>
      <c r="BH31" s="15"/>
      <c r="BI31" s="15"/>
      <c r="BJ31" s="15"/>
      <c r="BK31" s="15"/>
      <c r="BL31" s="233"/>
    </row>
    <row r="32" spans="2:64" x14ac:dyDescent="0.3">
      <c r="B32" s="232"/>
      <c r="C32" s="250">
        <f t="shared" si="31"/>
        <v>2016</v>
      </c>
      <c r="D32" s="263">
        <f t="shared" ca="1" si="13"/>
        <v>0</v>
      </c>
      <c r="E32" s="263">
        <f t="shared" ca="1" si="7"/>
        <v>1064.0625093365088</v>
      </c>
      <c r="F32" s="263">
        <f t="shared" ca="1" si="8"/>
        <v>0</v>
      </c>
      <c r="G32" s="263">
        <f ca="1">MIN($G$5*$AQ$7-SUM(G$29:G31),G31*(1-$G$8))</f>
        <v>6384.3750560190529</v>
      </c>
      <c r="H32" s="15"/>
      <c r="I32" s="271">
        <f ca="1">Assumptions!$O$66</f>
        <v>4.0999999999999996</v>
      </c>
      <c r="J32" s="271">
        <f ca="1">Assumptions!$P$66</f>
        <v>84</v>
      </c>
      <c r="K32" s="271">
        <f t="shared" ca="1" si="14"/>
        <v>42</v>
      </c>
      <c r="L32" s="15"/>
      <c r="M32" s="35">
        <f t="shared" ca="1" si="15"/>
        <v>3.8539999999999996</v>
      </c>
      <c r="N32" s="35">
        <f t="shared" ca="1" si="16"/>
        <v>67.2</v>
      </c>
      <c r="O32" s="35">
        <f t="shared" ca="1" si="17"/>
        <v>33.6</v>
      </c>
      <c r="P32" s="15"/>
      <c r="Q32" s="34">
        <f t="shared" ca="1" si="18"/>
        <v>0</v>
      </c>
      <c r="R32" s="34">
        <f t="shared" ca="1" si="18"/>
        <v>71505.000627413392</v>
      </c>
      <c r="S32" s="34">
        <f t="shared" ca="1" si="18"/>
        <v>0</v>
      </c>
      <c r="T32" s="34">
        <f t="shared" ca="1" si="19"/>
        <v>71505.000627413392</v>
      </c>
      <c r="U32" s="369"/>
      <c r="V32" s="35">
        <f t="shared" si="20"/>
        <v>0.7</v>
      </c>
      <c r="W32" s="34">
        <f t="shared" ca="1" si="21"/>
        <v>5417.0455020767722</v>
      </c>
      <c r="X32" s="35">
        <f t="shared" si="22"/>
        <v>0.222</v>
      </c>
      <c r="Y32" s="34">
        <f t="shared" ca="1" si="23"/>
        <v>1717.9772878014908</v>
      </c>
      <c r="Z32" s="35">
        <f t="shared" si="24"/>
        <v>0.34799999999999998</v>
      </c>
      <c r="AA32" s="34">
        <f t="shared" ca="1" si="25"/>
        <v>2693.0454781753097</v>
      </c>
      <c r="AB32" s="34">
        <f t="shared" ca="1" si="26"/>
        <v>9828.068268053572</v>
      </c>
      <c r="AC32" s="15"/>
      <c r="AD32" s="34">
        <f t="shared" ca="1" si="27"/>
        <v>61676.932359359824</v>
      </c>
      <c r="AE32" s="34">
        <f t="shared" ca="1" si="9"/>
        <v>1289.7727385897078</v>
      </c>
      <c r="AF32" s="34">
        <f t="shared" ca="1" si="28"/>
        <v>60387.159620770115</v>
      </c>
      <c r="AG32" s="15"/>
      <c r="AH32" s="273">
        <f t="shared" si="32"/>
        <v>42735</v>
      </c>
      <c r="AI32" s="267">
        <f t="shared" si="10"/>
        <v>2.6666666666666665</v>
      </c>
      <c r="AJ32" s="267">
        <f t="shared" si="11"/>
        <v>0.77556732941875806</v>
      </c>
      <c r="AK32" s="34">
        <f t="shared" ca="1" si="33"/>
        <v>46834.30811826494</v>
      </c>
      <c r="AL32" s="233"/>
      <c r="AN32" s="232"/>
      <c r="AO32" s="17">
        <f t="shared" si="34"/>
        <v>2016</v>
      </c>
      <c r="AP32" s="333">
        <f t="shared" ca="1" si="12"/>
        <v>47</v>
      </c>
      <c r="AQ32" s="15"/>
      <c r="AR32" s="247">
        <f t="shared" ca="1" si="35"/>
        <v>36</v>
      </c>
      <c r="AS32" s="247">
        <f t="shared" ca="1" si="29"/>
        <v>36</v>
      </c>
      <c r="AT32" s="247">
        <f t="shared" ca="1" si="30"/>
        <v>0</v>
      </c>
      <c r="AU32" s="15"/>
      <c r="AV32" s="247">
        <f t="shared" ca="1" si="36"/>
        <v>156</v>
      </c>
      <c r="AW32" s="247">
        <f t="shared" ca="1" si="37"/>
        <v>11</v>
      </c>
      <c r="AX32" s="247">
        <f t="shared" ca="1" si="38"/>
        <v>145</v>
      </c>
      <c r="AY32" s="15"/>
      <c r="AZ32" s="247">
        <f t="shared" ca="1" si="39"/>
        <v>289</v>
      </c>
      <c r="BA32" s="247">
        <f t="shared" ca="1" si="40"/>
        <v>0</v>
      </c>
      <c r="BB32" s="247">
        <f t="shared" ca="1" si="41"/>
        <v>289</v>
      </c>
      <c r="BC32" s="15"/>
      <c r="BD32" s="15"/>
      <c r="BE32" s="15"/>
      <c r="BF32" s="15"/>
      <c r="BG32" s="15"/>
      <c r="BH32" s="15"/>
      <c r="BI32" s="15"/>
      <c r="BJ32" s="15"/>
      <c r="BK32" s="15"/>
      <c r="BL32" s="233"/>
    </row>
    <row r="33" spans="2:64" x14ac:dyDescent="0.3">
      <c r="B33" s="232"/>
      <c r="C33" s="250">
        <f t="shared" si="31"/>
        <v>2017</v>
      </c>
      <c r="D33" s="263">
        <f t="shared" ca="1" si="13"/>
        <v>0</v>
      </c>
      <c r="E33" s="263">
        <f t="shared" ca="1" si="7"/>
        <v>957.57302567391037</v>
      </c>
      <c r="F33" s="263">
        <f t="shared" ca="1" si="8"/>
        <v>0</v>
      </c>
      <c r="G33" s="263">
        <f ca="1">MIN($G$5*$AQ$7-SUM(G$29:G32),G32*(1-$G$8))</f>
        <v>5745.4381540434624</v>
      </c>
      <c r="H33" s="15"/>
      <c r="I33" s="271">
        <f ca="1">Assumptions!$O$67</f>
        <v>4.2</v>
      </c>
      <c r="J33" s="271">
        <f ca="1">Assumptions!$P$67</f>
        <v>82</v>
      </c>
      <c r="K33" s="271">
        <f t="shared" ca="1" si="14"/>
        <v>41</v>
      </c>
      <c r="L33" s="15"/>
      <c r="M33" s="35">
        <f t="shared" ca="1" si="15"/>
        <v>3.948</v>
      </c>
      <c r="N33" s="35">
        <f t="shared" ca="1" si="16"/>
        <v>65.600000000000009</v>
      </c>
      <c r="O33" s="35">
        <f t="shared" ca="1" si="17"/>
        <v>32.800000000000004</v>
      </c>
      <c r="P33" s="15"/>
      <c r="Q33" s="34">
        <f t="shared" ca="1" si="18"/>
        <v>0</v>
      </c>
      <c r="R33" s="34">
        <f t="shared" ca="1" si="18"/>
        <v>62816.790484208526</v>
      </c>
      <c r="S33" s="34">
        <f t="shared" ca="1" si="18"/>
        <v>0</v>
      </c>
      <c r="T33" s="34">
        <f t="shared" ca="1" si="19"/>
        <v>62816.790484208526</v>
      </c>
      <c r="U33" s="369"/>
      <c r="V33" s="35">
        <f t="shared" si="20"/>
        <v>0.7</v>
      </c>
      <c r="W33" s="34">
        <f t="shared" ca="1" si="21"/>
        <v>4874.9172216126344</v>
      </c>
      <c r="X33" s="35">
        <f t="shared" si="22"/>
        <v>0.222</v>
      </c>
      <c r="Y33" s="34">
        <f t="shared" ca="1" si="23"/>
        <v>1546.0451759971502</v>
      </c>
      <c r="Z33" s="35">
        <f t="shared" si="24"/>
        <v>0.34799999999999998</v>
      </c>
      <c r="AA33" s="34">
        <f t="shared" ca="1" si="25"/>
        <v>2423.5302758874241</v>
      </c>
      <c r="AB33" s="34">
        <f t="shared" ca="1" si="26"/>
        <v>8844.4926734972087</v>
      </c>
      <c r="AC33" s="15"/>
      <c r="AD33" s="34">
        <f t="shared" ca="1" si="27"/>
        <v>53972.297810711316</v>
      </c>
      <c r="AE33" s="34">
        <f t="shared" ca="1" si="9"/>
        <v>1160.694576574437</v>
      </c>
      <c r="AF33" s="34">
        <f t="shared" ca="1" si="28"/>
        <v>52811.603234136877</v>
      </c>
      <c r="AG33" s="15"/>
      <c r="AH33" s="273">
        <f t="shared" si="32"/>
        <v>43100</v>
      </c>
      <c r="AI33" s="267">
        <f t="shared" si="10"/>
        <v>3.666666666666667</v>
      </c>
      <c r="AJ33" s="267">
        <f t="shared" si="11"/>
        <v>0.7050612085625072</v>
      </c>
      <c r="AK33" s="34">
        <f t="shared" ca="1" si="33"/>
        <v>37235.412802384162</v>
      </c>
      <c r="AL33" s="233"/>
      <c r="AN33" s="232"/>
      <c r="AO33" s="17">
        <f t="shared" si="34"/>
        <v>2017</v>
      </c>
      <c r="AP33" s="333">
        <f t="shared" ca="1" si="12"/>
        <v>47</v>
      </c>
      <c r="AQ33" s="15"/>
      <c r="AR33" s="247">
        <f t="shared" ca="1" si="35"/>
        <v>0</v>
      </c>
      <c r="AS33" s="247">
        <f t="shared" ca="1" si="29"/>
        <v>0</v>
      </c>
      <c r="AT33" s="247">
        <f t="shared" ca="1" si="30"/>
        <v>0</v>
      </c>
      <c r="AU33" s="15"/>
      <c r="AV33" s="247">
        <f t="shared" ca="1" si="36"/>
        <v>145</v>
      </c>
      <c r="AW33" s="247">
        <f t="shared" ca="1" si="37"/>
        <v>47</v>
      </c>
      <c r="AX33" s="247">
        <f t="shared" ca="1" si="38"/>
        <v>98</v>
      </c>
      <c r="AY33" s="15"/>
      <c r="AZ33" s="247">
        <f t="shared" ca="1" si="39"/>
        <v>289</v>
      </c>
      <c r="BA33" s="247">
        <f t="shared" ca="1" si="40"/>
        <v>0</v>
      </c>
      <c r="BB33" s="247">
        <f t="shared" ca="1" si="41"/>
        <v>289</v>
      </c>
      <c r="BC33" s="15"/>
      <c r="BD33" s="15"/>
      <c r="BE33" s="15"/>
      <c r="BF33" s="15"/>
      <c r="BG33" s="15"/>
      <c r="BH33" s="15"/>
      <c r="BI33" s="15"/>
      <c r="BJ33" s="15"/>
      <c r="BK33" s="15"/>
      <c r="BL33" s="233"/>
    </row>
    <row r="34" spans="2:64" x14ac:dyDescent="0.3">
      <c r="B34" s="232"/>
      <c r="C34" s="250">
        <f t="shared" si="31"/>
        <v>2018</v>
      </c>
      <c r="D34" s="263">
        <f t="shared" ca="1" si="13"/>
        <v>0</v>
      </c>
      <c r="E34" s="263">
        <f t="shared" ca="1" si="7"/>
        <v>861.7408201610682</v>
      </c>
      <c r="F34" s="263">
        <f t="shared" ca="1" si="8"/>
        <v>0</v>
      </c>
      <c r="G34" s="263">
        <f ca="1">MIN($G$5*$AQ$7-SUM(G$29:G33),G33*(1-$G$8))</f>
        <v>5170.444920966409</v>
      </c>
      <c r="H34" s="15"/>
      <c r="I34" s="271">
        <f ca="1">Assumptions!$O$68</f>
        <v>4.5</v>
      </c>
      <c r="J34" s="271">
        <f ca="1">Assumptions!$P$68</f>
        <v>80</v>
      </c>
      <c r="K34" s="271">
        <f t="shared" ca="1" si="14"/>
        <v>40</v>
      </c>
      <c r="L34" s="15"/>
      <c r="M34" s="35">
        <f t="shared" ca="1" si="15"/>
        <v>4.2299999999999995</v>
      </c>
      <c r="N34" s="35">
        <f t="shared" ca="1" si="16"/>
        <v>64</v>
      </c>
      <c r="O34" s="35">
        <f t="shared" ca="1" si="17"/>
        <v>32</v>
      </c>
      <c r="P34" s="15"/>
      <c r="Q34" s="34">
        <f t="shared" ca="1" si="18"/>
        <v>0</v>
      </c>
      <c r="R34" s="34">
        <f t="shared" ca="1" si="18"/>
        <v>55151.412490308365</v>
      </c>
      <c r="S34" s="34">
        <f t="shared" ca="1" si="18"/>
        <v>0</v>
      </c>
      <c r="T34" s="34">
        <f t="shared" ca="1" si="19"/>
        <v>55151.412490308365</v>
      </c>
      <c r="U34" s="369"/>
      <c r="V34" s="35">
        <f t="shared" si="20"/>
        <v>0.7</v>
      </c>
      <c r="W34" s="34">
        <f t="shared" ca="1" si="21"/>
        <v>4387.0441753654377</v>
      </c>
      <c r="X34" s="35">
        <f t="shared" si="22"/>
        <v>0.222</v>
      </c>
      <c r="Y34" s="34">
        <f t="shared" ca="1" si="23"/>
        <v>1391.3197241873247</v>
      </c>
      <c r="Z34" s="35">
        <f t="shared" si="24"/>
        <v>0.34799999999999998</v>
      </c>
      <c r="AA34" s="34">
        <f t="shared" ca="1" si="25"/>
        <v>2180.9876757531033</v>
      </c>
      <c r="AB34" s="34">
        <f t="shared" ca="1" si="26"/>
        <v>7959.3515753058655</v>
      </c>
      <c r="AC34" s="15"/>
      <c r="AD34" s="34">
        <f t="shared" ca="1" si="27"/>
        <v>47192.060915002497</v>
      </c>
      <c r="AE34" s="34">
        <f t="shared" ca="1" si="9"/>
        <v>1044.5343274679612</v>
      </c>
      <c r="AF34" s="34">
        <f t="shared" ca="1" si="28"/>
        <v>46147.526587534536</v>
      </c>
      <c r="AG34" s="15"/>
      <c r="AH34" s="273">
        <f t="shared" si="32"/>
        <v>43465</v>
      </c>
      <c r="AI34" s="267">
        <f t="shared" si="10"/>
        <v>4.666666666666667</v>
      </c>
      <c r="AJ34" s="267">
        <f t="shared" si="11"/>
        <v>0.64096473505682472</v>
      </c>
      <c r="AK34" s="34">
        <f t="shared" ca="1" si="33"/>
        <v>29578.937152706847</v>
      </c>
      <c r="AL34" s="233"/>
      <c r="AN34" s="232"/>
      <c r="AO34" s="17">
        <f t="shared" si="34"/>
        <v>2018</v>
      </c>
      <c r="AP34" s="333">
        <f t="shared" ca="1" si="12"/>
        <v>47</v>
      </c>
      <c r="AQ34" s="15"/>
      <c r="AR34" s="247">
        <f t="shared" ca="1" si="35"/>
        <v>0</v>
      </c>
      <c r="AS34" s="247">
        <f t="shared" ca="1" si="29"/>
        <v>0</v>
      </c>
      <c r="AT34" s="247">
        <f t="shared" ca="1" si="30"/>
        <v>0</v>
      </c>
      <c r="AU34" s="15"/>
      <c r="AV34" s="247">
        <f t="shared" ca="1" si="36"/>
        <v>98</v>
      </c>
      <c r="AW34" s="247">
        <f t="shared" ca="1" si="37"/>
        <v>47</v>
      </c>
      <c r="AX34" s="247">
        <f t="shared" ca="1" si="38"/>
        <v>51</v>
      </c>
      <c r="AY34" s="15"/>
      <c r="AZ34" s="247">
        <f t="shared" ca="1" si="39"/>
        <v>289</v>
      </c>
      <c r="BA34" s="247">
        <f t="shared" ca="1" si="40"/>
        <v>0</v>
      </c>
      <c r="BB34" s="247">
        <f t="shared" ca="1" si="41"/>
        <v>289</v>
      </c>
      <c r="BC34" s="15"/>
      <c r="BD34" s="15"/>
      <c r="BE34" s="15"/>
      <c r="BF34" s="15"/>
      <c r="BG34" s="15"/>
      <c r="BH34" s="15"/>
      <c r="BI34" s="15"/>
      <c r="BJ34" s="15"/>
      <c r="BK34" s="15"/>
      <c r="BL34" s="233"/>
    </row>
    <row r="35" spans="2:64" x14ac:dyDescent="0.3">
      <c r="B35" s="232"/>
      <c r="C35" s="250">
        <f t="shared" si="31"/>
        <v>2019</v>
      </c>
      <c r="D35" s="263">
        <f t="shared" ca="1" si="13"/>
        <v>0</v>
      </c>
      <c r="E35" s="263">
        <f t="shared" ca="1" si="7"/>
        <v>775.49933135308754</v>
      </c>
      <c r="F35" s="263">
        <f t="shared" ca="1" si="8"/>
        <v>0</v>
      </c>
      <c r="G35" s="263">
        <f ca="1">MIN($G$5*$AQ$7-SUM(G$29:G34),G34*(1-$G$8))</f>
        <v>4652.995988118525</v>
      </c>
      <c r="H35" s="15"/>
      <c r="I35" s="271">
        <f ca="1">Assumptions!$O$68</f>
        <v>4.5</v>
      </c>
      <c r="J35" s="271">
        <f ca="1">Assumptions!$P$68</f>
        <v>80</v>
      </c>
      <c r="K35" s="271">
        <f t="shared" ca="1" si="14"/>
        <v>40</v>
      </c>
      <c r="L35" s="15"/>
      <c r="M35" s="35">
        <f t="shared" ca="1" si="15"/>
        <v>4.2299999999999995</v>
      </c>
      <c r="N35" s="35">
        <f t="shared" ca="1" si="16"/>
        <v>64</v>
      </c>
      <c r="O35" s="35">
        <f t="shared" ca="1" si="17"/>
        <v>32</v>
      </c>
      <c r="P35" s="15"/>
      <c r="Q35" s="34">
        <f t="shared" ca="1" si="18"/>
        <v>0</v>
      </c>
      <c r="R35" s="34">
        <f t="shared" ca="1" si="18"/>
        <v>49631.957206597603</v>
      </c>
      <c r="S35" s="34">
        <f t="shared" ca="1" si="18"/>
        <v>0</v>
      </c>
      <c r="T35" s="34">
        <f t="shared" ca="1" si="19"/>
        <v>49631.957206597603</v>
      </c>
      <c r="U35" s="369"/>
      <c r="V35" s="35">
        <f t="shared" si="20"/>
        <v>0.7</v>
      </c>
      <c r="W35" s="34">
        <f t="shared" ca="1" si="21"/>
        <v>3947.9965959793544</v>
      </c>
      <c r="X35" s="35">
        <f t="shared" si="22"/>
        <v>0.222</v>
      </c>
      <c r="Y35" s="34">
        <f t="shared" ca="1" si="23"/>
        <v>1252.078920439167</v>
      </c>
      <c r="Z35" s="35">
        <f t="shared" si="24"/>
        <v>0.34799999999999998</v>
      </c>
      <c r="AA35" s="34">
        <f t="shared" ca="1" si="25"/>
        <v>1962.7183077154505</v>
      </c>
      <c r="AB35" s="34">
        <f t="shared" ca="1" si="26"/>
        <v>7162.7938241339716</v>
      </c>
      <c r="AC35" s="15"/>
      <c r="AD35" s="34">
        <f t="shared" ca="1" si="27"/>
        <v>42469.16338246363</v>
      </c>
      <c r="AE35" s="34">
        <f t="shared" ca="1" si="9"/>
        <v>939.9991895188939</v>
      </c>
      <c r="AF35" s="34">
        <f t="shared" ca="1" si="28"/>
        <v>41529.164192944736</v>
      </c>
      <c r="AG35" s="15"/>
      <c r="AH35" s="273">
        <f t="shared" si="32"/>
        <v>43830</v>
      </c>
      <c r="AI35" s="267">
        <f t="shared" si="10"/>
        <v>5.666666666666667</v>
      </c>
      <c r="AJ35" s="267">
        <f t="shared" si="11"/>
        <v>0.58269521368802246</v>
      </c>
      <c r="AK35" s="34">
        <f t="shared" ca="1" si="33"/>
        <v>24198.845203692905</v>
      </c>
      <c r="AL35" s="233"/>
      <c r="AN35" s="232"/>
      <c r="AO35" s="17">
        <f t="shared" si="34"/>
        <v>2019</v>
      </c>
      <c r="AP35" s="333">
        <f t="shared" ca="1" si="12"/>
        <v>47</v>
      </c>
      <c r="AQ35" s="15"/>
      <c r="AR35" s="247">
        <f t="shared" ca="1" si="35"/>
        <v>0</v>
      </c>
      <c r="AS35" s="247">
        <f t="shared" ca="1" si="29"/>
        <v>0</v>
      </c>
      <c r="AT35" s="247">
        <f t="shared" ca="1" si="30"/>
        <v>0</v>
      </c>
      <c r="AU35" s="15"/>
      <c r="AV35" s="247">
        <f t="shared" ca="1" si="36"/>
        <v>51</v>
      </c>
      <c r="AW35" s="247">
        <f t="shared" ca="1" si="37"/>
        <v>47</v>
      </c>
      <c r="AX35" s="247">
        <f t="shared" ca="1" si="38"/>
        <v>4</v>
      </c>
      <c r="AY35" s="15"/>
      <c r="AZ35" s="247">
        <f t="shared" ca="1" si="39"/>
        <v>289</v>
      </c>
      <c r="BA35" s="247">
        <f t="shared" ca="1" si="40"/>
        <v>0</v>
      </c>
      <c r="BB35" s="247">
        <f t="shared" ca="1" si="41"/>
        <v>289</v>
      </c>
      <c r="BC35" s="15"/>
      <c r="BD35" s="15"/>
      <c r="BE35" s="15"/>
      <c r="BF35" s="15"/>
      <c r="BG35" s="15"/>
      <c r="BH35" s="15"/>
      <c r="BI35" s="15"/>
      <c r="BJ35" s="15"/>
      <c r="BK35" s="15"/>
      <c r="BL35" s="233"/>
    </row>
    <row r="36" spans="2:64" x14ac:dyDescent="0.3">
      <c r="B36" s="232"/>
      <c r="C36" s="250">
        <f t="shared" si="31"/>
        <v>2020</v>
      </c>
      <c r="D36" s="263">
        <f t="shared" ca="1" si="13"/>
        <v>0</v>
      </c>
      <c r="E36" s="263">
        <f t="shared" ca="1" si="7"/>
        <v>697.88873737776305</v>
      </c>
      <c r="F36" s="263">
        <f t="shared" ca="1" si="8"/>
        <v>0</v>
      </c>
      <c r="G36" s="263">
        <f ca="1">MIN($G$5*$AQ$7-SUM(G$29:G35),G35*(1-$G$8))</f>
        <v>4187.3324242665785</v>
      </c>
      <c r="H36" s="15"/>
      <c r="I36" s="271">
        <f ca="1">Assumptions!$O$68</f>
        <v>4.5</v>
      </c>
      <c r="J36" s="271">
        <f ca="1">Assumptions!$P$68</f>
        <v>80</v>
      </c>
      <c r="K36" s="271">
        <f t="shared" ca="1" si="14"/>
        <v>40</v>
      </c>
      <c r="L36" s="15"/>
      <c r="M36" s="35">
        <f t="shared" ca="1" si="15"/>
        <v>4.2299999999999995</v>
      </c>
      <c r="N36" s="35">
        <f t="shared" ca="1" si="16"/>
        <v>64</v>
      </c>
      <c r="O36" s="35">
        <f t="shared" ca="1" si="17"/>
        <v>32</v>
      </c>
      <c r="P36" s="15"/>
      <c r="Q36" s="34">
        <f t="shared" ca="1" si="18"/>
        <v>0</v>
      </c>
      <c r="R36" s="34">
        <f t="shared" ca="1" si="18"/>
        <v>44664.879192176835</v>
      </c>
      <c r="S36" s="34">
        <f t="shared" ca="1" si="18"/>
        <v>0</v>
      </c>
      <c r="T36" s="34">
        <f t="shared" ca="1" si="19"/>
        <v>44664.879192176835</v>
      </c>
      <c r="U36" s="369"/>
      <c r="V36" s="35">
        <f t="shared" si="20"/>
        <v>0.7</v>
      </c>
      <c r="W36" s="34">
        <f t="shared" ca="1" si="21"/>
        <v>3552.8881175595216</v>
      </c>
      <c r="X36" s="35">
        <f t="shared" si="22"/>
        <v>0.222</v>
      </c>
      <c r="Y36" s="34">
        <f t="shared" ca="1" si="23"/>
        <v>1126.7730887117339</v>
      </c>
      <c r="Z36" s="35">
        <f t="shared" si="24"/>
        <v>0.34799999999999998</v>
      </c>
      <c r="AA36" s="34">
        <f t="shared" ca="1" si="25"/>
        <v>1766.2929498724477</v>
      </c>
      <c r="AB36" s="34">
        <f t="shared" ca="1" si="26"/>
        <v>6445.9541561437036</v>
      </c>
      <c r="AC36" s="15"/>
      <c r="AD36" s="34">
        <f t="shared" ca="1" si="27"/>
        <v>38218.925036033135</v>
      </c>
      <c r="AE36" s="34">
        <f t="shared" ca="1" si="9"/>
        <v>845.92574227607656</v>
      </c>
      <c r="AF36" s="34">
        <f t="shared" ca="1" si="28"/>
        <v>37372.999293757057</v>
      </c>
      <c r="AG36" s="15"/>
      <c r="AH36" s="273">
        <f t="shared" si="32"/>
        <v>44196</v>
      </c>
      <c r="AI36" s="267">
        <f t="shared" si="10"/>
        <v>6.666666666666667</v>
      </c>
      <c r="AJ36" s="267">
        <f t="shared" si="11"/>
        <v>0.52972292153456579</v>
      </c>
      <c r="AK36" s="34">
        <f t="shared" ca="1" si="33"/>
        <v>19797.334372398251</v>
      </c>
      <c r="AL36" s="233"/>
      <c r="AN36" s="232"/>
      <c r="AO36" s="17">
        <f t="shared" si="34"/>
        <v>2020</v>
      </c>
      <c r="AP36" s="333">
        <f t="shared" ca="1" si="12"/>
        <v>47</v>
      </c>
      <c r="AQ36" s="15"/>
      <c r="AR36" s="247">
        <f t="shared" ca="1" si="35"/>
        <v>0</v>
      </c>
      <c r="AS36" s="247">
        <f t="shared" ca="1" si="29"/>
        <v>0</v>
      </c>
      <c r="AT36" s="247">
        <f t="shared" ca="1" si="30"/>
        <v>0</v>
      </c>
      <c r="AU36" s="15"/>
      <c r="AV36" s="247">
        <f t="shared" ca="1" si="36"/>
        <v>4</v>
      </c>
      <c r="AW36" s="247">
        <f t="shared" ca="1" si="37"/>
        <v>4</v>
      </c>
      <c r="AX36" s="247">
        <f t="shared" ca="1" si="38"/>
        <v>0</v>
      </c>
      <c r="AY36" s="15"/>
      <c r="AZ36" s="247">
        <f t="shared" ca="1" si="39"/>
        <v>289</v>
      </c>
      <c r="BA36" s="247">
        <f t="shared" ca="1" si="40"/>
        <v>43</v>
      </c>
      <c r="BB36" s="247">
        <f t="shared" ca="1" si="41"/>
        <v>246</v>
      </c>
      <c r="BC36" s="15"/>
      <c r="BD36" s="15"/>
      <c r="BE36" s="15"/>
      <c r="BF36" s="15"/>
      <c r="BG36" s="15"/>
      <c r="BH36" s="15"/>
      <c r="BI36" s="15"/>
      <c r="BJ36" s="15"/>
      <c r="BK36" s="15"/>
      <c r="BL36" s="233"/>
    </row>
    <row r="37" spans="2:64" x14ac:dyDescent="0.3">
      <c r="B37" s="232"/>
      <c r="C37" s="250">
        <f t="shared" si="31"/>
        <v>2021</v>
      </c>
      <c r="D37" s="263">
        <f t="shared" ca="1" si="13"/>
        <v>0</v>
      </c>
      <c r="E37" s="263">
        <f t="shared" ca="1" si="7"/>
        <v>628.04527362896386</v>
      </c>
      <c r="F37" s="263">
        <f t="shared" ca="1" si="8"/>
        <v>0</v>
      </c>
      <c r="G37" s="263">
        <f ca="1">MIN($G$5*$AQ$7-SUM(G$29:G36),G36*(1-$G$8))</f>
        <v>3768.2716417737834</v>
      </c>
      <c r="H37" s="15"/>
      <c r="I37" s="271">
        <f ca="1">Assumptions!$O$68</f>
        <v>4.5</v>
      </c>
      <c r="J37" s="271">
        <f ca="1">Assumptions!$P$68</f>
        <v>80</v>
      </c>
      <c r="K37" s="271">
        <f t="shared" ca="1" si="14"/>
        <v>40</v>
      </c>
      <c r="L37" s="15"/>
      <c r="M37" s="35">
        <f t="shared" ca="1" si="15"/>
        <v>4.2299999999999995</v>
      </c>
      <c r="N37" s="35">
        <f t="shared" ca="1" si="16"/>
        <v>64</v>
      </c>
      <c r="O37" s="35">
        <f t="shared" ca="1" si="17"/>
        <v>32</v>
      </c>
      <c r="P37" s="15"/>
      <c r="Q37" s="34">
        <f t="shared" ca="1" si="18"/>
        <v>0</v>
      </c>
      <c r="R37" s="34">
        <f t="shared" ca="1" si="18"/>
        <v>40194.897512253687</v>
      </c>
      <c r="S37" s="34">
        <f t="shared" ca="1" si="18"/>
        <v>0</v>
      </c>
      <c r="T37" s="34">
        <f t="shared" ca="1" si="19"/>
        <v>40194.897512253687</v>
      </c>
      <c r="U37" s="369"/>
      <c r="V37" s="35">
        <f t="shared" si="20"/>
        <v>0.7</v>
      </c>
      <c r="W37" s="34">
        <f t="shared" ca="1" si="21"/>
        <v>3197.3213930201796</v>
      </c>
      <c r="X37" s="35">
        <f t="shared" si="22"/>
        <v>0.222</v>
      </c>
      <c r="Y37" s="34">
        <f t="shared" ca="1" si="23"/>
        <v>1014.0076417864</v>
      </c>
      <c r="Z37" s="35">
        <f t="shared" si="24"/>
        <v>0.34799999999999998</v>
      </c>
      <c r="AA37" s="34">
        <f t="shared" ca="1" si="25"/>
        <v>1589.5254925300321</v>
      </c>
      <c r="AB37" s="34">
        <f t="shared" ca="1" si="26"/>
        <v>5800.8545273366117</v>
      </c>
      <c r="AC37" s="15"/>
      <c r="AD37" s="34">
        <f t="shared" ca="1" si="27"/>
        <v>34394.042984917076</v>
      </c>
      <c r="AE37" s="34">
        <f t="shared" ca="1" si="9"/>
        <v>761.26699833813791</v>
      </c>
      <c r="AF37" s="34">
        <f t="shared" ca="1" si="28"/>
        <v>33632.775986578941</v>
      </c>
      <c r="AG37" s="15"/>
      <c r="AH37" s="273">
        <f t="shared" si="32"/>
        <v>44561</v>
      </c>
      <c r="AI37" s="267">
        <f t="shared" si="10"/>
        <v>7.6666666666666661</v>
      </c>
      <c r="AJ37" s="267">
        <f t="shared" si="11"/>
        <v>0.48156629230415066</v>
      </c>
      <c r="AK37" s="34">
        <f t="shared" ca="1" si="33"/>
        <v>16196.411231752892</v>
      </c>
      <c r="AL37" s="233"/>
      <c r="AN37" s="232"/>
      <c r="AO37" s="17">
        <f t="shared" si="34"/>
        <v>2021</v>
      </c>
      <c r="AP37" s="333">
        <f t="shared" ca="1" si="12"/>
        <v>47</v>
      </c>
      <c r="AQ37" s="15"/>
      <c r="AR37" s="247">
        <f t="shared" ca="1" si="35"/>
        <v>0</v>
      </c>
      <c r="AS37" s="247">
        <f t="shared" ca="1" si="29"/>
        <v>0</v>
      </c>
      <c r="AT37" s="247">
        <f t="shared" ca="1" si="30"/>
        <v>0</v>
      </c>
      <c r="AU37" s="15"/>
      <c r="AV37" s="247">
        <f t="shared" ca="1" si="36"/>
        <v>0</v>
      </c>
      <c r="AW37" s="247">
        <f t="shared" ca="1" si="37"/>
        <v>0</v>
      </c>
      <c r="AX37" s="247">
        <f t="shared" ca="1" si="38"/>
        <v>0</v>
      </c>
      <c r="AY37" s="15"/>
      <c r="AZ37" s="247">
        <f t="shared" ca="1" si="39"/>
        <v>246</v>
      </c>
      <c r="BA37" s="247">
        <f t="shared" ca="1" si="40"/>
        <v>47</v>
      </c>
      <c r="BB37" s="247">
        <f t="shared" ca="1" si="41"/>
        <v>199</v>
      </c>
      <c r="BC37" s="15"/>
      <c r="BD37" s="15"/>
      <c r="BE37" s="15"/>
      <c r="BF37" s="15"/>
      <c r="BG37" s="15"/>
      <c r="BH37" s="15"/>
      <c r="BI37" s="15"/>
      <c r="BJ37" s="15"/>
      <c r="BK37" s="15"/>
      <c r="BL37" s="233"/>
    </row>
    <row r="38" spans="2:64" x14ac:dyDescent="0.3">
      <c r="B38" s="232"/>
      <c r="C38" s="250">
        <f t="shared" si="31"/>
        <v>2022</v>
      </c>
      <c r="D38" s="263">
        <f t="shared" ca="1" si="13"/>
        <v>0</v>
      </c>
      <c r="E38" s="263">
        <f t="shared" ca="1" si="7"/>
        <v>565.1916195262678</v>
      </c>
      <c r="F38" s="263">
        <f t="shared" ca="1" si="8"/>
        <v>0</v>
      </c>
      <c r="G38" s="263">
        <f ca="1">MIN($G$5*$AQ$7-SUM(G$29:G37),G37*(1-$G$8))</f>
        <v>3391.149717157607</v>
      </c>
      <c r="H38" s="15"/>
      <c r="I38" s="271">
        <f ca="1">Assumptions!$O$68</f>
        <v>4.5</v>
      </c>
      <c r="J38" s="271">
        <f ca="1">Assumptions!$P$68</f>
        <v>80</v>
      </c>
      <c r="K38" s="271">
        <f t="shared" ca="1" si="14"/>
        <v>40</v>
      </c>
      <c r="L38" s="15"/>
      <c r="M38" s="35">
        <f t="shared" ca="1" si="15"/>
        <v>4.2299999999999995</v>
      </c>
      <c r="N38" s="35">
        <f t="shared" ca="1" si="16"/>
        <v>64</v>
      </c>
      <c r="O38" s="35">
        <f t="shared" ca="1" si="17"/>
        <v>32</v>
      </c>
      <c r="P38" s="15"/>
      <c r="Q38" s="34">
        <f t="shared" ca="1" si="18"/>
        <v>0</v>
      </c>
      <c r="R38" s="34">
        <f t="shared" ca="1" si="18"/>
        <v>36172.263649681139</v>
      </c>
      <c r="S38" s="34">
        <f t="shared" ca="1" si="18"/>
        <v>0</v>
      </c>
      <c r="T38" s="34">
        <f t="shared" ca="1" si="19"/>
        <v>36172.263649681139</v>
      </c>
      <c r="U38" s="369"/>
      <c r="V38" s="35">
        <f t="shared" si="20"/>
        <v>0.7</v>
      </c>
      <c r="W38" s="34">
        <f t="shared" ca="1" si="21"/>
        <v>2877.3391539519089</v>
      </c>
      <c r="X38" s="35">
        <f t="shared" si="22"/>
        <v>0.222</v>
      </c>
      <c r="Y38" s="34">
        <f t="shared" ca="1" si="23"/>
        <v>912.52756025331985</v>
      </c>
      <c r="Z38" s="35">
        <f t="shared" si="24"/>
        <v>0.34799999999999998</v>
      </c>
      <c r="AA38" s="34">
        <f t="shared" ca="1" si="25"/>
        <v>1430.4486079646631</v>
      </c>
      <c r="AB38" s="34">
        <f t="shared" ca="1" si="26"/>
        <v>5220.3153221698922</v>
      </c>
      <c r="AC38" s="15"/>
      <c r="AD38" s="34">
        <f t="shared" ca="1" si="27"/>
        <v>30951.948327511247</v>
      </c>
      <c r="AE38" s="34">
        <f t="shared" ca="1" si="9"/>
        <v>685.08075094093067</v>
      </c>
      <c r="AF38" s="34">
        <f t="shared" ca="1" si="28"/>
        <v>30266.867576570316</v>
      </c>
      <c r="AG38" s="15"/>
      <c r="AH38" s="273">
        <f t="shared" si="32"/>
        <v>44926</v>
      </c>
      <c r="AI38" s="267">
        <f t="shared" si="10"/>
        <v>8.6666666666666661</v>
      </c>
      <c r="AJ38" s="267">
        <f t="shared" si="11"/>
        <v>0.4377875384583188</v>
      </c>
      <c r="AK38" s="34">
        <f t="shared" ca="1" si="33"/>
        <v>13250.45745319062</v>
      </c>
      <c r="AL38" s="233"/>
      <c r="AN38" s="232"/>
      <c r="AO38" s="17">
        <f t="shared" si="34"/>
        <v>2022</v>
      </c>
      <c r="AP38" s="333">
        <f t="shared" ca="1" si="12"/>
        <v>47</v>
      </c>
      <c r="AQ38" s="15"/>
      <c r="AR38" s="247">
        <f t="shared" ca="1" si="35"/>
        <v>0</v>
      </c>
      <c r="AS38" s="247">
        <f t="shared" ca="1" si="29"/>
        <v>0</v>
      </c>
      <c r="AT38" s="247">
        <f t="shared" ca="1" si="30"/>
        <v>0</v>
      </c>
      <c r="AU38" s="15"/>
      <c r="AV38" s="247">
        <f t="shared" ca="1" si="36"/>
        <v>0</v>
      </c>
      <c r="AW38" s="247">
        <f t="shared" ca="1" si="37"/>
        <v>0</v>
      </c>
      <c r="AX38" s="247">
        <f t="shared" ca="1" si="38"/>
        <v>0</v>
      </c>
      <c r="AY38" s="15"/>
      <c r="AZ38" s="247">
        <f t="shared" ca="1" si="39"/>
        <v>199</v>
      </c>
      <c r="BA38" s="247">
        <f t="shared" ca="1" si="40"/>
        <v>47</v>
      </c>
      <c r="BB38" s="247">
        <f t="shared" ca="1" si="41"/>
        <v>152</v>
      </c>
      <c r="BC38" s="15"/>
      <c r="BD38" s="15"/>
      <c r="BE38" s="15"/>
      <c r="BF38" s="15"/>
      <c r="BG38" s="15"/>
      <c r="BH38" s="15"/>
      <c r="BI38" s="15"/>
      <c r="BJ38" s="15"/>
      <c r="BK38" s="15"/>
      <c r="BL38" s="233"/>
    </row>
    <row r="39" spans="2:64" x14ac:dyDescent="0.3">
      <c r="B39" s="232"/>
      <c r="C39" s="250">
        <f t="shared" si="31"/>
        <v>2023</v>
      </c>
      <c r="D39" s="263">
        <f t="shared" ca="1" si="13"/>
        <v>0</v>
      </c>
      <c r="E39" s="263">
        <f t="shared" ca="1" si="7"/>
        <v>508.62824735059615</v>
      </c>
      <c r="F39" s="263">
        <f t="shared" ca="1" si="8"/>
        <v>0</v>
      </c>
      <c r="G39" s="263">
        <f ca="1">MIN($G$5*$AQ$7-SUM(G$29:G38),G38*(1-$G$8))</f>
        <v>3051.7694841035768</v>
      </c>
      <c r="H39" s="15"/>
      <c r="I39" s="271">
        <f ca="1">Assumptions!$O$68</f>
        <v>4.5</v>
      </c>
      <c r="J39" s="271">
        <f ca="1">Assumptions!$P$68</f>
        <v>80</v>
      </c>
      <c r="K39" s="271">
        <f t="shared" ca="1" si="14"/>
        <v>40</v>
      </c>
      <c r="L39" s="15"/>
      <c r="M39" s="35">
        <f t="shared" ca="1" si="15"/>
        <v>4.2299999999999995</v>
      </c>
      <c r="N39" s="35">
        <f t="shared" ca="1" si="16"/>
        <v>64</v>
      </c>
      <c r="O39" s="35">
        <f t="shared" ca="1" si="17"/>
        <v>32</v>
      </c>
      <c r="P39" s="15"/>
      <c r="Q39" s="34">
        <f t="shared" ca="1" si="18"/>
        <v>0</v>
      </c>
      <c r="R39" s="34">
        <f t="shared" ca="1" si="18"/>
        <v>32552.207830438154</v>
      </c>
      <c r="S39" s="34">
        <f t="shared" ca="1" si="18"/>
        <v>0</v>
      </c>
      <c r="T39" s="34">
        <f t="shared" ca="1" si="19"/>
        <v>32552.207830438154</v>
      </c>
      <c r="U39" s="369"/>
      <c r="V39" s="35">
        <f t="shared" si="20"/>
        <v>0.7</v>
      </c>
      <c r="W39" s="34">
        <f t="shared" ca="1" si="21"/>
        <v>2589.3801683303072</v>
      </c>
      <c r="X39" s="35">
        <f t="shared" si="22"/>
        <v>0.222</v>
      </c>
      <c r="Y39" s="34">
        <f t="shared" ca="1" si="23"/>
        <v>821.20342481332614</v>
      </c>
      <c r="Z39" s="35">
        <f t="shared" si="24"/>
        <v>0.34799999999999998</v>
      </c>
      <c r="AA39" s="34">
        <f t="shared" ca="1" si="25"/>
        <v>1287.2918551127814</v>
      </c>
      <c r="AB39" s="34">
        <f t="shared" ca="1" si="26"/>
        <v>4697.8754482564145</v>
      </c>
      <c r="AC39" s="15"/>
      <c r="AD39" s="34">
        <f t="shared" ca="1" si="27"/>
        <v>27854.332382181739</v>
      </c>
      <c r="AE39" s="34">
        <f t="shared" ca="1" si="9"/>
        <v>616.51908769769227</v>
      </c>
      <c r="AF39" s="34">
        <f t="shared" ca="1" si="28"/>
        <v>27237.813294484047</v>
      </c>
      <c r="AG39" s="15"/>
      <c r="AH39" s="273">
        <f t="shared" si="32"/>
        <v>45291</v>
      </c>
      <c r="AI39" s="267">
        <f t="shared" si="10"/>
        <v>9.6666666666666661</v>
      </c>
      <c r="AJ39" s="267">
        <f t="shared" si="11"/>
        <v>0.39798867132574434</v>
      </c>
      <c r="AK39" s="34">
        <f t="shared" ca="1" si="33"/>
        <v>10840.341122890401</v>
      </c>
      <c r="AL39" s="233"/>
      <c r="AN39" s="232"/>
      <c r="AO39" s="17">
        <f t="shared" si="34"/>
        <v>2023</v>
      </c>
      <c r="AP39" s="333">
        <f t="shared" ca="1" si="12"/>
        <v>47</v>
      </c>
      <c r="AQ39" s="15"/>
      <c r="AR39" s="247">
        <f t="shared" ca="1" si="35"/>
        <v>0</v>
      </c>
      <c r="AS39" s="247">
        <f t="shared" ca="1" si="29"/>
        <v>0</v>
      </c>
      <c r="AT39" s="247">
        <f t="shared" ca="1" si="30"/>
        <v>0</v>
      </c>
      <c r="AU39" s="15"/>
      <c r="AV39" s="247">
        <f t="shared" ca="1" si="36"/>
        <v>0</v>
      </c>
      <c r="AW39" s="247">
        <f t="shared" ca="1" si="37"/>
        <v>0</v>
      </c>
      <c r="AX39" s="247">
        <f t="shared" ca="1" si="38"/>
        <v>0</v>
      </c>
      <c r="AY39" s="15"/>
      <c r="AZ39" s="247">
        <f t="shared" ca="1" si="39"/>
        <v>152</v>
      </c>
      <c r="BA39" s="247">
        <f t="shared" ca="1" si="40"/>
        <v>47</v>
      </c>
      <c r="BB39" s="247">
        <f t="shared" ca="1" si="41"/>
        <v>105</v>
      </c>
      <c r="BC39" s="15"/>
      <c r="BD39" s="15"/>
      <c r="BE39" s="15"/>
      <c r="BF39" s="15"/>
      <c r="BG39" s="15"/>
      <c r="BH39" s="15"/>
      <c r="BI39" s="15"/>
      <c r="BJ39" s="15"/>
      <c r="BK39" s="15"/>
      <c r="BL39" s="233"/>
    </row>
    <row r="40" spans="2:64" x14ac:dyDescent="0.3">
      <c r="B40" s="232"/>
      <c r="C40" s="250">
        <f t="shared" si="31"/>
        <v>2024</v>
      </c>
      <c r="D40" s="263">
        <f t="shared" ca="1" si="13"/>
        <v>0</v>
      </c>
      <c r="E40" s="263">
        <f t="shared" ca="1" si="7"/>
        <v>457.72563687299288</v>
      </c>
      <c r="F40" s="263">
        <f t="shared" ca="1" si="8"/>
        <v>0</v>
      </c>
      <c r="G40" s="263">
        <f ca="1">MIN($G$5*$AQ$7-SUM(G$29:G39),G39*(1-$G$8))</f>
        <v>2746.3538212379572</v>
      </c>
      <c r="H40" s="15"/>
      <c r="I40" s="271">
        <f ca="1">Assumptions!$O$68</f>
        <v>4.5</v>
      </c>
      <c r="J40" s="271">
        <f ca="1">Assumptions!$P$68</f>
        <v>80</v>
      </c>
      <c r="K40" s="271">
        <f t="shared" ca="1" si="14"/>
        <v>40</v>
      </c>
      <c r="L40" s="15"/>
      <c r="M40" s="35">
        <f t="shared" ca="1" si="15"/>
        <v>4.2299999999999995</v>
      </c>
      <c r="N40" s="35">
        <f t="shared" ca="1" si="16"/>
        <v>64</v>
      </c>
      <c r="O40" s="35">
        <f t="shared" ca="1" si="17"/>
        <v>32</v>
      </c>
      <c r="P40" s="15"/>
      <c r="Q40" s="34">
        <f t="shared" ca="1" si="18"/>
        <v>0</v>
      </c>
      <c r="R40" s="34">
        <f t="shared" ca="1" si="18"/>
        <v>29294.440759871544</v>
      </c>
      <c r="S40" s="34">
        <f t="shared" ca="1" si="18"/>
        <v>0</v>
      </c>
      <c r="T40" s="34">
        <f t="shared" ca="1" si="19"/>
        <v>29294.440759871544</v>
      </c>
      <c r="U40" s="369"/>
      <c r="V40" s="35">
        <f t="shared" si="20"/>
        <v>0.7</v>
      </c>
      <c r="W40" s="34">
        <f t="shared" ca="1" si="21"/>
        <v>2330.2396058988729</v>
      </c>
      <c r="X40" s="35">
        <f t="shared" si="22"/>
        <v>0.222</v>
      </c>
      <c r="Y40" s="34">
        <f t="shared" ca="1" si="23"/>
        <v>739.018846442214</v>
      </c>
      <c r="Z40" s="35">
        <f t="shared" si="24"/>
        <v>0.34799999999999998</v>
      </c>
      <c r="AA40" s="34">
        <f t="shared" ca="1" si="25"/>
        <v>1158.461975504011</v>
      </c>
      <c r="AB40" s="34">
        <f t="shared" ca="1" si="26"/>
        <v>4227.7204278450981</v>
      </c>
      <c r="AC40" s="15"/>
      <c r="AD40" s="34">
        <f t="shared" ca="1" si="27"/>
        <v>25066.720332026445</v>
      </c>
      <c r="AE40" s="34">
        <f t="shared" ca="1" si="9"/>
        <v>554.81895378544584</v>
      </c>
      <c r="AF40" s="34">
        <f t="shared" ca="1" si="28"/>
        <v>24511.901378241</v>
      </c>
      <c r="AG40" s="15"/>
      <c r="AH40" s="273">
        <f t="shared" si="32"/>
        <v>45657</v>
      </c>
      <c r="AI40" s="267">
        <f t="shared" si="10"/>
        <v>10.666666666666666</v>
      </c>
      <c r="AJ40" s="267">
        <f t="shared" si="11"/>
        <v>0.36180788302340394</v>
      </c>
      <c r="AK40" s="34">
        <f t="shared" ca="1" si="33"/>
        <v>8868.5991465398329</v>
      </c>
      <c r="AL40" s="233"/>
      <c r="AN40" s="232"/>
      <c r="AO40" s="17">
        <f t="shared" si="34"/>
        <v>2024</v>
      </c>
      <c r="AP40" s="333">
        <f t="shared" ca="1" si="12"/>
        <v>47</v>
      </c>
      <c r="AQ40" s="15"/>
      <c r="AR40" s="247">
        <f t="shared" ca="1" si="35"/>
        <v>0</v>
      </c>
      <c r="AS40" s="247">
        <f t="shared" ca="1" si="29"/>
        <v>0</v>
      </c>
      <c r="AT40" s="247">
        <f t="shared" ca="1" si="30"/>
        <v>0</v>
      </c>
      <c r="AU40" s="15"/>
      <c r="AV40" s="247">
        <f t="shared" ca="1" si="36"/>
        <v>0</v>
      </c>
      <c r="AW40" s="247">
        <f t="shared" ca="1" si="37"/>
        <v>0</v>
      </c>
      <c r="AX40" s="247">
        <f t="shared" ca="1" si="38"/>
        <v>0</v>
      </c>
      <c r="AY40" s="15"/>
      <c r="AZ40" s="247">
        <f t="shared" ca="1" si="39"/>
        <v>105</v>
      </c>
      <c r="BA40" s="247">
        <f t="shared" ca="1" si="40"/>
        <v>47</v>
      </c>
      <c r="BB40" s="247">
        <f t="shared" ca="1" si="41"/>
        <v>58</v>
      </c>
      <c r="BC40" s="15"/>
      <c r="BD40" s="15"/>
      <c r="BE40" s="15"/>
      <c r="BF40" s="15"/>
      <c r="BG40" s="15"/>
      <c r="BH40" s="15"/>
      <c r="BI40" s="15"/>
      <c r="BJ40" s="15"/>
      <c r="BK40" s="15"/>
      <c r="BL40" s="233"/>
    </row>
    <row r="41" spans="2:64" x14ac:dyDescent="0.3">
      <c r="B41" s="232"/>
      <c r="C41" s="250">
        <f t="shared" si="31"/>
        <v>2025</v>
      </c>
      <c r="D41" s="263">
        <f t="shared" ca="1" si="13"/>
        <v>0</v>
      </c>
      <c r="E41" s="263">
        <f t="shared" ca="1" si="7"/>
        <v>411.91726912951088</v>
      </c>
      <c r="F41" s="263">
        <f t="shared" ca="1" si="8"/>
        <v>0</v>
      </c>
      <c r="G41" s="263">
        <f ca="1">MIN($G$5*$AQ$7-SUM(G$29:G40),G40*(1-$G$8))</f>
        <v>2471.5036147770652</v>
      </c>
      <c r="H41" s="15"/>
      <c r="I41" s="271">
        <f ca="1">Assumptions!$O$68</f>
        <v>4.5</v>
      </c>
      <c r="J41" s="271">
        <f ca="1">Assumptions!$P$68</f>
        <v>80</v>
      </c>
      <c r="K41" s="271">
        <f t="shared" ca="1" si="14"/>
        <v>40</v>
      </c>
      <c r="L41" s="15"/>
      <c r="M41" s="35">
        <f t="shared" ca="1" si="15"/>
        <v>4.2299999999999995</v>
      </c>
      <c r="N41" s="35">
        <f t="shared" ca="1" si="16"/>
        <v>64</v>
      </c>
      <c r="O41" s="35">
        <f t="shared" ca="1" si="17"/>
        <v>32</v>
      </c>
      <c r="P41" s="15"/>
      <c r="Q41" s="34">
        <f t="shared" ca="1" si="18"/>
        <v>0</v>
      </c>
      <c r="R41" s="34">
        <f t="shared" ca="1" si="18"/>
        <v>26362.705224288697</v>
      </c>
      <c r="S41" s="34">
        <f t="shared" ca="1" si="18"/>
        <v>0</v>
      </c>
      <c r="T41" s="34">
        <f t="shared" ca="1" si="19"/>
        <v>26362.705224288697</v>
      </c>
      <c r="U41" s="369"/>
      <c r="V41" s="35">
        <f t="shared" si="20"/>
        <v>0.7</v>
      </c>
      <c r="W41" s="34">
        <f t="shared" ca="1" si="21"/>
        <v>2097.0333701138734</v>
      </c>
      <c r="X41" s="35">
        <f t="shared" si="22"/>
        <v>0.222</v>
      </c>
      <c r="Y41" s="34">
        <f t="shared" ca="1" si="23"/>
        <v>665.05915452182853</v>
      </c>
      <c r="Z41" s="35">
        <f t="shared" si="24"/>
        <v>0.34799999999999998</v>
      </c>
      <c r="AA41" s="34">
        <f t="shared" ca="1" si="25"/>
        <v>1042.5251611423257</v>
      </c>
      <c r="AB41" s="34">
        <f t="shared" ca="1" si="26"/>
        <v>3804.6176857780274</v>
      </c>
      <c r="AC41" s="15"/>
      <c r="AD41" s="34">
        <f t="shared" ca="1" si="27"/>
        <v>22558.08753851067</v>
      </c>
      <c r="AE41" s="34">
        <f t="shared" ca="1" si="9"/>
        <v>499.29365955092231</v>
      </c>
      <c r="AF41" s="34">
        <f t="shared" ca="1" si="28"/>
        <v>22058.793878959747</v>
      </c>
      <c r="AG41" s="15"/>
      <c r="AH41" s="273">
        <f t="shared" si="32"/>
        <v>46022</v>
      </c>
      <c r="AI41" s="267">
        <f t="shared" si="10"/>
        <v>11.666666666666666</v>
      </c>
      <c r="AJ41" s="267">
        <f t="shared" si="11"/>
        <v>0.32891625729400353</v>
      </c>
      <c r="AK41" s="34">
        <f t="shared" ca="1" si="33"/>
        <v>7255.4959230873146</v>
      </c>
      <c r="AL41" s="233"/>
      <c r="AN41" s="232"/>
      <c r="AO41" s="17">
        <f t="shared" si="34"/>
        <v>2025</v>
      </c>
      <c r="AP41" s="333">
        <f t="shared" ca="1" si="12"/>
        <v>47</v>
      </c>
      <c r="AQ41" s="15"/>
      <c r="AR41" s="247">
        <f t="shared" ca="1" si="35"/>
        <v>0</v>
      </c>
      <c r="AS41" s="247">
        <f t="shared" ca="1" si="29"/>
        <v>0</v>
      </c>
      <c r="AT41" s="247">
        <f t="shared" ca="1" si="30"/>
        <v>0</v>
      </c>
      <c r="AU41" s="15"/>
      <c r="AV41" s="247">
        <f t="shared" ca="1" si="36"/>
        <v>0</v>
      </c>
      <c r="AW41" s="247">
        <f t="shared" ca="1" si="37"/>
        <v>0</v>
      </c>
      <c r="AX41" s="247">
        <f t="shared" ca="1" si="38"/>
        <v>0</v>
      </c>
      <c r="AY41" s="15"/>
      <c r="AZ41" s="247">
        <f t="shared" ca="1" si="39"/>
        <v>58</v>
      </c>
      <c r="BA41" s="247">
        <f t="shared" ca="1" si="40"/>
        <v>47</v>
      </c>
      <c r="BB41" s="247">
        <f t="shared" ca="1" si="41"/>
        <v>11</v>
      </c>
      <c r="BC41" s="15"/>
      <c r="BD41" s="15"/>
      <c r="BE41" s="15"/>
      <c r="BF41" s="15"/>
      <c r="BG41" s="15"/>
      <c r="BH41" s="15"/>
      <c r="BI41" s="15"/>
      <c r="BJ41" s="15"/>
      <c r="BK41" s="15"/>
      <c r="BL41" s="233"/>
    </row>
    <row r="42" spans="2:64" x14ac:dyDescent="0.3">
      <c r="B42" s="232"/>
      <c r="C42" s="250">
        <f t="shared" si="31"/>
        <v>2026</v>
      </c>
      <c r="D42" s="263">
        <f t="shared" ca="1" si="13"/>
        <v>0</v>
      </c>
      <c r="E42" s="263">
        <f t="shared" ca="1" si="7"/>
        <v>370.69332136664781</v>
      </c>
      <c r="F42" s="263">
        <f t="shared" ca="1" si="8"/>
        <v>0</v>
      </c>
      <c r="G42" s="263">
        <f ca="1">MIN($G$5*$AQ$7-SUM(G$29:G41),G41*(1-$G$8))</f>
        <v>2224.159928199887</v>
      </c>
      <c r="H42" s="15"/>
      <c r="I42" s="271">
        <f ca="1">Assumptions!$O$68</f>
        <v>4.5</v>
      </c>
      <c r="J42" s="271">
        <f ca="1">Assumptions!$P$68</f>
        <v>80</v>
      </c>
      <c r="K42" s="271">
        <f t="shared" ca="1" si="14"/>
        <v>40</v>
      </c>
      <c r="L42" s="15"/>
      <c r="M42" s="35">
        <f t="shared" ca="1" si="15"/>
        <v>4.2299999999999995</v>
      </c>
      <c r="N42" s="35">
        <f t="shared" ca="1" si="16"/>
        <v>64</v>
      </c>
      <c r="O42" s="35">
        <f t="shared" ca="1" si="17"/>
        <v>32</v>
      </c>
      <c r="P42" s="15"/>
      <c r="Q42" s="34">
        <f t="shared" ca="1" si="18"/>
        <v>0</v>
      </c>
      <c r="R42" s="34">
        <f t="shared" ca="1" si="18"/>
        <v>23724.37256746546</v>
      </c>
      <c r="S42" s="34">
        <f t="shared" ca="1" si="18"/>
        <v>0</v>
      </c>
      <c r="T42" s="34">
        <f t="shared" ca="1" si="19"/>
        <v>23724.37256746546</v>
      </c>
      <c r="U42" s="369"/>
      <c r="V42" s="35">
        <f t="shared" si="20"/>
        <v>0.7</v>
      </c>
      <c r="W42" s="34">
        <f t="shared" ca="1" si="21"/>
        <v>1887.1659996847527</v>
      </c>
      <c r="X42" s="35">
        <f t="shared" si="22"/>
        <v>0.222</v>
      </c>
      <c r="Y42" s="34">
        <f t="shared" ca="1" si="23"/>
        <v>598.50121704287869</v>
      </c>
      <c r="Z42" s="35">
        <f t="shared" si="24"/>
        <v>0.34799999999999998</v>
      </c>
      <c r="AA42" s="34">
        <f t="shared" ca="1" si="25"/>
        <v>938.19109698613408</v>
      </c>
      <c r="AB42" s="34">
        <f t="shared" ca="1" si="26"/>
        <v>3423.8583137137657</v>
      </c>
      <c r="AC42" s="15"/>
      <c r="AD42" s="34">
        <f t="shared" ca="1" si="27"/>
        <v>20300.514253751695</v>
      </c>
      <c r="AE42" s="34">
        <f t="shared" ca="1" si="9"/>
        <v>449.3252380201792</v>
      </c>
      <c r="AF42" s="34">
        <f t="shared" ca="1" si="28"/>
        <v>19851.189015731517</v>
      </c>
      <c r="AG42" s="15"/>
      <c r="AH42" s="273">
        <f t="shared" si="32"/>
        <v>46387</v>
      </c>
      <c r="AI42" s="267">
        <f t="shared" si="10"/>
        <v>12.666666666666666</v>
      </c>
      <c r="AJ42" s="267">
        <f t="shared" si="11"/>
        <v>0.29901477935818499</v>
      </c>
      <c r="AK42" s="34">
        <f t="shared" ca="1" si="33"/>
        <v>5935.7989035365854</v>
      </c>
      <c r="AL42" s="233"/>
      <c r="AN42" s="232"/>
      <c r="AO42" s="17">
        <f t="shared" si="34"/>
        <v>2026</v>
      </c>
      <c r="AP42" s="333">
        <f t="shared" ca="1" si="12"/>
        <v>0</v>
      </c>
      <c r="AQ42" s="15"/>
      <c r="AR42" s="247">
        <f t="shared" ca="1" si="35"/>
        <v>0</v>
      </c>
      <c r="AS42" s="247">
        <f t="shared" ca="1" si="29"/>
        <v>0</v>
      </c>
      <c r="AT42" s="247">
        <f t="shared" ca="1" si="30"/>
        <v>0</v>
      </c>
      <c r="AU42" s="15"/>
      <c r="AV42" s="247">
        <f t="shared" ca="1" si="36"/>
        <v>0</v>
      </c>
      <c r="AW42" s="247">
        <f t="shared" ca="1" si="37"/>
        <v>0</v>
      </c>
      <c r="AX42" s="247">
        <f t="shared" ca="1" si="38"/>
        <v>0</v>
      </c>
      <c r="AY42" s="15"/>
      <c r="AZ42" s="247">
        <f t="shared" ca="1" si="39"/>
        <v>11</v>
      </c>
      <c r="BA42" s="247">
        <f t="shared" ca="1" si="40"/>
        <v>0</v>
      </c>
      <c r="BB42" s="247">
        <f t="shared" ca="1" si="41"/>
        <v>11</v>
      </c>
      <c r="BC42" s="15"/>
      <c r="BD42" s="15"/>
      <c r="BE42" s="15"/>
      <c r="BF42" s="15"/>
      <c r="BG42" s="15"/>
      <c r="BH42" s="15"/>
      <c r="BI42" s="15"/>
      <c r="BJ42" s="15"/>
      <c r="BK42" s="15"/>
      <c r="BL42" s="233"/>
    </row>
    <row r="43" spans="2:64" x14ac:dyDescent="0.3">
      <c r="B43" s="232"/>
      <c r="C43" s="250">
        <f t="shared" si="31"/>
        <v>2027</v>
      </c>
      <c r="D43" s="263">
        <f t="shared" ca="1" si="13"/>
        <v>0</v>
      </c>
      <c r="E43" s="263">
        <f t="shared" ca="1" si="7"/>
        <v>104.75396940914895</v>
      </c>
      <c r="F43" s="263">
        <f t="shared" ca="1" si="8"/>
        <v>0</v>
      </c>
      <c r="G43" s="263">
        <f ca="1">MIN($G$5*$AQ$7-SUM(G$29:G42),G42*(1-$G$8))</f>
        <v>628.52381645489368</v>
      </c>
      <c r="H43" s="15"/>
      <c r="I43" s="271">
        <f ca="1">Assumptions!$O$68</f>
        <v>4.5</v>
      </c>
      <c r="J43" s="271">
        <f ca="1">Assumptions!$P$68</f>
        <v>80</v>
      </c>
      <c r="K43" s="271">
        <f t="shared" ca="1" si="14"/>
        <v>40</v>
      </c>
      <c r="L43" s="15"/>
      <c r="M43" s="35">
        <f t="shared" ca="1" si="15"/>
        <v>4.2299999999999995</v>
      </c>
      <c r="N43" s="35">
        <f t="shared" ca="1" si="16"/>
        <v>64</v>
      </c>
      <c r="O43" s="35">
        <f t="shared" ca="1" si="17"/>
        <v>32</v>
      </c>
      <c r="P43" s="15"/>
      <c r="Q43" s="34">
        <f t="shared" ca="1" si="18"/>
        <v>0</v>
      </c>
      <c r="R43" s="34">
        <f t="shared" ca="1" si="18"/>
        <v>6704.2540421855329</v>
      </c>
      <c r="S43" s="34">
        <f t="shared" ca="1" si="18"/>
        <v>0</v>
      </c>
      <c r="T43" s="34">
        <f t="shared" ca="1" si="19"/>
        <v>6704.2540421855329</v>
      </c>
      <c r="U43" s="369"/>
      <c r="V43" s="35">
        <f t="shared" si="20"/>
        <v>0.7</v>
      </c>
      <c r="W43" s="34">
        <f t="shared" ca="1" si="21"/>
        <v>533.29293517384917</v>
      </c>
      <c r="X43" s="35">
        <f t="shared" si="22"/>
        <v>0.222</v>
      </c>
      <c r="Y43" s="34">
        <f t="shared" ca="1" si="23"/>
        <v>169.13004515513504</v>
      </c>
      <c r="Z43" s="35">
        <f t="shared" si="24"/>
        <v>0.34799999999999998</v>
      </c>
      <c r="AA43" s="34">
        <f t="shared" ca="1" si="25"/>
        <v>265.12277348642789</v>
      </c>
      <c r="AB43" s="34">
        <f t="shared" ca="1" si="26"/>
        <v>967.54575381541213</v>
      </c>
      <c r="AC43" s="15"/>
      <c r="AD43" s="34">
        <f t="shared" ca="1" si="27"/>
        <v>5736.7082883701205</v>
      </c>
      <c r="AE43" s="34">
        <f t="shared" ca="1" si="9"/>
        <v>126.97450837472599</v>
      </c>
      <c r="AF43" s="34">
        <f t="shared" ca="1" si="28"/>
        <v>5609.7337799953948</v>
      </c>
      <c r="AG43" s="15"/>
      <c r="AH43" s="273">
        <f t="shared" si="32"/>
        <v>46752</v>
      </c>
      <c r="AI43" s="267">
        <f t="shared" si="10"/>
        <v>13.666666666666666</v>
      </c>
      <c r="AJ43" s="267">
        <f t="shared" si="11"/>
        <v>0.27183161759835001</v>
      </c>
      <c r="AK43" s="34">
        <f t="shared" ca="1" si="33"/>
        <v>1524.9030077122547</v>
      </c>
      <c r="AL43" s="233"/>
      <c r="AN43" s="232"/>
      <c r="AO43" s="17">
        <f t="shared" si="34"/>
        <v>2027</v>
      </c>
      <c r="AP43" s="333">
        <f t="shared" ca="1" si="12"/>
        <v>0</v>
      </c>
      <c r="AQ43" s="15"/>
      <c r="AR43" s="247">
        <f t="shared" ca="1" si="35"/>
        <v>0</v>
      </c>
      <c r="AS43" s="247">
        <f t="shared" ca="1" si="29"/>
        <v>0</v>
      </c>
      <c r="AT43" s="247">
        <f t="shared" ca="1" si="30"/>
        <v>0</v>
      </c>
      <c r="AU43" s="15"/>
      <c r="AV43" s="247">
        <f t="shared" ca="1" si="36"/>
        <v>0</v>
      </c>
      <c r="AW43" s="247">
        <f t="shared" ca="1" si="37"/>
        <v>0</v>
      </c>
      <c r="AX43" s="247">
        <f t="shared" ca="1" si="38"/>
        <v>0</v>
      </c>
      <c r="AY43" s="15"/>
      <c r="AZ43" s="247">
        <f t="shared" ca="1" si="39"/>
        <v>11</v>
      </c>
      <c r="BA43" s="247">
        <f t="shared" ca="1" si="40"/>
        <v>0</v>
      </c>
      <c r="BB43" s="247">
        <f t="shared" ca="1" si="41"/>
        <v>11</v>
      </c>
      <c r="BC43" s="15"/>
      <c r="BD43" s="15"/>
      <c r="BE43" s="15"/>
      <c r="BF43" s="15"/>
      <c r="BG43" s="15"/>
      <c r="BH43" s="15"/>
      <c r="BI43" s="15"/>
      <c r="BJ43" s="15"/>
      <c r="BK43" s="15"/>
      <c r="BL43" s="233"/>
    </row>
    <row r="44" spans="2:64" x14ac:dyDescent="0.3">
      <c r="B44" s="232"/>
      <c r="C44" s="250">
        <f t="shared" si="31"/>
        <v>2028</v>
      </c>
      <c r="D44" s="263">
        <f t="shared" ca="1" si="13"/>
        <v>0</v>
      </c>
      <c r="E44" s="263">
        <f t="shared" ca="1" si="7"/>
        <v>0</v>
      </c>
      <c r="F44" s="263">
        <f t="shared" ca="1" si="8"/>
        <v>0</v>
      </c>
      <c r="G44" s="263">
        <f ca="1">MIN($G$5*$AQ$7-SUM(G$29:G43),G43*(1-$G$8))</f>
        <v>0</v>
      </c>
      <c r="H44" s="15"/>
      <c r="I44" s="271">
        <f ca="1">Assumptions!$O$68</f>
        <v>4.5</v>
      </c>
      <c r="J44" s="271">
        <f ca="1">Assumptions!$P$68</f>
        <v>80</v>
      </c>
      <c r="K44" s="271">
        <f t="shared" ca="1" si="14"/>
        <v>40</v>
      </c>
      <c r="L44" s="15"/>
      <c r="M44" s="35">
        <f t="shared" ca="1" si="15"/>
        <v>4.2299999999999995</v>
      </c>
      <c r="N44" s="35">
        <f t="shared" ca="1" si="16"/>
        <v>64</v>
      </c>
      <c r="O44" s="35">
        <f t="shared" ca="1" si="17"/>
        <v>32</v>
      </c>
      <c r="P44" s="15"/>
      <c r="Q44" s="34">
        <f t="shared" ca="1" si="18"/>
        <v>0</v>
      </c>
      <c r="R44" s="34">
        <f t="shared" ca="1" si="18"/>
        <v>0</v>
      </c>
      <c r="S44" s="34">
        <f t="shared" ca="1" si="18"/>
        <v>0</v>
      </c>
      <c r="T44" s="34">
        <f t="shared" ca="1" si="19"/>
        <v>0</v>
      </c>
      <c r="U44" s="15"/>
      <c r="V44" s="35">
        <f t="shared" si="20"/>
        <v>0.7</v>
      </c>
      <c r="W44" s="34">
        <f t="shared" ca="1" si="21"/>
        <v>0</v>
      </c>
      <c r="X44" s="35">
        <f t="shared" si="22"/>
        <v>0.222</v>
      </c>
      <c r="Y44" s="34">
        <f t="shared" ca="1" si="23"/>
        <v>0</v>
      </c>
      <c r="Z44" s="35">
        <f t="shared" si="24"/>
        <v>0.34799999999999998</v>
      </c>
      <c r="AA44" s="34">
        <f t="shared" ca="1" si="25"/>
        <v>0</v>
      </c>
      <c r="AB44" s="34">
        <f t="shared" ca="1" si="26"/>
        <v>0</v>
      </c>
      <c r="AC44" s="15"/>
      <c r="AD44" s="34">
        <f t="shared" ca="1" si="27"/>
        <v>0</v>
      </c>
      <c r="AE44" s="34">
        <f t="shared" ca="1" si="9"/>
        <v>0</v>
      </c>
      <c r="AF44" s="34">
        <f t="shared" ca="1" si="28"/>
        <v>0</v>
      </c>
      <c r="AG44" s="15"/>
      <c r="AH44" s="273">
        <f t="shared" si="32"/>
        <v>47118</v>
      </c>
      <c r="AI44" s="267">
        <f t="shared" si="10"/>
        <v>14.666666666666666</v>
      </c>
      <c r="AJ44" s="267">
        <f t="shared" si="11"/>
        <v>0.24711965236213634</v>
      </c>
      <c r="AK44" s="34">
        <f t="shared" ca="1" si="33"/>
        <v>0</v>
      </c>
      <c r="AL44" s="233"/>
      <c r="AN44" s="232"/>
      <c r="AO44" s="17">
        <f t="shared" si="34"/>
        <v>2028</v>
      </c>
      <c r="AP44" s="333">
        <f t="shared" ca="1" si="12"/>
        <v>0</v>
      </c>
      <c r="AQ44" s="15"/>
      <c r="AR44" s="247">
        <f t="shared" ca="1" si="35"/>
        <v>0</v>
      </c>
      <c r="AS44" s="247">
        <f t="shared" ca="1" si="29"/>
        <v>0</v>
      </c>
      <c r="AT44" s="247">
        <f t="shared" ca="1" si="30"/>
        <v>0</v>
      </c>
      <c r="AU44" s="15"/>
      <c r="AV44" s="247">
        <f t="shared" ca="1" si="36"/>
        <v>0</v>
      </c>
      <c r="AW44" s="247">
        <f t="shared" ca="1" si="37"/>
        <v>0</v>
      </c>
      <c r="AX44" s="247">
        <f t="shared" ca="1" si="38"/>
        <v>0</v>
      </c>
      <c r="AY44" s="15"/>
      <c r="AZ44" s="247">
        <f t="shared" ca="1" si="39"/>
        <v>11</v>
      </c>
      <c r="BA44" s="247">
        <f t="shared" ca="1" si="40"/>
        <v>0</v>
      </c>
      <c r="BB44" s="247">
        <f t="shared" ca="1" si="41"/>
        <v>11</v>
      </c>
      <c r="BC44" s="15"/>
      <c r="BD44" s="15"/>
      <c r="BE44" s="15"/>
      <c r="BF44" s="15"/>
      <c r="BG44" s="15"/>
      <c r="BH44" s="15"/>
      <c r="BI44" s="15"/>
      <c r="BJ44" s="15"/>
      <c r="BK44" s="15"/>
      <c r="BL44" s="233"/>
    </row>
    <row r="45" spans="2:64" x14ac:dyDescent="0.3">
      <c r="B45" s="232"/>
      <c r="C45" s="250">
        <f t="shared" si="31"/>
        <v>2029</v>
      </c>
      <c r="D45" s="263">
        <f t="shared" ca="1" si="13"/>
        <v>0</v>
      </c>
      <c r="E45" s="263">
        <f t="shared" ca="1" si="7"/>
        <v>0</v>
      </c>
      <c r="F45" s="263">
        <f t="shared" ca="1" si="8"/>
        <v>0</v>
      </c>
      <c r="G45" s="263">
        <f ca="1">MIN($G$5*$AQ$7-SUM(G$29:G44),G44*(1-$G$8))</f>
        <v>0</v>
      </c>
      <c r="H45" s="15"/>
      <c r="I45" s="271">
        <f ca="1">Assumptions!$O$68</f>
        <v>4.5</v>
      </c>
      <c r="J45" s="271">
        <f ca="1">Assumptions!$P$68</f>
        <v>80</v>
      </c>
      <c r="K45" s="271">
        <f t="shared" ca="1" si="14"/>
        <v>40</v>
      </c>
      <c r="L45" s="15"/>
      <c r="M45" s="35">
        <f t="shared" ca="1" si="15"/>
        <v>4.2299999999999995</v>
      </c>
      <c r="N45" s="35">
        <f t="shared" ca="1" si="16"/>
        <v>64</v>
      </c>
      <c r="O45" s="35">
        <f t="shared" ca="1" si="17"/>
        <v>32</v>
      </c>
      <c r="P45" s="15"/>
      <c r="Q45" s="34">
        <f t="shared" ca="1" si="18"/>
        <v>0</v>
      </c>
      <c r="R45" s="34">
        <f t="shared" ca="1" si="18"/>
        <v>0</v>
      </c>
      <c r="S45" s="34">
        <f t="shared" ca="1" si="18"/>
        <v>0</v>
      </c>
      <c r="T45" s="34">
        <f t="shared" ca="1" si="19"/>
        <v>0</v>
      </c>
      <c r="U45" s="15"/>
      <c r="V45" s="35">
        <f t="shared" si="20"/>
        <v>0.7</v>
      </c>
      <c r="W45" s="34">
        <f t="shared" ca="1" si="21"/>
        <v>0</v>
      </c>
      <c r="X45" s="35">
        <f t="shared" si="22"/>
        <v>0.222</v>
      </c>
      <c r="Y45" s="34">
        <f t="shared" ca="1" si="23"/>
        <v>0</v>
      </c>
      <c r="Z45" s="35">
        <f t="shared" si="24"/>
        <v>0.34799999999999998</v>
      </c>
      <c r="AA45" s="34">
        <f t="shared" ca="1" si="25"/>
        <v>0</v>
      </c>
      <c r="AB45" s="34">
        <f t="shared" ca="1" si="26"/>
        <v>0</v>
      </c>
      <c r="AC45" s="15"/>
      <c r="AD45" s="34">
        <f t="shared" ca="1" si="27"/>
        <v>0</v>
      </c>
      <c r="AE45" s="34">
        <f t="shared" ca="1" si="9"/>
        <v>0</v>
      </c>
      <c r="AF45" s="34">
        <f t="shared" ca="1" si="28"/>
        <v>0</v>
      </c>
      <c r="AG45" s="15"/>
      <c r="AH45" s="273">
        <f t="shared" si="32"/>
        <v>47483</v>
      </c>
      <c r="AI45" s="267">
        <f t="shared" si="10"/>
        <v>15.666666666666668</v>
      </c>
      <c r="AJ45" s="267">
        <f t="shared" si="11"/>
        <v>0.22465422942012386</v>
      </c>
      <c r="AK45" s="34">
        <f t="shared" ca="1" si="33"/>
        <v>0</v>
      </c>
      <c r="AL45" s="233"/>
      <c r="AN45" s="232"/>
      <c r="AO45" s="17">
        <f t="shared" si="34"/>
        <v>2029</v>
      </c>
      <c r="AP45" s="333">
        <f t="shared" ca="1" si="12"/>
        <v>0</v>
      </c>
      <c r="AQ45" s="15"/>
      <c r="AR45" s="247">
        <f t="shared" ca="1" si="35"/>
        <v>0</v>
      </c>
      <c r="AS45" s="247">
        <f t="shared" ca="1" si="29"/>
        <v>0</v>
      </c>
      <c r="AT45" s="247">
        <f t="shared" ca="1" si="30"/>
        <v>0</v>
      </c>
      <c r="AU45" s="15"/>
      <c r="AV45" s="247">
        <f t="shared" ca="1" si="36"/>
        <v>0</v>
      </c>
      <c r="AW45" s="247">
        <f t="shared" ca="1" si="37"/>
        <v>0</v>
      </c>
      <c r="AX45" s="247">
        <f t="shared" ca="1" si="38"/>
        <v>0</v>
      </c>
      <c r="AY45" s="15"/>
      <c r="AZ45" s="247">
        <f t="shared" ca="1" si="39"/>
        <v>11</v>
      </c>
      <c r="BA45" s="247">
        <f t="shared" ca="1" si="40"/>
        <v>0</v>
      </c>
      <c r="BB45" s="247">
        <f t="shared" ca="1" si="41"/>
        <v>11</v>
      </c>
      <c r="BC45" s="15"/>
      <c r="BD45" s="15"/>
      <c r="BE45" s="15"/>
      <c r="BF45" s="15"/>
      <c r="BG45" s="15"/>
      <c r="BH45" s="15"/>
      <c r="BI45" s="15"/>
      <c r="BJ45" s="15"/>
      <c r="BK45" s="15"/>
      <c r="BL45" s="233"/>
    </row>
    <row r="46" spans="2:64" x14ac:dyDescent="0.3">
      <c r="B46" s="232"/>
      <c r="C46" s="250">
        <f t="shared" si="31"/>
        <v>2030</v>
      </c>
      <c r="D46" s="263">
        <f t="shared" ca="1" si="13"/>
        <v>0</v>
      </c>
      <c r="E46" s="263">
        <f t="shared" ca="1" si="7"/>
        <v>0</v>
      </c>
      <c r="F46" s="263">
        <f t="shared" ca="1" si="8"/>
        <v>0</v>
      </c>
      <c r="G46" s="263">
        <f ca="1">MIN($G$5*$AQ$7-SUM(G$29:G45),G45*(1-$G$8))</f>
        <v>0</v>
      </c>
      <c r="H46" s="15"/>
      <c r="I46" s="271">
        <f ca="1">Assumptions!$O$68</f>
        <v>4.5</v>
      </c>
      <c r="J46" s="271">
        <f ca="1">Assumptions!$P$68</f>
        <v>80</v>
      </c>
      <c r="K46" s="271">
        <f t="shared" ca="1" si="14"/>
        <v>40</v>
      </c>
      <c r="L46" s="15"/>
      <c r="M46" s="35">
        <f t="shared" ca="1" si="15"/>
        <v>4.2299999999999995</v>
      </c>
      <c r="N46" s="35">
        <f t="shared" ca="1" si="16"/>
        <v>64</v>
      </c>
      <c r="O46" s="35">
        <f t="shared" ca="1" si="17"/>
        <v>32</v>
      </c>
      <c r="P46" s="15"/>
      <c r="Q46" s="34">
        <f t="shared" ca="1" si="18"/>
        <v>0</v>
      </c>
      <c r="R46" s="34">
        <f t="shared" ca="1" si="18"/>
        <v>0</v>
      </c>
      <c r="S46" s="34">
        <f t="shared" ca="1" si="18"/>
        <v>0</v>
      </c>
      <c r="T46" s="34">
        <f t="shared" ca="1" si="19"/>
        <v>0</v>
      </c>
      <c r="U46" s="15"/>
      <c r="V46" s="35">
        <f t="shared" si="20"/>
        <v>0.7</v>
      </c>
      <c r="W46" s="34">
        <f t="shared" ca="1" si="21"/>
        <v>0</v>
      </c>
      <c r="X46" s="35">
        <f t="shared" si="22"/>
        <v>0.222</v>
      </c>
      <c r="Y46" s="34">
        <f t="shared" ca="1" si="23"/>
        <v>0</v>
      </c>
      <c r="Z46" s="35">
        <f t="shared" si="24"/>
        <v>0.34799999999999998</v>
      </c>
      <c r="AA46" s="34">
        <f t="shared" ca="1" si="25"/>
        <v>0</v>
      </c>
      <c r="AB46" s="34">
        <f t="shared" ca="1" si="26"/>
        <v>0</v>
      </c>
      <c r="AC46" s="15"/>
      <c r="AD46" s="34">
        <f t="shared" ca="1" si="27"/>
        <v>0</v>
      </c>
      <c r="AE46" s="34">
        <f t="shared" ca="1" si="9"/>
        <v>0</v>
      </c>
      <c r="AF46" s="34">
        <f t="shared" ca="1" si="28"/>
        <v>0</v>
      </c>
      <c r="AG46" s="15"/>
      <c r="AH46" s="273">
        <f t="shared" si="32"/>
        <v>47848</v>
      </c>
      <c r="AI46" s="267">
        <f t="shared" si="10"/>
        <v>16.666666666666668</v>
      </c>
      <c r="AJ46" s="267">
        <f t="shared" si="11"/>
        <v>0.2042311176546581</v>
      </c>
      <c r="AK46" s="34">
        <f t="shared" ca="1" si="33"/>
        <v>0</v>
      </c>
      <c r="AL46" s="233"/>
      <c r="AN46" s="232"/>
      <c r="AO46" s="17">
        <f t="shared" si="34"/>
        <v>2030</v>
      </c>
      <c r="AP46" s="333">
        <f t="shared" ca="1" si="12"/>
        <v>0</v>
      </c>
      <c r="AQ46" s="15"/>
      <c r="AR46" s="247">
        <f t="shared" ca="1" si="35"/>
        <v>0</v>
      </c>
      <c r="AS46" s="247">
        <f t="shared" ca="1" si="29"/>
        <v>0</v>
      </c>
      <c r="AT46" s="247">
        <f t="shared" ca="1" si="30"/>
        <v>0</v>
      </c>
      <c r="AU46" s="15"/>
      <c r="AV46" s="247">
        <f t="shared" ca="1" si="36"/>
        <v>0</v>
      </c>
      <c r="AW46" s="247">
        <f t="shared" ca="1" si="37"/>
        <v>0</v>
      </c>
      <c r="AX46" s="247">
        <f t="shared" ca="1" si="38"/>
        <v>0</v>
      </c>
      <c r="AY46" s="15"/>
      <c r="AZ46" s="247">
        <f t="shared" ca="1" si="39"/>
        <v>11</v>
      </c>
      <c r="BA46" s="247">
        <f t="shared" ca="1" si="40"/>
        <v>0</v>
      </c>
      <c r="BB46" s="247">
        <f t="shared" ca="1" si="41"/>
        <v>11</v>
      </c>
      <c r="BC46" s="15"/>
      <c r="BD46" s="15"/>
      <c r="BE46" s="15"/>
      <c r="BF46" s="15"/>
      <c r="BG46" s="15"/>
      <c r="BH46" s="15"/>
      <c r="BI46" s="15"/>
      <c r="BJ46" s="15"/>
      <c r="BK46" s="15"/>
      <c r="BL46" s="233"/>
    </row>
    <row r="47" spans="2:64" x14ac:dyDescent="0.3">
      <c r="B47" s="232"/>
      <c r="C47" s="250">
        <f t="shared" si="31"/>
        <v>2031</v>
      </c>
      <c r="D47" s="263">
        <f t="shared" ca="1" si="13"/>
        <v>0</v>
      </c>
      <c r="E47" s="263">
        <f t="shared" ca="1" si="7"/>
        <v>0</v>
      </c>
      <c r="F47" s="263">
        <f t="shared" ca="1" si="8"/>
        <v>0</v>
      </c>
      <c r="G47" s="263">
        <f ca="1">MIN($G$5*$AQ$7-SUM(G$29:G46),G46*(1-$G$8))</f>
        <v>0</v>
      </c>
      <c r="H47" s="15"/>
      <c r="I47" s="271">
        <f ca="1">Assumptions!$O$68</f>
        <v>4.5</v>
      </c>
      <c r="J47" s="271">
        <f ca="1">Assumptions!$P$68</f>
        <v>80</v>
      </c>
      <c r="K47" s="271">
        <f t="shared" ca="1" si="14"/>
        <v>40</v>
      </c>
      <c r="L47" s="15"/>
      <c r="M47" s="35">
        <f t="shared" ca="1" si="15"/>
        <v>4.2299999999999995</v>
      </c>
      <c r="N47" s="35">
        <f t="shared" ca="1" si="16"/>
        <v>64</v>
      </c>
      <c r="O47" s="35">
        <f t="shared" ca="1" si="17"/>
        <v>32</v>
      </c>
      <c r="P47" s="15"/>
      <c r="Q47" s="34">
        <f t="shared" ca="1" si="18"/>
        <v>0</v>
      </c>
      <c r="R47" s="34">
        <f t="shared" ca="1" si="18"/>
        <v>0</v>
      </c>
      <c r="S47" s="34">
        <f t="shared" ca="1" si="18"/>
        <v>0</v>
      </c>
      <c r="T47" s="34">
        <f t="shared" ca="1" si="19"/>
        <v>0</v>
      </c>
      <c r="U47" s="15"/>
      <c r="V47" s="35">
        <f t="shared" si="20"/>
        <v>0.7</v>
      </c>
      <c r="W47" s="34">
        <f t="shared" ca="1" si="21"/>
        <v>0</v>
      </c>
      <c r="X47" s="35">
        <f t="shared" si="22"/>
        <v>0.222</v>
      </c>
      <c r="Y47" s="34">
        <f t="shared" ca="1" si="23"/>
        <v>0</v>
      </c>
      <c r="Z47" s="35">
        <f t="shared" si="24"/>
        <v>0.34799999999999998</v>
      </c>
      <c r="AA47" s="34">
        <f t="shared" ca="1" si="25"/>
        <v>0</v>
      </c>
      <c r="AB47" s="34">
        <f t="shared" ca="1" si="26"/>
        <v>0</v>
      </c>
      <c r="AC47" s="15"/>
      <c r="AD47" s="34">
        <f t="shared" ca="1" si="27"/>
        <v>0</v>
      </c>
      <c r="AE47" s="34">
        <f t="shared" ca="1" si="9"/>
        <v>0</v>
      </c>
      <c r="AF47" s="34">
        <f t="shared" ca="1" si="28"/>
        <v>0</v>
      </c>
      <c r="AG47" s="15"/>
      <c r="AH47" s="273">
        <f t="shared" si="32"/>
        <v>48213</v>
      </c>
      <c r="AI47" s="267">
        <f t="shared" si="10"/>
        <v>17.666666666666668</v>
      </c>
      <c r="AJ47" s="267">
        <f t="shared" si="11"/>
        <v>0.1856646524133255</v>
      </c>
      <c r="AK47" s="34">
        <f t="shared" ca="1" si="33"/>
        <v>0</v>
      </c>
      <c r="AL47" s="233"/>
      <c r="AN47" s="232"/>
      <c r="AO47" s="17">
        <f t="shared" si="34"/>
        <v>2031</v>
      </c>
      <c r="AP47" s="333">
        <f t="shared" ca="1" si="12"/>
        <v>0</v>
      </c>
      <c r="AQ47" s="15"/>
      <c r="AR47" s="247">
        <f t="shared" ca="1" si="35"/>
        <v>0</v>
      </c>
      <c r="AS47" s="247">
        <f t="shared" ca="1" si="29"/>
        <v>0</v>
      </c>
      <c r="AT47" s="247">
        <f t="shared" ca="1" si="30"/>
        <v>0</v>
      </c>
      <c r="AU47" s="15"/>
      <c r="AV47" s="247">
        <f t="shared" ca="1" si="36"/>
        <v>0</v>
      </c>
      <c r="AW47" s="247">
        <f t="shared" ca="1" si="37"/>
        <v>0</v>
      </c>
      <c r="AX47" s="247">
        <f t="shared" ca="1" si="38"/>
        <v>0</v>
      </c>
      <c r="AY47" s="15"/>
      <c r="AZ47" s="247">
        <f t="shared" ca="1" si="39"/>
        <v>11</v>
      </c>
      <c r="BA47" s="247">
        <f t="shared" ca="1" si="40"/>
        <v>0</v>
      </c>
      <c r="BB47" s="247">
        <f t="shared" ca="1" si="41"/>
        <v>11</v>
      </c>
      <c r="BC47" s="15"/>
      <c r="BD47" s="15"/>
      <c r="BE47" s="15"/>
      <c r="BF47" s="15"/>
      <c r="BG47" s="15"/>
      <c r="BH47" s="15"/>
      <c r="BI47" s="15"/>
      <c r="BJ47" s="15"/>
      <c r="BK47" s="15"/>
      <c r="BL47" s="233"/>
    </row>
    <row r="48" spans="2:64" x14ac:dyDescent="0.3">
      <c r="B48" s="232"/>
      <c r="C48" s="250">
        <f t="shared" si="31"/>
        <v>2032</v>
      </c>
      <c r="D48" s="263">
        <f t="shared" ca="1" si="13"/>
        <v>0</v>
      </c>
      <c r="E48" s="263">
        <f t="shared" ca="1" si="7"/>
        <v>0</v>
      </c>
      <c r="F48" s="263">
        <f t="shared" ca="1" si="8"/>
        <v>0</v>
      </c>
      <c r="G48" s="263">
        <f ca="1">MIN($G$5*$AQ$7-SUM(G$29:G47),G47*(1-$G$8))</f>
        <v>0</v>
      </c>
      <c r="H48" s="15"/>
      <c r="I48" s="271">
        <f ca="1">Assumptions!$O$68</f>
        <v>4.5</v>
      </c>
      <c r="J48" s="271">
        <f ca="1">Assumptions!$P$68</f>
        <v>80</v>
      </c>
      <c r="K48" s="271">
        <f t="shared" ca="1" si="14"/>
        <v>40</v>
      </c>
      <c r="L48" s="15"/>
      <c r="M48" s="35">
        <f t="shared" ca="1" si="15"/>
        <v>4.2299999999999995</v>
      </c>
      <c r="N48" s="35">
        <f t="shared" ca="1" si="16"/>
        <v>64</v>
      </c>
      <c r="O48" s="35">
        <f t="shared" ca="1" si="17"/>
        <v>32</v>
      </c>
      <c r="P48" s="15"/>
      <c r="Q48" s="34">
        <f t="shared" ca="1" si="18"/>
        <v>0</v>
      </c>
      <c r="R48" s="34">
        <f t="shared" ca="1" si="18"/>
        <v>0</v>
      </c>
      <c r="S48" s="34">
        <f t="shared" ca="1" si="18"/>
        <v>0</v>
      </c>
      <c r="T48" s="34">
        <f t="shared" ca="1" si="19"/>
        <v>0</v>
      </c>
      <c r="U48" s="15"/>
      <c r="V48" s="35">
        <f t="shared" si="20"/>
        <v>0.7</v>
      </c>
      <c r="W48" s="34">
        <f t="shared" ca="1" si="21"/>
        <v>0</v>
      </c>
      <c r="X48" s="35">
        <f t="shared" si="22"/>
        <v>0.222</v>
      </c>
      <c r="Y48" s="34">
        <f t="shared" ca="1" si="23"/>
        <v>0</v>
      </c>
      <c r="Z48" s="35">
        <f t="shared" si="24"/>
        <v>0.34799999999999998</v>
      </c>
      <c r="AA48" s="34">
        <f t="shared" ca="1" si="25"/>
        <v>0</v>
      </c>
      <c r="AB48" s="34">
        <f t="shared" ca="1" si="26"/>
        <v>0</v>
      </c>
      <c r="AC48" s="15"/>
      <c r="AD48" s="34">
        <f t="shared" ca="1" si="27"/>
        <v>0</v>
      </c>
      <c r="AE48" s="34">
        <f t="shared" ca="1" si="9"/>
        <v>0</v>
      </c>
      <c r="AF48" s="34">
        <f t="shared" ca="1" si="28"/>
        <v>0</v>
      </c>
      <c r="AG48" s="15"/>
      <c r="AH48" s="273">
        <f t="shared" si="32"/>
        <v>48579</v>
      </c>
      <c r="AI48" s="267">
        <f t="shared" si="10"/>
        <v>18.666666666666668</v>
      </c>
      <c r="AJ48" s="267">
        <f t="shared" si="11"/>
        <v>0.16878604764847771</v>
      </c>
      <c r="AK48" s="34">
        <f t="shared" ca="1" si="33"/>
        <v>0</v>
      </c>
      <c r="AL48" s="233"/>
      <c r="AN48" s="232"/>
      <c r="AO48" s="17">
        <f t="shared" si="34"/>
        <v>2032</v>
      </c>
      <c r="AP48" s="333">
        <f t="shared" ca="1" si="12"/>
        <v>0</v>
      </c>
      <c r="AQ48" s="15"/>
      <c r="AR48" s="247">
        <f t="shared" ca="1" si="35"/>
        <v>0</v>
      </c>
      <c r="AS48" s="247">
        <f t="shared" ca="1" si="29"/>
        <v>0</v>
      </c>
      <c r="AT48" s="247">
        <f t="shared" ca="1" si="30"/>
        <v>0</v>
      </c>
      <c r="AU48" s="15"/>
      <c r="AV48" s="247">
        <f t="shared" ca="1" si="36"/>
        <v>0</v>
      </c>
      <c r="AW48" s="247">
        <f t="shared" ca="1" si="37"/>
        <v>0</v>
      </c>
      <c r="AX48" s="247">
        <f t="shared" ca="1" si="38"/>
        <v>0</v>
      </c>
      <c r="AY48" s="15"/>
      <c r="AZ48" s="247">
        <f t="shared" ca="1" si="39"/>
        <v>11</v>
      </c>
      <c r="BA48" s="247">
        <f t="shared" ca="1" si="40"/>
        <v>0</v>
      </c>
      <c r="BB48" s="247">
        <f t="shared" ca="1" si="41"/>
        <v>11</v>
      </c>
      <c r="BC48" s="15"/>
      <c r="BD48" s="15"/>
      <c r="BE48" s="15"/>
      <c r="BF48" s="15"/>
      <c r="BG48" s="15"/>
      <c r="BH48" s="15"/>
      <c r="BI48" s="15"/>
      <c r="BJ48" s="15"/>
      <c r="BK48" s="15"/>
      <c r="BL48" s="233"/>
    </row>
    <row r="49" spans="2:64" x14ac:dyDescent="0.3">
      <c r="B49" s="232"/>
      <c r="C49" s="250">
        <f t="shared" si="31"/>
        <v>2033</v>
      </c>
      <c r="D49" s="263">
        <f t="shared" ca="1" si="13"/>
        <v>0</v>
      </c>
      <c r="E49" s="263">
        <f t="shared" ca="1" si="7"/>
        <v>0</v>
      </c>
      <c r="F49" s="263">
        <f t="shared" ca="1" si="8"/>
        <v>0</v>
      </c>
      <c r="G49" s="263">
        <f ca="1">MIN($G$5*$AQ$7-SUM(G$29:G48),G48*(1-$G$8))</f>
        <v>0</v>
      </c>
      <c r="H49" s="15"/>
      <c r="I49" s="271">
        <f ca="1">Assumptions!$O$68</f>
        <v>4.5</v>
      </c>
      <c r="J49" s="271">
        <f ca="1">Assumptions!$P$68</f>
        <v>80</v>
      </c>
      <c r="K49" s="271">
        <f t="shared" ca="1" si="14"/>
        <v>40</v>
      </c>
      <c r="L49" s="15"/>
      <c r="M49" s="35">
        <f t="shared" ca="1" si="15"/>
        <v>4.2299999999999995</v>
      </c>
      <c r="N49" s="35">
        <f t="shared" ca="1" si="16"/>
        <v>64</v>
      </c>
      <c r="O49" s="35">
        <f t="shared" ca="1" si="17"/>
        <v>32</v>
      </c>
      <c r="P49" s="15"/>
      <c r="Q49" s="34">
        <f t="shared" ca="1" si="18"/>
        <v>0</v>
      </c>
      <c r="R49" s="34">
        <f t="shared" ca="1" si="18"/>
        <v>0</v>
      </c>
      <c r="S49" s="34">
        <f t="shared" ca="1" si="18"/>
        <v>0</v>
      </c>
      <c r="T49" s="34">
        <f t="shared" ca="1" si="19"/>
        <v>0</v>
      </c>
      <c r="U49" s="15"/>
      <c r="V49" s="35">
        <f t="shared" si="20"/>
        <v>0.7</v>
      </c>
      <c r="W49" s="34">
        <f t="shared" ca="1" si="21"/>
        <v>0</v>
      </c>
      <c r="X49" s="35">
        <f t="shared" si="22"/>
        <v>0.222</v>
      </c>
      <c r="Y49" s="34">
        <f t="shared" ca="1" si="23"/>
        <v>0</v>
      </c>
      <c r="Z49" s="35">
        <f t="shared" si="24"/>
        <v>0.34799999999999998</v>
      </c>
      <c r="AA49" s="34">
        <f t="shared" ca="1" si="25"/>
        <v>0</v>
      </c>
      <c r="AB49" s="34">
        <f t="shared" ca="1" si="26"/>
        <v>0</v>
      </c>
      <c r="AC49" s="15"/>
      <c r="AD49" s="34">
        <f t="shared" ca="1" si="27"/>
        <v>0</v>
      </c>
      <c r="AE49" s="34">
        <f t="shared" ca="1" si="9"/>
        <v>0</v>
      </c>
      <c r="AF49" s="34">
        <f t="shared" ca="1" si="28"/>
        <v>0</v>
      </c>
      <c r="AG49" s="15"/>
      <c r="AH49" s="273">
        <f t="shared" si="32"/>
        <v>48944</v>
      </c>
      <c r="AI49" s="267">
        <f t="shared" si="10"/>
        <v>19.666666666666668</v>
      </c>
      <c r="AJ49" s="267">
        <f t="shared" si="11"/>
        <v>0.15344186149861608</v>
      </c>
      <c r="AK49" s="34">
        <f t="shared" ca="1" si="33"/>
        <v>0</v>
      </c>
      <c r="AL49" s="233"/>
      <c r="AN49" s="232"/>
      <c r="AO49" s="17">
        <f t="shared" si="34"/>
        <v>2033</v>
      </c>
      <c r="AP49" s="333">
        <f t="shared" ca="1" si="12"/>
        <v>0</v>
      </c>
      <c r="AQ49" s="15"/>
      <c r="AR49" s="247">
        <f t="shared" ca="1" si="35"/>
        <v>0</v>
      </c>
      <c r="AS49" s="247">
        <f t="shared" ca="1" si="29"/>
        <v>0</v>
      </c>
      <c r="AT49" s="247">
        <f t="shared" ca="1" si="30"/>
        <v>0</v>
      </c>
      <c r="AU49" s="15"/>
      <c r="AV49" s="247">
        <f t="shared" ca="1" si="36"/>
        <v>0</v>
      </c>
      <c r="AW49" s="247">
        <f t="shared" ca="1" si="37"/>
        <v>0</v>
      </c>
      <c r="AX49" s="247">
        <f t="shared" ca="1" si="38"/>
        <v>0</v>
      </c>
      <c r="AY49" s="15"/>
      <c r="AZ49" s="247">
        <f t="shared" ca="1" si="39"/>
        <v>11</v>
      </c>
      <c r="BA49" s="247">
        <f t="shared" ca="1" si="40"/>
        <v>0</v>
      </c>
      <c r="BB49" s="247">
        <f t="shared" ca="1" si="41"/>
        <v>11</v>
      </c>
      <c r="BC49" s="15"/>
      <c r="BD49" s="15"/>
      <c r="BE49" s="15"/>
      <c r="BF49" s="15"/>
      <c r="BG49" s="15"/>
      <c r="BH49" s="15"/>
      <c r="BI49" s="15"/>
      <c r="BJ49" s="15"/>
      <c r="BK49" s="15"/>
      <c r="BL49" s="233"/>
    </row>
    <row r="50" spans="2:64" x14ac:dyDescent="0.3">
      <c r="B50" s="232"/>
      <c r="C50" s="250">
        <f t="shared" si="31"/>
        <v>2034</v>
      </c>
      <c r="D50" s="263">
        <f t="shared" ca="1" si="13"/>
        <v>0</v>
      </c>
      <c r="E50" s="263">
        <f t="shared" ca="1" si="7"/>
        <v>0</v>
      </c>
      <c r="F50" s="263">
        <f t="shared" ca="1" si="8"/>
        <v>0</v>
      </c>
      <c r="G50" s="263">
        <f ca="1">MIN($G$5*$AQ$7-SUM(G$29:G49),G49*(1-$G$8))</f>
        <v>0</v>
      </c>
      <c r="H50" s="15"/>
      <c r="I50" s="271">
        <f ca="1">Assumptions!$O$68</f>
        <v>4.5</v>
      </c>
      <c r="J50" s="271">
        <f ca="1">Assumptions!$P$68</f>
        <v>80</v>
      </c>
      <c r="K50" s="271">
        <f t="shared" ca="1" si="14"/>
        <v>40</v>
      </c>
      <c r="L50" s="15"/>
      <c r="M50" s="35">
        <f t="shared" ca="1" si="15"/>
        <v>4.2299999999999995</v>
      </c>
      <c r="N50" s="35">
        <f t="shared" ca="1" si="16"/>
        <v>64</v>
      </c>
      <c r="O50" s="35">
        <f t="shared" ca="1" si="17"/>
        <v>32</v>
      </c>
      <c r="P50" s="15"/>
      <c r="Q50" s="34">
        <f t="shared" ca="1" si="18"/>
        <v>0</v>
      </c>
      <c r="R50" s="34">
        <f t="shared" ca="1" si="18"/>
        <v>0</v>
      </c>
      <c r="S50" s="34">
        <f t="shared" ca="1" si="18"/>
        <v>0</v>
      </c>
      <c r="T50" s="34">
        <f t="shared" ca="1" si="19"/>
        <v>0</v>
      </c>
      <c r="U50" s="15"/>
      <c r="V50" s="35">
        <f t="shared" si="20"/>
        <v>0.7</v>
      </c>
      <c r="W50" s="34">
        <f t="shared" ca="1" si="21"/>
        <v>0</v>
      </c>
      <c r="X50" s="35">
        <f t="shared" si="22"/>
        <v>0.222</v>
      </c>
      <c r="Y50" s="34">
        <f t="shared" ca="1" si="23"/>
        <v>0</v>
      </c>
      <c r="Z50" s="35">
        <f t="shared" si="24"/>
        <v>0.34799999999999998</v>
      </c>
      <c r="AA50" s="34">
        <f t="shared" ca="1" si="25"/>
        <v>0</v>
      </c>
      <c r="AB50" s="34">
        <f t="shared" ca="1" si="26"/>
        <v>0</v>
      </c>
      <c r="AC50" s="15"/>
      <c r="AD50" s="34">
        <f t="shared" ca="1" si="27"/>
        <v>0</v>
      </c>
      <c r="AE50" s="34">
        <f t="shared" ca="1" si="9"/>
        <v>0</v>
      </c>
      <c r="AF50" s="34">
        <f t="shared" ca="1" si="28"/>
        <v>0</v>
      </c>
      <c r="AG50" s="15"/>
      <c r="AH50" s="273">
        <f t="shared" si="32"/>
        <v>49309</v>
      </c>
      <c r="AI50" s="267">
        <f t="shared" si="10"/>
        <v>20.666666666666668</v>
      </c>
      <c r="AJ50" s="267">
        <f t="shared" si="11"/>
        <v>0.13949260136237826</v>
      </c>
      <c r="AK50" s="34">
        <f t="shared" ca="1" si="33"/>
        <v>0</v>
      </c>
      <c r="AL50" s="233"/>
      <c r="AN50" s="232"/>
      <c r="AO50" s="17">
        <f t="shared" si="34"/>
        <v>2034</v>
      </c>
      <c r="AP50" s="333">
        <f t="shared" ca="1" si="12"/>
        <v>0</v>
      </c>
      <c r="AQ50" s="15"/>
      <c r="AR50" s="247">
        <f t="shared" ca="1" si="35"/>
        <v>0</v>
      </c>
      <c r="AS50" s="247">
        <f t="shared" ca="1" si="29"/>
        <v>0</v>
      </c>
      <c r="AT50" s="247">
        <f t="shared" ca="1" si="30"/>
        <v>0</v>
      </c>
      <c r="AU50" s="15"/>
      <c r="AV50" s="247">
        <f t="shared" ca="1" si="36"/>
        <v>0</v>
      </c>
      <c r="AW50" s="247">
        <f t="shared" ca="1" si="37"/>
        <v>0</v>
      </c>
      <c r="AX50" s="247">
        <f t="shared" ca="1" si="38"/>
        <v>0</v>
      </c>
      <c r="AY50" s="15"/>
      <c r="AZ50" s="247">
        <f t="shared" ca="1" si="39"/>
        <v>11</v>
      </c>
      <c r="BA50" s="247">
        <f t="shared" ca="1" si="40"/>
        <v>0</v>
      </c>
      <c r="BB50" s="247">
        <f t="shared" ca="1" si="41"/>
        <v>11</v>
      </c>
      <c r="BC50" s="15"/>
      <c r="BD50" s="15"/>
      <c r="BE50" s="15"/>
      <c r="BF50" s="15"/>
      <c r="BG50" s="15"/>
      <c r="BH50" s="15"/>
      <c r="BI50" s="15"/>
      <c r="BJ50" s="15"/>
      <c r="BK50" s="15"/>
      <c r="BL50" s="233"/>
    </row>
    <row r="51" spans="2:64" x14ac:dyDescent="0.3">
      <c r="B51" s="232"/>
      <c r="C51" s="250">
        <f t="shared" si="31"/>
        <v>2035</v>
      </c>
      <c r="D51" s="263">
        <f t="shared" ca="1" si="13"/>
        <v>0</v>
      </c>
      <c r="E51" s="263">
        <f t="shared" ca="1" si="7"/>
        <v>0</v>
      </c>
      <c r="F51" s="263">
        <f t="shared" ca="1" si="8"/>
        <v>0</v>
      </c>
      <c r="G51" s="263">
        <f ca="1">MIN($G$5*$AQ$7-SUM(G$29:G50),G50*(1-$G$8))</f>
        <v>0</v>
      </c>
      <c r="H51" s="15"/>
      <c r="I51" s="271">
        <f ca="1">Assumptions!$O$68</f>
        <v>4.5</v>
      </c>
      <c r="J51" s="271">
        <f ca="1">Assumptions!$P$68</f>
        <v>80</v>
      </c>
      <c r="K51" s="271">
        <f t="shared" ca="1" si="14"/>
        <v>40</v>
      </c>
      <c r="L51" s="15"/>
      <c r="M51" s="35">
        <f t="shared" ca="1" si="15"/>
        <v>4.2299999999999995</v>
      </c>
      <c r="N51" s="35">
        <f t="shared" ca="1" si="16"/>
        <v>64</v>
      </c>
      <c r="O51" s="35">
        <f t="shared" ca="1" si="17"/>
        <v>32</v>
      </c>
      <c r="P51" s="15"/>
      <c r="Q51" s="34">
        <f t="shared" ca="1" si="18"/>
        <v>0</v>
      </c>
      <c r="R51" s="34">
        <f t="shared" ca="1" si="18"/>
        <v>0</v>
      </c>
      <c r="S51" s="34">
        <f t="shared" ca="1" si="18"/>
        <v>0</v>
      </c>
      <c r="T51" s="34">
        <f t="shared" ca="1" si="19"/>
        <v>0</v>
      </c>
      <c r="U51" s="15"/>
      <c r="V51" s="35">
        <f t="shared" si="20"/>
        <v>0.7</v>
      </c>
      <c r="W51" s="34">
        <f t="shared" ca="1" si="21"/>
        <v>0</v>
      </c>
      <c r="X51" s="35">
        <f t="shared" si="22"/>
        <v>0.222</v>
      </c>
      <c r="Y51" s="34">
        <f t="shared" ca="1" si="23"/>
        <v>0</v>
      </c>
      <c r="Z51" s="35">
        <f t="shared" si="24"/>
        <v>0.34799999999999998</v>
      </c>
      <c r="AA51" s="34">
        <f t="shared" ca="1" si="25"/>
        <v>0</v>
      </c>
      <c r="AB51" s="34">
        <f t="shared" ca="1" si="26"/>
        <v>0</v>
      </c>
      <c r="AC51" s="15"/>
      <c r="AD51" s="34">
        <f t="shared" ca="1" si="27"/>
        <v>0</v>
      </c>
      <c r="AE51" s="34">
        <f t="shared" ca="1" si="9"/>
        <v>0</v>
      </c>
      <c r="AF51" s="34">
        <f t="shared" ca="1" si="28"/>
        <v>0</v>
      </c>
      <c r="AG51" s="15"/>
      <c r="AH51" s="273">
        <f t="shared" si="32"/>
        <v>49674</v>
      </c>
      <c r="AI51" s="267">
        <f t="shared" si="10"/>
        <v>21.666666666666668</v>
      </c>
      <c r="AJ51" s="267">
        <f t="shared" si="11"/>
        <v>0.12681145578398023</v>
      </c>
      <c r="AK51" s="34">
        <f t="shared" ca="1" si="33"/>
        <v>0</v>
      </c>
      <c r="AL51" s="233"/>
      <c r="AN51" s="232"/>
      <c r="AO51" s="17">
        <f t="shared" si="34"/>
        <v>2035</v>
      </c>
      <c r="AP51" s="333">
        <f t="shared" ca="1" si="12"/>
        <v>0</v>
      </c>
      <c r="AQ51" s="15"/>
      <c r="AR51" s="247">
        <f t="shared" ca="1" si="35"/>
        <v>0</v>
      </c>
      <c r="AS51" s="247">
        <f t="shared" ca="1" si="29"/>
        <v>0</v>
      </c>
      <c r="AT51" s="247">
        <f t="shared" ca="1" si="30"/>
        <v>0</v>
      </c>
      <c r="AU51" s="15"/>
      <c r="AV51" s="247">
        <f t="shared" ca="1" si="36"/>
        <v>0</v>
      </c>
      <c r="AW51" s="247">
        <f t="shared" ca="1" si="37"/>
        <v>0</v>
      </c>
      <c r="AX51" s="247">
        <f t="shared" ca="1" si="38"/>
        <v>0</v>
      </c>
      <c r="AY51" s="15"/>
      <c r="AZ51" s="247">
        <f t="shared" ca="1" si="39"/>
        <v>11</v>
      </c>
      <c r="BA51" s="247">
        <f t="shared" ca="1" si="40"/>
        <v>0</v>
      </c>
      <c r="BB51" s="247">
        <f t="shared" ca="1" si="41"/>
        <v>11</v>
      </c>
      <c r="BC51" s="15"/>
      <c r="BD51" s="15"/>
      <c r="BE51" s="15"/>
      <c r="BF51" s="15"/>
      <c r="BG51" s="15"/>
      <c r="BH51" s="15"/>
      <c r="BI51" s="15"/>
      <c r="BJ51" s="15"/>
      <c r="BK51" s="15"/>
      <c r="BL51" s="233"/>
    </row>
    <row r="52" spans="2:64" x14ac:dyDescent="0.3">
      <c r="B52" s="232"/>
      <c r="C52" s="250">
        <f t="shared" si="31"/>
        <v>2036</v>
      </c>
      <c r="D52" s="263">
        <f t="shared" ca="1" si="13"/>
        <v>0</v>
      </c>
      <c r="E52" s="263">
        <f t="shared" ca="1" si="7"/>
        <v>0</v>
      </c>
      <c r="F52" s="263">
        <f t="shared" ca="1" si="8"/>
        <v>0</v>
      </c>
      <c r="G52" s="263">
        <f ca="1">MIN($G$5*$AQ$7-SUM(G$29:G51),G51*(1-$G$8))</f>
        <v>0</v>
      </c>
      <c r="H52" s="15"/>
      <c r="I52" s="271">
        <f ca="1">Assumptions!$O$68</f>
        <v>4.5</v>
      </c>
      <c r="J52" s="271">
        <f ca="1">Assumptions!$P$68</f>
        <v>80</v>
      </c>
      <c r="K52" s="271">
        <f t="shared" ca="1" si="14"/>
        <v>40</v>
      </c>
      <c r="L52" s="15"/>
      <c r="M52" s="35">
        <f t="shared" ca="1" si="15"/>
        <v>4.2299999999999995</v>
      </c>
      <c r="N52" s="35">
        <f t="shared" ca="1" si="16"/>
        <v>64</v>
      </c>
      <c r="O52" s="35">
        <f t="shared" ca="1" si="17"/>
        <v>32</v>
      </c>
      <c r="P52" s="15"/>
      <c r="Q52" s="34">
        <f t="shared" ca="1" si="18"/>
        <v>0</v>
      </c>
      <c r="R52" s="34">
        <f t="shared" ca="1" si="18"/>
        <v>0</v>
      </c>
      <c r="S52" s="34">
        <f t="shared" ca="1" si="18"/>
        <v>0</v>
      </c>
      <c r="T52" s="34">
        <f t="shared" ca="1" si="19"/>
        <v>0</v>
      </c>
      <c r="U52" s="15"/>
      <c r="V52" s="35">
        <f t="shared" si="20"/>
        <v>0.7</v>
      </c>
      <c r="W52" s="34">
        <f t="shared" ca="1" si="21"/>
        <v>0</v>
      </c>
      <c r="X52" s="35">
        <f t="shared" si="22"/>
        <v>0.222</v>
      </c>
      <c r="Y52" s="34">
        <f t="shared" ca="1" si="23"/>
        <v>0</v>
      </c>
      <c r="Z52" s="35">
        <f t="shared" si="24"/>
        <v>0.34799999999999998</v>
      </c>
      <c r="AA52" s="34">
        <f t="shared" ca="1" si="25"/>
        <v>0</v>
      </c>
      <c r="AB52" s="34">
        <f t="shared" ca="1" si="26"/>
        <v>0</v>
      </c>
      <c r="AC52" s="15"/>
      <c r="AD52" s="34">
        <f t="shared" ca="1" si="27"/>
        <v>0</v>
      </c>
      <c r="AE52" s="34">
        <f t="shared" ca="1" si="9"/>
        <v>0</v>
      </c>
      <c r="AF52" s="34">
        <f t="shared" ca="1" si="28"/>
        <v>0</v>
      </c>
      <c r="AG52" s="15"/>
      <c r="AH52" s="273">
        <f t="shared" si="32"/>
        <v>50040</v>
      </c>
      <c r="AI52" s="267">
        <f t="shared" si="10"/>
        <v>22.666666666666668</v>
      </c>
      <c r="AJ52" s="267">
        <f t="shared" si="11"/>
        <v>0.11528314162180023</v>
      </c>
      <c r="AK52" s="34">
        <f t="shared" ca="1" si="33"/>
        <v>0</v>
      </c>
      <c r="AL52" s="233"/>
      <c r="AN52" s="232"/>
      <c r="AO52" s="17">
        <f t="shared" si="34"/>
        <v>2036</v>
      </c>
      <c r="AP52" s="333">
        <f t="shared" ca="1" si="12"/>
        <v>0</v>
      </c>
      <c r="AQ52" s="15"/>
      <c r="AR52" s="247">
        <f t="shared" ca="1" si="35"/>
        <v>0</v>
      </c>
      <c r="AS52" s="247">
        <f t="shared" ca="1" si="29"/>
        <v>0</v>
      </c>
      <c r="AT52" s="247">
        <f t="shared" ca="1" si="30"/>
        <v>0</v>
      </c>
      <c r="AU52" s="15"/>
      <c r="AV52" s="247">
        <f t="shared" ca="1" si="36"/>
        <v>0</v>
      </c>
      <c r="AW52" s="247">
        <f t="shared" ca="1" si="37"/>
        <v>0</v>
      </c>
      <c r="AX52" s="247">
        <f t="shared" ca="1" si="38"/>
        <v>0</v>
      </c>
      <c r="AY52" s="15"/>
      <c r="AZ52" s="247">
        <f t="shared" ca="1" si="39"/>
        <v>11</v>
      </c>
      <c r="BA52" s="247">
        <f t="shared" ca="1" si="40"/>
        <v>0</v>
      </c>
      <c r="BB52" s="247">
        <f t="shared" ca="1" si="41"/>
        <v>11</v>
      </c>
      <c r="BC52" s="15"/>
      <c r="BD52" s="15"/>
      <c r="BE52" s="15"/>
      <c r="BF52" s="15"/>
      <c r="BG52" s="15"/>
      <c r="BH52" s="15"/>
      <c r="BI52" s="15"/>
      <c r="BJ52" s="15"/>
      <c r="BK52" s="15"/>
      <c r="BL52" s="233"/>
    </row>
    <row r="53" spans="2:64" x14ac:dyDescent="0.3">
      <c r="B53" s="232"/>
      <c r="C53" s="250">
        <f t="shared" si="31"/>
        <v>2037</v>
      </c>
      <c r="D53" s="263">
        <f t="shared" ca="1" si="13"/>
        <v>0</v>
      </c>
      <c r="E53" s="263">
        <f t="shared" ca="1" si="7"/>
        <v>0</v>
      </c>
      <c r="F53" s="263">
        <f t="shared" ca="1" si="8"/>
        <v>0</v>
      </c>
      <c r="G53" s="263">
        <f ca="1">MIN($G$5*$AQ$7-SUM(G$29:G52),G52*(1-$G$8))</f>
        <v>0</v>
      </c>
      <c r="H53" s="15"/>
      <c r="I53" s="271">
        <f ca="1">Assumptions!$O$68</f>
        <v>4.5</v>
      </c>
      <c r="J53" s="271">
        <f ca="1">Assumptions!$P$68</f>
        <v>80</v>
      </c>
      <c r="K53" s="271">
        <f t="shared" ca="1" si="14"/>
        <v>40</v>
      </c>
      <c r="L53" s="15"/>
      <c r="M53" s="35">
        <f t="shared" ca="1" si="15"/>
        <v>4.2299999999999995</v>
      </c>
      <c r="N53" s="35">
        <f t="shared" ca="1" si="16"/>
        <v>64</v>
      </c>
      <c r="O53" s="35">
        <f t="shared" ca="1" si="17"/>
        <v>32</v>
      </c>
      <c r="P53" s="15"/>
      <c r="Q53" s="34">
        <f t="shared" ca="1" si="18"/>
        <v>0</v>
      </c>
      <c r="R53" s="34">
        <f t="shared" ca="1" si="18"/>
        <v>0</v>
      </c>
      <c r="S53" s="34">
        <f t="shared" ca="1" si="18"/>
        <v>0</v>
      </c>
      <c r="T53" s="34">
        <f t="shared" ca="1" si="19"/>
        <v>0</v>
      </c>
      <c r="U53" s="15"/>
      <c r="V53" s="35">
        <f t="shared" si="20"/>
        <v>0.7</v>
      </c>
      <c r="W53" s="34">
        <f t="shared" ca="1" si="21"/>
        <v>0</v>
      </c>
      <c r="X53" s="35">
        <f t="shared" si="22"/>
        <v>0.222</v>
      </c>
      <c r="Y53" s="34">
        <f t="shared" ca="1" si="23"/>
        <v>0</v>
      </c>
      <c r="Z53" s="35">
        <f t="shared" si="24"/>
        <v>0.34799999999999998</v>
      </c>
      <c r="AA53" s="34">
        <f t="shared" ca="1" si="25"/>
        <v>0</v>
      </c>
      <c r="AB53" s="34">
        <f t="shared" ca="1" si="26"/>
        <v>0</v>
      </c>
      <c r="AC53" s="15"/>
      <c r="AD53" s="34">
        <f t="shared" ca="1" si="27"/>
        <v>0</v>
      </c>
      <c r="AE53" s="34">
        <f t="shared" ca="1" si="9"/>
        <v>0</v>
      </c>
      <c r="AF53" s="34">
        <f t="shared" ca="1" si="28"/>
        <v>0</v>
      </c>
      <c r="AG53" s="15"/>
      <c r="AH53" s="273">
        <f t="shared" si="32"/>
        <v>50405</v>
      </c>
      <c r="AI53" s="267">
        <f t="shared" si="10"/>
        <v>23.666666666666668</v>
      </c>
      <c r="AJ53" s="267">
        <f t="shared" si="11"/>
        <v>0.10480285601981834</v>
      </c>
      <c r="AK53" s="34">
        <f t="shared" ca="1" si="33"/>
        <v>0</v>
      </c>
      <c r="AL53" s="233"/>
      <c r="AN53" s="232"/>
      <c r="AO53" s="17">
        <f t="shared" si="34"/>
        <v>2037</v>
      </c>
      <c r="AP53" s="333">
        <f t="shared" ca="1" si="12"/>
        <v>0</v>
      </c>
      <c r="AQ53" s="15"/>
      <c r="AR53" s="247">
        <f t="shared" ca="1" si="35"/>
        <v>0</v>
      </c>
      <c r="AS53" s="247">
        <f t="shared" ca="1" si="29"/>
        <v>0</v>
      </c>
      <c r="AT53" s="247">
        <f t="shared" ca="1" si="30"/>
        <v>0</v>
      </c>
      <c r="AU53" s="15"/>
      <c r="AV53" s="247">
        <f t="shared" ca="1" si="36"/>
        <v>0</v>
      </c>
      <c r="AW53" s="247">
        <f t="shared" ca="1" si="37"/>
        <v>0</v>
      </c>
      <c r="AX53" s="247">
        <f t="shared" ca="1" si="38"/>
        <v>0</v>
      </c>
      <c r="AY53" s="15"/>
      <c r="AZ53" s="247">
        <f t="shared" ca="1" si="39"/>
        <v>11</v>
      </c>
      <c r="BA53" s="247">
        <f t="shared" ca="1" si="40"/>
        <v>0</v>
      </c>
      <c r="BB53" s="247">
        <f t="shared" ca="1" si="41"/>
        <v>11</v>
      </c>
      <c r="BC53" s="15"/>
      <c r="BD53" s="15"/>
      <c r="BE53" s="15"/>
      <c r="BF53" s="15"/>
      <c r="BG53" s="15"/>
      <c r="BH53" s="15"/>
      <c r="BI53" s="15"/>
      <c r="BJ53" s="15"/>
      <c r="BK53" s="15"/>
      <c r="BL53" s="233"/>
    </row>
    <row r="54" spans="2:64" x14ac:dyDescent="0.3">
      <c r="B54" s="232"/>
      <c r="C54" s="250">
        <f t="shared" si="31"/>
        <v>2038</v>
      </c>
      <c r="D54" s="263">
        <f t="shared" ca="1" si="13"/>
        <v>0</v>
      </c>
      <c r="E54" s="263">
        <f t="shared" ca="1" si="7"/>
        <v>0</v>
      </c>
      <c r="F54" s="263">
        <f t="shared" ca="1" si="8"/>
        <v>0</v>
      </c>
      <c r="G54" s="263">
        <f ca="1">MIN($G$5*$AQ$7-SUM(G$29:G53),G53*(1-$G$8))</f>
        <v>0</v>
      </c>
      <c r="H54" s="15"/>
      <c r="I54" s="271">
        <f ca="1">Assumptions!$O$68</f>
        <v>4.5</v>
      </c>
      <c r="J54" s="271">
        <f ca="1">Assumptions!$P$68</f>
        <v>80</v>
      </c>
      <c r="K54" s="271">
        <f t="shared" ca="1" si="14"/>
        <v>40</v>
      </c>
      <c r="L54" s="15"/>
      <c r="M54" s="35">
        <f t="shared" ca="1" si="15"/>
        <v>4.2299999999999995</v>
      </c>
      <c r="N54" s="35">
        <f t="shared" ca="1" si="16"/>
        <v>64</v>
      </c>
      <c r="O54" s="35">
        <f t="shared" ca="1" si="17"/>
        <v>32</v>
      </c>
      <c r="P54" s="15"/>
      <c r="Q54" s="34">
        <f t="shared" ca="1" si="18"/>
        <v>0</v>
      </c>
      <c r="R54" s="34">
        <f t="shared" ca="1" si="18"/>
        <v>0</v>
      </c>
      <c r="S54" s="34">
        <f t="shared" ca="1" si="18"/>
        <v>0</v>
      </c>
      <c r="T54" s="34">
        <f t="shared" ca="1" si="19"/>
        <v>0</v>
      </c>
      <c r="U54" s="15"/>
      <c r="V54" s="35">
        <f t="shared" si="20"/>
        <v>0.7</v>
      </c>
      <c r="W54" s="34">
        <f t="shared" ca="1" si="21"/>
        <v>0</v>
      </c>
      <c r="X54" s="35">
        <f t="shared" si="22"/>
        <v>0.222</v>
      </c>
      <c r="Y54" s="34">
        <f t="shared" ca="1" si="23"/>
        <v>0</v>
      </c>
      <c r="Z54" s="35">
        <f t="shared" si="24"/>
        <v>0.34799999999999998</v>
      </c>
      <c r="AA54" s="34">
        <f t="shared" ca="1" si="25"/>
        <v>0</v>
      </c>
      <c r="AB54" s="34">
        <f t="shared" ca="1" si="26"/>
        <v>0</v>
      </c>
      <c r="AC54" s="15"/>
      <c r="AD54" s="34">
        <f t="shared" ca="1" si="27"/>
        <v>0</v>
      </c>
      <c r="AE54" s="34">
        <f t="shared" ca="1" si="9"/>
        <v>0</v>
      </c>
      <c r="AF54" s="34">
        <f t="shared" ca="1" si="28"/>
        <v>0</v>
      </c>
      <c r="AG54" s="15"/>
      <c r="AH54" s="273">
        <f t="shared" si="32"/>
        <v>50770</v>
      </c>
      <c r="AI54" s="267">
        <f t="shared" si="10"/>
        <v>24.666666666666668</v>
      </c>
      <c r="AJ54" s="267">
        <f t="shared" si="11"/>
        <v>9.5275323654380323E-2</v>
      </c>
      <c r="AK54" s="34">
        <f t="shared" ca="1" si="33"/>
        <v>0</v>
      </c>
      <c r="AL54" s="233"/>
      <c r="AN54" s="232"/>
      <c r="AO54" s="17">
        <f t="shared" si="34"/>
        <v>2038</v>
      </c>
      <c r="AP54" s="333">
        <f t="shared" ca="1" si="12"/>
        <v>0</v>
      </c>
      <c r="AQ54" s="15"/>
      <c r="AR54" s="247">
        <f t="shared" ca="1" si="35"/>
        <v>0</v>
      </c>
      <c r="AS54" s="247">
        <f t="shared" ca="1" si="29"/>
        <v>0</v>
      </c>
      <c r="AT54" s="247">
        <f t="shared" ca="1" si="30"/>
        <v>0</v>
      </c>
      <c r="AU54" s="15"/>
      <c r="AV54" s="247">
        <f t="shared" ca="1" si="36"/>
        <v>0</v>
      </c>
      <c r="AW54" s="247">
        <f t="shared" ca="1" si="37"/>
        <v>0</v>
      </c>
      <c r="AX54" s="247">
        <f t="shared" ca="1" si="38"/>
        <v>0</v>
      </c>
      <c r="AY54" s="15"/>
      <c r="AZ54" s="247">
        <f t="shared" ca="1" si="39"/>
        <v>11</v>
      </c>
      <c r="BA54" s="247">
        <f t="shared" ca="1" si="40"/>
        <v>0</v>
      </c>
      <c r="BB54" s="247">
        <f t="shared" ca="1" si="41"/>
        <v>11</v>
      </c>
      <c r="BC54" s="15"/>
      <c r="BD54" s="15"/>
      <c r="BE54" s="15"/>
      <c r="BF54" s="15"/>
      <c r="BG54" s="15"/>
      <c r="BH54" s="15"/>
      <c r="BI54" s="15"/>
      <c r="BJ54" s="15"/>
      <c r="BK54" s="15"/>
      <c r="BL54" s="233"/>
    </row>
    <row r="55" spans="2:64" x14ac:dyDescent="0.3">
      <c r="B55" s="232"/>
      <c r="C55" s="250">
        <f t="shared" si="31"/>
        <v>2039</v>
      </c>
      <c r="D55" s="263">
        <f t="shared" ca="1" si="13"/>
        <v>0</v>
      </c>
      <c r="E55" s="263">
        <f t="shared" ca="1" si="7"/>
        <v>0</v>
      </c>
      <c r="F55" s="263">
        <f t="shared" ca="1" si="8"/>
        <v>0</v>
      </c>
      <c r="G55" s="263">
        <f ca="1">MIN($G$5*$AQ$7-SUM(G$29:G54),G54*(1-$G$8))</f>
        <v>0</v>
      </c>
      <c r="H55" s="15"/>
      <c r="I55" s="271">
        <f ca="1">Assumptions!$O$68</f>
        <v>4.5</v>
      </c>
      <c r="J55" s="271">
        <f ca="1">Assumptions!$P$68</f>
        <v>80</v>
      </c>
      <c r="K55" s="271">
        <f t="shared" ca="1" si="14"/>
        <v>40</v>
      </c>
      <c r="L55" s="15"/>
      <c r="M55" s="35">
        <f t="shared" ca="1" si="15"/>
        <v>4.2299999999999995</v>
      </c>
      <c r="N55" s="35">
        <f t="shared" ca="1" si="16"/>
        <v>64</v>
      </c>
      <c r="O55" s="35">
        <f t="shared" ca="1" si="17"/>
        <v>32</v>
      </c>
      <c r="P55" s="15"/>
      <c r="Q55" s="34">
        <f t="shared" ca="1" si="18"/>
        <v>0</v>
      </c>
      <c r="R55" s="34">
        <f t="shared" ca="1" si="18"/>
        <v>0</v>
      </c>
      <c r="S55" s="34">
        <f t="shared" ca="1" si="18"/>
        <v>0</v>
      </c>
      <c r="T55" s="34">
        <f t="shared" ca="1" si="19"/>
        <v>0</v>
      </c>
      <c r="U55" s="15"/>
      <c r="V55" s="35">
        <f t="shared" si="20"/>
        <v>0.7</v>
      </c>
      <c r="W55" s="34">
        <f t="shared" ca="1" si="21"/>
        <v>0</v>
      </c>
      <c r="X55" s="35">
        <f t="shared" si="22"/>
        <v>0.222</v>
      </c>
      <c r="Y55" s="34">
        <f t="shared" ca="1" si="23"/>
        <v>0</v>
      </c>
      <c r="Z55" s="35">
        <f t="shared" si="24"/>
        <v>0.34799999999999998</v>
      </c>
      <c r="AA55" s="34">
        <f t="shared" ca="1" si="25"/>
        <v>0</v>
      </c>
      <c r="AB55" s="34">
        <f t="shared" ca="1" si="26"/>
        <v>0</v>
      </c>
      <c r="AC55" s="15"/>
      <c r="AD55" s="34">
        <f t="shared" ca="1" si="27"/>
        <v>0</v>
      </c>
      <c r="AE55" s="34">
        <f t="shared" ca="1" si="9"/>
        <v>0</v>
      </c>
      <c r="AF55" s="34">
        <f t="shared" ca="1" si="28"/>
        <v>0</v>
      </c>
      <c r="AG55" s="15"/>
      <c r="AH55" s="273">
        <f t="shared" si="32"/>
        <v>51135</v>
      </c>
      <c r="AI55" s="267">
        <f t="shared" si="10"/>
        <v>25.666666666666668</v>
      </c>
      <c r="AJ55" s="267">
        <f t="shared" si="11"/>
        <v>8.661393059489117E-2</v>
      </c>
      <c r="AK55" s="34">
        <f t="shared" ca="1" si="33"/>
        <v>0</v>
      </c>
      <c r="AL55" s="233"/>
      <c r="AN55" s="232"/>
      <c r="AO55" s="17">
        <f t="shared" si="34"/>
        <v>2039</v>
      </c>
      <c r="AP55" s="333">
        <f t="shared" ca="1" si="12"/>
        <v>0</v>
      </c>
      <c r="AQ55" s="15"/>
      <c r="AR55" s="247">
        <f t="shared" ca="1" si="35"/>
        <v>0</v>
      </c>
      <c r="AS55" s="247">
        <f t="shared" ca="1" si="29"/>
        <v>0</v>
      </c>
      <c r="AT55" s="247">
        <f t="shared" ca="1" si="30"/>
        <v>0</v>
      </c>
      <c r="AU55" s="15"/>
      <c r="AV55" s="247">
        <f t="shared" ca="1" si="36"/>
        <v>0</v>
      </c>
      <c r="AW55" s="247">
        <f t="shared" ca="1" si="37"/>
        <v>0</v>
      </c>
      <c r="AX55" s="247">
        <f t="shared" ca="1" si="38"/>
        <v>0</v>
      </c>
      <c r="AY55" s="15"/>
      <c r="AZ55" s="247">
        <f t="shared" ca="1" si="39"/>
        <v>11</v>
      </c>
      <c r="BA55" s="247">
        <f t="shared" ca="1" si="40"/>
        <v>0</v>
      </c>
      <c r="BB55" s="247">
        <f t="shared" ca="1" si="41"/>
        <v>11</v>
      </c>
      <c r="BC55" s="15"/>
      <c r="BD55" s="15"/>
      <c r="BE55" s="15"/>
      <c r="BF55" s="15"/>
      <c r="BG55" s="15"/>
      <c r="BH55" s="15"/>
      <c r="BI55" s="15"/>
      <c r="BJ55" s="15"/>
      <c r="BK55" s="15"/>
      <c r="BL55" s="233"/>
    </row>
    <row r="56" spans="2:64" x14ac:dyDescent="0.3">
      <c r="B56" s="232"/>
      <c r="C56" s="250">
        <f t="shared" si="31"/>
        <v>2040</v>
      </c>
      <c r="D56" s="263">
        <f t="shared" ca="1" si="13"/>
        <v>0</v>
      </c>
      <c r="E56" s="263">
        <f t="shared" ca="1" si="7"/>
        <v>0</v>
      </c>
      <c r="F56" s="263">
        <f t="shared" ca="1" si="8"/>
        <v>0</v>
      </c>
      <c r="G56" s="263">
        <f ca="1">MIN($G$5*$AQ$7-SUM(G$29:G55),G55*(1-$G$8))</f>
        <v>0</v>
      </c>
      <c r="H56" s="15"/>
      <c r="I56" s="271">
        <f ca="1">Assumptions!$O$68</f>
        <v>4.5</v>
      </c>
      <c r="J56" s="271">
        <f ca="1">Assumptions!$P$68</f>
        <v>80</v>
      </c>
      <c r="K56" s="271">
        <f t="shared" ca="1" si="14"/>
        <v>40</v>
      </c>
      <c r="L56" s="15"/>
      <c r="M56" s="35">
        <f t="shared" ca="1" si="15"/>
        <v>4.2299999999999995</v>
      </c>
      <c r="N56" s="35">
        <f t="shared" ca="1" si="16"/>
        <v>64</v>
      </c>
      <c r="O56" s="35">
        <f t="shared" ca="1" si="17"/>
        <v>32</v>
      </c>
      <c r="P56" s="15"/>
      <c r="Q56" s="34">
        <f t="shared" ca="1" si="18"/>
        <v>0</v>
      </c>
      <c r="R56" s="34">
        <f t="shared" ca="1" si="18"/>
        <v>0</v>
      </c>
      <c r="S56" s="34">
        <f t="shared" ca="1" si="18"/>
        <v>0</v>
      </c>
      <c r="T56" s="34">
        <f t="shared" ca="1" si="19"/>
        <v>0</v>
      </c>
      <c r="U56" s="15"/>
      <c r="V56" s="35">
        <f t="shared" si="20"/>
        <v>0.7</v>
      </c>
      <c r="W56" s="34">
        <f t="shared" ca="1" si="21"/>
        <v>0</v>
      </c>
      <c r="X56" s="35">
        <f t="shared" si="22"/>
        <v>0.222</v>
      </c>
      <c r="Y56" s="34">
        <f t="shared" ca="1" si="23"/>
        <v>0</v>
      </c>
      <c r="Z56" s="35">
        <f t="shared" si="24"/>
        <v>0.34799999999999998</v>
      </c>
      <c r="AA56" s="34">
        <f t="shared" ca="1" si="25"/>
        <v>0</v>
      </c>
      <c r="AB56" s="34">
        <f t="shared" ca="1" si="26"/>
        <v>0</v>
      </c>
      <c r="AC56" s="15"/>
      <c r="AD56" s="34">
        <f t="shared" ca="1" si="27"/>
        <v>0</v>
      </c>
      <c r="AE56" s="34">
        <f t="shared" ca="1" si="9"/>
        <v>0</v>
      </c>
      <c r="AF56" s="34">
        <f t="shared" ca="1" si="28"/>
        <v>0</v>
      </c>
      <c r="AG56" s="15"/>
      <c r="AH56" s="273">
        <f t="shared" si="32"/>
        <v>51501</v>
      </c>
      <c r="AI56" s="267">
        <f t="shared" si="10"/>
        <v>26.666666666666668</v>
      </c>
      <c r="AJ56" s="267">
        <f t="shared" si="11"/>
        <v>7.8739936904446528E-2</v>
      </c>
      <c r="AK56" s="34">
        <f t="shared" ca="1" si="33"/>
        <v>0</v>
      </c>
      <c r="AL56" s="233"/>
      <c r="AN56" s="232"/>
      <c r="AO56" s="17">
        <f t="shared" si="34"/>
        <v>2040</v>
      </c>
      <c r="AP56" s="333">
        <f t="shared" ca="1" si="12"/>
        <v>0</v>
      </c>
      <c r="AQ56" s="15"/>
      <c r="AR56" s="247">
        <f t="shared" ca="1" si="35"/>
        <v>0</v>
      </c>
      <c r="AS56" s="247">
        <f t="shared" ca="1" si="29"/>
        <v>0</v>
      </c>
      <c r="AT56" s="247">
        <f t="shared" ca="1" si="30"/>
        <v>0</v>
      </c>
      <c r="AU56" s="15"/>
      <c r="AV56" s="247">
        <f t="shared" ca="1" si="36"/>
        <v>0</v>
      </c>
      <c r="AW56" s="247">
        <f t="shared" ca="1" si="37"/>
        <v>0</v>
      </c>
      <c r="AX56" s="247">
        <f t="shared" ca="1" si="38"/>
        <v>0</v>
      </c>
      <c r="AY56" s="15"/>
      <c r="AZ56" s="247">
        <f t="shared" ca="1" si="39"/>
        <v>11</v>
      </c>
      <c r="BA56" s="247">
        <f t="shared" ca="1" si="40"/>
        <v>0</v>
      </c>
      <c r="BB56" s="247">
        <f t="shared" ca="1" si="41"/>
        <v>11</v>
      </c>
      <c r="BC56" s="15"/>
      <c r="BD56" s="15"/>
      <c r="BE56" s="15"/>
      <c r="BF56" s="15"/>
      <c r="BG56" s="15"/>
      <c r="BH56" s="15"/>
      <c r="BI56" s="15"/>
      <c r="BJ56" s="15"/>
      <c r="BK56" s="15"/>
      <c r="BL56" s="233"/>
    </row>
    <row r="57" spans="2:64" x14ac:dyDescent="0.3">
      <c r="B57" s="232"/>
      <c r="C57" s="250">
        <f t="shared" si="31"/>
        <v>2041</v>
      </c>
      <c r="D57" s="263">
        <f t="shared" ca="1" si="13"/>
        <v>0</v>
      </c>
      <c r="E57" s="263">
        <f t="shared" ca="1" si="7"/>
        <v>0</v>
      </c>
      <c r="F57" s="263">
        <f t="shared" ca="1" si="8"/>
        <v>0</v>
      </c>
      <c r="G57" s="263">
        <f ca="1">MIN($G$5*$AQ$7-SUM(G$29:G56),G56*(1-$G$8))</f>
        <v>0</v>
      </c>
      <c r="H57" s="15"/>
      <c r="I57" s="271">
        <f ca="1">Assumptions!$O$68</f>
        <v>4.5</v>
      </c>
      <c r="J57" s="271">
        <f ca="1">Assumptions!$P$68</f>
        <v>80</v>
      </c>
      <c r="K57" s="271">
        <f t="shared" ca="1" si="14"/>
        <v>40</v>
      </c>
      <c r="L57" s="15"/>
      <c r="M57" s="35">
        <f t="shared" ca="1" si="15"/>
        <v>4.2299999999999995</v>
      </c>
      <c r="N57" s="35">
        <f t="shared" ca="1" si="16"/>
        <v>64</v>
      </c>
      <c r="O57" s="35">
        <f t="shared" ca="1" si="17"/>
        <v>32</v>
      </c>
      <c r="P57" s="15"/>
      <c r="Q57" s="34">
        <f t="shared" ca="1" si="18"/>
        <v>0</v>
      </c>
      <c r="R57" s="34">
        <f t="shared" ca="1" si="18"/>
        <v>0</v>
      </c>
      <c r="S57" s="34">
        <f t="shared" ca="1" si="18"/>
        <v>0</v>
      </c>
      <c r="T57" s="34">
        <f t="shared" ca="1" si="19"/>
        <v>0</v>
      </c>
      <c r="U57" s="15"/>
      <c r="V57" s="35">
        <f t="shared" si="20"/>
        <v>0.7</v>
      </c>
      <c r="W57" s="34">
        <f t="shared" ca="1" si="21"/>
        <v>0</v>
      </c>
      <c r="X57" s="35">
        <f t="shared" si="22"/>
        <v>0.222</v>
      </c>
      <c r="Y57" s="34">
        <f t="shared" ca="1" si="23"/>
        <v>0</v>
      </c>
      <c r="Z57" s="35">
        <f t="shared" si="24"/>
        <v>0.34799999999999998</v>
      </c>
      <c r="AA57" s="34">
        <f t="shared" ca="1" si="25"/>
        <v>0</v>
      </c>
      <c r="AB57" s="34">
        <f t="shared" ca="1" si="26"/>
        <v>0</v>
      </c>
      <c r="AC57" s="15"/>
      <c r="AD57" s="34">
        <f t="shared" ca="1" si="27"/>
        <v>0</v>
      </c>
      <c r="AE57" s="34">
        <f t="shared" ca="1" si="9"/>
        <v>0</v>
      </c>
      <c r="AF57" s="34">
        <f t="shared" ca="1" si="28"/>
        <v>0</v>
      </c>
      <c r="AG57" s="15"/>
      <c r="AH57" s="273">
        <f t="shared" si="32"/>
        <v>51866</v>
      </c>
      <c r="AI57" s="267">
        <f t="shared" si="10"/>
        <v>27.666666666666668</v>
      </c>
      <c r="AJ57" s="267">
        <f t="shared" si="11"/>
        <v>7.1581760822224116E-2</v>
      </c>
      <c r="AK57" s="34">
        <f t="shared" ca="1" si="33"/>
        <v>0</v>
      </c>
      <c r="AL57" s="233"/>
      <c r="AN57" s="232"/>
      <c r="AO57" s="17">
        <f t="shared" si="34"/>
        <v>2041</v>
      </c>
      <c r="AP57" s="333">
        <f t="shared" ca="1" si="12"/>
        <v>0</v>
      </c>
      <c r="AQ57" s="15"/>
      <c r="AR57" s="247">
        <f t="shared" ca="1" si="35"/>
        <v>0</v>
      </c>
      <c r="AS57" s="247">
        <f t="shared" ca="1" si="29"/>
        <v>0</v>
      </c>
      <c r="AT57" s="247">
        <f t="shared" ca="1" si="30"/>
        <v>0</v>
      </c>
      <c r="AU57" s="15"/>
      <c r="AV57" s="247">
        <f t="shared" ca="1" si="36"/>
        <v>0</v>
      </c>
      <c r="AW57" s="247">
        <f t="shared" ca="1" si="37"/>
        <v>0</v>
      </c>
      <c r="AX57" s="247">
        <f t="shared" ca="1" si="38"/>
        <v>0</v>
      </c>
      <c r="AY57" s="15"/>
      <c r="AZ57" s="247">
        <f t="shared" ca="1" si="39"/>
        <v>11</v>
      </c>
      <c r="BA57" s="247">
        <f t="shared" ca="1" si="40"/>
        <v>0</v>
      </c>
      <c r="BB57" s="247">
        <f t="shared" ca="1" si="41"/>
        <v>11</v>
      </c>
      <c r="BC57" s="15"/>
      <c r="BD57" s="15"/>
      <c r="BE57" s="15"/>
      <c r="BF57" s="15"/>
      <c r="BG57" s="15"/>
      <c r="BH57" s="15"/>
      <c r="BI57" s="15"/>
      <c r="BJ57" s="15"/>
      <c r="BK57" s="15"/>
      <c r="BL57" s="233"/>
    </row>
    <row r="58" spans="2:64" x14ac:dyDescent="0.3">
      <c r="B58" s="232"/>
      <c r="C58" s="250">
        <f t="shared" si="31"/>
        <v>2042</v>
      </c>
      <c r="D58" s="263">
        <f t="shared" ca="1" si="13"/>
        <v>0</v>
      </c>
      <c r="E58" s="263">
        <f t="shared" ca="1" si="7"/>
        <v>0</v>
      </c>
      <c r="F58" s="263">
        <f t="shared" ca="1" si="8"/>
        <v>0</v>
      </c>
      <c r="G58" s="263">
        <f ca="1">MIN($G$5*$AQ$7-SUM(G$29:G57),G57*(1-$G$8))</f>
        <v>0</v>
      </c>
      <c r="H58" s="15"/>
      <c r="I58" s="271">
        <f ca="1">Assumptions!$O$68</f>
        <v>4.5</v>
      </c>
      <c r="J58" s="271">
        <f ca="1">Assumptions!$P$68</f>
        <v>80</v>
      </c>
      <c r="K58" s="271">
        <f t="shared" ca="1" si="14"/>
        <v>40</v>
      </c>
      <c r="L58" s="15"/>
      <c r="M58" s="35">
        <f t="shared" ca="1" si="15"/>
        <v>4.2299999999999995</v>
      </c>
      <c r="N58" s="35">
        <f t="shared" ca="1" si="16"/>
        <v>64</v>
      </c>
      <c r="O58" s="35">
        <f t="shared" ca="1" si="17"/>
        <v>32</v>
      </c>
      <c r="P58" s="15"/>
      <c r="Q58" s="34">
        <f t="shared" ca="1" si="18"/>
        <v>0</v>
      </c>
      <c r="R58" s="34">
        <f t="shared" ca="1" si="18"/>
        <v>0</v>
      </c>
      <c r="S58" s="34">
        <f t="shared" ca="1" si="18"/>
        <v>0</v>
      </c>
      <c r="T58" s="34">
        <f t="shared" ca="1" si="19"/>
        <v>0</v>
      </c>
      <c r="U58" s="15"/>
      <c r="V58" s="35">
        <f t="shared" si="20"/>
        <v>0.7</v>
      </c>
      <c r="W58" s="34">
        <f t="shared" ca="1" si="21"/>
        <v>0</v>
      </c>
      <c r="X58" s="35">
        <f t="shared" si="22"/>
        <v>0.222</v>
      </c>
      <c r="Y58" s="34">
        <f t="shared" ca="1" si="23"/>
        <v>0</v>
      </c>
      <c r="Z58" s="35">
        <f t="shared" si="24"/>
        <v>0.34799999999999998</v>
      </c>
      <c r="AA58" s="34">
        <f t="shared" ca="1" si="25"/>
        <v>0</v>
      </c>
      <c r="AB58" s="34">
        <f t="shared" ca="1" si="26"/>
        <v>0</v>
      </c>
      <c r="AC58" s="15"/>
      <c r="AD58" s="34">
        <f t="shared" ca="1" si="27"/>
        <v>0</v>
      </c>
      <c r="AE58" s="34">
        <f t="shared" ca="1" si="9"/>
        <v>0</v>
      </c>
      <c r="AF58" s="34">
        <f t="shared" ca="1" si="28"/>
        <v>0</v>
      </c>
      <c r="AG58" s="15"/>
      <c r="AH58" s="273">
        <f t="shared" si="32"/>
        <v>52231</v>
      </c>
      <c r="AI58" s="267">
        <f t="shared" si="10"/>
        <v>28.666666666666668</v>
      </c>
      <c r="AJ58" s="267">
        <f t="shared" si="11"/>
        <v>6.5074328020203728E-2</v>
      </c>
      <c r="AK58" s="34">
        <f t="shared" ca="1" si="33"/>
        <v>0</v>
      </c>
      <c r="AL58" s="233"/>
      <c r="AN58" s="232"/>
      <c r="AO58" s="17">
        <f t="shared" si="34"/>
        <v>2042</v>
      </c>
      <c r="AP58" s="333">
        <f t="shared" ca="1" si="12"/>
        <v>0</v>
      </c>
      <c r="AQ58" s="15"/>
      <c r="AR58" s="247">
        <f t="shared" ca="1" si="35"/>
        <v>0</v>
      </c>
      <c r="AS58" s="247">
        <f t="shared" ca="1" si="29"/>
        <v>0</v>
      </c>
      <c r="AT58" s="247">
        <f t="shared" ca="1" si="30"/>
        <v>0</v>
      </c>
      <c r="AU58" s="15"/>
      <c r="AV58" s="247">
        <f t="shared" ca="1" si="36"/>
        <v>0</v>
      </c>
      <c r="AW58" s="247">
        <f t="shared" ca="1" si="37"/>
        <v>0</v>
      </c>
      <c r="AX58" s="247">
        <f t="shared" ca="1" si="38"/>
        <v>0</v>
      </c>
      <c r="AY58" s="15"/>
      <c r="AZ58" s="247">
        <f t="shared" ca="1" si="39"/>
        <v>11</v>
      </c>
      <c r="BA58" s="247">
        <f t="shared" ca="1" si="40"/>
        <v>0</v>
      </c>
      <c r="BB58" s="247">
        <f t="shared" ca="1" si="41"/>
        <v>11</v>
      </c>
      <c r="BC58" s="15"/>
      <c r="BD58" s="15"/>
      <c r="BE58" s="15"/>
      <c r="BF58" s="15"/>
      <c r="BG58" s="15"/>
      <c r="BH58" s="15"/>
      <c r="BI58" s="15"/>
      <c r="BJ58" s="15"/>
      <c r="BK58" s="15"/>
      <c r="BL58" s="233"/>
    </row>
    <row r="59" spans="2:64" x14ac:dyDescent="0.3">
      <c r="B59" s="232"/>
      <c r="C59" s="250">
        <f t="shared" si="31"/>
        <v>2043</v>
      </c>
      <c r="D59" s="263">
        <f t="shared" ca="1" si="13"/>
        <v>0</v>
      </c>
      <c r="E59" s="263">
        <f t="shared" ca="1" si="7"/>
        <v>0</v>
      </c>
      <c r="F59" s="263">
        <f t="shared" ca="1" si="8"/>
        <v>0</v>
      </c>
      <c r="G59" s="263">
        <f ca="1">MIN($G$5*$AQ$7-SUM(G$29:G58),G58*(1-$G$8))</f>
        <v>0</v>
      </c>
      <c r="H59" s="15"/>
      <c r="I59" s="271">
        <f ca="1">Assumptions!$O$68</f>
        <v>4.5</v>
      </c>
      <c r="J59" s="271">
        <f ca="1">Assumptions!$P$68</f>
        <v>80</v>
      </c>
      <c r="K59" s="271">
        <f t="shared" ca="1" si="14"/>
        <v>40</v>
      </c>
      <c r="L59" s="15"/>
      <c r="M59" s="35">
        <f t="shared" ca="1" si="15"/>
        <v>4.2299999999999995</v>
      </c>
      <c r="N59" s="35">
        <f t="shared" ca="1" si="16"/>
        <v>64</v>
      </c>
      <c r="O59" s="35">
        <f t="shared" ca="1" si="17"/>
        <v>32</v>
      </c>
      <c r="P59" s="15"/>
      <c r="Q59" s="34">
        <f t="shared" ca="1" si="18"/>
        <v>0</v>
      </c>
      <c r="R59" s="34">
        <f t="shared" ca="1" si="18"/>
        <v>0</v>
      </c>
      <c r="S59" s="34">
        <f t="shared" ca="1" si="18"/>
        <v>0</v>
      </c>
      <c r="T59" s="34">
        <f t="shared" ca="1" si="19"/>
        <v>0</v>
      </c>
      <c r="U59" s="15"/>
      <c r="V59" s="35">
        <f t="shared" si="20"/>
        <v>0.7</v>
      </c>
      <c r="W59" s="34">
        <f t="shared" ca="1" si="21"/>
        <v>0</v>
      </c>
      <c r="X59" s="35">
        <f t="shared" si="22"/>
        <v>0.222</v>
      </c>
      <c r="Y59" s="34">
        <f t="shared" ca="1" si="23"/>
        <v>0</v>
      </c>
      <c r="Z59" s="35">
        <f t="shared" si="24"/>
        <v>0.34799999999999998</v>
      </c>
      <c r="AA59" s="34">
        <f t="shared" ca="1" si="25"/>
        <v>0</v>
      </c>
      <c r="AB59" s="34">
        <f t="shared" ca="1" si="26"/>
        <v>0</v>
      </c>
      <c r="AC59" s="15"/>
      <c r="AD59" s="34">
        <f t="shared" ca="1" si="27"/>
        <v>0</v>
      </c>
      <c r="AE59" s="34">
        <f t="shared" ca="1" si="9"/>
        <v>0</v>
      </c>
      <c r="AF59" s="34">
        <f t="shared" ca="1" si="28"/>
        <v>0</v>
      </c>
      <c r="AG59" s="15"/>
      <c r="AH59" s="273">
        <f t="shared" si="32"/>
        <v>52596</v>
      </c>
      <c r="AI59" s="267">
        <f t="shared" si="10"/>
        <v>29.666666666666668</v>
      </c>
      <c r="AJ59" s="267">
        <f t="shared" si="11"/>
        <v>5.915848001836703E-2</v>
      </c>
      <c r="AK59" s="34">
        <f t="shared" ca="1" si="33"/>
        <v>0</v>
      </c>
      <c r="AL59" s="233"/>
      <c r="AN59" s="232"/>
      <c r="AO59" s="17">
        <f t="shared" si="34"/>
        <v>2043</v>
      </c>
      <c r="AP59" s="333">
        <f t="shared" ca="1" si="12"/>
        <v>0</v>
      </c>
      <c r="AQ59" s="15"/>
      <c r="AR59" s="247">
        <f t="shared" ca="1" si="35"/>
        <v>0</v>
      </c>
      <c r="AS59" s="247">
        <f t="shared" ca="1" si="29"/>
        <v>0</v>
      </c>
      <c r="AT59" s="247">
        <f t="shared" ca="1" si="30"/>
        <v>0</v>
      </c>
      <c r="AU59" s="15"/>
      <c r="AV59" s="247">
        <f t="shared" ca="1" si="36"/>
        <v>0</v>
      </c>
      <c r="AW59" s="247">
        <f t="shared" ca="1" si="37"/>
        <v>0</v>
      </c>
      <c r="AX59" s="247">
        <f t="shared" ca="1" si="38"/>
        <v>0</v>
      </c>
      <c r="AY59" s="15"/>
      <c r="AZ59" s="247">
        <f t="shared" ca="1" si="39"/>
        <v>11</v>
      </c>
      <c r="BA59" s="247">
        <f t="shared" ca="1" si="40"/>
        <v>0</v>
      </c>
      <c r="BB59" s="247">
        <f t="shared" ca="1" si="41"/>
        <v>11</v>
      </c>
      <c r="BC59" s="15"/>
      <c r="BD59" s="15"/>
      <c r="BE59" s="15"/>
      <c r="BF59" s="15"/>
      <c r="BG59" s="15"/>
      <c r="BH59" s="15"/>
      <c r="BI59" s="15"/>
      <c r="BJ59" s="15"/>
      <c r="BK59" s="15"/>
      <c r="BL59" s="233"/>
    </row>
    <row r="60" spans="2:64" x14ac:dyDescent="0.3">
      <c r="B60" s="232"/>
      <c r="C60" s="250">
        <f t="shared" si="31"/>
        <v>2044</v>
      </c>
      <c r="D60" s="263">
        <f t="shared" ca="1" si="13"/>
        <v>0</v>
      </c>
      <c r="E60" s="263">
        <f t="shared" ca="1" si="7"/>
        <v>0</v>
      </c>
      <c r="F60" s="263">
        <f t="shared" ca="1" si="8"/>
        <v>0</v>
      </c>
      <c r="G60" s="263">
        <f ca="1">MIN($G$5*$AQ$7-SUM(G$29:G59),G59*(1-$G$8))</f>
        <v>0</v>
      </c>
      <c r="H60" s="15"/>
      <c r="I60" s="271">
        <f ca="1">Assumptions!$O$68</f>
        <v>4.5</v>
      </c>
      <c r="J60" s="271">
        <f ca="1">Assumptions!$P$68</f>
        <v>80</v>
      </c>
      <c r="K60" s="271">
        <f t="shared" ca="1" si="14"/>
        <v>40</v>
      </c>
      <c r="L60" s="15"/>
      <c r="M60" s="35">
        <f t="shared" ca="1" si="15"/>
        <v>4.2299999999999995</v>
      </c>
      <c r="N60" s="35">
        <f t="shared" ca="1" si="16"/>
        <v>64</v>
      </c>
      <c r="O60" s="35">
        <f t="shared" ca="1" si="17"/>
        <v>32</v>
      </c>
      <c r="P60" s="15"/>
      <c r="Q60" s="34">
        <f t="shared" ca="1" si="18"/>
        <v>0</v>
      </c>
      <c r="R60" s="34">
        <f t="shared" ca="1" si="18"/>
        <v>0</v>
      </c>
      <c r="S60" s="34">
        <f t="shared" ca="1" si="18"/>
        <v>0</v>
      </c>
      <c r="T60" s="34">
        <f t="shared" ca="1" si="19"/>
        <v>0</v>
      </c>
      <c r="U60" s="15"/>
      <c r="V60" s="35">
        <f t="shared" si="20"/>
        <v>0.7</v>
      </c>
      <c r="W60" s="34">
        <f t="shared" ca="1" si="21"/>
        <v>0</v>
      </c>
      <c r="X60" s="35">
        <f t="shared" si="22"/>
        <v>0.222</v>
      </c>
      <c r="Y60" s="34">
        <f t="shared" ca="1" si="23"/>
        <v>0</v>
      </c>
      <c r="Z60" s="35">
        <f t="shared" si="24"/>
        <v>0.34799999999999998</v>
      </c>
      <c r="AA60" s="34">
        <f t="shared" ca="1" si="25"/>
        <v>0</v>
      </c>
      <c r="AB60" s="34">
        <f t="shared" ca="1" si="26"/>
        <v>0</v>
      </c>
      <c r="AC60" s="15"/>
      <c r="AD60" s="34">
        <f t="shared" ca="1" si="27"/>
        <v>0</v>
      </c>
      <c r="AE60" s="34">
        <f t="shared" ca="1" si="9"/>
        <v>0</v>
      </c>
      <c r="AF60" s="34">
        <f t="shared" ca="1" si="28"/>
        <v>0</v>
      </c>
      <c r="AG60" s="15"/>
      <c r="AH60" s="273">
        <f t="shared" si="32"/>
        <v>52962</v>
      </c>
      <c r="AI60" s="267">
        <f t="shared" si="10"/>
        <v>30.666666666666668</v>
      </c>
      <c r="AJ60" s="267">
        <f t="shared" si="11"/>
        <v>5.3780436380333668E-2</v>
      </c>
      <c r="AK60" s="34">
        <f t="shared" ca="1" si="33"/>
        <v>0</v>
      </c>
      <c r="AL60" s="233"/>
      <c r="AN60" s="232"/>
      <c r="AO60" s="17">
        <f t="shared" si="34"/>
        <v>2044</v>
      </c>
      <c r="AP60" s="333">
        <f t="shared" ca="1" si="12"/>
        <v>0</v>
      </c>
      <c r="AQ60" s="15"/>
      <c r="AR60" s="247">
        <f t="shared" ca="1" si="35"/>
        <v>0</v>
      </c>
      <c r="AS60" s="247">
        <f t="shared" ca="1" si="29"/>
        <v>0</v>
      </c>
      <c r="AT60" s="247">
        <f t="shared" ca="1" si="30"/>
        <v>0</v>
      </c>
      <c r="AU60" s="15"/>
      <c r="AV60" s="247">
        <f t="shared" ca="1" si="36"/>
        <v>0</v>
      </c>
      <c r="AW60" s="247">
        <f t="shared" ca="1" si="37"/>
        <v>0</v>
      </c>
      <c r="AX60" s="247">
        <f t="shared" ca="1" si="38"/>
        <v>0</v>
      </c>
      <c r="AY60" s="15"/>
      <c r="AZ60" s="247">
        <f t="shared" ca="1" si="39"/>
        <v>11</v>
      </c>
      <c r="BA60" s="247">
        <f t="shared" ca="1" si="40"/>
        <v>0</v>
      </c>
      <c r="BB60" s="247">
        <f t="shared" ca="1" si="41"/>
        <v>11</v>
      </c>
      <c r="BC60" s="15"/>
      <c r="BD60" s="15"/>
      <c r="BE60" s="15"/>
      <c r="BF60" s="15"/>
      <c r="BG60" s="15"/>
      <c r="BH60" s="15"/>
      <c r="BI60" s="15"/>
      <c r="BJ60" s="15"/>
      <c r="BK60" s="15"/>
      <c r="BL60" s="233"/>
    </row>
    <row r="61" spans="2:64" x14ac:dyDescent="0.3">
      <c r="B61" s="232"/>
      <c r="C61" s="250">
        <f t="shared" si="31"/>
        <v>2045</v>
      </c>
      <c r="D61" s="263">
        <f t="shared" ca="1" si="13"/>
        <v>0</v>
      </c>
      <c r="E61" s="263">
        <f t="shared" ca="1" si="7"/>
        <v>0</v>
      </c>
      <c r="F61" s="263">
        <f t="shared" ca="1" si="8"/>
        <v>0</v>
      </c>
      <c r="G61" s="263">
        <f ca="1">MIN($G$5*$AQ$7-SUM(G$29:G60),G60*(1-$G$8))</f>
        <v>0</v>
      </c>
      <c r="H61" s="15"/>
      <c r="I61" s="271">
        <f ca="1">Assumptions!$O$68</f>
        <v>4.5</v>
      </c>
      <c r="J61" s="271">
        <f ca="1">Assumptions!$P$68</f>
        <v>80</v>
      </c>
      <c r="K61" s="271">
        <f t="shared" ca="1" si="14"/>
        <v>40</v>
      </c>
      <c r="L61" s="15"/>
      <c r="M61" s="35">
        <f t="shared" ca="1" si="15"/>
        <v>4.2299999999999995</v>
      </c>
      <c r="N61" s="35">
        <f t="shared" ca="1" si="16"/>
        <v>64</v>
      </c>
      <c r="O61" s="35">
        <f t="shared" ca="1" si="17"/>
        <v>32</v>
      </c>
      <c r="P61" s="15"/>
      <c r="Q61" s="34">
        <f t="shared" ca="1" si="18"/>
        <v>0</v>
      </c>
      <c r="R61" s="34">
        <f t="shared" ca="1" si="18"/>
        <v>0</v>
      </c>
      <c r="S61" s="34">
        <f t="shared" ca="1" si="18"/>
        <v>0</v>
      </c>
      <c r="T61" s="34">
        <f t="shared" ca="1" si="19"/>
        <v>0</v>
      </c>
      <c r="U61" s="15"/>
      <c r="V61" s="35">
        <f t="shared" si="20"/>
        <v>0.7</v>
      </c>
      <c r="W61" s="34">
        <f t="shared" ca="1" si="21"/>
        <v>0</v>
      </c>
      <c r="X61" s="35">
        <f t="shared" si="22"/>
        <v>0.222</v>
      </c>
      <c r="Y61" s="34">
        <f t="shared" ca="1" si="23"/>
        <v>0</v>
      </c>
      <c r="Z61" s="35">
        <f t="shared" si="24"/>
        <v>0.34799999999999998</v>
      </c>
      <c r="AA61" s="34">
        <f t="shared" ca="1" si="25"/>
        <v>0</v>
      </c>
      <c r="AB61" s="34">
        <f t="shared" ca="1" si="26"/>
        <v>0</v>
      </c>
      <c r="AC61" s="15"/>
      <c r="AD61" s="34">
        <f t="shared" ca="1" si="27"/>
        <v>0</v>
      </c>
      <c r="AE61" s="34">
        <f t="shared" ca="1" si="9"/>
        <v>0</v>
      </c>
      <c r="AF61" s="34">
        <f t="shared" ca="1" si="28"/>
        <v>0</v>
      </c>
      <c r="AG61" s="15"/>
      <c r="AH61" s="273">
        <f t="shared" si="32"/>
        <v>53327</v>
      </c>
      <c r="AI61" s="267">
        <f t="shared" si="10"/>
        <v>31.666666666666664</v>
      </c>
      <c r="AJ61" s="267">
        <f t="shared" si="11"/>
        <v>4.889130580030334E-2</v>
      </c>
      <c r="AK61" s="34">
        <f t="shared" ca="1" si="33"/>
        <v>0</v>
      </c>
      <c r="AL61" s="233"/>
      <c r="AN61" s="232"/>
      <c r="AO61" s="17">
        <f t="shared" si="34"/>
        <v>2045</v>
      </c>
      <c r="AP61" s="333">
        <f t="shared" ca="1" si="12"/>
        <v>0</v>
      </c>
      <c r="AQ61" s="15"/>
      <c r="AR61" s="247">
        <f t="shared" ca="1" si="35"/>
        <v>0</v>
      </c>
      <c r="AS61" s="247">
        <f t="shared" ca="1" si="29"/>
        <v>0</v>
      </c>
      <c r="AT61" s="247">
        <f t="shared" ca="1" si="30"/>
        <v>0</v>
      </c>
      <c r="AU61" s="15"/>
      <c r="AV61" s="247">
        <f t="shared" ca="1" si="36"/>
        <v>0</v>
      </c>
      <c r="AW61" s="247">
        <f t="shared" ca="1" si="37"/>
        <v>0</v>
      </c>
      <c r="AX61" s="247">
        <f t="shared" ca="1" si="38"/>
        <v>0</v>
      </c>
      <c r="AY61" s="15"/>
      <c r="AZ61" s="247">
        <f t="shared" ca="1" si="39"/>
        <v>11</v>
      </c>
      <c r="BA61" s="247">
        <f t="shared" ca="1" si="40"/>
        <v>0</v>
      </c>
      <c r="BB61" s="247">
        <f t="shared" ca="1" si="41"/>
        <v>11</v>
      </c>
      <c r="BC61" s="15"/>
      <c r="BD61" s="15"/>
      <c r="BE61" s="15"/>
      <c r="BF61" s="15"/>
      <c r="BG61" s="15"/>
      <c r="BH61" s="15"/>
      <c r="BI61" s="15"/>
      <c r="BJ61" s="15"/>
      <c r="BK61" s="15"/>
      <c r="BL61" s="233"/>
    </row>
    <row r="62" spans="2:64" x14ac:dyDescent="0.3">
      <c r="B62" s="232"/>
      <c r="C62" s="250">
        <f t="shared" si="31"/>
        <v>2046</v>
      </c>
      <c r="D62" s="263">
        <f t="shared" ca="1" si="13"/>
        <v>0</v>
      </c>
      <c r="E62" s="263">
        <f t="shared" ca="1" si="7"/>
        <v>0</v>
      </c>
      <c r="F62" s="263">
        <f t="shared" ca="1" si="8"/>
        <v>0</v>
      </c>
      <c r="G62" s="263">
        <f ca="1">MIN($G$5*$AQ$7-SUM(G$29:G61),G61*(1-$G$8))</f>
        <v>0</v>
      </c>
      <c r="H62" s="15"/>
      <c r="I62" s="271">
        <f ca="1">Assumptions!$O$68</f>
        <v>4.5</v>
      </c>
      <c r="J62" s="271">
        <f ca="1">Assumptions!$P$68</f>
        <v>80</v>
      </c>
      <c r="K62" s="271">
        <f t="shared" ca="1" si="14"/>
        <v>40</v>
      </c>
      <c r="L62" s="15"/>
      <c r="M62" s="35">
        <f t="shared" ca="1" si="15"/>
        <v>4.2299999999999995</v>
      </c>
      <c r="N62" s="35">
        <f t="shared" ca="1" si="16"/>
        <v>64</v>
      </c>
      <c r="O62" s="35">
        <f t="shared" ca="1" si="17"/>
        <v>32</v>
      </c>
      <c r="P62" s="15"/>
      <c r="Q62" s="34">
        <f t="shared" ca="1" si="18"/>
        <v>0</v>
      </c>
      <c r="R62" s="34">
        <f t="shared" ca="1" si="18"/>
        <v>0</v>
      </c>
      <c r="S62" s="34">
        <f t="shared" ca="1" si="18"/>
        <v>0</v>
      </c>
      <c r="T62" s="34">
        <f t="shared" ca="1" si="19"/>
        <v>0</v>
      </c>
      <c r="U62" s="15"/>
      <c r="V62" s="35">
        <f t="shared" si="20"/>
        <v>0.7</v>
      </c>
      <c r="W62" s="34">
        <f t="shared" ca="1" si="21"/>
        <v>0</v>
      </c>
      <c r="X62" s="35">
        <f t="shared" si="22"/>
        <v>0.222</v>
      </c>
      <c r="Y62" s="34">
        <f t="shared" ca="1" si="23"/>
        <v>0</v>
      </c>
      <c r="Z62" s="35">
        <f t="shared" si="24"/>
        <v>0.34799999999999998</v>
      </c>
      <c r="AA62" s="34">
        <f t="shared" ca="1" si="25"/>
        <v>0</v>
      </c>
      <c r="AB62" s="34">
        <f t="shared" ca="1" si="26"/>
        <v>0</v>
      </c>
      <c r="AC62" s="15"/>
      <c r="AD62" s="34">
        <f t="shared" ca="1" si="27"/>
        <v>0</v>
      </c>
      <c r="AE62" s="34">
        <f t="shared" ca="1" si="9"/>
        <v>0</v>
      </c>
      <c r="AF62" s="34">
        <f t="shared" ca="1" si="28"/>
        <v>0</v>
      </c>
      <c r="AG62" s="15"/>
      <c r="AH62" s="273">
        <f t="shared" si="32"/>
        <v>53692</v>
      </c>
      <c r="AI62" s="267">
        <f t="shared" si="10"/>
        <v>32.666666666666664</v>
      </c>
      <c r="AJ62" s="267">
        <f t="shared" si="11"/>
        <v>4.4446641636639403E-2</v>
      </c>
      <c r="AK62" s="34">
        <f t="shared" ca="1" si="33"/>
        <v>0</v>
      </c>
      <c r="AL62" s="233"/>
      <c r="AN62" s="232"/>
      <c r="AO62" s="17">
        <f t="shared" si="34"/>
        <v>2046</v>
      </c>
      <c r="AP62" s="333">
        <f t="shared" ca="1" si="12"/>
        <v>0</v>
      </c>
      <c r="AQ62" s="15"/>
      <c r="AR62" s="247">
        <f t="shared" ca="1" si="35"/>
        <v>0</v>
      </c>
      <c r="AS62" s="247">
        <f t="shared" ca="1" si="29"/>
        <v>0</v>
      </c>
      <c r="AT62" s="247">
        <f t="shared" ca="1" si="30"/>
        <v>0</v>
      </c>
      <c r="AU62" s="15"/>
      <c r="AV62" s="247">
        <f t="shared" ca="1" si="36"/>
        <v>0</v>
      </c>
      <c r="AW62" s="247">
        <f t="shared" ca="1" si="37"/>
        <v>0</v>
      </c>
      <c r="AX62" s="247">
        <f t="shared" ca="1" si="38"/>
        <v>0</v>
      </c>
      <c r="AY62" s="15"/>
      <c r="AZ62" s="247">
        <f t="shared" ca="1" si="39"/>
        <v>11</v>
      </c>
      <c r="BA62" s="247">
        <f t="shared" ca="1" si="40"/>
        <v>0</v>
      </c>
      <c r="BB62" s="247">
        <f t="shared" ca="1" si="41"/>
        <v>11</v>
      </c>
      <c r="BC62" s="15"/>
      <c r="BD62" s="15"/>
      <c r="BE62" s="15"/>
      <c r="BF62" s="15"/>
      <c r="BG62" s="15"/>
      <c r="BH62" s="15"/>
      <c r="BI62" s="15"/>
      <c r="BJ62" s="15"/>
      <c r="BK62" s="15"/>
      <c r="BL62" s="233"/>
    </row>
    <row r="63" spans="2:64" x14ac:dyDescent="0.3">
      <c r="B63" s="232"/>
      <c r="C63" s="250">
        <f t="shared" si="31"/>
        <v>2047</v>
      </c>
      <c r="D63" s="263">
        <f t="shared" ca="1" si="13"/>
        <v>0</v>
      </c>
      <c r="E63" s="263">
        <f t="shared" ca="1" si="7"/>
        <v>0</v>
      </c>
      <c r="F63" s="263">
        <f t="shared" ca="1" si="8"/>
        <v>0</v>
      </c>
      <c r="G63" s="263">
        <f ca="1">MIN($G$5*$AQ$7-SUM(G$29:G62),G62*(1-$G$8))</f>
        <v>0</v>
      </c>
      <c r="H63" s="15"/>
      <c r="I63" s="271">
        <f ca="1">Assumptions!$O$68</f>
        <v>4.5</v>
      </c>
      <c r="J63" s="271">
        <f ca="1">Assumptions!$P$68</f>
        <v>80</v>
      </c>
      <c r="K63" s="271">
        <f t="shared" ca="1" si="14"/>
        <v>40</v>
      </c>
      <c r="L63" s="15"/>
      <c r="M63" s="35">
        <f t="shared" ca="1" si="15"/>
        <v>4.2299999999999995</v>
      </c>
      <c r="N63" s="35">
        <f t="shared" ca="1" si="16"/>
        <v>64</v>
      </c>
      <c r="O63" s="35">
        <f t="shared" ca="1" si="17"/>
        <v>32</v>
      </c>
      <c r="P63" s="15"/>
      <c r="Q63" s="34">
        <f t="shared" ca="1" si="18"/>
        <v>0</v>
      </c>
      <c r="R63" s="34">
        <f t="shared" ca="1" si="18"/>
        <v>0</v>
      </c>
      <c r="S63" s="34">
        <f t="shared" ca="1" si="18"/>
        <v>0</v>
      </c>
      <c r="T63" s="34">
        <f t="shared" ca="1" si="19"/>
        <v>0</v>
      </c>
      <c r="U63" s="15"/>
      <c r="V63" s="35">
        <f t="shared" si="20"/>
        <v>0.7</v>
      </c>
      <c r="W63" s="34">
        <f t="shared" ca="1" si="21"/>
        <v>0</v>
      </c>
      <c r="X63" s="35">
        <f t="shared" si="22"/>
        <v>0.222</v>
      </c>
      <c r="Y63" s="34">
        <f t="shared" ca="1" si="23"/>
        <v>0</v>
      </c>
      <c r="Z63" s="35">
        <f t="shared" si="24"/>
        <v>0.34799999999999998</v>
      </c>
      <c r="AA63" s="34">
        <f t="shared" ca="1" si="25"/>
        <v>0</v>
      </c>
      <c r="AB63" s="34">
        <f t="shared" ca="1" si="26"/>
        <v>0</v>
      </c>
      <c r="AC63" s="15"/>
      <c r="AD63" s="34">
        <f t="shared" ca="1" si="27"/>
        <v>0</v>
      </c>
      <c r="AE63" s="34">
        <f t="shared" ca="1" si="9"/>
        <v>0</v>
      </c>
      <c r="AF63" s="34">
        <f t="shared" ca="1" si="28"/>
        <v>0</v>
      </c>
      <c r="AG63" s="15"/>
      <c r="AH63" s="273">
        <f t="shared" si="32"/>
        <v>54057</v>
      </c>
      <c r="AI63" s="267">
        <f t="shared" si="10"/>
        <v>33.666666666666664</v>
      </c>
      <c r="AJ63" s="267">
        <f t="shared" si="11"/>
        <v>4.0406037851490349E-2</v>
      </c>
      <c r="AK63" s="34">
        <f t="shared" ca="1" si="33"/>
        <v>0</v>
      </c>
      <c r="AL63" s="233"/>
      <c r="AN63" s="232"/>
      <c r="AO63" s="17">
        <f t="shared" si="34"/>
        <v>2047</v>
      </c>
      <c r="AP63" s="333">
        <f t="shared" ca="1" si="12"/>
        <v>0</v>
      </c>
      <c r="AQ63" s="15"/>
      <c r="AR63" s="247">
        <f t="shared" ca="1" si="35"/>
        <v>0</v>
      </c>
      <c r="AS63" s="247">
        <f t="shared" ca="1" si="29"/>
        <v>0</v>
      </c>
      <c r="AT63" s="247">
        <f t="shared" ca="1" si="30"/>
        <v>0</v>
      </c>
      <c r="AU63" s="15"/>
      <c r="AV63" s="247">
        <f t="shared" ca="1" si="36"/>
        <v>0</v>
      </c>
      <c r="AW63" s="247">
        <f t="shared" ca="1" si="37"/>
        <v>0</v>
      </c>
      <c r="AX63" s="247">
        <f t="shared" ca="1" si="38"/>
        <v>0</v>
      </c>
      <c r="AY63" s="15"/>
      <c r="AZ63" s="247">
        <f t="shared" ca="1" si="39"/>
        <v>11</v>
      </c>
      <c r="BA63" s="247">
        <f t="shared" ca="1" si="40"/>
        <v>0</v>
      </c>
      <c r="BB63" s="247">
        <f t="shared" ca="1" si="41"/>
        <v>11</v>
      </c>
      <c r="BC63" s="15"/>
      <c r="BD63" s="15"/>
      <c r="BE63" s="15"/>
      <c r="BF63" s="15"/>
      <c r="BG63" s="15"/>
      <c r="BH63" s="15"/>
      <c r="BI63" s="15"/>
      <c r="BJ63" s="15"/>
      <c r="BK63" s="15"/>
      <c r="BL63" s="233"/>
    </row>
    <row r="64" spans="2:64" x14ac:dyDescent="0.3">
      <c r="B64" s="232"/>
      <c r="C64" s="250">
        <f t="shared" si="31"/>
        <v>2048</v>
      </c>
      <c r="D64" s="263">
        <f t="shared" ca="1" si="13"/>
        <v>0</v>
      </c>
      <c r="E64" s="263">
        <f t="shared" ca="1" si="7"/>
        <v>0</v>
      </c>
      <c r="F64" s="263">
        <f t="shared" ca="1" si="8"/>
        <v>0</v>
      </c>
      <c r="G64" s="263">
        <f ca="1">MIN($G$5*$AQ$7-SUM(G$29:G63),G63*(1-$G$8))</f>
        <v>0</v>
      </c>
      <c r="H64" s="15"/>
      <c r="I64" s="271">
        <f ca="1">Assumptions!$O$68</f>
        <v>4.5</v>
      </c>
      <c r="J64" s="271">
        <f ca="1">Assumptions!$P$68</f>
        <v>80</v>
      </c>
      <c r="K64" s="271">
        <f t="shared" ca="1" si="14"/>
        <v>40</v>
      </c>
      <c r="L64" s="15"/>
      <c r="M64" s="35">
        <f t="shared" ca="1" si="15"/>
        <v>4.2299999999999995</v>
      </c>
      <c r="N64" s="35">
        <f t="shared" ca="1" si="16"/>
        <v>64</v>
      </c>
      <c r="O64" s="35">
        <f t="shared" ca="1" si="17"/>
        <v>32</v>
      </c>
      <c r="P64" s="15"/>
      <c r="Q64" s="34">
        <f t="shared" ca="1" si="18"/>
        <v>0</v>
      </c>
      <c r="R64" s="34">
        <f t="shared" ca="1" si="18"/>
        <v>0</v>
      </c>
      <c r="S64" s="34">
        <f t="shared" ca="1" si="18"/>
        <v>0</v>
      </c>
      <c r="T64" s="34">
        <f t="shared" ca="1" si="19"/>
        <v>0</v>
      </c>
      <c r="U64" s="15"/>
      <c r="V64" s="35">
        <f t="shared" si="20"/>
        <v>0.7</v>
      </c>
      <c r="W64" s="34">
        <f t="shared" ca="1" si="21"/>
        <v>0</v>
      </c>
      <c r="X64" s="35">
        <f t="shared" si="22"/>
        <v>0.222</v>
      </c>
      <c r="Y64" s="34">
        <f t="shared" ca="1" si="23"/>
        <v>0</v>
      </c>
      <c r="Z64" s="35">
        <f t="shared" si="24"/>
        <v>0.34799999999999998</v>
      </c>
      <c r="AA64" s="34">
        <f t="shared" ca="1" si="25"/>
        <v>0</v>
      </c>
      <c r="AB64" s="34">
        <f t="shared" ca="1" si="26"/>
        <v>0</v>
      </c>
      <c r="AC64" s="15"/>
      <c r="AD64" s="34">
        <f t="shared" ca="1" si="27"/>
        <v>0</v>
      </c>
      <c r="AE64" s="34">
        <f t="shared" ca="1" si="9"/>
        <v>0</v>
      </c>
      <c r="AF64" s="34">
        <f t="shared" ca="1" si="28"/>
        <v>0</v>
      </c>
      <c r="AG64" s="15"/>
      <c r="AH64" s="273">
        <f t="shared" si="32"/>
        <v>54423</v>
      </c>
      <c r="AI64" s="267">
        <f t="shared" si="10"/>
        <v>34.666666666666664</v>
      </c>
      <c r="AJ64" s="267">
        <f t="shared" si="11"/>
        <v>3.6732761683173049E-2</v>
      </c>
      <c r="AK64" s="34">
        <f t="shared" ca="1" si="33"/>
        <v>0</v>
      </c>
      <c r="AL64" s="233"/>
      <c r="AN64" s="232"/>
      <c r="AO64" s="17">
        <f t="shared" si="34"/>
        <v>2048</v>
      </c>
      <c r="AP64" s="333">
        <f t="shared" ca="1" si="12"/>
        <v>0</v>
      </c>
      <c r="AQ64" s="15"/>
      <c r="AR64" s="247">
        <f t="shared" ca="1" si="35"/>
        <v>0</v>
      </c>
      <c r="AS64" s="247">
        <f t="shared" ca="1" si="29"/>
        <v>0</v>
      </c>
      <c r="AT64" s="247">
        <f t="shared" ca="1" si="30"/>
        <v>0</v>
      </c>
      <c r="AU64" s="15"/>
      <c r="AV64" s="247">
        <f t="shared" ca="1" si="36"/>
        <v>0</v>
      </c>
      <c r="AW64" s="247">
        <f t="shared" ca="1" si="37"/>
        <v>0</v>
      </c>
      <c r="AX64" s="247">
        <f t="shared" ca="1" si="38"/>
        <v>0</v>
      </c>
      <c r="AY64" s="15"/>
      <c r="AZ64" s="247">
        <f t="shared" ca="1" si="39"/>
        <v>11</v>
      </c>
      <c r="BA64" s="247">
        <f t="shared" ca="1" si="40"/>
        <v>0</v>
      </c>
      <c r="BB64" s="247">
        <f t="shared" ca="1" si="41"/>
        <v>11</v>
      </c>
      <c r="BC64" s="15"/>
      <c r="BD64" s="15"/>
      <c r="BE64" s="15"/>
      <c r="BF64" s="15"/>
      <c r="BG64" s="15"/>
      <c r="BH64" s="15"/>
      <c r="BI64" s="15"/>
      <c r="BJ64" s="15"/>
      <c r="BK64" s="15"/>
      <c r="BL64" s="233"/>
    </row>
    <row r="65" spans="2:64" x14ac:dyDescent="0.3">
      <c r="B65" s="232"/>
      <c r="C65" s="250">
        <f t="shared" si="31"/>
        <v>2049</v>
      </c>
      <c r="D65" s="263">
        <f t="shared" ca="1" si="13"/>
        <v>0</v>
      </c>
      <c r="E65" s="263">
        <f t="shared" ca="1" si="7"/>
        <v>0</v>
      </c>
      <c r="F65" s="263">
        <f t="shared" ca="1" si="8"/>
        <v>0</v>
      </c>
      <c r="G65" s="263">
        <f ca="1">MIN($G$5*$AQ$7-SUM(G$29:G64),G64*(1-$G$8))</f>
        <v>0</v>
      </c>
      <c r="H65" s="15"/>
      <c r="I65" s="271">
        <f ca="1">Assumptions!$O$68</f>
        <v>4.5</v>
      </c>
      <c r="J65" s="271">
        <f ca="1">Assumptions!$P$68</f>
        <v>80</v>
      </c>
      <c r="K65" s="271">
        <f t="shared" ca="1" si="14"/>
        <v>40</v>
      </c>
      <c r="L65" s="15"/>
      <c r="M65" s="35">
        <f t="shared" ca="1" si="15"/>
        <v>4.2299999999999995</v>
      </c>
      <c r="N65" s="35">
        <f t="shared" ca="1" si="16"/>
        <v>64</v>
      </c>
      <c r="O65" s="35">
        <f t="shared" ca="1" si="17"/>
        <v>32</v>
      </c>
      <c r="P65" s="15"/>
      <c r="Q65" s="34">
        <f t="shared" ca="1" si="18"/>
        <v>0</v>
      </c>
      <c r="R65" s="34">
        <f t="shared" ca="1" si="18"/>
        <v>0</v>
      </c>
      <c r="S65" s="34">
        <f t="shared" ca="1" si="18"/>
        <v>0</v>
      </c>
      <c r="T65" s="34">
        <f t="shared" ca="1" si="19"/>
        <v>0</v>
      </c>
      <c r="U65" s="15"/>
      <c r="V65" s="35">
        <f t="shared" si="20"/>
        <v>0.7</v>
      </c>
      <c r="W65" s="34">
        <f t="shared" ca="1" si="21"/>
        <v>0</v>
      </c>
      <c r="X65" s="35">
        <f t="shared" si="22"/>
        <v>0.222</v>
      </c>
      <c r="Y65" s="34">
        <f t="shared" ca="1" si="23"/>
        <v>0</v>
      </c>
      <c r="Z65" s="35">
        <f t="shared" si="24"/>
        <v>0.34799999999999998</v>
      </c>
      <c r="AA65" s="34">
        <f t="shared" ca="1" si="25"/>
        <v>0</v>
      </c>
      <c r="AB65" s="34">
        <f t="shared" ca="1" si="26"/>
        <v>0</v>
      </c>
      <c r="AC65" s="15"/>
      <c r="AD65" s="34">
        <f t="shared" ca="1" si="27"/>
        <v>0</v>
      </c>
      <c r="AE65" s="34">
        <f t="shared" ca="1" si="9"/>
        <v>0</v>
      </c>
      <c r="AF65" s="34">
        <f t="shared" ca="1" si="28"/>
        <v>0</v>
      </c>
      <c r="AG65" s="15"/>
      <c r="AH65" s="273">
        <f t="shared" si="32"/>
        <v>54788</v>
      </c>
      <c r="AI65" s="267">
        <f t="shared" si="10"/>
        <v>35.666666666666664</v>
      </c>
      <c r="AJ65" s="267">
        <f t="shared" si="11"/>
        <v>3.3393419711975486E-2</v>
      </c>
      <c r="AK65" s="34">
        <f t="shared" ca="1" si="33"/>
        <v>0</v>
      </c>
      <c r="AL65" s="233"/>
      <c r="AN65" s="232"/>
      <c r="AO65" s="17">
        <f t="shared" si="34"/>
        <v>2049</v>
      </c>
      <c r="AP65" s="333">
        <f t="shared" ca="1" si="12"/>
        <v>0</v>
      </c>
      <c r="AQ65" s="15"/>
      <c r="AR65" s="247">
        <f t="shared" ca="1" si="35"/>
        <v>0</v>
      </c>
      <c r="AS65" s="247">
        <f t="shared" ca="1" si="29"/>
        <v>0</v>
      </c>
      <c r="AT65" s="247">
        <f t="shared" ca="1" si="30"/>
        <v>0</v>
      </c>
      <c r="AU65" s="15"/>
      <c r="AV65" s="247">
        <f t="shared" ca="1" si="36"/>
        <v>0</v>
      </c>
      <c r="AW65" s="247">
        <f t="shared" ca="1" si="37"/>
        <v>0</v>
      </c>
      <c r="AX65" s="247">
        <f t="shared" ca="1" si="38"/>
        <v>0</v>
      </c>
      <c r="AY65" s="15"/>
      <c r="AZ65" s="247">
        <f t="shared" ca="1" si="39"/>
        <v>11</v>
      </c>
      <c r="BA65" s="247">
        <f t="shared" ca="1" si="40"/>
        <v>0</v>
      </c>
      <c r="BB65" s="247">
        <f t="shared" ca="1" si="41"/>
        <v>11</v>
      </c>
      <c r="BC65" s="15"/>
      <c r="BD65" s="15"/>
      <c r="BE65" s="15"/>
      <c r="BF65" s="15"/>
      <c r="BG65" s="15"/>
      <c r="BH65" s="15"/>
      <c r="BI65" s="15"/>
      <c r="BJ65" s="15"/>
      <c r="BK65" s="15"/>
      <c r="BL65" s="233"/>
    </row>
    <row r="66" spans="2:64" x14ac:dyDescent="0.3">
      <c r="B66" s="232"/>
      <c r="C66" s="250">
        <f t="shared" si="31"/>
        <v>2050</v>
      </c>
      <c r="D66" s="263">
        <f t="shared" ca="1" si="13"/>
        <v>0</v>
      </c>
      <c r="E66" s="263">
        <f t="shared" ca="1" si="7"/>
        <v>0</v>
      </c>
      <c r="F66" s="263">
        <f t="shared" ca="1" si="8"/>
        <v>0</v>
      </c>
      <c r="G66" s="263">
        <f ca="1">MIN($G$5*$AQ$7-SUM(G$29:G65),G65*(1-$G$8))</f>
        <v>0</v>
      </c>
      <c r="H66" s="15"/>
      <c r="I66" s="271">
        <f ca="1">Assumptions!$O$68</f>
        <v>4.5</v>
      </c>
      <c r="J66" s="271">
        <f ca="1">Assumptions!$P$68</f>
        <v>80</v>
      </c>
      <c r="K66" s="271">
        <f t="shared" ca="1" si="14"/>
        <v>40</v>
      </c>
      <c r="L66" s="15"/>
      <c r="M66" s="35">
        <f t="shared" ca="1" si="15"/>
        <v>4.2299999999999995</v>
      </c>
      <c r="N66" s="35">
        <f t="shared" ca="1" si="16"/>
        <v>64</v>
      </c>
      <c r="O66" s="35">
        <f t="shared" ca="1" si="17"/>
        <v>32</v>
      </c>
      <c r="P66" s="15"/>
      <c r="Q66" s="34">
        <f t="shared" ca="1" si="18"/>
        <v>0</v>
      </c>
      <c r="R66" s="34">
        <f t="shared" ca="1" si="18"/>
        <v>0</v>
      </c>
      <c r="S66" s="34">
        <f t="shared" ca="1" si="18"/>
        <v>0</v>
      </c>
      <c r="T66" s="34">
        <f t="shared" ca="1" si="19"/>
        <v>0</v>
      </c>
      <c r="U66" s="15"/>
      <c r="V66" s="35">
        <f t="shared" si="20"/>
        <v>0.7</v>
      </c>
      <c r="W66" s="34">
        <f t="shared" ca="1" si="21"/>
        <v>0</v>
      </c>
      <c r="X66" s="35">
        <f t="shared" si="22"/>
        <v>0.222</v>
      </c>
      <c r="Y66" s="34">
        <f t="shared" ca="1" si="23"/>
        <v>0</v>
      </c>
      <c r="Z66" s="35">
        <f t="shared" si="24"/>
        <v>0.34799999999999998</v>
      </c>
      <c r="AA66" s="34">
        <f t="shared" ca="1" si="25"/>
        <v>0</v>
      </c>
      <c r="AB66" s="34">
        <f t="shared" ca="1" si="26"/>
        <v>0</v>
      </c>
      <c r="AC66" s="15"/>
      <c r="AD66" s="34">
        <f t="shared" ca="1" si="27"/>
        <v>0</v>
      </c>
      <c r="AE66" s="34">
        <f t="shared" ca="1" si="9"/>
        <v>0</v>
      </c>
      <c r="AF66" s="34">
        <f t="shared" ca="1" si="28"/>
        <v>0</v>
      </c>
      <c r="AG66" s="15"/>
      <c r="AH66" s="273">
        <f t="shared" si="32"/>
        <v>55153</v>
      </c>
      <c r="AI66" s="267">
        <f t="shared" si="10"/>
        <v>36.666666666666664</v>
      </c>
      <c r="AJ66" s="267">
        <f t="shared" si="11"/>
        <v>3.0357654283614078E-2</v>
      </c>
      <c r="AK66" s="34">
        <f t="shared" ca="1" si="33"/>
        <v>0</v>
      </c>
      <c r="AL66" s="233"/>
      <c r="AN66" s="232"/>
      <c r="AO66" s="17">
        <f t="shared" si="34"/>
        <v>2050</v>
      </c>
      <c r="AP66" s="333">
        <f t="shared" ca="1" si="12"/>
        <v>0</v>
      </c>
      <c r="AQ66" s="15"/>
      <c r="AR66" s="247">
        <f t="shared" ca="1" si="35"/>
        <v>0</v>
      </c>
      <c r="AS66" s="247">
        <f t="shared" ca="1" si="29"/>
        <v>0</v>
      </c>
      <c r="AT66" s="247">
        <f t="shared" ca="1" si="30"/>
        <v>0</v>
      </c>
      <c r="AU66" s="15"/>
      <c r="AV66" s="247">
        <f t="shared" ca="1" si="36"/>
        <v>0</v>
      </c>
      <c r="AW66" s="247">
        <f t="shared" ca="1" si="37"/>
        <v>0</v>
      </c>
      <c r="AX66" s="247">
        <f t="shared" ca="1" si="38"/>
        <v>0</v>
      </c>
      <c r="AY66" s="15"/>
      <c r="AZ66" s="247">
        <f t="shared" ca="1" si="39"/>
        <v>11</v>
      </c>
      <c r="BA66" s="247">
        <f t="shared" ca="1" si="40"/>
        <v>0</v>
      </c>
      <c r="BB66" s="247">
        <f t="shared" ca="1" si="41"/>
        <v>11</v>
      </c>
      <c r="BC66" s="15"/>
      <c r="BD66" s="15"/>
      <c r="BE66" s="15"/>
      <c r="BF66" s="15"/>
      <c r="BG66" s="15"/>
      <c r="BH66" s="15"/>
      <c r="BI66" s="15"/>
      <c r="BJ66" s="15"/>
      <c r="BK66" s="15"/>
      <c r="BL66" s="233"/>
    </row>
    <row r="67" spans="2:64" x14ac:dyDescent="0.3">
      <c r="B67" s="232"/>
      <c r="C67" s="250">
        <f t="shared" si="31"/>
        <v>2051</v>
      </c>
      <c r="D67" s="263">
        <f t="shared" ca="1" si="13"/>
        <v>0</v>
      </c>
      <c r="E67" s="263">
        <f t="shared" ca="1" si="7"/>
        <v>0</v>
      </c>
      <c r="F67" s="263">
        <f t="shared" ca="1" si="8"/>
        <v>0</v>
      </c>
      <c r="G67" s="263">
        <f ca="1">MIN($G$5*$AQ$7-SUM(G$29:G66),G66*(1-$G$8))</f>
        <v>0</v>
      </c>
      <c r="H67" s="15"/>
      <c r="I67" s="271">
        <f ca="1">Assumptions!$O$68</f>
        <v>4.5</v>
      </c>
      <c r="J67" s="271">
        <f ca="1">Assumptions!$P$68</f>
        <v>80</v>
      </c>
      <c r="K67" s="271">
        <f t="shared" ca="1" si="14"/>
        <v>40</v>
      </c>
      <c r="L67" s="15"/>
      <c r="M67" s="35">
        <f t="shared" ca="1" si="15"/>
        <v>4.2299999999999995</v>
      </c>
      <c r="N67" s="35">
        <f t="shared" ca="1" si="16"/>
        <v>64</v>
      </c>
      <c r="O67" s="35">
        <f t="shared" ca="1" si="17"/>
        <v>32</v>
      </c>
      <c r="P67" s="15"/>
      <c r="Q67" s="34">
        <f t="shared" ca="1" si="18"/>
        <v>0</v>
      </c>
      <c r="R67" s="34">
        <f t="shared" ca="1" si="18"/>
        <v>0</v>
      </c>
      <c r="S67" s="34">
        <f t="shared" ca="1" si="18"/>
        <v>0</v>
      </c>
      <c r="T67" s="34">
        <f t="shared" ca="1" si="19"/>
        <v>0</v>
      </c>
      <c r="U67" s="15"/>
      <c r="V67" s="35">
        <f t="shared" si="20"/>
        <v>0.7</v>
      </c>
      <c r="W67" s="34">
        <f t="shared" ca="1" si="21"/>
        <v>0</v>
      </c>
      <c r="X67" s="35">
        <f t="shared" si="22"/>
        <v>0.222</v>
      </c>
      <c r="Y67" s="34">
        <f t="shared" ca="1" si="23"/>
        <v>0</v>
      </c>
      <c r="Z67" s="35">
        <f t="shared" si="24"/>
        <v>0.34799999999999998</v>
      </c>
      <c r="AA67" s="34">
        <f t="shared" ca="1" si="25"/>
        <v>0</v>
      </c>
      <c r="AB67" s="34">
        <f t="shared" ca="1" si="26"/>
        <v>0</v>
      </c>
      <c r="AC67" s="15"/>
      <c r="AD67" s="34">
        <f t="shared" ca="1" si="27"/>
        <v>0</v>
      </c>
      <c r="AE67" s="34">
        <f t="shared" ca="1" si="9"/>
        <v>0</v>
      </c>
      <c r="AF67" s="34">
        <f t="shared" ca="1" si="28"/>
        <v>0</v>
      </c>
      <c r="AG67" s="15"/>
      <c r="AH67" s="273">
        <f t="shared" si="32"/>
        <v>55518</v>
      </c>
      <c r="AI67" s="267">
        <f t="shared" si="10"/>
        <v>37.666666666666664</v>
      </c>
      <c r="AJ67" s="267">
        <f t="shared" si="11"/>
        <v>2.7597867530558259E-2</v>
      </c>
      <c r="AK67" s="34">
        <f t="shared" ca="1" si="33"/>
        <v>0</v>
      </c>
      <c r="AL67" s="233"/>
      <c r="AN67" s="232"/>
      <c r="AO67" s="17">
        <f t="shared" si="34"/>
        <v>2051</v>
      </c>
      <c r="AP67" s="333">
        <f t="shared" ca="1" si="12"/>
        <v>0</v>
      </c>
      <c r="AQ67" s="15"/>
      <c r="AR67" s="247">
        <f t="shared" ca="1" si="35"/>
        <v>0</v>
      </c>
      <c r="AS67" s="247">
        <f t="shared" ca="1" si="29"/>
        <v>0</v>
      </c>
      <c r="AT67" s="247">
        <f t="shared" ca="1" si="30"/>
        <v>0</v>
      </c>
      <c r="AU67" s="15"/>
      <c r="AV67" s="247">
        <f t="shared" ca="1" si="36"/>
        <v>0</v>
      </c>
      <c r="AW67" s="247">
        <f t="shared" ca="1" si="37"/>
        <v>0</v>
      </c>
      <c r="AX67" s="247">
        <f t="shared" ca="1" si="38"/>
        <v>0</v>
      </c>
      <c r="AY67" s="15"/>
      <c r="AZ67" s="247">
        <f t="shared" ca="1" si="39"/>
        <v>11</v>
      </c>
      <c r="BA67" s="247">
        <f t="shared" ca="1" si="40"/>
        <v>0</v>
      </c>
      <c r="BB67" s="247">
        <f t="shared" ca="1" si="41"/>
        <v>11</v>
      </c>
      <c r="BC67" s="15"/>
      <c r="BD67" s="15"/>
      <c r="BE67" s="15"/>
      <c r="BF67" s="15"/>
      <c r="BG67" s="15"/>
      <c r="BH67" s="15"/>
      <c r="BI67" s="15"/>
      <c r="BJ67" s="15"/>
      <c r="BK67" s="15"/>
      <c r="BL67" s="233"/>
    </row>
    <row r="68" spans="2:64" x14ac:dyDescent="0.3">
      <c r="B68" s="232"/>
      <c r="C68" s="250">
        <f t="shared" si="31"/>
        <v>2052</v>
      </c>
      <c r="D68" s="263">
        <f t="shared" ca="1" si="13"/>
        <v>0</v>
      </c>
      <c r="E68" s="263">
        <f t="shared" ca="1" si="7"/>
        <v>0</v>
      </c>
      <c r="F68" s="263">
        <f t="shared" ca="1" si="8"/>
        <v>0</v>
      </c>
      <c r="G68" s="263">
        <f ca="1">MIN($G$5*$AQ$7-SUM(G$29:G67),G67*(1-$G$8))</f>
        <v>0</v>
      </c>
      <c r="H68" s="15"/>
      <c r="I68" s="271">
        <f ca="1">Assumptions!$O$68</f>
        <v>4.5</v>
      </c>
      <c r="J68" s="271">
        <f ca="1">Assumptions!$P$68</f>
        <v>80</v>
      </c>
      <c r="K68" s="271">
        <f t="shared" ca="1" si="14"/>
        <v>40</v>
      </c>
      <c r="L68" s="15"/>
      <c r="M68" s="35">
        <f t="shared" ca="1" si="15"/>
        <v>4.2299999999999995</v>
      </c>
      <c r="N68" s="35">
        <f t="shared" ca="1" si="16"/>
        <v>64</v>
      </c>
      <c r="O68" s="35">
        <f t="shared" ca="1" si="17"/>
        <v>32</v>
      </c>
      <c r="P68" s="15"/>
      <c r="Q68" s="34">
        <f t="shared" ca="1" si="18"/>
        <v>0</v>
      </c>
      <c r="R68" s="34">
        <f t="shared" ca="1" si="18"/>
        <v>0</v>
      </c>
      <c r="S68" s="34">
        <f t="shared" ca="1" si="18"/>
        <v>0</v>
      </c>
      <c r="T68" s="34">
        <f t="shared" ca="1" si="19"/>
        <v>0</v>
      </c>
      <c r="U68" s="15"/>
      <c r="V68" s="35">
        <f t="shared" si="20"/>
        <v>0.7</v>
      </c>
      <c r="W68" s="34">
        <f t="shared" ca="1" si="21"/>
        <v>0</v>
      </c>
      <c r="X68" s="35">
        <f t="shared" si="22"/>
        <v>0.222</v>
      </c>
      <c r="Y68" s="34">
        <f t="shared" ca="1" si="23"/>
        <v>0</v>
      </c>
      <c r="Z68" s="35">
        <f t="shared" si="24"/>
        <v>0.34799999999999998</v>
      </c>
      <c r="AA68" s="34">
        <f t="shared" ca="1" si="25"/>
        <v>0</v>
      </c>
      <c r="AB68" s="34">
        <f t="shared" ca="1" si="26"/>
        <v>0</v>
      </c>
      <c r="AC68" s="15"/>
      <c r="AD68" s="34">
        <f t="shared" ca="1" si="27"/>
        <v>0</v>
      </c>
      <c r="AE68" s="34">
        <f t="shared" ca="1" si="9"/>
        <v>0</v>
      </c>
      <c r="AF68" s="34">
        <f t="shared" ca="1" si="28"/>
        <v>0</v>
      </c>
      <c r="AG68" s="15"/>
      <c r="AH68" s="273">
        <f t="shared" si="32"/>
        <v>55884</v>
      </c>
      <c r="AI68" s="267">
        <f t="shared" si="10"/>
        <v>38.666666666666664</v>
      </c>
      <c r="AJ68" s="267">
        <f t="shared" si="11"/>
        <v>2.5088970482325681E-2</v>
      </c>
      <c r="AK68" s="34">
        <f t="shared" ca="1" si="33"/>
        <v>0</v>
      </c>
      <c r="AL68" s="233"/>
      <c r="AN68" s="232"/>
      <c r="AO68" s="17">
        <f t="shared" si="34"/>
        <v>2052</v>
      </c>
      <c r="AP68" s="333">
        <f t="shared" ca="1" si="12"/>
        <v>0</v>
      </c>
      <c r="AQ68" s="15"/>
      <c r="AR68" s="247">
        <f t="shared" ca="1" si="35"/>
        <v>0</v>
      </c>
      <c r="AS68" s="247">
        <f t="shared" ca="1" si="29"/>
        <v>0</v>
      </c>
      <c r="AT68" s="247">
        <f t="shared" ca="1" si="30"/>
        <v>0</v>
      </c>
      <c r="AU68" s="15"/>
      <c r="AV68" s="247">
        <f t="shared" ca="1" si="36"/>
        <v>0</v>
      </c>
      <c r="AW68" s="247">
        <f t="shared" ca="1" si="37"/>
        <v>0</v>
      </c>
      <c r="AX68" s="247">
        <f t="shared" ca="1" si="38"/>
        <v>0</v>
      </c>
      <c r="AY68" s="15"/>
      <c r="AZ68" s="247">
        <f t="shared" ca="1" si="39"/>
        <v>11</v>
      </c>
      <c r="BA68" s="247">
        <f t="shared" ca="1" si="40"/>
        <v>0</v>
      </c>
      <c r="BB68" s="247">
        <f t="shared" ca="1" si="41"/>
        <v>11</v>
      </c>
      <c r="BC68" s="15"/>
      <c r="BD68" s="15"/>
      <c r="BE68" s="15"/>
      <c r="BF68" s="15"/>
      <c r="BG68" s="15"/>
      <c r="BH68" s="15"/>
      <c r="BI68" s="15"/>
      <c r="BJ68" s="15"/>
      <c r="BK68" s="15"/>
      <c r="BL68" s="233"/>
    </row>
    <row r="69" spans="2:64" x14ac:dyDescent="0.3">
      <c r="B69" s="232"/>
      <c r="C69" s="250">
        <f t="shared" si="31"/>
        <v>2053</v>
      </c>
      <c r="D69" s="263">
        <f t="shared" ca="1" si="13"/>
        <v>0</v>
      </c>
      <c r="E69" s="263">
        <f t="shared" ca="1" si="7"/>
        <v>0</v>
      </c>
      <c r="F69" s="263">
        <f t="shared" ca="1" si="8"/>
        <v>0</v>
      </c>
      <c r="G69" s="263">
        <f ca="1">MIN($G$5*$AQ$7-SUM(G$29:G68),G68*(1-$G$8))</f>
        <v>0</v>
      </c>
      <c r="H69" s="15"/>
      <c r="I69" s="271">
        <f ca="1">Assumptions!$O$68</f>
        <v>4.5</v>
      </c>
      <c r="J69" s="271">
        <f ca="1">Assumptions!$P$68</f>
        <v>80</v>
      </c>
      <c r="K69" s="271">
        <f t="shared" ca="1" si="14"/>
        <v>40</v>
      </c>
      <c r="L69" s="15"/>
      <c r="M69" s="35">
        <f t="shared" ca="1" si="15"/>
        <v>4.2299999999999995</v>
      </c>
      <c r="N69" s="35">
        <f t="shared" ca="1" si="16"/>
        <v>64</v>
      </c>
      <c r="O69" s="35">
        <f t="shared" ca="1" si="17"/>
        <v>32</v>
      </c>
      <c r="P69" s="15"/>
      <c r="Q69" s="34">
        <f t="shared" ca="1" si="18"/>
        <v>0</v>
      </c>
      <c r="R69" s="34">
        <f t="shared" ca="1" si="18"/>
        <v>0</v>
      </c>
      <c r="S69" s="34">
        <f t="shared" ca="1" si="18"/>
        <v>0</v>
      </c>
      <c r="T69" s="34">
        <f t="shared" ca="1" si="19"/>
        <v>0</v>
      </c>
      <c r="U69" s="15"/>
      <c r="V69" s="35">
        <f t="shared" si="20"/>
        <v>0.7</v>
      </c>
      <c r="W69" s="34">
        <f t="shared" ca="1" si="21"/>
        <v>0</v>
      </c>
      <c r="X69" s="35">
        <f t="shared" si="22"/>
        <v>0.222</v>
      </c>
      <c r="Y69" s="34">
        <f t="shared" ca="1" si="23"/>
        <v>0</v>
      </c>
      <c r="Z69" s="35">
        <f t="shared" si="24"/>
        <v>0.34799999999999998</v>
      </c>
      <c r="AA69" s="34">
        <f t="shared" ca="1" si="25"/>
        <v>0</v>
      </c>
      <c r="AB69" s="34">
        <f t="shared" ca="1" si="26"/>
        <v>0</v>
      </c>
      <c r="AC69" s="15"/>
      <c r="AD69" s="34">
        <f t="shared" ca="1" si="27"/>
        <v>0</v>
      </c>
      <c r="AE69" s="34">
        <f t="shared" ca="1" si="9"/>
        <v>0</v>
      </c>
      <c r="AF69" s="34">
        <f t="shared" ca="1" si="28"/>
        <v>0</v>
      </c>
      <c r="AG69" s="15"/>
      <c r="AH69" s="273">
        <f t="shared" si="32"/>
        <v>56249</v>
      </c>
      <c r="AI69" s="267">
        <f t="shared" si="10"/>
        <v>39.666666666666664</v>
      </c>
      <c r="AJ69" s="267">
        <f t="shared" si="11"/>
        <v>2.280815498393244E-2</v>
      </c>
      <c r="AK69" s="34">
        <f t="shared" ca="1" si="33"/>
        <v>0</v>
      </c>
      <c r="AL69" s="233"/>
      <c r="AN69" s="232"/>
      <c r="AO69" s="17">
        <f t="shared" si="34"/>
        <v>2053</v>
      </c>
      <c r="AP69" s="333">
        <f t="shared" ca="1" si="12"/>
        <v>0</v>
      </c>
      <c r="AQ69" s="15"/>
      <c r="AR69" s="247">
        <f t="shared" ca="1" si="35"/>
        <v>0</v>
      </c>
      <c r="AS69" s="247">
        <f t="shared" ca="1" si="29"/>
        <v>0</v>
      </c>
      <c r="AT69" s="247">
        <f t="shared" ca="1" si="30"/>
        <v>0</v>
      </c>
      <c r="AU69" s="15"/>
      <c r="AV69" s="247">
        <f t="shared" ca="1" si="36"/>
        <v>0</v>
      </c>
      <c r="AW69" s="247">
        <f t="shared" ca="1" si="37"/>
        <v>0</v>
      </c>
      <c r="AX69" s="247">
        <f t="shared" ca="1" si="38"/>
        <v>0</v>
      </c>
      <c r="AY69" s="15"/>
      <c r="AZ69" s="247">
        <f t="shared" ca="1" si="39"/>
        <v>11</v>
      </c>
      <c r="BA69" s="247">
        <f t="shared" ca="1" si="40"/>
        <v>0</v>
      </c>
      <c r="BB69" s="247">
        <f t="shared" ca="1" si="41"/>
        <v>11</v>
      </c>
      <c r="BC69" s="15"/>
      <c r="BD69" s="15"/>
      <c r="BE69" s="15"/>
      <c r="BF69" s="15"/>
      <c r="BG69" s="15"/>
      <c r="BH69" s="15"/>
      <c r="BI69" s="15"/>
      <c r="BJ69" s="15"/>
      <c r="BK69" s="15"/>
      <c r="BL69" s="233"/>
    </row>
    <row r="70" spans="2:64" x14ac:dyDescent="0.3">
      <c r="B70" s="232"/>
      <c r="C70" s="274" t="s">
        <v>302</v>
      </c>
      <c r="D70" s="39">
        <f ca="1">SUM(D29:D69)</f>
        <v>0</v>
      </c>
      <c r="E70" s="39">
        <f ca="1">SUM(E29:E69)</f>
        <v>9899.9999999999982</v>
      </c>
      <c r="F70" s="39">
        <f ca="1">SUM(F29:F69)</f>
        <v>0</v>
      </c>
      <c r="G70" s="39">
        <f ca="1">SUM(G29:G69)</f>
        <v>59400</v>
      </c>
      <c r="H70" s="15"/>
      <c r="I70" s="35"/>
      <c r="J70" s="35"/>
      <c r="K70" s="35"/>
      <c r="L70" s="15"/>
      <c r="M70" s="35"/>
      <c r="N70" s="35"/>
      <c r="O70" s="35"/>
      <c r="P70" s="15"/>
      <c r="Q70" s="8">
        <f ca="1">SUM(Q29:Q69)</f>
        <v>0</v>
      </c>
      <c r="R70" s="8">
        <f ca="1">SUM(R29:R69)</f>
        <v>658717.74494779634</v>
      </c>
      <c r="S70" s="8">
        <f ca="1">SUM(S29:S69)</f>
        <v>0</v>
      </c>
      <c r="T70" s="8">
        <f t="shared" ca="1" si="19"/>
        <v>658717.74494779634</v>
      </c>
      <c r="U70" s="15"/>
      <c r="V70" s="275"/>
      <c r="W70" s="276">
        <f ca="1">SUM(W29:W69)</f>
        <v>50400.000000000007</v>
      </c>
      <c r="X70" s="275"/>
      <c r="Y70" s="276">
        <f ca="1">SUM(Y29:Y69)</f>
        <v>15984.000000000002</v>
      </c>
      <c r="Z70" s="275"/>
      <c r="AA70" s="276">
        <f ca="1">SUM(AA29:AA69)</f>
        <v>25056.000000000004</v>
      </c>
      <c r="AB70" s="276">
        <f ca="1">SUM(AB29:AB69)</f>
        <v>91440</v>
      </c>
      <c r="AC70" s="15"/>
      <c r="AD70" s="276">
        <f ca="1">SUM(AD29:AD69)</f>
        <v>567277.74494779645</v>
      </c>
      <c r="AE70" s="276">
        <f ca="1">SUM(AE29:AE69)</f>
        <v>12000</v>
      </c>
      <c r="AF70" s="276">
        <f ca="1">SUM(AF29:AF69)</f>
        <v>555277.74494779645</v>
      </c>
      <c r="AG70" s="15"/>
      <c r="AH70" s="277"/>
      <c r="AI70" s="278"/>
      <c r="AJ70" s="278"/>
      <c r="AK70" s="279">
        <f ca="1">SUM(AK29:AK69)</f>
        <v>359857.39914637705</v>
      </c>
      <c r="AL70" s="233"/>
      <c r="AN70" s="232"/>
      <c r="AO70" s="274" t="s">
        <v>302</v>
      </c>
      <c r="AP70" s="9"/>
      <c r="AQ70" s="9"/>
      <c r="AR70" s="9"/>
      <c r="AS70" s="207">
        <f ca="1">SUM(AS29:AS69)</f>
        <v>130</v>
      </c>
      <c r="AT70" s="9"/>
      <c r="AU70" s="15"/>
      <c r="AV70" s="9"/>
      <c r="AW70" s="207">
        <f ca="1">SUM(AW29:AW69)</f>
        <v>156</v>
      </c>
      <c r="AX70" s="9"/>
      <c r="AY70" s="15"/>
      <c r="AZ70" s="9"/>
      <c r="BA70" s="207">
        <f ca="1">SUM(BA29:BA69)</f>
        <v>278</v>
      </c>
      <c r="BB70" s="9"/>
      <c r="BC70" s="15"/>
      <c r="BD70" s="15"/>
      <c r="BE70" s="15"/>
      <c r="BF70" s="15"/>
      <c r="BG70" s="15"/>
      <c r="BH70" s="15"/>
      <c r="BI70" s="15"/>
      <c r="BJ70" s="15"/>
      <c r="BK70" s="15"/>
      <c r="BL70" s="233"/>
    </row>
    <row r="71" spans="2:64" x14ac:dyDescent="0.3">
      <c r="B71" s="232"/>
      <c r="C71" s="283" t="s">
        <v>303</v>
      </c>
      <c r="D71" s="263">
        <f ca="1">D72-D70</f>
        <v>0</v>
      </c>
      <c r="E71" s="263">
        <f t="shared" ref="E71:F71" ca="1" si="42">E72-E70</f>
        <v>0</v>
      </c>
      <c r="F71" s="263">
        <f t="shared" ca="1" si="42"/>
        <v>0</v>
      </c>
      <c r="G71" s="263">
        <f ca="1">G72-G70</f>
        <v>0</v>
      </c>
      <c r="H71" s="15"/>
      <c r="I71" s="35">
        <f ca="1">I69</f>
        <v>4.5</v>
      </c>
      <c r="J71" s="35">
        <f t="shared" ref="J71:K71" ca="1" si="43">J69</f>
        <v>80</v>
      </c>
      <c r="K71" s="35">
        <f t="shared" ca="1" si="43"/>
        <v>40</v>
      </c>
      <c r="L71" s="15"/>
      <c r="M71" s="35">
        <f ca="1">M69</f>
        <v>4.2299999999999995</v>
      </c>
      <c r="N71" s="35">
        <f t="shared" ref="N71:O71" ca="1" si="44">N69</f>
        <v>64</v>
      </c>
      <c r="O71" s="35">
        <f t="shared" ca="1" si="44"/>
        <v>32</v>
      </c>
      <c r="P71" s="15"/>
      <c r="Q71" s="34">
        <f t="shared" ref="Q71:S71" ca="1" si="45">D71*M71</f>
        <v>0</v>
      </c>
      <c r="R71" s="34">
        <f t="shared" ca="1" si="45"/>
        <v>0</v>
      </c>
      <c r="S71" s="34">
        <f t="shared" ca="1" si="45"/>
        <v>0</v>
      </c>
      <c r="T71" s="34">
        <f t="shared" ref="T71" ca="1" si="46">SUM(Q71:S71)</f>
        <v>0</v>
      </c>
      <c r="U71" s="15"/>
      <c r="V71" s="35">
        <f>V69</f>
        <v>0.7</v>
      </c>
      <c r="W71" s="34">
        <f t="shared" ca="1" si="21"/>
        <v>0</v>
      </c>
      <c r="X71" s="35">
        <f>X69</f>
        <v>0.222</v>
      </c>
      <c r="Y71" s="34">
        <f t="shared" ca="1" si="23"/>
        <v>0</v>
      </c>
      <c r="Z71" s="35">
        <f>Z69</f>
        <v>0.34799999999999998</v>
      </c>
      <c r="AA71" s="34">
        <f t="shared" ca="1" si="25"/>
        <v>0</v>
      </c>
      <c r="AB71" s="34">
        <f ca="1">W71+Y71+AA71</f>
        <v>0</v>
      </c>
      <c r="AC71" s="15"/>
      <c r="AD71" s="34">
        <f ca="1">T71-AB71</f>
        <v>0</v>
      </c>
      <c r="AE71" s="34">
        <f ca="1">$M$10*(G71/$G$72)*Units</f>
        <v>0</v>
      </c>
      <c r="AF71" s="34">
        <f ca="1">AD71-AE71</f>
        <v>0</v>
      </c>
      <c r="AG71" s="15"/>
      <c r="AH71" s="266">
        <f>Remainder_Date</f>
        <v>56249</v>
      </c>
      <c r="AI71" s="267">
        <f>DAYS360(Valuation_Date,AH71)/360-MIN(0.5,0.5*DAYS360(Valuation_Date,AH71)/360)</f>
        <v>39.666666666666664</v>
      </c>
      <c r="AJ71" s="267">
        <f>1/((1+Discount_Rate)^AI71)</f>
        <v>2.280815498393244E-2</v>
      </c>
      <c r="AK71" s="34">
        <f ca="1">AF71*AJ71</f>
        <v>0</v>
      </c>
      <c r="AL71" s="233"/>
      <c r="AN71" s="232"/>
      <c r="AO71" s="283" t="s">
        <v>303</v>
      </c>
      <c r="AP71" s="4"/>
      <c r="AQ71" s="4"/>
      <c r="AR71" s="4"/>
      <c r="AS71" s="334">
        <f ca="1">AS72-AS70</f>
        <v>0</v>
      </c>
      <c r="AT71" s="4"/>
      <c r="AU71" s="15"/>
      <c r="AV71" s="4"/>
      <c r="AW71" s="334">
        <f ca="1">AW72-AW70</f>
        <v>0</v>
      </c>
      <c r="AX71" s="4"/>
      <c r="AY71" s="15"/>
      <c r="AZ71" s="4"/>
      <c r="BA71" s="334">
        <f ca="1">BA72-BA70</f>
        <v>11</v>
      </c>
      <c r="BB71" s="4"/>
      <c r="BC71" s="15"/>
      <c r="BD71" s="15"/>
      <c r="BE71" s="15"/>
      <c r="BF71" s="15"/>
      <c r="BG71" s="15"/>
      <c r="BH71" s="15"/>
      <c r="BI71" s="15"/>
      <c r="BJ71" s="15"/>
      <c r="BK71" s="15"/>
      <c r="BL71" s="233"/>
    </row>
    <row r="72" spans="2:64" x14ac:dyDescent="0.3">
      <c r="B72" s="232"/>
      <c r="C72" s="60" t="s">
        <v>26</v>
      </c>
      <c r="D72" s="39">
        <f t="shared" ref="D72" ca="1" si="47">$G72*$M$12</f>
        <v>0</v>
      </c>
      <c r="E72" s="39">
        <f t="shared" ref="E72" ca="1" si="48">$G72*$M$14/Bbl_to_Mcfe</f>
        <v>9900</v>
      </c>
      <c r="F72" s="39">
        <f t="shared" ref="F72" ca="1" si="49">$G72*$M$13/Bbl_to_Mcfe</f>
        <v>0</v>
      </c>
      <c r="G72" s="39">
        <f ca="1">$G$5*$AQ$7</f>
        <v>59400</v>
      </c>
      <c r="H72" s="15"/>
      <c r="I72" s="15"/>
      <c r="J72" s="15"/>
      <c r="K72" s="15"/>
      <c r="L72" s="15"/>
      <c r="M72" s="15"/>
      <c r="N72" s="15"/>
      <c r="O72" s="15"/>
      <c r="P72" s="15"/>
      <c r="Q72" s="8">
        <f ca="1">Q71+Q70</f>
        <v>0</v>
      </c>
      <c r="R72" s="8">
        <f t="shared" ref="R72:T72" ca="1" si="50">R71+R70</f>
        <v>658717.74494779634</v>
      </c>
      <c r="S72" s="8">
        <f t="shared" ca="1" si="50"/>
        <v>0</v>
      </c>
      <c r="T72" s="8">
        <f t="shared" ca="1" si="50"/>
        <v>658717.74494779634</v>
      </c>
      <c r="U72" s="15"/>
      <c r="V72" s="9"/>
      <c r="W72" s="8">
        <f ca="1">W71+W70</f>
        <v>50400.000000000007</v>
      </c>
      <c r="X72" s="9"/>
      <c r="Y72" s="8">
        <f ca="1">Y71+Y70</f>
        <v>15984.000000000002</v>
      </c>
      <c r="Z72" s="9"/>
      <c r="AA72" s="8">
        <f ca="1">AA71+AA70</f>
        <v>25056.000000000004</v>
      </c>
      <c r="AB72" s="8">
        <f ca="1">AB71+AB70</f>
        <v>91440</v>
      </c>
      <c r="AC72" s="15"/>
      <c r="AD72" s="8">
        <f ca="1">AD71+AD70</f>
        <v>567277.74494779645</v>
      </c>
      <c r="AE72" s="8">
        <f ca="1">AE71+AE70</f>
        <v>12000</v>
      </c>
      <c r="AF72" s="8">
        <f ca="1">AF71+AF70</f>
        <v>555277.74494779645</v>
      </c>
      <c r="AG72" s="15"/>
      <c r="AH72" s="9"/>
      <c r="AI72" s="9"/>
      <c r="AJ72" s="9"/>
      <c r="AK72" s="65">
        <f ca="1">AK71+AK70</f>
        <v>359857.39914637705</v>
      </c>
      <c r="AL72" s="233"/>
      <c r="AN72" s="232"/>
      <c r="AO72" s="60" t="s">
        <v>26</v>
      </c>
      <c r="AP72" s="15"/>
      <c r="AQ72" s="15"/>
      <c r="AR72" s="15"/>
      <c r="AS72" s="335">
        <f ca="1">AT9</f>
        <v>130</v>
      </c>
      <c r="AT72" s="15"/>
      <c r="AU72" s="15"/>
      <c r="AV72" s="15"/>
      <c r="AW72" s="335">
        <f ca="1">AT10</f>
        <v>156</v>
      </c>
      <c r="AX72" s="15"/>
      <c r="AY72" s="15"/>
      <c r="AZ72" s="15"/>
      <c r="BA72" s="335">
        <f ca="1">AT11</f>
        <v>289</v>
      </c>
      <c r="BB72" s="15"/>
      <c r="BC72" s="15"/>
      <c r="BD72" s="15"/>
      <c r="BE72" s="15"/>
      <c r="BF72" s="15"/>
      <c r="BG72" s="15"/>
      <c r="BH72" s="15"/>
      <c r="BI72" s="15"/>
      <c r="BJ72" s="15"/>
      <c r="BK72" s="15"/>
      <c r="BL72" s="233"/>
    </row>
    <row r="73" spans="2:64" x14ac:dyDescent="0.3">
      <c r="B73" s="232"/>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233"/>
      <c r="AN73" s="9"/>
      <c r="AO73" s="9"/>
      <c r="AP73" s="9"/>
      <c r="AQ73" s="9"/>
      <c r="AR73" s="9"/>
      <c r="AS73" s="9"/>
      <c r="AT73" s="9"/>
      <c r="AU73" s="9"/>
      <c r="AV73" s="9"/>
      <c r="AW73" s="9"/>
      <c r="AX73" s="9"/>
      <c r="AY73" s="9"/>
      <c r="AZ73" s="9"/>
      <c r="BA73" s="9"/>
      <c r="BB73" s="9"/>
      <c r="BC73" s="9"/>
      <c r="BD73" s="9"/>
      <c r="BE73" s="9"/>
      <c r="BF73" s="9"/>
      <c r="BG73" s="9"/>
      <c r="BH73" s="9"/>
      <c r="BI73" s="9"/>
      <c r="BJ73" s="9"/>
      <c r="BK73" s="9"/>
      <c r="BL73" s="9"/>
    </row>
    <row r="74" spans="2:64" x14ac:dyDescent="0.3">
      <c r="B74" s="285" t="s">
        <v>28</v>
      </c>
      <c r="C74" s="286"/>
      <c r="D74" s="287"/>
      <c r="E74" s="287"/>
      <c r="F74" s="287"/>
      <c r="G74" s="287"/>
      <c r="H74" s="287"/>
      <c r="I74" s="287"/>
      <c r="J74" s="287"/>
      <c r="K74" s="287"/>
      <c r="L74" s="287"/>
      <c r="M74" s="287"/>
      <c r="N74" s="287"/>
      <c r="O74" s="287"/>
      <c r="P74" s="287"/>
      <c r="Q74" s="286" t="str">
        <f>B74</f>
        <v>PDNP</v>
      </c>
      <c r="R74" s="287"/>
      <c r="S74" s="287"/>
      <c r="T74" s="287"/>
      <c r="U74" s="287"/>
      <c r="V74" s="287"/>
      <c r="W74" s="287"/>
      <c r="X74" s="287"/>
      <c r="Y74" s="287"/>
      <c r="Z74" s="287"/>
      <c r="AA74" s="287"/>
      <c r="AB74" s="287"/>
      <c r="AC74" s="287"/>
      <c r="AD74" s="286" t="str">
        <f>Q74</f>
        <v>PDNP</v>
      </c>
      <c r="AE74" s="287"/>
      <c r="AF74" s="287"/>
      <c r="AG74" s="287"/>
      <c r="AH74" s="287"/>
      <c r="AI74" s="287"/>
      <c r="AJ74" s="287"/>
      <c r="AK74" s="287"/>
      <c r="AL74" s="288"/>
      <c r="AN74" s="15"/>
      <c r="AO74" s="2"/>
      <c r="AP74" s="2"/>
      <c r="AQ74" s="2"/>
      <c r="AR74" s="2"/>
      <c r="AS74" s="2"/>
      <c r="AT74" s="2"/>
      <c r="AU74" s="2"/>
      <c r="AV74" s="2"/>
      <c r="AW74" s="2"/>
      <c r="AX74" s="2"/>
      <c r="AY74" s="2"/>
      <c r="AZ74" s="18"/>
      <c r="BA74" s="18"/>
      <c r="BB74" s="18"/>
      <c r="BC74" s="18"/>
      <c r="BD74" s="18"/>
      <c r="BE74" s="18"/>
      <c r="BF74" s="18"/>
      <c r="BG74" s="15"/>
      <c r="BH74" s="15"/>
      <c r="BI74" s="15"/>
      <c r="BJ74" s="15"/>
      <c r="BK74" s="15"/>
      <c r="BL74" s="15"/>
    </row>
    <row r="75" spans="2:64" x14ac:dyDescent="0.3">
      <c r="B75" s="232"/>
      <c r="C75" s="292" t="s">
        <v>305</v>
      </c>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233"/>
      <c r="AO75" s="2"/>
      <c r="AP75" s="2"/>
      <c r="AQ75" s="2"/>
      <c r="AR75" s="2"/>
      <c r="AS75" s="2"/>
      <c r="AT75" s="2"/>
      <c r="AU75" s="2"/>
      <c r="AV75" s="2"/>
      <c r="AW75" s="2"/>
      <c r="AX75" s="2"/>
      <c r="AY75" s="2"/>
      <c r="AZ75" s="2"/>
      <c r="BA75" s="2"/>
      <c r="BB75" s="2"/>
      <c r="BC75" s="2"/>
      <c r="BD75" s="2"/>
      <c r="BE75" s="2"/>
      <c r="BF75" s="2"/>
    </row>
    <row r="76" spans="2:64" x14ac:dyDescent="0.3">
      <c r="B76" s="232"/>
      <c r="C76" s="236"/>
      <c r="D76" s="237"/>
      <c r="E76" s="237"/>
      <c r="F76" s="237"/>
      <c r="G76" s="237"/>
      <c r="H76" s="261"/>
      <c r="I76" s="236"/>
      <c r="J76" s="237"/>
      <c r="K76" s="237"/>
      <c r="L76" s="15"/>
      <c r="M76" s="236"/>
      <c r="N76" s="237"/>
      <c r="O76" s="237"/>
      <c r="P76" s="15"/>
      <c r="Q76" s="236"/>
      <c r="R76" s="237"/>
      <c r="S76" s="237"/>
      <c r="T76" s="237"/>
      <c r="U76" s="15"/>
      <c r="V76" s="236"/>
      <c r="W76" s="237"/>
      <c r="X76" s="237"/>
      <c r="Y76" s="237"/>
      <c r="Z76" s="237"/>
      <c r="AA76" s="237"/>
      <c r="AB76" s="15"/>
      <c r="AC76" s="15"/>
      <c r="AD76" s="236"/>
      <c r="AE76" s="237"/>
      <c r="AF76" s="237"/>
      <c r="AG76" s="15"/>
      <c r="AH76" s="236"/>
      <c r="AI76" s="237"/>
      <c r="AJ76" s="237"/>
      <c r="AK76" s="237"/>
      <c r="AL76" s="233"/>
      <c r="AO76" s="362"/>
      <c r="AP76" s="2"/>
      <c r="AQ76" s="2"/>
      <c r="AR76" s="2"/>
      <c r="AS76" s="2"/>
      <c r="AT76" s="2"/>
      <c r="AU76" s="2"/>
      <c r="AV76" s="2"/>
      <c r="AW76" s="2"/>
      <c r="AX76" s="2"/>
      <c r="AY76" s="2"/>
      <c r="AZ76" s="2"/>
      <c r="BA76" s="2"/>
      <c r="BB76" s="2"/>
      <c r="BC76" s="2"/>
      <c r="BD76" s="2"/>
      <c r="BE76" s="2"/>
      <c r="BF76" s="2"/>
    </row>
    <row r="77" spans="2:64" x14ac:dyDescent="0.3">
      <c r="B77" s="232"/>
      <c r="C77" s="250"/>
      <c r="D77" s="250"/>
      <c r="E77" s="250"/>
      <c r="F77" s="250"/>
      <c r="G77" s="250"/>
      <c r="H77" s="261"/>
      <c r="I77" s="262"/>
      <c r="J77" s="262"/>
      <c r="K77" s="262"/>
      <c r="L77" s="15"/>
      <c r="M77" s="262"/>
      <c r="N77" s="262"/>
      <c r="O77" s="262"/>
      <c r="P77" s="15"/>
      <c r="Q77" s="262"/>
      <c r="R77" s="262"/>
      <c r="S77" s="262"/>
      <c r="T77" s="262"/>
      <c r="U77" s="15"/>
      <c r="V77" s="262"/>
      <c r="W77" s="262"/>
      <c r="X77" s="262"/>
      <c r="Y77" s="262"/>
      <c r="Z77" s="262"/>
      <c r="AA77" s="262"/>
      <c r="AB77" s="262"/>
      <c r="AC77" s="15"/>
      <c r="AD77" s="262"/>
      <c r="AE77" s="262"/>
      <c r="AF77" s="262"/>
      <c r="AG77" s="15"/>
      <c r="AH77" s="262"/>
      <c r="AI77" s="262"/>
      <c r="AJ77" s="262"/>
      <c r="AK77" s="262"/>
      <c r="AL77" s="233"/>
      <c r="AO77" s="2"/>
      <c r="AP77" s="2"/>
      <c r="AQ77" s="2"/>
      <c r="AR77" s="2"/>
      <c r="AS77" s="2"/>
      <c r="AT77" s="2"/>
      <c r="AU77" s="2"/>
      <c r="AV77" s="2"/>
      <c r="AW77" s="2"/>
      <c r="AX77" s="2"/>
      <c r="AY77" s="2"/>
      <c r="AZ77" s="2"/>
      <c r="BA77" s="2"/>
      <c r="BB77" s="2"/>
      <c r="BC77" s="2"/>
      <c r="BD77" s="2"/>
      <c r="BE77" s="2"/>
      <c r="BF77" s="2"/>
    </row>
    <row r="78" spans="2:64" x14ac:dyDescent="0.3">
      <c r="B78" s="232"/>
      <c r="C78" s="250"/>
      <c r="D78" s="250"/>
      <c r="E78" s="250"/>
      <c r="F78" s="250"/>
      <c r="G78" s="250"/>
      <c r="H78" s="15"/>
      <c r="I78" s="250"/>
      <c r="J78" s="250"/>
      <c r="K78" s="250"/>
      <c r="L78" s="15"/>
      <c r="M78" s="250"/>
      <c r="N78" s="250"/>
      <c r="O78" s="250"/>
      <c r="P78" s="15"/>
      <c r="Q78" s="250"/>
      <c r="R78" s="250"/>
      <c r="S78" s="250"/>
      <c r="T78" s="250"/>
      <c r="U78" s="15"/>
      <c r="V78" s="250"/>
      <c r="W78" s="250"/>
      <c r="X78" s="250"/>
      <c r="Y78" s="250"/>
      <c r="Z78" s="250"/>
      <c r="AA78" s="250"/>
      <c r="AB78" s="250"/>
      <c r="AC78" s="15"/>
      <c r="AD78" s="250"/>
      <c r="AE78" s="250"/>
      <c r="AF78" s="250"/>
      <c r="AG78" s="15"/>
      <c r="AH78" s="250"/>
      <c r="AI78" s="250"/>
      <c r="AJ78" s="250"/>
      <c r="AK78" s="250"/>
      <c r="AL78" s="233"/>
      <c r="AO78" s="2"/>
      <c r="AP78" s="2"/>
      <c r="AQ78" s="2"/>
      <c r="AR78" s="2"/>
      <c r="AS78" s="2"/>
      <c r="AT78" s="2"/>
      <c r="AU78" s="2"/>
      <c r="AV78" s="2"/>
      <c r="AW78" s="2"/>
      <c r="AX78" s="2"/>
      <c r="AY78" s="2"/>
      <c r="AZ78" s="2"/>
      <c r="BA78" s="2"/>
      <c r="BB78" s="2"/>
      <c r="BC78" s="2"/>
      <c r="BD78" s="2"/>
      <c r="BE78" s="2"/>
      <c r="BF78" s="2"/>
    </row>
    <row r="79" spans="2:64" x14ac:dyDescent="0.3">
      <c r="B79" s="232"/>
      <c r="C79" s="250"/>
      <c r="D79" s="263"/>
      <c r="E79" s="263"/>
      <c r="F79" s="263"/>
      <c r="G79" s="263"/>
      <c r="H79" s="15"/>
      <c r="I79" s="51"/>
      <c r="J79" s="51"/>
      <c r="K79" s="51"/>
      <c r="L79" s="15"/>
      <c r="M79" s="51"/>
      <c r="N79" s="51"/>
      <c r="O79" s="51"/>
      <c r="P79" s="15"/>
      <c r="Q79" s="265"/>
      <c r="R79" s="265"/>
      <c r="S79" s="265"/>
      <c r="T79" s="265"/>
      <c r="U79" s="15"/>
      <c r="V79" s="51"/>
      <c r="W79" s="265"/>
      <c r="X79" s="51"/>
      <c r="Y79" s="265"/>
      <c r="Z79" s="51"/>
      <c r="AA79" s="265"/>
      <c r="AB79" s="265"/>
      <c r="AC79" s="15"/>
      <c r="AD79" s="265"/>
      <c r="AE79" s="265"/>
      <c r="AF79" s="265"/>
      <c r="AG79" s="15"/>
      <c r="AH79" s="272"/>
      <c r="AI79" s="267"/>
      <c r="AJ79" s="267"/>
      <c r="AK79" s="265"/>
      <c r="AL79" s="233"/>
      <c r="AO79" s="362"/>
      <c r="AP79" s="2"/>
      <c r="AQ79" s="2"/>
      <c r="AR79" s="2"/>
      <c r="AS79" s="2"/>
      <c r="AT79" s="2"/>
      <c r="AU79" s="2"/>
      <c r="AV79" s="2"/>
      <c r="AW79" s="2"/>
      <c r="AX79" s="2"/>
      <c r="AY79" s="2"/>
      <c r="AZ79" s="2"/>
      <c r="BA79" s="2"/>
      <c r="BB79" s="2"/>
      <c r="BC79" s="2"/>
      <c r="BD79" s="2"/>
      <c r="BE79" s="2"/>
      <c r="BF79" s="2"/>
    </row>
    <row r="80" spans="2:64" x14ac:dyDescent="0.3">
      <c r="B80" s="232"/>
      <c r="C80" s="270"/>
      <c r="D80" s="263"/>
      <c r="E80" s="263"/>
      <c r="F80" s="263"/>
      <c r="G80" s="263"/>
      <c r="H80" s="15"/>
      <c r="I80" s="35"/>
      <c r="J80" s="35"/>
      <c r="K80" s="35"/>
      <c r="L80" s="15"/>
      <c r="M80" s="35"/>
      <c r="N80" s="35"/>
      <c r="O80" s="35"/>
      <c r="P80" s="15"/>
      <c r="Q80" s="34"/>
      <c r="R80" s="34"/>
      <c r="S80" s="34"/>
      <c r="T80" s="34"/>
      <c r="U80" s="15"/>
      <c r="V80" s="35"/>
      <c r="W80" s="34"/>
      <c r="X80" s="35"/>
      <c r="Y80" s="34"/>
      <c r="Z80" s="35"/>
      <c r="AA80" s="34"/>
      <c r="AB80" s="34"/>
      <c r="AC80" s="15"/>
      <c r="AD80" s="34"/>
      <c r="AE80" s="34"/>
      <c r="AF80" s="34"/>
      <c r="AG80" s="15"/>
      <c r="AH80" s="272"/>
      <c r="AI80" s="267"/>
      <c r="AJ80" s="267"/>
      <c r="AK80" s="34"/>
      <c r="AL80" s="233"/>
      <c r="AO80" s="2"/>
      <c r="AP80" s="2"/>
      <c r="AQ80" s="2"/>
      <c r="AR80" s="2"/>
      <c r="AS80" s="2"/>
      <c r="AT80" s="2"/>
      <c r="AU80" s="2"/>
      <c r="AV80" s="2"/>
      <c r="AW80" s="2"/>
      <c r="AX80" s="2"/>
      <c r="AY80" s="2"/>
      <c r="AZ80" s="2"/>
      <c r="BA80" s="2"/>
      <c r="BB80" s="2"/>
      <c r="BC80" s="2"/>
      <c r="BD80" s="2"/>
      <c r="BE80" s="2"/>
      <c r="BF80" s="2"/>
    </row>
    <row r="81" spans="2:58" x14ac:dyDescent="0.3">
      <c r="B81" s="232"/>
      <c r="C81" s="250"/>
      <c r="D81" s="263"/>
      <c r="E81" s="263"/>
      <c r="F81" s="263"/>
      <c r="G81" s="263"/>
      <c r="H81" s="15"/>
      <c r="I81" s="35"/>
      <c r="J81" s="35"/>
      <c r="K81" s="35"/>
      <c r="L81" s="15"/>
      <c r="M81" s="35"/>
      <c r="N81" s="35"/>
      <c r="O81" s="35"/>
      <c r="P81" s="15"/>
      <c r="Q81" s="34"/>
      <c r="R81" s="34"/>
      <c r="S81" s="34"/>
      <c r="T81" s="34"/>
      <c r="U81" s="15"/>
      <c r="V81" s="35"/>
      <c r="W81" s="34"/>
      <c r="X81" s="35"/>
      <c r="Y81" s="34"/>
      <c r="Z81" s="35"/>
      <c r="AA81" s="34"/>
      <c r="AB81" s="34"/>
      <c r="AC81" s="15"/>
      <c r="AD81" s="34"/>
      <c r="AE81" s="34"/>
      <c r="AF81" s="34"/>
      <c r="AG81" s="15"/>
      <c r="AH81" s="272"/>
      <c r="AI81" s="267"/>
      <c r="AJ81" s="267"/>
      <c r="AK81" s="34"/>
      <c r="AL81" s="233"/>
      <c r="AO81" s="362"/>
      <c r="AP81" s="2"/>
      <c r="AQ81" s="2"/>
      <c r="AR81" s="2"/>
      <c r="AS81" s="2"/>
      <c r="AT81" s="2"/>
      <c r="AU81" s="2"/>
      <c r="AV81" s="2"/>
      <c r="AW81" s="2"/>
      <c r="AX81" s="2"/>
      <c r="AY81" s="2"/>
      <c r="AZ81" s="2"/>
      <c r="BA81" s="2"/>
      <c r="BB81" s="2"/>
      <c r="BC81" s="2"/>
      <c r="BD81" s="2"/>
      <c r="BE81" s="2"/>
      <c r="BF81" s="2"/>
    </row>
    <row r="82" spans="2:58" x14ac:dyDescent="0.3">
      <c r="B82" s="232"/>
      <c r="C82" s="250"/>
      <c r="D82" s="263"/>
      <c r="E82" s="263"/>
      <c r="F82" s="263"/>
      <c r="G82" s="263"/>
      <c r="H82" s="15"/>
      <c r="I82" s="35"/>
      <c r="J82" s="35"/>
      <c r="K82" s="35"/>
      <c r="L82" s="15"/>
      <c r="M82" s="35"/>
      <c r="N82" s="35"/>
      <c r="O82" s="35"/>
      <c r="P82" s="15"/>
      <c r="Q82" s="34"/>
      <c r="R82" s="34"/>
      <c r="S82" s="34"/>
      <c r="T82" s="34"/>
      <c r="U82" s="15"/>
      <c r="V82" s="35"/>
      <c r="W82" s="34"/>
      <c r="X82" s="35"/>
      <c r="Y82" s="34"/>
      <c r="Z82" s="35"/>
      <c r="AA82" s="34"/>
      <c r="AB82" s="34"/>
      <c r="AC82" s="15"/>
      <c r="AD82" s="34"/>
      <c r="AE82" s="34"/>
      <c r="AF82" s="34"/>
      <c r="AG82" s="15"/>
      <c r="AH82" s="272"/>
      <c r="AI82" s="267"/>
      <c r="AJ82" s="267"/>
      <c r="AK82" s="34"/>
      <c r="AL82" s="233"/>
      <c r="AO82" s="222"/>
      <c r="AP82" s="2"/>
      <c r="AQ82" s="2"/>
      <c r="AR82" s="2"/>
      <c r="AS82" s="2"/>
      <c r="AT82" s="2"/>
      <c r="AU82" s="2"/>
      <c r="AV82" s="2"/>
      <c r="AW82" s="2"/>
      <c r="AX82" s="2"/>
      <c r="AY82" s="2"/>
      <c r="AZ82" s="2"/>
      <c r="BA82" s="2"/>
      <c r="BB82" s="2"/>
      <c r="BC82" s="2"/>
      <c r="BD82" s="2"/>
      <c r="BE82" s="2"/>
      <c r="BF82" s="2"/>
    </row>
    <row r="83" spans="2:58" x14ac:dyDescent="0.3">
      <c r="B83" s="232"/>
      <c r="C83" s="250"/>
      <c r="D83" s="263"/>
      <c r="E83" s="263"/>
      <c r="F83" s="263"/>
      <c r="G83" s="263"/>
      <c r="H83" s="15"/>
      <c r="I83" s="35"/>
      <c r="J83" s="35"/>
      <c r="K83" s="35"/>
      <c r="L83" s="15"/>
      <c r="M83" s="35"/>
      <c r="N83" s="35"/>
      <c r="O83" s="35"/>
      <c r="P83" s="15"/>
      <c r="Q83" s="34"/>
      <c r="R83" s="34"/>
      <c r="S83" s="34"/>
      <c r="T83" s="34"/>
      <c r="U83" s="15"/>
      <c r="V83" s="35"/>
      <c r="W83" s="34"/>
      <c r="X83" s="35"/>
      <c r="Y83" s="34"/>
      <c r="Z83" s="35"/>
      <c r="AA83" s="34"/>
      <c r="AB83" s="34"/>
      <c r="AC83" s="15"/>
      <c r="AD83" s="34"/>
      <c r="AE83" s="34"/>
      <c r="AF83" s="34"/>
      <c r="AG83" s="15"/>
      <c r="AH83" s="272"/>
      <c r="AI83" s="267"/>
      <c r="AJ83" s="267"/>
      <c r="AK83" s="34"/>
      <c r="AL83" s="233"/>
      <c r="AO83" s="223"/>
      <c r="AP83" s="2"/>
      <c r="AQ83" s="2"/>
      <c r="AR83" s="2"/>
      <c r="AS83" s="2"/>
      <c r="AT83" s="2"/>
      <c r="AU83" s="2"/>
      <c r="AV83" s="2"/>
      <c r="AW83" s="2"/>
      <c r="AX83" s="2"/>
      <c r="AY83" s="2"/>
      <c r="AZ83" s="2"/>
      <c r="BA83" s="2"/>
      <c r="BB83" s="2"/>
      <c r="BC83" s="2"/>
      <c r="BD83" s="2"/>
      <c r="BE83" s="2"/>
      <c r="BF83" s="2"/>
    </row>
    <row r="84" spans="2:58" x14ac:dyDescent="0.3">
      <c r="B84" s="232"/>
      <c r="C84" s="250"/>
      <c r="D84" s="263"/>
      <c r="E84" s="263"/>
      <c r="F84" s="263"/>
      <c r="G84" s="263"/>
      <c r="H84" s="15"/>
      <c r="I84" s="35"/>
      <c r="J84" s="35"/>
      <c r="K84" s="35"/>
      <c r="L84" s="15"/>
      <c r="M84" s="35"/>
      <c r="N84" s="35"/>
      <c r="O84" s="35"/>
      <c r="P84" s="15"/>
      <c r="Q84" s="34"/>
      <c r="R84" s="34"/>
      <c r="S84" s="34"/>
      <c r="T84" s="34"/>
      <c r="U84" s="15"/>
      <c r="V84" s="35"/>
      <c r="W84" s="34"/>
      <c r="X84" s="35"/>
      <c r="Y84" s="34"/>
      <c r="Z84" s="35"/>
      <c r="AA84" s="34"/>
      <c r="AB84" s="34"/>
      <c r="AC84" s="15"/>
      <c r="AD84" s="34"/>
      <c r="AE84" s="34"/>
      <c r="AF84" s="34"/>
      <c r="AG84" s="15"/>
      <c r="AH84" s="272"/>
      <c r="AI84" s="267"/>
      <c r="AJ84" s="267"/>
      <c r="AK84" s="34"/>
      <c r="AL84" s="233"/>
      <c r="AO84" s="222"/>
      <c r="AP84" s="2"/>
      <c r="AQ84" s="2"/>
      <c r="AR84" s="2"/>
      <c r="AS84" s="2"/>
      <c r="AT84" s="2"/>
      <c r="AU84" s="2"/>
      <c r="AV84" s="2"/>
      <c r="AW84" s="2"/>
      <c r="AX84" s="2"/>
      <c r="AY84" s="2"/>
      <c r="AZ84" s="2"/>
      <c r="BA84" s="2"/>
      <c r="BB84" s="2"/>
      <c r="BC84" s="2"/>
      <c r="BD84" s="2"/>
      <c r="BE84" s="2"/>
      <c r="BF84" s="2"/>
    </row>
    <row r="85" spans="2:58" x14ac:dyDescent="0.3">
      <c r="B85" s="232"/>
      <c r="C85" s="250"/>
      <c r="D85" s="263"/>
      <c r="E85" s="263"/>
      <c r="F85" s="263"/>
      <c r="G85" s="263"/>
      <c r="H85" s="15"/>
      <c r="I85" s="35"/>
      <c r="J85" s="35"/>
      <c r="K85" s="35"/>
      <c r="L85" s="15"/>
      <c r="M85" s="35"/>
      <c r="N85" s="35"/>
      <c r="O85" s="35"/>
      <c r="P85" s="15"/>
      <c r="Q85" s="34"/>
      <c r="R85" s="34"/>
      <c r="S85" s="34"/>
      <c r="T85" s="34"/>
      <c r="U85" s="15"/>
      <c r="V85" s="35"/>
      <c r="W85" s="34"/>
      <c r="X85" s="35"/>
      <c r="Y85" s="34"/>
      <c r="Z85" s="35"/>
      <c r="AA85" s="34"/>
      <c r="AB85" s="34"/>
      <c r="AC85" s="15"/>
      <c r="AD85" s="34"/>
      <c r="AE85" s="34"/>
      <c r="AF85" s="34"/>
      <c r="AG85" s="15"/>
      <c r="AH85" s="272"/>
      <c r="AI85" s="267"/>
      <c r="AJ85" s="267"/>
      <c r="AK85" s="34"/>
      <c r="AL85" s="233"/>
      <c r="AO85" s="222"/>
      <c r="AP85" s="2"/>
      <c r="AQ85" s="2"/>
      <c r="AR85" s="2"/>
      <c r="AS85" s="2"/>
      <c r="AT85" s="2"/>
      <c r="AU85" s="2"/>
      <c r="AV85" s="2"/>
      <c r="AW85" s="2"/>
      <c r="AX85" s="2"/>
      <c r="AY85" s="2"/>
      <c r="AZ85" s="2"/>
      <c r="BA85" s="2"/>
      <c r="BB85" s="2"/>
      <c r="BC85" s="2"/>
      <c r="BD85" s="2"/>
      <c r="BE85" s="2"/>
      <c r="BF85" s="2"/>
    </row>
    <row r="86" spans="2:58" x14ac:dyDescent="0.3">
      <c r="B86" s="232"/>
      <c r="C86" s="250"/>
      <c r="D86" s="263"/>
      <c r="E86" s="263"/>
      <c r="F86" s="263"/>
      <c r="G86" s="263"/>
      <c r="H86" s="15"/>
      <c r="I86" s="35"/>
      <c r="J86" s="35"/>
      <c r="K86" s="35"/>
      <c r="L86" s="15"/>
      <c r="M86" s="35"/>
      <c r="N86" s="35"/>
      <c r="O86" s="35"/>
      <c r="P86" s="15"/>
      <c r="Q86" s="34"/>
      <c r="R86" s="34"/>
      <c r="S86" s="34"/>
      <c r="T86" s="34"/>
      <c r="U86" s="15"/>
      <c r="V86" s="35"/>
      <c r="W86" s="34"/>
      <c r="X86" s="35"/>
      <c r="Y86" s="34"/>
      <c r="Z86" s="35"/>
      <c r="AA86" s="34"/>
      <c r="AB86" s="34"/>
      <c r="AC86" s="15"/>
      <c r="AD86" s="34"/>
      <c r="AE86" s="34"/>
      <c r="AF86" s="34"/>
      <c r="AG86" s="15"/>
      <c r="AH86" s="272"/>
      <c r="AI86" s="267"/>
      <c r="AJ86" s="267"/>
      <c r="AK86" s="34"/>
      <c r="AL86" s="233"/>
      <c r="AO86" s="222"/>
      <c r="AP86" s="2"/>
      <c r="AQ86" s="2"/>
      <c r="AR86" s="2"/>
      <c r="AS86" s="2"/>
      <c r="AT86" s="2"/>
      <c r="AU86" s="2"/>
      <c r="AV86" s="2"/>
      <c r="AW86" s="2"/>
      <c r="AX86" s="2"/>
      <c r="AY86" s="2"/>
      <c r="AZ86" s="2"/>
      <c r="BA86" s="2"/>
      <c r="BB86" s="2"/>
      <c r="BC86" s="2"/>
      <c r="BD86" s="2"/>
      <c r="BE86" s="2"/>
      <c r="BF86" s="2"/>
    </row>
    <row r="87" spans="2:58" x14ac:dyDescent="0.3">
      <c r="B87" s="232"/>
      <c r="C87" s="250"/>
      <c r="D87" s="263"/>
      <c r="E87" s="263"/>
      <c r="F87" s="263"/>
      <c r="G87" s="263"/>
      <c r="H87" s="15"/>
      <c r="I87" s="35"/>
      <c r="J87" s="35"/>
      <c r="K87" s="35"/>
      <c r="L87" s="15"/>
      <c r="M87" s="35"/>
      <c r="N87" s="35"/>
      <c r="O87" s="35"/>
      <c r="P87" s="15"/>
      <c r="Q87" s="34"/>
      <c r="R87" s="34"/>
      <c r="S87" s="34"/>
      <c r="T87" s="34"/>
      <c r="U87" s="15"/>
      <c r="V87" s="35"/>
      <c r="W87" s="34"/>
      <c r="X87" s="35"/>
      <c r="Y87" s="34"/>
      <c r="Z87" s="35"/>
      <c r="AA87" s="34"/>
      <c r="AB87" s="34"/>
      <c r="AC87" s="15"/>
      <c r="AD87" s="34"/>
      <c r="AE87" s="34"/>
      <c r="AF87" s="34"/>
      <c r="AG87" s="15"/>
      <c r="AH87" s="272"/>
      <c r="AI87" s="267"/>
      <c r="AJ87" s="267"/>
      <c r="AK87" s="34"/>
      <c r="AL87" s="233"/>
      <c r="AO87" s="222"/>
      <c r="AP87" s="2"/>
      <c r="AQ87" s="2"/>
      <c r="AR87" s="2"/>
      <c r="AS87" s="2"/>
      <c r="AT87" s="2"/>
      <c r="AU87" s="2"/>
      <c r="AV87" s="2"/>
      <c r="AW87" s="2"/>
      <c r="AX87" s="2"/>
      <c r="AY87" s="2"/>
      <c r="AZ87" s="2"/>
      <c r="BA87" s="2"/>
      <c r="BB87" s="2"/>
      <c r="BC87" s="2"/>
      <c r="BD87" s="2"/>
      <c r="BE87" s="2"/>
      <c r="BF87" s="2"/>
    </row>
    <row r="88" spans="2:58" x14ac:dyDescent="0.3">
      <c r="B88" s="232"/>
      <c r="C88" s="250"/>
      <c r="D88" s="263"/>
      <c r="E88" s="263"/>
      <c r="F88" s="263"/>
      <c r="G88" s="263"/>
      <c r="H88" s="15"/>
      <c r="I88" s="35"/>
      <c r="J88" s="35"/>
      <c r="K88" s="35"/>
      <c r="L88" s="15"/>
      <c r="M88" s="35"/>
      <c r="N88" s="35"/>
      <c r="O88" s="35"/>
      <c r="P88" s="15"/>
      <c r="Q88" s="34"/>
      <c r="R88" s="34"/>
      <c r="S88" s="34"/>
      <c r="T88" s="34"/>
      <c r="U88" s="15"/>
      <c r="V88" s="35"/>
      <c r="W88" s="34"/>
      <c r="X88" s="35"/>
      <c r="Y88" s="34"/>
      <c r="Z88" s="35"/>
      <c r="AA88" s="34"/>
      <c r="AB88" s="34"/>
      <c r="AC88" s="15"/>
      <c r="AD88" s="34"/>
      <c r="AE88" s="34"/>
      <c r="AF88" s="34"/>
      <c r="AG88" s="15"/>
      <c r="AH88" s="272"/>
      <c r="AI88" s="267"/>
      <c r="AJ88" s="267"/>
      <c r="AK88" s="34"/>
      <c r="AL88" s="233"/>
      <c r="AO88" s="222"/>
      <c r="AP88" s="2"/>
      <c r="AQ88" s="2"/>
      <c r="AR88" s="2"/>
      <c r="AS88" s="2"/>
      <c r="AT88" s="2"/>
      <c r="AU88" s="2"/>
      <c r="AV88" s="2"/>
      <c r="AW88" s="2"/>
      <c r="AX88" s="2"/>
      <c r="AY88" s="2"/>
      <c r="AZ88" s="2"/>
      <c r="BA88" s="2"/>
      <c r="BB88" s="2"/>
      <c r="BC88" s="2"/>
      <c r="BD88" s="2"/>
      <c r="BE88" s="2"/>
      <c r="BF88" s="2"/>
    </row>
    <row r="89" spans="2:58" x14ac:dyDescent="0.3">
      <c r="B89" s="232"/>
      <c r="C89" s="250"/>
      <c r="D89" s="263"/>
      <c r="E89" s="263"/>
      <c r="F89" s="263"/>
      <c r="G89" s="263"/>
      <c r="H89" s="15"/>
      <c r="I89" s="35"/>
      <c r="J89" s="35"/>
      <c r="K89" s="35"/>
      <c r="L89" s="15"/>
      <c r="M89" s="35"/>
      <c r="N89" s="35"/>
      <c r="O89" s="35"/>
      <c r="P89" s="15"/>
      <c r="Q89" s="34"/>
      <c r="R89" s="34"/>
      <c r="S89" s="34"/>
      <c r="T89" s="34"/>
      <c r="U89" s="15"/>
      <c r="V89" s="35"/>
      <c r="W89" s="34"/>
      <c r="X89" s="35"/>
      <c r="Y89" s="34"/>
      <c r="Z89" s="35"/>
      <c r="AA89" s="34"/>
      <c r="AB89" s="34"/>
      <c r="AC89" s="15"/>
      <c r="AD89" s="34"/>
      <c r="AE89" s="34"/>
      <c r="AF89" s="34"/>
      <c r="AG89" s="15"/>
      <c r="AH89" s="272"/>
      <c r="AI89" s="267"/>
      <c r="AJ89" s="267"/>
      <c r="AK89" s="34"/>
      <c r="AL89" s="233"/>
      <c r="AO89" s="2"/>
      <c r="AP89" s="2"/>
      <c r="AQ89" s="2"/>
      <c r="AR89" s="2"/>
      <c r="AS89" s="2"/>
      <c r="AT89" s="2"/>
      <c r="AU89" s="2"/>
      <c r="AV89" s="2"/>
      <c r="AW89" s="2"/>
      <c r="AX89" s="2"/>
      <c r="AY89" s="2"/>
      <c r="AZ89" s="2"/>
      <c r="BA89" s="2"/>
      <c r="BB89" s="2"/>
      <c r="BC89" s="2"/>
      <c r="BD89" s="2"/>
      <c r="BE89" s="2"/>
      <c r="BF89" s="2"/>
    </row>
    <row r="90" spans="2:58" x14ac:dyDescent="0.3">
      <c r="B90" s="232"/>
      <c r="C90" s="250"/>
      <c r="D90" s="263"/>
      <c r="E90" s="263"/>
      <c r="F90" s="263"/>
      <c r="G90" s="263"/>
      <c r="H90" s="15"/>
      <c r="I90" s="35"/>
      <c r="J90" s="35"/>
      <c r="K90" s="35"/>
      <c r="L90" s="15"/>
      <c r="M90" s="35"/>
      <c r="N90" s="35"/>
      <c r="O90" s="35"/>
      <c r="P90" s="15"/>
      <c r="Q90" s="34"/>
      <c r="R90" s="34"/>
      <c r="S90" s="34"/>
      <c r="T90" s="34"/>
      <c r="U90" s="15"/>
      <c r="V90" s="35"/>
      <c r="W90" s="34"/>
      <c r="X90" s="35"/>
      <c r="Y90" s="34"/>
      <c r="Z90" s="35"/>
      <c r="AA90" s="34"/>
      <c r="AB90" s="34"/>
      <c r="AC90" s="15"/>
      <c r="AD90" s="34"/>
      <c r="AE90" s="34"/>
      <c r="AF90" s="34"/>
      <c r="AG90" s="15"/>
      <c r="AH90" s="272"/>
      <c r="AI90" s="267"/>
      <c r="AJ90" s="267"/>
      <c r="AK90" s="34"/>
      <c r="AL90" s="233"/>
      <c r="AO90" s="223"/>
      <c r="AP90" s="2"/>
      <c r="AQ90" s="2"/>
      <c r="AR90" s="2"/>
      <c r="AS90" s="2"/>
      <c r="AT90" s="2"/>
      <c r="AU90" s="2"/>
      <c r="AV90" s="2"/>
      <c r="AW90" s="2"/>
      <c r="AX90" s="2"/>
      <c r="AY90" s="2"/>
      <c r="AZ90" s="2"/>
      <c r="BA90" s="2"/>
      <c r="BB90" s="2"/>
      <c r="BC90" s="2"/>
      <c r="BD90" s="2"/>
      <c r="BE90" s="2"/>
      <c r="BF90" s="2"/>
    </row>
    <row r="91" spans="2:58" x14ac:dyDescent="0.3">
      <c r="B91" s="232"/>
      <c r="C91" s="250"/>
      <c r="D91" s="263"/>
      <c r="E91" s="263"/>
      <c r="F91" s="263"/>
      <c r="G91" s="263"/>
      <c r="H91" s="15"/>
      <c r="I91" s="35"/>
      <c r="J91" s="35"/>
      <c r="K91" s="35"/>
      <c r="L91" s="15"/>
      <c r="M91" s="35"/>
      <c r="N91" s="35"/>
      <c r="O91" s="35"/>
      <c r="P91" s="15"/>
      <c r="Q91" s="34"/>
      <c r="R91" s="34"/>
      <c r="S91" s="34"/>
      <c r="T91" s="34"/>
      <c r="U91" s="15"/>
      <c r="V91" s="35"/>
      <c r="W91" s="34"/>
      <c r="X91" s="35"/>
      <c r="Y91" s="34"/>
      <c r="Z91" s="35"/>
      <c r="AA91" s="34"/>
      <c r="AB91" s="34"/>
      <c r="AC91" s="15"/>
      <c r="AD91" s="34"/>
      <c r="AE91" s="34"/>
      <c r="AF91" s="34"/>
      <c r="AG91" s="15"/>
      <c r="AH91" s="272"/>
      <c r="AI91" s="267"/>
      <c r="AJ91" s="267"/>
      <c r="AK91" s="34"/>
      <c r="AL91" s="233"/>
      <c r="AO91" s="222"/>
      <c r="AP91" s="2"/>
      <c r="AQ91" s="2"/>
      <c r="AR91" s="2"/>
      <c r="AS91" s="2"/>
      <c r="AT91" s="2"/>
      <c r="AU91" s="2"/>
      <c r="AV91" s="2"/>
      <c r="AW91" s="2"/>
      <c r="AX91" s="2"/>
      <c r="AY91" s="2"/>
      <c r="AZ91" s="2"/>
      <c r="BA91" s="2"/>
      <c r="BB91" s="2"/>
      <c r="BC91" s="2"/>
      <c r="BD91" s="2"/>
      <c r="BE91" s="2"/>
      <c r="BF91" s="2"/>
    </row>
    <row r="92" spans="2:58" x14ac:dyDescent="0.3">
      <c r="B92" s="232"/>
      <c r="C92" s="250"/>
      <c r="D92" s="263"/>
      <c r="E92" s="263"/>
      <c r="F92" s="263"/>
      <c r="G92" s="263"/>
      <c r="H92" s="15"/>
      <c r="I92" s="35"/>
      <c r="J92" s="35"/>
      <c r="K92" s="35"/>
      <c r="L92" s="15"/>
      <c r="M92" s="35"/>
      <c r="N92" s="35"/>
      <c r="O92" s="35"/>
      <c r="P92" s="15"/>
      <c r="Q92" s="34"/>
      <c r="R92" s="34"/>
      <c r="S92" s="34"/>
      <c r="T92" s="34"/>
      <c r="U92" s="15"/>
      <c r="V92" s="35"/>
      <c r="W92" s="34"/>
      <c r="X92" s="35"/>
      <c r="Y92" s="34"/>
      <c r="Z92" s="35"/>
      <c r="AA92" s="34"/>
      <c r="AB92" s="34"/>
      <c r="AC92" s="15"/>
      <c r="AD92" s="34"/>
      <c r="AE92" s="34"/>
      <c r="AF92" s="34"/>
      <c r="AG92" s="15"/>
      <c r="AH92" s="272"/>
      <c r="AI92" s="267"/>
      <c r="AJ92" s="267"/>
      <c r="AK92" s="34"/>
      <c r="AL92" s="233"/>
      <c r="AO92" s="2"/>
      <c r="AP92" s="2"/>
      <c r="AQ92" s="2"/>
      <c r="AR92" s="2"/>
      <c r="AS92" s="2"/>
      <c r="AT92" s="2"/>
      <c r="AU92" s="2"/>
      <c r="AV92" s="2"/>
      <c r="AW92" s="2"/>
      <c r="AX92" s="2"/>
      <c r="AY92" s="2"/>
      <c r="AZ92" s="2"/>
      <c r="BA92" s="2"/>
      <c r="BB92" s="2"/>
      <c r="BC92" s="2"/>
      <c r="BD92" s="2"/>
      <c r="BE92" s="2"/>
      <c r="BF92" s="2"/>
    </row>
    <row r="93" spans="2:58" x14ac:dyDescent="0.3">
      <c r="B93" s="232"/>
      <c r="C93" s="250"/>
      <c r="D93" s="263"/>
      <c r="E93" s="263"/>
      <c r="F93" s="263"/>
      <c r="G93" s="263"/>
      <c r="H93" s="15"/>
      <c r="I93" s="35"/>
      <c r="J93" s="35"/>
      <c r="K93" s="35"/>
      <c r="L93" s="15"/>
      <c r="M93" s="35"/>
      <c r="N93" s="35"/>
      <c r="O93" s="35"/>
      <c r="P93" s="15"/>
      <c r="Q93" s="34"/>
      <c r="R93" s="34"/>
      <c r="S93" s="34"/>
      <c r="T93" s="34"/>
      <c r="U93" s="15"/>
      <c r="V93" s="35"/>
      <c r="W93" s="34"/>
      <c r="X93" s="35"/>
      <c r="Y93" s="34"/>
      <c r="Z93" s="35"/>
      <c r="AA93" s="34"/>
      <c r="AB93" s="34"/>
      <c r="AC93" s="15"/>
      <c r="AD93" s="34"/>
      <c r="AE93" s="34"/>
      <c r="AF93" s="34"/>
      <c r="AG93" s="15"/>
      <c r="AH93" s="272"/>
      <c r="AI93" s="267"/>
      <c r="AJ93" s="267"/>
      <c r="AK93" s="34"/>
      <c r="AL93" s="233"/>
      <c r="AO93" s="223"/>
      <c r="AP93" s="2"/>
      <c r="AQ93" s="2"/>
      <c r="AR93" s="2"/>
      <c r="AS93" s="2"/>
      <c r="AT93" s="2"/>
      <c r="AU93" s="2"/>
      <c r="AV93" s="2"/>
      <c r="AW93" s="2"/>
      <c r="AX93" s="2"/>
      <c r="AY93" s="2"/>
      <c r="AZ93" s="2"/>
      <c r="BA93" s="2"/>
      <c r="BB93" s="2"/>
      <c r="BC93" s="2"/>
      <c r="BD93" s="2"/>
      <c r="BE93" s="2"/>
      <c r="BF93" s="2"/>
    </row>
    <row r="94" spans="2:58" x14ac:dyDescent="0.3">
      <c r="B94" s="232"/>
      <c r="C94" s="250"/>
      <c r="D94" s="263"/>
      <c r="E94" s="263"/>
      <c r="F94" s="263"/>
      <c r="G94" s="263"/>
      <c r="H94" s="15"/>
      <c r="I94" s="35"/>
      <c r="J94" s="35"/>
      <c r="K94" s="35"/>
      <c r="L94" s="15"/>
      <c r="M94" s="35"/>
      <c r="N94" s="35"/>
      <c r="O94" s="35"/>
      <c r="P94" s="15"/>
      <c r="Q94" s="34"/>
      <c r="R94" s="34"/>
      <c r="S94" s="34"/>
      <c r="T94" s="34"/>
      <c r="U94" s="15"/>
      <c r="V94" s="35"/>
      <c r="W94" s="34"/>
      <c r="X94" s="35"/>
      <c r="Y94" s="34"/>
      <c r="Z94" s="35"/>
      <c r="AA94" s="34"/>
      <c r="AB94" s="34"/>
      <c r="AC94" s="15"/>
      <c r="AD94" s="34"/>
      <c r="AE94" s="34"/>
      <c r="AF94" s="34"/>
      <c r="AG94" s="15"/>
      <c r="AH94" s="272"/>
      <c r="AI94" s="267"/>
      <c r="AJ94" s="267"/>
      <c r="AK94" s="34"/>
      <c r="AL94" s="233"/>
      <c r="AO94" s="222"/>
      <c r="AP94" s="2"/>
      <c r="AQ94" s="2"/>
      <c r="AR94" s="2"/>
      <c r="AS94" s="2"/>
      <c r="AT94" s="2"/>
      <c r="AU94" s="2"/>
      <c r="AV94" s="2"/>
      <c r="AW94" s="2"/>
      <c r="AX94" s="2"/>
      <c r="AY94" s="2"/>
      <c r="AZ94" s="2"/>
      <c r="BA94" s="2"/>
      <c r="BB94" s="2"/>
      <c r="BC94" s="2"/>
      <c r="BD94" s="2"/>
      <c r="BE94" s="2"/>
      <c r="BF94" s="2"/>
    </row>
    <row r="95" spans="2:58" x14ac:dyDescent="0.3">
      <c r="B95" s="232"/>
      <c r="C95" s="250"/>
      <c r="D95" s="263"/>
      <c r="E95" s="263"/>
      <c r="F95" s="263"/>
      <c r="G95" s="263"/>
      <c r="H95" s="15"/>
      <c r="I95" s="35"/>
      <c r="J95" s="35"/>
      <c r="K95" s="35"/>
      <c r="L95" s="15"/>
      <c r="M95" s="35"/>
      <c r="N95" s="35"/>
      <c r="O95" s="35"/>
      <c r="P95" s="15"/>
      <c r="Q95" s="34"/>
      <c r="R95" s="34"/>
      <c r="S95" s="34"/>
      <c r="T95" s="34"/>
      <c r="U95" s="15"/>
      <c r="V95" s="35"/>
      <c r="W95" s="34"/>
      <c r="X95" s="35"/>
      <c r="Y95" s="34"/>
      <c r="Z95" s="35"/>
      <c r="AA95" s="34"/>
      <c r="AB95" s="34"/>
      <c r="AC95" s="15"/>
      <c r="AD95" s="34"/>
      <c r="AE95" s="34"/>
      <c r="AF95" s="34"/>
      <c r="AG95" s="15"/>
      <c r="AH95" s="272"/>
      <c r="AI95" s="267"/>
      <c r="AJ95" s="267"/>
      <c r="AK95" s="34"/>
      <c r="AL95" s="233"/>
      <c r="AO95" s="222"/>
      <c r="AP95" s="2"/>
      <c r="AQ95" s="2"/>
      <c r="AR95" s="2"/>
      <c r="AS95" s="2"/>
      <c r="AT95" s="2"/>
      <c r="AU95" s="2"/>
      <c r="AV95" s="2"/>
      <c r="AW95" s="2"/>
      <c r="AX95" s="2"/>
      <c r="AY95" s="2"/>
      <c r="AZ95" s="2"/>
      <c r="BA95" s="2"/>
      <c r="BB95" s="2"/>
      <c r="BC95" s="2"/>
      <c r="BD95" s="2"/>
      <c r="BE95" s="2"/>
      <c r="BF95" s="2"/>
    </row>
    <row r="96" spans="2:58" x14ac:dyDescent="0.3">
      <c r="B96" s="232"/>
      <c r="C96" s="250"/>
      <c r="D96" s="263"/>
      <c r="E96" s="263"/>
      <c r="F96" s="263"/>
      <c r="G96" s="263"/>
      <c r="H96" s="15"/>
      <c r="I96" s="35"/>
      <c r="J96" s="35"/>
      <c r="K96" s="35"/>
      <c r="L96" s="15"/>
      <c r="M96" s="35"/>
      <c r="N96" s="35"/>
      <c r="O96" s="35"/>
      <c r="P96" s="15"/>
      <c r="Q96" s="34"/>
      <c r="R96" s="34"/>
      <c r="S96" s="34"/>
      <c r="T96" s="34"/>
      <c r="U96" s="15"/>
      <c r="V96" s="35"/>
      <c r="W96" s="34"/>
      <c r="X96" s="35"/>
      <c r="Y96" s="34"/>
      <c r="Z96" s="35"/>
      <c r="AA96" s="34"/>
      <c r="AB96" s="34"/>
      <c r="AC96" s="15"/>
      <c r="AD96" s="34"/>
      <c r="AE96" s="34"/>
      <c r="AF96" s="34"/>
      <c r="AG96" s="15"/>
      <c r="AH96" s="272"/>
      <c r="AI96" s="267"/>
      <c r="AJ96" s="267"/>
      <c r="AK96" s="34"/>
      <c r="AL96" s="233"/>
      <c r="AO96" s="2"/>
      <c r="AP96" s="2"/>
      <c r="AQ96" s="2"/>
      <c r="AR96" s="2"/>
      <c r="AS96" s="2"/>
      <c r="AT96" s="2"/>
      <c r="AU96" s="2"/>
      <c r="AV96" s="2"/>
      <c r="AW96" s="2"/>
      <c r="AX96" s="2"/>
      <c r="AY96" s="2"/>
      <c r="AZ96" s="2"/>
      <c r="BA96" s="2"/>
      <c r="BB96" s="2"/>
      <c r="BC96" s="2"/>
      <c r="BD96" s="2"/>
      <c r="BE96" s="2"/>
      <c r="BF96" s="2"/>
    </row>
    <row r="97" spans="2:58" x14ac:dyDescent="0.3">
      <c r="B97" s="232"/>
      <c r="C97" s="250"/>
      <c r="D97" s="263"/>
      <c r="E97" s="263"/>
      <c r="F97" s="263"/>
      <c r="G97" s="263"/>
      <c r="H97" s="15"/>
      <c r="I97" s="35"/>
      <c r="J97" s="35"/>
      <c r="K97" s="35"/>
      <c r="L97" s="15"/>
      <c r="M97" s="35"/>
      <c r="N97" s="35"/>
      <c r="O97" s="35"/>
      <c r="P97" s="15"/>
      <c r="Q97" s="34"/>
      <c r="R97" s="34"/>
      <c r="S97" s="34"/>
      <c r="T97" s="34"/>
      <c r="U97" s="15"/>
      <c r="V97" s="35"/>
      <c r="W97" s="34"/>
      <c r="X97" s="35"/>
      <c r="Y97" s="34"/>
      <c r="Z97" s="35"/>
      <c r="AA97" s="34"/>
      <c r="AB97" s="34"/>
      <c r="AC97" s="15"/>
      <c r="AD97" s="34"/>
      <c r="AE97" s="34"/>
      <c r="AF97" s="34"/>
      <c r="AG97" s="15"/>
      <c r="AH97" s="272"/>
      <c r="AI97" s="267"/>
      <c r="AJ97" s="267"/>
      <c r="AK97" s="34"/>
      <c r="AL97" s="233"/>
      <c r="AO97" s="223"/>
      <c r="AP97" s="2"/>
      <c r="AQ97" s="2"/>
      <c r="AR97" s="2"/>
      <c r="AS97" s="2"/>
      <c r="AT97" s="2"/>
      <c r="AU97" s="2"/>
      <c r="AV97" s="2"/>
      <c r="AW97" s="2"/>
      <c r="AX97" s="2"/>
      <c r="AY97" s="2"/>
      <c r="AZ97" s="2"/>
      <c r="BA97" s="2"/>
      <c r="BB97" s="2"/>
      <c r="BC97" s="2"/>
      <c r="BD97" s="2"/>
      <c r="BE97" s="2"/>
      <c r="BF97" s="2"/>
    </row>
    <row r="98" spans="2:58" x14ac:dyDescent="0.3">
      <c r="B98" s="232"/>
      <c r="C98" s="250"/>
      <c r="D98" s="263"/>
      <c r="E98" s="263"/>
      <c r="F98" s="263"/>
      <c r="G98" s="263"/>
      <c r="H98" s="15"/>
      <c r="I98" s="35"/>
      <c r="J98" s="35"/>
      <c r="K98" s="35"/>
      <c r="L98" s="15"/>
      <c r="M98" s="35"/>
      <c r="N98" s="35"/>
      <c r="O98" s="35"/>
      <c r="P98" s="15"/>
      <c r="Q98" s="34"/>
      <c r="R98" s="34"/>
      <c r="S98" s="34"/>
      <c r="T98" s="34"/>
      <c r="U98" s="15"/>
      <c r="V98" s="35"/>
      <c r="W98" s="34"/>
      <c r="X98" s="35"/>
      <c r="Y98" s="34"/>
      <c r="Z98" s="35"/>
      <c r="AA98" s="34"/>
      <c r="AB98" s="34"/>
      <c r="AC98" s="15"/>
      <c r="AD98" s="34"/>
      <c r="AE98" s="34"/>
      <c r="AF98" s="34"/>
      <c r="AG98" s="15"/>
      <c r="AH98" s="272"/>
      <c r="AI98" s="267"/>
      <c r="AJ98" s="267"/>
      <c r="AK98" s="34"/>
      <c r="AL98" s="233"/>
      <c r="AO98" s="222"/>
      <c r="AP98" s="2"/>
      <c r="AQ98" s="2"/>
      <c r="AR98" s="2"/>
      <c r="AS98" s="2"/>
      <c r="AT98" s="2"/>
      <c r="AU98" s="2"/>
      <c r="AV98" s="2"/>
      <c r="AW98" s="2"/>
      <c r="AX98" s="2"/>
      <c r="AY98" s="2"/>
      <c r="AZ98" s="2"/>
      <c r="BA98" s="2"/>
      <c r="BB98" s="2"/>
      <c r="BC98" s="2"/>
      <c r="BD98" s="2"/>
      <c r="BE98" s="2"/>
      <c r="BF98" s="2"/>
    </row>
    <row r="99" spans="2:58" x14ac:dyDescent="0.3">
      <c r="B99" s="232"/>
      <c r="C99" s="250"/>
      <c r="D99" s="263"/>
      <c r="E99" s="263"/>
      <c r="F99" s="263"/>
      <c r="G99" s="263"/>
      <c r="H99" s="15"/>
      <c r="I99" s="35"/>
      <c r="J99" s="35"/>
      <c r="K99" s="35"/>
      <c r="L99" s="15"/>
      <c r="M99" s="35"/>
      <c r="N99" s="35"/>
      <c r="O99" s="35"/>
      <c r="P99" s="15"/>
      <c r="Q99" s="34"/>
      <c r="R99" s="34"/>
      <c r="S99" s="34"/>
      <c r="T99" s="34"/>
      <c r="U99" s="15"/>
      <c r="V99" s="35"/>
      <c r="W99" s="34"/>
      <c r="X99" s="35"/>
      <c r="Y99" s="34"/>
      <c r="Z99" s="35"/>
      <c r="AA99" s="34"/>
      <c r="AB99" s="34"/>
      <c r="AC99" s="15"/>
      <c r="AD99" s="34"/>
      <c r="AE99" s="34"/>
      <c r="AF99" s="34"/>
      <c r="AG99" s="15"/>
      <c r="AH99" s="272"/>
      <c r="AI99" s="267"/>
      <c r="AJ99" s="267"/>
      <c r="AK99" s="34"/>
      <c r="AL99" s="233"/>
      <c r="AO99" s="222"/>
      <c r="AP99" s="2"/>
      <c r="AQ99" s="2"/>
      <c r="AR99" s="2"/>
      <c r="AS99" s="2"/>
      <c r="AT99" s="2"/>
      <c r="AU99" s="2"/>
      <c r="AV99" s="2"/>
      <c r="AW99" s="2"/>
      <c r="AX99" s="2"/>
      <c r="AY99" s="2"/>
      <c r="AZ99" s="2"/>
      <c r="BA99" s="2"/>
      <c r="BB99" s="2"/>
      <c r="BC99" s="2"/>
      <c r="BD99" s="2"/>
      <c r="BE99" s="2"/>
      <c r="BF99" s="2"/>
    </row>
    <row r="100" spans="2:58" x14ac:dyDescent="0.3">
      <c r="B100" s="232"/>
      <c r="C100" s="250"/>
      <c r="D100" s="263"/>
      <c r="E100" s="263"/>
      <c r="F100" s="263"/>
      <c r="G100" s="263"/>
      <c r="H100" s="15"/>
      <c r="I100" s="35"/>
      <c r="J100" s="35"/>
      <c r="K100" s="35"/>
      <c r="L100" s="15"/>
      <c r="M100" s="35"/>
      <c r="N100" s="35"/>
      <c r="O100" s="35"/>
      <c r="P100" s="15"/>
      <c r="Q100" s="34"/>
      <c r="R100" s="34"/>
      <c r="S100" s="34"/>
      <c r="T100" s="34"/>
      <c r="U100" s="15"/>
      <c r="V100" s="35"/>
      <c r="W100" s="34"/>
      <c r="X100" s="35"/>
      <c r="Y100" s="34"/>
      <c r="Z100" s="35"/>
      <c r="AA100" s="34"/>
      <c r="AB100" s="34"/>
      <c r="AC100" s="15"/>
      <c r="AD100" s="34"/>
      <c r="AE100" s="34"/>
      <c r="AF100" s="34"/>
      <c r="AG100" s="15"/>
      <c r="AH100" s="272"/>
      <c r="AI100" s="267"/>
      <c r="AJ100" s="267"/>
      <c r="AK100" s="34"/>
      <c r="AL100" s="233"/>
      <c r="AO100" s="222"/>
      <c r="AP100" s="2"/>
      <c r="AQ100" s="2"/>
      <c r="AR100" s="2"/>
      <c r="AS100" s="2"/>
      <c r="AT100" s="2"/>
      <c r="AU100" s="2"/>
      <c r="AV100" s="2"/>
      <c r="AW100" s="2"/>
      <c r="AX100" s="2"/>
      <c r="AY100" s="2"/>
      <c r="AZ100" s="2"/>
      <c r="BA100" s="2"/>
      <c r="BB100" s="2"/>
      <c r="BC100" s="2"/>
      <c r="BD100" s="2"/>
      <c r="BE100" s="2"/>
      <c r="BF100" s="2"/>
    </row>
    <row r="101" spans="2:58" x14ac:dyDescent="0.3">
      <c r="B101" s="232"/>
      <c r="C101" s="250"/>
      <c r="D101" s="263"/>
      <c r="E101" s="263"/>
      <c r="F101" s="263"/>
      <c r="G101" s="263"/>
      <c r="H101" s="15"/>
      <c r="I101" s="35"/>
      <c r="J101" s="35"/>
      <c r="K101" s="35"/>
      <c r="L101" s="15"/>
      <c r="M101" s="35"/>
      <c r="N101" s="35"/>
      <c r="O101" s="35"/>
      <c r="P101" s="15"/>
      <c r="Q101" s="34"/>
      <c r="R101" s="34"/>
      <c r="S101" s="34"/>
      <c r="T101" s="34"/>
      <c r="U101" s="15"/>
      <c r="V101" s="35"/>
      <c r="W101" s="34"/>
      <c r="X101" s="35"/>
      <c r="Y101" s="34"/>
      <c r="Z101" s="35"/>
      <c r="AA101" s="34"/>
      <c r="AB101" s="34"/>
      <c r="AC101" s="15"/>
      <c r="AD101" s="34"/>
      <c r="AE101" s="34"/>
      <c r="AF101" s="34"/>
      <c r="AG101" s="15"/>
      <c r="AH101" s="272"/>
      <c r="AI101" s="267"/>
      <c r="AJ101" s="267"/>
      <c r="AK101" s="34"/>
      <c r="AL101" s="233"/>
      <c r="AO101" s="222"/>
      <c r="AP101" s="2"/>
      <c r="AQ101" s="2"/>
      <c r="AR101" s="2"/>
      <c r="AS101" s="2"/>
      <c r="AT101" s="2"/>
      <c r="AU101" s="2"/>
      <c r="AV101" s="2"/>
      <c r="AW101" s="2"/>
      <c r="AX101" s="2"/>
      <c r="AY101" s="2"/>
      <c r="AZ101" s="2"/>
      <c r="BA101" s="2"/>
      <c r="BB101" s="2"/>
      <c r="BC101" s="2"/>
      <c r="BD101" s="2"/>
      <c r="BE101" s="2"/>
      <c r="BF101" s="2"/>
    </row>
    <row r="102" spans="2:58" x14ac:dyDescent="0.3">
      <c r="B102" s="232"/>
      <c r="C102" s="250"/>
      <c r="D102" s="263"/>
      <c r="E102" s="263"/>
      <c r="F102" s="263"/>
      <c r="G102" s="263"/>
      <c r="H102" s="15"/>
      <c r="I102" s="35"/>
      <c r="J102" s="35"/>
      <c r="K102" s="35"/>
      <c r="L102" s="15"/>
      <c r="M102" s="35"/>
      <c r="N102" s="35"/>
      <c r="O102" s="35"/>
      <c r="P102" s="15"/>
      <c r="Q102" s="34"/>
      <c r="R102" s="34"/>
      <c r="S102" s="34"/>
      <c r="T102" s="34"/>
      <c r="U102" s="15"/>
      <c r="V102" s="35"/>
      <c r="W102" s="34"/>
      <c r="X102" s="35"/>
      <c r="Y102" s="34"/>
      <c r="Z102" s="35"/>
      <c r="AA102" s="34"/>
      <c r="AB102" s="34"/>
      <c r="AC102" s="15"/>
      <c r="AD102" s="34"/>
      <c r="AE102" s="34"/>
      <c r="AF102" s="34"/>
      <c r="AG102" s="15"/>
      <c r="AH102" s="272"/>
      <c r="AI102" s="267"/>
      <c r="AJ102" s="267"/>
      <c r="AK102" s="34"/>
      <c r="AL102" s="233"/>
      <c r="AO102" s="2"/>
      <c r="AP102" s="2"/>
      <c r="AQ102" s="2"/>
      <c r="AR102" s="2"/>
      <c r="AS102" s="2"/>
      <c r="AT102" s="2"/>
      <c r="AU102" s="2"/>
      <c r="AV102" s="2"/>
      <c r="AW102" s="2"/>
      <c r="AX102" s="2"/>
      <c r="AY102" s="2"/>
      <c r="AZ102" s="2"/>
      <c r="BA102" s="2"/>
      <c r="BB102" s="2"/>
      <c r="BC102" s="2"/>
      <c r="BD102" s="2"/>
      <c r="BE102" s="2"/>
      <c r="BF102" s="2"/>
    </row>
    <row r="103" spans="2:58" x14ac:dyDescent="0.3">
      <c r="B103" s="232"/>
      <c r="C103" s="250"/>
      <c r="D103" s="263"/>
      <c r="E103" s="263"/>
      <c r="F103" s="263"/>
      <c r="G103" s="263"/>
      <c r="H103" s="15"/>
      <c r="I103" s="35"/>
      <c r="J103" s="35"/>
      <c r="K103" s="35"/>
      <c r="L103" s="15"/>
      <c r="M103" s="35"/>
      <c r="N103" s="35"/>
      <c r="O103" s="35"/>
      <c r="P103" s="15"/>
      <c r="Q103" s="34"/>
      <c r="R103" s="34"/>
      <c r="S103" s="34"/>
      <c r="T103" s="34"/>
      <c r="U103" s="15"/>
      <c r="V103" s="35"/>
      <c r="W103" s="34"/>
      <c r="X103" s="35"/>
      <c r="Y103" s="34"/>
      <c r="Z103" s="35"/>
      <c r="AA103" s="34"/>
      <c r="AB103" s="34"/>
      <c r="AC103" s="15"/>
      <c r="AD103" s="34"/>
      <c r="AE103" s="34"/>
      <c r="AF103" s="34"/>
      <c r="AG103" s="15"/>
      <c r="AH103" s="272"/>
      <c r="AI103" s="267"/>
      <c r="AJ103" s="267"/>
      <c r="AK103" s="34"/>
      <c r="AL103" s="233"/>
      <c r="AO103" s="223"/>
      <c r="AP103" s="2"/>
      <c r="AQ103" s="2"/>
      <c r="AR103" s="2"/>
      <c r="AS103" s="2"/>
      <c r="AT103" s="2"/>
      <c r="AU103" s="2"/>
      <c r="AV103" s="2"/>
      <c r="AW103" s="2"/>
      <c r="AX103" s="2"/>
      <c r="AY103" s="2"/>
      <c r="AZ103" s="2"/>
      <c r="BA103" s="2"/>
      <c r="BB103" s="2"/>
      <c r="BC103" s="2"/>
      <c r="BD103" s="2"/>
      <c r="BE103" s="2"/>
      <c r="BF103" s="2"/>
    </row>
    <row r="104" spans="2:58" x14ac:dyDescent="0.3">
      <c r="B104" s="232"/>
      <c r="C104" s="250"/>
      <c r="D104" s="263"/>
      <c r="E104" s="263"/>
      <c r="F104" s="263"/>
      <c r="G104" s="263"/>
      <c r="H104" s="15"/>
      <c r="I104" s="35"/>
      <c r="J104" s="35"/>
      <c r="K104" s="35"/>
      <c r="L104" s="15"/>
      <c r="M104" s="35"/>
      <c r="N104" s="35"/>
      <c r="O104" s="35"/>
      <c r="P104" s="15"/>
      <c r="Q104" s="34"/>
      <c r="R104" s="34"/>
      <c r="S104" s="34"/>
      <c r="T104" s="34"/>
      <c r="U104" s="15"/>
      <c r="V104" s="35"/>
      <c r="W104" s="34"/>
      <c r="X104" s="35"/>
      <c r="Y104" s="34"/>
      <c r="Z104" s="35"/>
      <c r="AA104" s="34"/>
      <c r="AB104" s="34"/>
      <c r="AC104" s="15"/>
      <c r="AD104" s="34"/>
      <c r="AE104" s="34"/>
      <c r="AF104" s="34"/>
      <c r="AG104" s="15"/>
      <c r="AH104" s="272"/>
      <c r="AI104" s="267"/>
      <c r="AJ104" s="267"/>
      <c r="AK104" s="34"/>
      <c r="AL104" s="233"/>
      <c r="AO104" s="222"/>
      <c r="AP104" s="2"/>
      <c r="AQ104" s="2"/>
      <c r="AR104" s="2"/>
      <c r="AS104" s="2"/>
      <c r="AT104" s="2"/>
      <c r="AU104" s="2"/>
      <c r="AV104" s="2"/>
      <c r="AW104" s="2"/>
      <c r="AX104" s="2"/>
      <c r="AY104" s="2"/>
      <c r="AZ104" s="2"/>
      <c r="BA104" s="2"/>
      <c r="BB104" s="2"/>
      <c r="BC104" s="2"/>
      <c r="BD104" s="2"/>
      <c r="BE104" s="2"/>
      <c r="BF104" s="2"/>
    </row>
    <row r="105" spans="2:58" x14ac:dyDescent="0.3">
      <c r="B105" s="232"/>
      <c r="C105" s="250"/>
      <c r="D105" s="263"/>
      <c r="E105" s="263"/>
      <c r="F105" s="263"/>
      <c r="G105" s="263"/>
      <c r="H105" s="15"/>
      <c r="I105" s="35"/>
      <c r="J105" s="35"/>
      <c r="K105" s="35"/>
      <c r="L105" s="15"/>
      <c r="M105" s="35"/>
      <c r="N105" s="35"/>
      <c r="O105" s="35"/>
      <c r="P105" s="15"/>
      <c r="Q105" s="34"/>
      <c r="R105" s="34"/>
      <c r="S105" s="34"/>
      <c r="T105" s="34"/>
      <c r="U105" s="15"/>
      <c r="V105" s="35"/>
      <c r="W105" s="34"/>
      <c r="X105" s="35"/>
      <c r="Y105" s="34"/>
      <c r="Z105" s="35"/>
      <c r="AA105" s="34"/>
      <c r="AB105" s="34"/>
      <c r="AC105" s="15"/>
      <c r="AD105" s="34"/>
      <c r="AE105" s="34"/>
      <c r="AF105" s="34"/>
      <c r="AG105" s="15"/>
      <c r="AH105" s="272"/>
      <c r="AI105" s="267"/>
      <c r="AJ105" s="267"/>
      <c r="AK105" s="34"/>
      <c r="AL105" s="233"/>
      <c r="AO105" s="222"/>
      <c r="AP105" s="2"/>
      <c r="AQ105" s="2"/>
      <c r="AR105" s="2"/>
      <c r="AS105" s="2"/>
      <c r="AT105" s="2"/>
      <c r="AU105" s="2"/>
      <c r="AV105" s="2"/>
      <c r="AW105" s="2"/>
      <c r="AX105" s="2"/>
      <c r="AY105" s="2"/>
      <c r="AZ105" s="2"/>
      <c r="BA105" s="2"/>
      <c r="BB105" s="2"/>
      <c r="BC105" s="2"/>
      <c r="BD105" s="2"/>
      <c r="BE105" s="2"/>
      <c r="BF105" s="2"/>
    </row>
    <row r="106" spans="2:58" x14ac:dyDescent="0.3">
      <c r="B106" s="232"/>
      <c r="C106" s="250"/>
      <c r="D106" s="263"/>
      <c r="E106" s="263"/>
      <c r="F106" s="263"/>
      <c r="G106" s="263"/>
      <c r="H106" s="15"/>
      <c r="I106" s="35"/>
      <c r="J106" s="35"/>
      <c r="K106" s="35"/>
      <c r="L106" s="15"/>
      <c r="M106" s="35"/>
      <c r="N106" s="35"/>
      <c r="O106" s="35"/>
      <c r="P106" s="15"/>
      <c r="Q106" s="34"/>
      <c r="R106" s="34"/>
      <c r="S106" s="34"/>
      <c r="T106" s="34"/>
      <c r="U106" s="15"/>
      <c r="V106" s="35"/>
      <c r="W106" s="34"/>
      <c r="X106" s="35"/>
      <c r="Y106" s="34"/>
      <c r="Z106" s="35"/>
      <c r="AA106" s="34"/>
      <c r="AB106" s="34"/>
      <c r="AC106" s="15"/>
      <c r="AD106" s="34"/>
      <c r="AE106" s="34"/>
      <c r="AF106" s="34"/>
      <c r="AG106" s="15"/>
      <c r="AH106" s="272"/>
      <c r="AI106" s="267"/>
      <c r="AJ106" s="267"/>
      <c r="AK106" s="34"/>
      <c r="AL106" s="233"/>
      <c r="AO106" s="222"/>
      <c r="AP106" s="2"/>
      <c r="AQ106" s="2"/>
      <c r="AR106" s="2"/>
      <c r="AS106" s="2"/>
      <c r="AT106" s="2"/>
      <c r="AU106" s="2"/>
      <c r="AV106" s="2"/>
      <c r="AW106" s="2"/>
      <c r="AX106" s="2"/>
      <c r="AY106" s="2"/>
      <c r="AZ106" s="2"/>
      <c r="BA106" s="2"/>
      <c r="BB106" s="2"/>
      <c r="BC106" s="2"/>
      <c r="BD106" s="2"/>
      <c r="BE106" s="2"/>
      <c r="BF106" s="2"/>
    </row>
    <row r="107" spans="2:58" x14ac:dyDescent="0.3">
      <c r="B107" s="232"/>
      <c r="C107" s="250"/>
      <c r="D107" s="263"/>
      <c r="E107" s="263"/>
      <c r="F107" s="263"/>
      <c r="G107" s="263"/>
      <c r="H107" s="15"/>
      <c r="I107" s="35"/>
      <c r="J107" s="35"/>
      <c r="K107" s="35"/>
      <c r="L107" s="15"/>
      <c r="M107" s="35"/>
      <c r="N107" s="35"/>
      <c r="O107" s="35"/>
      <c r="P107" s="15"/>
      <c r="Q107" s="34"/>
      <c r="R107" s="34"/>
      <c r="S107" s="34"/>
      <c r="T107" s="34"/>
      <c r="U107" s="15"/>
      <c r="V107" s="35"/>
      <c r="W107" s="34"/>
      <c r="X107" s="35"/>
      <c r="Y107" s="34"/>
      <c r="Z107" s="35"/>
      <c r="AA107" s="34"/>
      <c r="AB107" s="34"/>
      <c r="AC107" s="15"/>
      <c r="AD107" s="34"/>
      <c r="AE107" s="34"/>
      <c r="AF107" s="34"/>
      <c r="AG107" s="15"/>
      <c r="AH107" s="272"/>
      <c r="AI107" s="267"/>
      <c r="AJ107" s="267"/>
      <c r="AK107" s="34"/>
      <c r="AL107" s="233"/>
      <c r="AO107" s="222"/>
      <c r="AP107" s="2"/>
      <c r="AQ107" s="2"/>
      <c r="AR107" s="2"/>
      <c r="AS107" s="2"/>
      <c r="AT107" s="2"/>
      <c r="AU107" s="2"/>
      <c r="AV107" s="2"/>
      <c r="AW107" s="2"/>
      <c r="AX107" s="2"/>
      <c r="AY107" s="2"/>
      <c r="AZ107" s="2"/>
      <c r="BA107" s="2"/>
      <c r="BB107" s="2"/>
      <c r="BC107" s="2"/>
      <c r="BD107" s="2"/>
      <c r="BE107" s="2"/>
      <c r="BF107" s="2"/>
    </row>
    <row r="108" spans="2:58" x14ac:dyDescent="0.3">
      <c r="B108" s="232"/>
      <c r="C108" s="250"/>
      <c r="D108" s="263"/>
      <c r="E108" s="263"/>
      <c r="F108" s="263"/>
      <c r="G108" s="263"/>
      <c r="H108" s="15"/>
      <c r="I108" s="35"/>
      <c r="J108" s="35"/>
      <c r="K108" s="35"/>
      <c r="L108" s="15"/>
      <c r="M108" s="35"/>
      <c r="N108" s="35"/>
      <c r="O108" s="35"/>
      <c r="P108" s="15"/>
      <c r="Q108" s="34"/>
      <c r="R108" s="34"/>
      <c r="S108" s="34"/>
      <c r="T108" s="34"/>
      <c r="U108" s="15"/>
      <c r="V108" s="35"/>
      <c r="W108" s="34"/>
      <c r="X108" s="35"/>
      <c r="Y108" s="34"/>
      <c r="Z108" s="35"/>
      <c r="AA108" s="34"/>
      <c r="AB108" s="34"/>
      <c r="AC108" s="15"/>
      <c r="AD108" s="34"/>
      <c r="AE108" s="34"/>
      <c r="AF108" s="34"/>
      <c r="AG108" s="15"/>
      <c r="AH108" s="272"/>
      <c r="AI108" s="267"/>
      <c r="AJ108" s="267"/>
      <c r="AK108" s="34"/>
      <c r="AL108" s="233"/>
      <c r="AO108" s="2"/>
      <c r="AP108" s="2"/>
      <c r="AQ108" s="2"/>
      <c r="AR108" s="2"/>
      <c r="AS108" s="2"/>
      <c r="AT108" s="2"/>
      <c r="AU108" s="2"/>
      <c r="AV108" s="2"/>
      <c r="AW108" s="2"/>
      <c r="AX108" s="2"/>
      <c r="AY108" s="2"/>
      <c r="AZ108" s="2"/>
      <c r="BA108" s="2"/>
      <c r="BB108" s="2"/>
      <c r="BC108" s="2"/>
      <c r="BD108" s="2"/>
      <c r="BE108" s="2"/>
      <c r="BF108" s="2"/>
    </row>
    <row r="109" spans="2:58" x14ac:dyDescent="0.3">
      <c r="B109" s="232"/>
      <c r="C109" s="250"/>
      <c r="D109" s="263"/>
      <c r="E109" s="263"/>
      <c r="F109" s="263"/>
      <c r="G109" s="263"/>
      <c r="H109" s="15"/>
      <c r="I109" s="35"/>
      <c r="J109" s="35"/>
      <c r="K109" s="35"/>
      <c r="L109" s="15"/>
      <c r="M109" s="35"/>
      <c r="N109" s="35"/>
      <c r="O109" s="35"/>
      <c r="P109" s="15"/>
      <c r="Q109" s="34"/>
      <c r="R109" s="34"/>
      <c r="S109" s="34"/>
      <c r="T109" s="34"/>
      <c r="U109" s="15"/>
      <c r="V109" s="35"/>
      <c r="W109" s="34"/>
      <c r="X109" s="35"/>
      <c r="Y109" s="34"/>
      <c r="Z109" s="35"/>
      <c r="AA109" s="34"/>
      <c r="AB109" s="34"/>
      <c r="AC109" s="15"/>
      <c r="AD109" s="34"/>
      <c r="AE109" s="34"/>
      <c r="AF109" s="34"/>
      <c r="AG109" s="15"/>
      <c r="AH109" s="272"/>
      <c r="AI109" s="267"/>
      <c r="AJ109" s="267"/>
      <c r="AK109" s="34"/>
      <c r="AL109" s="233"/>
      <c r="AO109" s="223"/>
      <c r="AP109" s="2"/>
      <c r="AQ109" s="2"/>
      <c r="AR109" s="2"/>
      <c r="AS109" s="2"/>
      <c r="AT109" s="2"/>
      <c r="AU109" s="2"/>
      <c r="AV109" s="2"/>
      <c r="AW109" s="2"/>
      <c r="AX109" s="2"/>
      <c r="AY109" s="2"/>
      <c r="AZ109" s="2"/>
      <c r="BA109" s="2"/>
      <c r="BB109" s="2"/>
      <c r="BC109" s="2"/>
      <c r="BD109" s="2"/>
      <c r="BE109" s="2"/>
      <c r="BF109" s="2"/>
    </row>
    <row r="110" spans="2:58" x14ac:dyDescent="0.3">
      <c r="B110" s="232"/>
      <c r="C110" s="250"/>
      <c r="D110" s="263"/>
      <c r="E110" s="263"/>
      <c r="F110" s="263"/>
      <c r="G110" s="263"/>
      <c r="H110" s="15"/>
      <c r="I110" s="35"/>
      <c r="J110" s="35"/>
      <c r="K110" s="35"/>
      <c r="L110" s="15"/>
      <c r="M110" s="35"/>
      <c r="N110" s="35"/>
      <c r="O110" s="35"/>
      <c r="P110" s="15"/>
      <c r="Q110" s="34"/>
      <c r="R110" s="34"/>
      <c r="S110" s="34"/>
      <c r="T110" s="34"/>
      <c r="U110" s="15"/>
      <c r="V110" s="35"/>
      <c r="W110" s="34"/>
      <c r="X110" s="35"/>
      <c r="Y110" s="34"/>
      <c r="Z110" s="35"/>
      <c r="AA110" s="34"/>
      <c r="AB110" s="34"/>
      <c r="AC110" s="15"/>
      <c r="AD110" s="34"/>
      <c r="AE110" s="34"/>
      <c r="AF110" s="34"/>
      <c r="AG110" s="15"/>
      <c r="AH110" s="272"/>
      <c r="AI110" s="267"/>
      <c r="AJ110" s="267"/>
      <c r="AK110" s="34"/>
      <c r="AL110" s="233"/>
      <c r="AO110" s="222"/>
      <c r="AP110" s="2"/>
      <c r="AQ110" s="2"/>
      <c r="AR110" s="2"/>
      <c r="AS110" s="2"/>
      <c r="AT110" s="2"/>
      <c r="AU110" s="2"/>
      <c r="AV110" s="2"/>
      <c r="AW110" s="2"/>
      <c r="AX110" s="2"/>
      <c r="AY110" s="2"/>
      <c r="AZ110" s="2"/>
      <c r="BA110" s="2"/>
      <c r="BB110" s="2"/>
      <c r="BC110" s="2"/>
      <c r="BD110" s="2"/>
      <c r="BE110" s="2"/>
      <c r="BF110" s="2"/>
    </row>
    <row r="111" spans="2:58" x14ac:dyDescent="0.3">
      <c r="B111" s="232"/>
      <c r="C111" s="250"/>
      <c r="D111" s="263"/>
      <c r="E111" s="263"/>
      <c r="F111" s="263"/>
      <c r="G111" s="263"/>
      <c r="H111" s="15"/>
      <c r="I111" s="35"/>
      <c r="J111" s="35"/>
      <c r="K111" s="35"/>
      <c r="L111" s="15"/>
      <c r="M111" s="35"/>
      <c r="N111" s="35"/>
      <c r="O111" s="35"/>
      <c r="P111" s="15"/>
      <c r="Q111" s="34"/>
      <c r="R111" s="34"/>
      <c r="S111" s="34"/>
      <c r="T111" s="34"/>
      <c r="U111" s="15"/>
      <c r="V111" s="35"/>
      <c r="W111" s="34"/>
      <c r="X111" s="35"/>
      <c r="Y111" s="34"/>
      <c r="Z111" s="35"/>
      <c r="AA111" s="34"/>
      <c r="AB111" s="34"/>
      <c r="AC111" s="15"/>
      <c r="AD111" s="34"/>
      <c r="AE111" s="34"/>
      <c r="AF111" s="34"/>
      <c r="AG111" s="15"/>
      <c r="AH111" s="272"/>
      <c r="AI111" s="267"/>
      <c r="AJ111" s="267"/>
      <c r="AK111" s="34"/>
      <c r="AL111" s="233"/>
      <c r="AO111" s="222"/>
      <c r="AP111" s="2"/>
      <c r="AQ111" s="2"/>
      <c r="AR111" s="2"/>
      <c r="AS111" s="2"/>
      <c r="AT111" s="2"/>
      <c r="AU111" s="2"/>
      <c r="AV111" s="2"/>
      <c r="AW111" s="2"/>
      <c r="AX111" s="2"/>
      <c r="AY111" s="2"/>
      <c r="AZ111" s="2"/>
      <c r="BA111" s="2"/>
      <c r="BB111" s="2"/>
      <c r="BC111" s="2"/>
      <c r="BD111" s="2"/>
      <c r="BE111" s="2"/>
      <c r="BF111" s="2"/>
    </row>
    <row r="112" spans="2:58" x14ac:dyDescent="0.3">
      <c r="B112" s="232"/>
      <c r="C112" s="250"/>
      <c r="D112" s="263"/>
      <c r="E112" s="263"/>
      <c r="F112" s="263"/>
      <c r="G112" s="263"/>
      <c r="H112" s="15"/>
      <c r="I112" s="35"/>
      <c r="J112" s="35"/>
      <c r="K112" s="35"/>
      <c r="L112" s="15"/>
      <c r="M112" s="35"/>
      <c r="N112" s="35"/>
      <c r="O112" s="35"/>
      <c r="P112" s="15"/>
      <c r="Q112" s="34"/>
      <c r="R112" s="34"/>
      <c r="S112" s="34"/>
      <c r="T112" s="34"/>
      <c r="U112" s="15"/>
      <c r="V112" s="35"/>
      <c r="W112" s="34"/>
      <c r="X112" s="35"/>
      <c r="Y112" s="34"/>
      <c r="Z112" s="35"/>
      <c r="AA112" s="34"/>
      <c r="AB112" s="34"/>
      <c r="AC112" s="15"/>
      <c r="AD112" s="34"/>
      <c r="AE112" s="34"/>
      <c r="AF112" s="34"/>
      <c r="AG112" s="15"/>
      <c r="AH112" s="272"/>
      <c r="AI112" s="267"/>
      <c r="AJ112" s="267"/>
      <c r="AK112" s="34"/>
      <c r="AL112" s="233"/>
      <c r="AO112" s="222"/>
      <c r="AP112" s="2"/>
      <c r="AQ112" s="2"/>
      <c r="AR112" s="2"/>
      <c r="AS112" s="2"/>
      <c r="AT112" s="2"/>
      <c r="AU112" s="2"/>
      <c r="AV112" s="2"/>
      <c r="AW112" s="2"/>
      <c r="AX112" s="2"/>
      <c r="AY112" s="2"/>
      <c r="AZ112" s="2"/>
      <c r="BA112" s="2"/>
      <c r="BB112" s="2"/>
      <c r="BC112" s="2"/>
      <c r="BD112" s="2"/>
      <c r="BE112" s="2"/>
      <c r="BF112" s="2"/>
    </row>
    <row r="113" spans="2:98" x14ac:dyDescent="0.3">
      <c r="B113" s="232"/>
      <c r="C113" s="250"/>
      <c r="D113" s="263"/>
      <c r="E113" s="263"/>
      <c r="F113" s="263"/>
      <c r="G113" s="263"/>
      <c r="H113" s="15"/>
      <c r="I113" s="35"/>
      <c r="J113" s="35"/>
      <c r="K113" s="35"/>
      <c r="L113" s="15"/>
      <c r="M113" s="35"/>
      <c r="N113" s="35"/>
      <c r="O113" s="35"/>
      <c r="P113" s="15"/>
      <c r="Q113" s="34"/>
      <c r="R113" s="34"/>
      <c r="S113" s="34"/>
      <c r="T113" s="34"/>
      <c r="U113" s="15"/>
      <c r="V113" s="35"/>
      <c r="W113" s="34"/>
      <c r="X113" s="35"/>
      <c r="Y113" s="34"/>
      <c r="Z113" s="35"/>
      <c r="AA113" s="34"/>
      <c r="AB113" s="34"/>
      <c r="AC113" s="15"/>
      <c r="AD113" s="34"/>
      <c r="AE113" s="34"/>
      <c r="AF113" s="34"/>
      <c r="AG113" s="15"/>
      <c r="AH113" s="272"/>
      <c r="AI113" s="267"/>
      <c r="AJ113" s="267"/>
      <c r="AK113" s="34"/>
      <c r="AL113" s="233"/>
      <c r="AO113" s="222"/>
      <c r="AP113" s="2"/>
      <c r="AQ113" s="2"/>
      <c r="AR113" s="2"/>
      <c r="AS113" s="2"/>
      <c r="AT113" s="2"/>
      <c r="AU113" s="2"/>
      <c r="AV113" s="2"/>
      <c r="AW113" s="2"/>
      <c r="AX113" s="2"/>
      <c r="AY113" s="2"/>
      <c r="AZ113" s="2"/>
      <c r="BA113" s="2"/>
      <c r="BB113" s="2"/>
      <c r="BC113" s="2"/>
      <c r="BD113" s="2"/>
      <c r="BE113" s="2"/>
      <c r="BF113" s="2"/>
    </row>
    <row r="114" spans="2:98" x14ac:dyDescent="0.3">
      <c r="B114" s="232"/>
      <c r="C114" s="250"/>
      <c r="D114" s="263"/>
      <c r="E114" s="263"/>
      <c r="F114" s="263"/>
      <c r="G114" s="263"/>
      <c r="H114" s="15"/>
      <c r="I114" s="35"/>
      <c r="J114" s="35"/>
      <c r="K114" s="35"/>
      <c r="L114" s="15"/>
      <c r="M114" s="35"/>
      <c r="N114" s="35"/>
      <c r="O114" s="35"/>
      <c r="P114" s="15"/>
      <c r="Q114" s="34"/>
      <c r="R114" s="34"/>
      <c r="S114" s="34"/>
      <c r="T114" s="34"/>
      <c r="U114" s="15"/>
      <c r="V114" s="35"/>
      <c r="W114" s="34"/>
      <c r="X114" s="35"/>
      <c r="Y114" s="34"/>
      <c r="Z114" s="35"/>
      <c r="AA114" s="34"/>
      <c r="AB114" s="34"/>
      <c r="AC114" s="15"/>
      <c r="AD114" s="34"/>
      <c r="AE114" s="34"/>
      <c r="AF114" s="34"/>
      <c r="AG114" s="15"/>
      <c r="AH114" s="272"/>
      <c r="AI114" s="267"/>
      <c r="AJ114" s="267"/>
      <c r="AK114" s="34"/>
      <c r="AL114" s="233"/>
      <c r="AO114" s="222"/>
      <c r="AP114" s="2"/>
      <c r="AQ114" s="2"/>
      <c r="AR114" s="2"/>
      <c r="AS114" s="2"/>
      <c r="AT114" s="2"/>
      <c r="AU114" s="2"/>
      <c r="AV114" s="2"/>
      <c r="AW114" s="2"/>
      <c r="AX114" s="2"/>
      <c r="AY114" s="2"/>
      <c r="AZ114" s="2"/>
      <c r="BA114" s="2"/>
      <c r="BB114" s="2"/>
      <c r="BC114" s="2"/>
      <c r="BD114" s="2"/>
      <c r="BE114" s="2"/>
      <c r="BF114" s="2"/>
    </row>
    <row r="115" spans="2:98" x14ac:dyDescent="0.3">
      <c r="B115" s="232"/>
      <c r="C115" s="250"/>
      <c r="D115" s="263"/>
      <c r="E115" s="263"/>
      <c r="F115" s="263"/>
      <c r="G115" s="263"/>
      <c r="H115" s="15"/>
      <c r="I115" s="35"/>
      <c r="J115" s="35"/>
      <c r="K115" s="35"/>
      <c r="L115" s="15"/>
      <c r="M115" s="35"/>
      <c r="N115" s="35"/>
      <c r="O115" s="35"/>
      <c r="P115" s="15"/>
      <c r="Q115" s="34"/>
      <c r="R115" s="34"/>
      <c r="S115" s="34"/>
      <c r="T115" s="34"/>
      <c r="U115" s="15"/>
      <c r="V115" s="35"/>
      <c r="W115" s="34"/>
      <c r="X115" s="35"/>
      <c r="Y115" s="34"/>
      <c r="Z115" s="35"/>
      <c r="AA115" s="34"/>
      <c r="AB115" s="34"/>
      <c r="AC115" s="15"/>
      <c r="AD115" s="34"/>
      <c r="AE115" s="34"/>
      <c r="AF115" s="34"/>
      <c r="AG115" s="15"/>
      <c r="AH115" s="272"/>
      <c r="AI115" s="267"/>
      <c r="AJ115" s="267"/>
      <c r="AK115" s="34"/>
      <c r="AL115" s="233"/>
      <c r="AO115" s="2"/>
      <c r="AP115" s="2"/>
      <c r="AQ115" s="2"/>
      <c r="AR115" s="2"/>
      <c r="AS115" s="2"/>
      <c r="AT115" s="2"/>
      <c r="AU115" s="2"/>
      <c r="AV115" s="2"/>
      <c r="AW115" s="416"/>
      <c r="AX115" s="2"/>
      <c r="AY115" s="2"/>
      <c r="AZ115" s="2"/>
      <c r="BA115" s="2"/>
      <c r="BB115" s="2"/>
      <c r="BC115" s="2"/>
      <c r="BD115" s="2"/>
      <c r="BE115" s="2"/>
      <c r="BF115" s="2"/>
    </row>
    <row r="116" spans="2:98" x14ac:dyDescent="0.3">
      <c r="B116" s="232"/>
      <c r="C116" s="250"/>
      <c r="D116" s="263"/>
      <c r="E116" s="263"/>
      <c r="F116" s="263"/>
      <c r="G116" s="263"/>
      <c r="H116" s="15"/>
      <c r="I116" s="35"/>
      <c r="J116" s="35"/>
      <c r="K116" s="35"/>
      <c r="L116" s="15"/>
      <c r="M116" s="35"/>
      <c r="N116" s="35"/>
      <c r="O116" s="35"/>
      <c r="P116" s="15"/>
      <c r="Q116" s="34"/>
      <c r="R116" s="34"/>
      <c r="S116" s="34"/>
      <c r="T116" s="34"/>
      <c r="U116" s="15"/>
      <c r="V116" s="35"/>
      <c r="W116" s="34"/>
      <c r="X116" s="35"/>
      <c r="Y116" s="34"/>
      <c r="Z116" s="35"/>
      <c r="AA116" s="34"/>
      <c r="AB116" s="34"/>
      <c r="AC116" s="15"/>
      <c r="AD116" s="34"/>
      <c r="AE116" s="34"/>
      <c r="AF116" s="34"/>
      <c r="AG116" s="15"/>
      <c r="AH116" s="272"/>
      <c r="AI116" s="267"/>
      <c r="AJ116" s="267"/>
      <c r="AK116" s="34"/>
      <c r="AL116" s="233"/>
      <c r="AO116" s="223"/>
      <c r="AP116" s="2"/>
      <c r="AQ116" s="2"/>
      <c r="AR116" s="2"/>
      <c r="AS116" s="2"/>
      <c r="AT116" s="2"/>
      <c r="AU116" s="2"/>
      <c r="AV116" s="2"/>
      <c r="AW116" s="416"/>
      <c r="AX116" s="2"/>
      <c r="AY116" s="2"/>
      <c r="AZ116" s="2"/>
      <c r="BA116" s="2"/>
      <c r="BB116" s="2"/>
      <c r="BC116" s="2"/>
      <c r="BD116" s="2"/>
      <c r="BE116" s="2"/>
      <c r="BF116" s="2"/>
    </row>
    <row r="117" spans="2:98" x14ac:dyDescent="0.3">
      <c r="B117" s="232"/>
      <c r="C117" s="250"/>
      <c r="D117" s="263"/>
      <c r="E117" s="263"/>
      <c r="F117" s="263"/>
      <c r="G117" s="263"/>
      <c r="H117" s="15"/>
      <c r="I117" s="35"/>
      <c r="J117" s="35"/>
      <c r="K117" s="35"/>
      <c r="L117" s="15"/>
      <c r="M117" s="35"/>
      <c r="N117" s="35"/>
      <c r="O117" s="35"/>
      <c r="P117" s="15"/>
      <c r="Q117" s="34"/>
      <c r="R117" s="34"/>
      <c r="S117" s="34"/>
      <c r="T117" s="34"/>
      <c r="U117" s="15"/>
      <c r="V117" s="35"/>
      <c r="W117" s="34"/>
      <c r="X117" s="35"/>
      <c r="Y117" s="34"/>
      <c r="Z117" s="35"/>
      <c r="AA117" s="34"/>
      <c r="AB117" s="34"/>
      <c r="AC117" s="15"/>
      <c r="AD117" s="34"/>
      <c r="AE117" s="34"/>
      <c r="AF117" s="34"/>
      <c r="AG117" s="15"/>
      <c r="AH117" s="272"/>
      <c r="AI117" s="267"/>
      <c r="AJ117" s="267"/>
      <c r="AK117" s="34"/>
      <c r="AL117" s="233"/>
      <c r="AO117" s="222"/>
      <c r="AP117" s="2"/>
      <c r="AQ117" s="2"/>
      <c r="AR117" s="2"/>
      <c r="AS117" s="2"/>
      <c r="AT117" s="2"/>
      <c r="AU117" s="2"/>
      <c r="AV117" s="2"/>
      <c r="AW117" s="416"/>
      <c r="AX117" s="2"/>
      <c r="AY117" s="2"/>
      <c r="AZ117" s="2"/>
      <c r="BA117" s="2"/>
      <c r="BB117" s="2"/>
      <c r="BC117" s="2"/>
      <c r="BD117" s="2"/>
      <c r="BE117" s="2"/>
      <c r="BF117" s="2"/>
    </row>
    <row r="118" spans="2:98" x14ac:dyDescent="0.3">
      <c r="B118" s="232"/>
      <c r="C118" s="250"/>
      <c r="D118" s="263"/>
      <c r="E118" s="263"/>
      <c r="F118" s="263"/>
      <c r="G118" s="263"/>
      <c r="H118" s="15"/>
      <c r="I118" s="35"/>
      <c r="J118" s="35"/>
      <c r="K118" s="35"/>
      <c r="L118" s="15"/>
      <c r="M118" s="35"/>
      <c r="N118" s="35"/>
      <c r="O118" s="35"/>
      <c r="P118" s="15"/>
      <c r="Q118" s="34"/>
      <c r="R118" s="34"/>
      <c r="S118" s="34"/>
      <c r="T118" s="34"/>
      <c r="U118" s="15"/>
      <c r="V118" s="35"/>
      <c r="W118" s="34"/>
      <c r="X118" s="35"/>
      <c r="Y118" s="34"/>
      <c r="Z118" s="35"/>
      <c r="AA118" s="34"/>
      <c r="AB118" s="34"/>
      <c r="AC118" s="15"/>
      <c r="AD118" s="34"/>
      <c r="AE118" s="34"/>
      <c r="AF118" s="34"/>
      <c r="AG118" s="15"/>
      <c r="AH118" s="272"/>
      <c r="AI118" s="267"/>
      <c r="AJ118" s="267"/>
      <c r="AK118" s="34"/>
      <c r="AL118" s="233"/>
      <c r="AO118" s="222"/>
      <c r="AP118" s="2"/>
      <c r="AQ118" s="2"/>
      <c r="AR118" s="2"/>
      <c r="AS118" s="2"/>
      <c r="AT118" s="2"/>
      <c r="AU118" s="2"/>
      <c r="AV118" s="2"/>
      <c r="AW118" s="416"/>
      <c r="AX118" s="2"/>
      <c r="AY118" s="2"/>
      <c r="AZ118" s="2"/>
      <c r="BA118" s="2"/>
      <c r="BB118" s="2"/>
      <c r="BC118" s="2"/>
      <c r="BD118" s="2"/>
      <c r="BE118" s="2"/>
      <c r="BF118" s="2"/>
    </row>
    <row r="119" spans="2:98" x14ac:dyDescent="0.3">
      <c r="B119" s="232"/>
      <c r="C119" s="250"/>
      <c r="D119" s="263"/>
      <c r="E119" s="263"/>
      <c r="F119" s="263"/>
      <c r="G119" s="263"/>
      <c r="H119" s="15"/>
      <c r="I119" s="35"/>
      <c r="J119" s="35"/>
      <c r="K119" s="35"/>
      <c r="L119" s="15"/>
      <c r="M119" s="35"/>
      <c r="N119" s="35"/>
      <c r="O119" s="35"/>
      <c r="P119" s="15"/>
      <c r="Q119" s="34"/>
      <c r="R119" s="34"/>
      <c r="S119" s="34"/>
      <c r="T119" s="34"/>
      <c r="U119" s="15"/>
      <c r="V119" s="35"/>
      <c r="W119" s="34"/>
      <c r="X119" s="35"/>
      <c r="Y119" s="34"/>
      <c r="Z119" s="35"/>
      <c r="AA119" s="34"/>
      <c r="AB119" s="34"/>
      <c r="AC119" s="15"/>
      <c r="AD119" s="34"/>
      <c r="AE119" s="34"/>
      <c r="AF119" s="34"/>
      <c r="AG119" s="15"/>
      <c r="AH119" s="272"/>
      <c r="AI119" s="267"/>
      <c r="AJ119" s="267"/>
      <c r="AK119" s="34"/>
      <c r="AL119" s="233"/>
      <c r="AO119" s="2"/>
      <c r="AP119" s="2"/>
      <c r="AQ119" s="2"/>
      <c r="AR119" s="2"/>
      <c r="AS119" s="2"/>
      <c r="AT119" s="2"/>
      <c r="AU119" s="2"/>
      <c r="AV119" s="2"/>
      <c r="AW119" s="2"/>
      <c r="AX119" s="2"/>
      <c r="AY119" s="2"/>
      <c r="AZ119" s="2"/>
      <c r="BA119" s="2"/>
      <c r="BB119" s="2"/>
      <c r="BC119" s="2"/>
      <c r="BD119" s="2"/>
      <c r="BE119" s="2"/>
      <c r="BF119" s="2"/>
    </row>
    <row r="120" spans="2:98" x14ac:dyDescent="0.3">
      <c r="B120" s="232"/>
      <c r="C120" s="325"/>
      <c r="D120" s="291"/>
      <c r="E120" s="291"/>
      <c r="F120" s="291"/>
      <c r="G120" s="291"/>
      <c r="H120" s="15"/>
      <c r="I120" s="15"/>
      <c r="J120" s="15"/>
      <c r="K120" s="15"/>
      <c r="L120" s="15"/>
      <c r="M120" s="35"/>
      <c r="N120" s="35"/>
      <c r="O120" s="35"/>
      <c r="P120" s="15"/>
      <c r="Q120" s="183"/>
      <c r="R120" s="183"/>
      <c r="S120" s="183"/>
      <c r="T120" s="183"/>
      <c r="U120" s="15"/>
      <c r="V120" s="35"/>
      <c r="W120" s="183"/>
      <c r="X120" s="35"/>
      <c r="Y120" s="183"/>
      <c r="Z120" s="35"/>
      <c r="AA120" s="183"/>
      <c r="AB120" s="183"/>
      <c r="AC120" s="15"/>
      <c r="AD120" s="183"/>
      <c r="AE120" s="183"/>
      <c r="AF120" s="183"/>
      <c r="AG120" s="15"/>
      <c r="AH120" s="272"/>
      <c r="AI120" s="267"/>
      <c r="AJ120" s="267"/>
      <c r="AK120" s="183"/>
      <c r="AL120" s="233"/>
      <c r="AO120" s="223"/>
      <c r="AP120" s="2"/>
      <c r="AQ120" s="2"/>
      <c r="AR120" s="2"/>
      <c r="AS120" s="2"/>
      <c r="AT120" s="2"/>
      <c r="AU120" s="2"/>
      <c r="AV120" s="2"/>
      <c r="AW120" s="416"/>
      <c r="AX120" s="2"/>
      <c r="AY120" s="2"/>
      <c r="AZ120" s="2"/>
      <c r="BA120" s="2"/>
      <c r="BB120" s="2"/>
      <c r="BC120" s="2"/>
      <c r="BD120" s="2"/>
      <c r="BE120" s="2"/>
      <c r="BF120" s="2"/>
      <c r="BG120" s="2"/>
      <c r="BH120" s="2"/>
      <c r="BI120" s="2"/>
      <c r="BJ120" s="2"/>
      <c r="BK120" s="2"/>
    </row>
    <row r="121" spans="2:98" x14ac:dyDescent="0.3">
      <c r="B121" s="232"/>
      <c r="C121" s="283"/>
      <c r="D121" s="263"/>
      <c r="E121" s="263"/>
      <c r="F121" s="263"/>
      <c r="G121" s="263"/>
      <c r="H121" s="15"/>
      <c r="I121" s="15"/>
      <c r="J121" s="15"/>
      <c r="K121" s="15"/>
      <c r="L121" s="15"/>
      <c r="M121" s="35"/>
      <c r="N121" s="35"/>
      <c r="O121" s="35"/>
      <c r="P121" s="15"/>
      <c r="Q121" s="34"/>
      <c r="R121" s="34"/>
      <c r="S121" s="34"/>
      <c r="T121" s="34"/>
      <c r="U121" s="15"/>
      <c r="V121" s="35"/>
      <c r="W121" s="34"/>
      <c r="X121" s="35"/>
      <c r="Y121" s="34"/>
      <c r="Z121" s="35"/>
      <c r="AA121" s="34"/>
      <c r="AB121" s="34"/>
      <c r="AC121" s="15"/>
      <c r="AD121" s="34"/>
      <c r="AE121" s="62"/>
      <c r="AF121" s="34"/>
      <c r="AG121" s="15"/>
      <c r="AH121" s="266"/>
      <c r="AI121" s="267"/>
      <c r="AJ121" s="267"/>
      <c r="AK121" s="34"/>
      <c r="AL121" s="233"/>
      <c r="AO121" s="222"/>
      <c r="AP121" s="18"/>
      <c r="AQ121" s="418"/>
      <c r="AR121" s="61"/>
      <c r="AS121" s="61"/>
      <c r="AT121" s="2"/>
      <c r="AU121" s="2"/>
      <c r="AV121" s="2"/>
      <c r="AW121" s="416"/>
      <c r="AX121" s="2"/>
      <c r="AY121" s="2"/>
      <c r="AZ121" s="2"/>
      <c r="BA121" s="2"/>
      <c r="BB121" s="2"/>
      <c r="BC121" s="2"/>
      <c r="BD121" s="2"/>
      <c r="BE121" s="2"/>
      <c r="BF121" s="2"/>
      <c r="BG121" s="2"/>
      <c r="BH121" s="2"/>
      <c r="BI121" s="2"/>
      <c r="BJ121" s="2"/>
      <c r="BK121" s="2"/>
    </row>
    <row r="122" spans="2:98" x14ac:dyDescent="0.3">
      <c r="B122" s="232"/>
      <c r="C122" s="249"/>
      <c r="D122" s="291"/>
      <c r="E122" s="291"/>
      <c r="F122" s="291"/>
      <c r="G122" s="291"/>
      <c r="H122" s="15"/>
      <c r="I122" s="15"/>
      <c r="J122" s="15"/>
      <c r="K122" s="15"/>
      <c r="L122" s="15"/>
      <c r="M122" s="15"/>
      <c r="N122" s="15"/>
      <c r="O122" s="15"/>
      <c r="P122" s="15"/>
      <c r="Q122" s="183"/>
      <c r="R122" s="183"/>
      <c r="S122" s="183"/>
      <c r="T122" s="183"/>
      <c r="U122" s="15"/>
      <c r="V122" s="15"/>
      <c r="W122" s="183"/>
      <c r="X122" s="15"/>
      <c r="Y122" s="183"/>
      <c r="Z122" s="15"/>
      <c r="AA122" s="183"/>
      <c r="AB122" s="183"/>
      <c r="AC122" s="15"/>
      <c r="AD122" s="183"/>
      <c r="AE122" s="183"/>
      <c r="AF122" s="183"/>
      <c r="AG122" s="15"/>
      <c r="AH122" s="15"/>
      <c r="AI122" s="15"/>
      <c r="AJ122" s="15"/>
      <c r="AK122" s="183"/>
      <c r="AL122" s="233"/>
      <c r="AO122" s="222"/>
      <c r="AP122" s="2"/>
      <c r="AQ122" s="2"/>
      <c r="AR122" s="2"/>
      <c r="AS122" s="2"/>
      <c r="AT122" s="2"/>
      <c r="AU122" s="2"/>
      <c r="AV122" s="2"/>
      <c r="AW122" s="2"/>
      <c r="AX122" s="2"/>
      <c r="AY122" s="2"/>
      <c r="AZ122" s="2"/>
      <c r="BA122" s="2"/>
      <c r="BB122" s="2"/>
      <c r="BC122" s="2"/>
      <c r="BD122" s="2"/>
      <c r="BE122" s="2"/>
      <c r="BF122" s="2"/>
    </row>
    <row r="123" spans="2:98" x14ac:dyDescent="0.3">
      <c r="B123" s="232"/>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233"/>
      <c r="AN123" s="225" t="s">
        <v>340</v>
      </c>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226"/>
    </row>
    <row r="124" spans="2:98" x14ac:dyDescent="0.3">
      <c r="B124" s="285" t="s">
        <v>29</v>
      </c>
      <c r="C124" s="286"/>
      <c r="D124" s="287"/>
      <c r="E124" s="287"/>
      <c r="F124" s="287"/>
      <c r="G124" s="287"/>
      <c r="H124" s="287"/>
      <c r="I124" s="287"/>
      <c r="J124" s="287"/>
      <c r="K124" s="287"/>
      <c r="L124" s="287"/>
      <c r="M124" s="287"/>
      <c r="N124" s="287"/>
      <c r="O124" s="287"/>
      <c r="P124" s="287"/>
      <c r="Q124" s="286" t="str">
        <f>B124</f>
        <v>PUD</v>
      </c>
      <c r="R124" s="287"/>
      <c r="S124" s="287"/>
      <c r="T124" s="287"/>
      <c r="U124" s="287"/>
      <c r="V124" s="287"/>
      <c r="W124" s="287"/>
      <c r="X124" s="287"/>
      <c r="Y124" s="287"/>
      <c r="Z124" s="287"/>
      <c r="AA124" s="287"/>
      <c r="AB124" s="287"/>
      <c r="AC124" s="287"/>
      <c r="AD124" s="286" t="str">
        <f>Q124</f>
        <v>PUD</v>
      </c>
      <c r="AE124" s="287"/>
      <c r="AF124" s="287"/>
      <c r="AG124" s="287"/>
      <c r="AH124" s="287"/>
      <c r="AI124" s="287"/>
      <c r="AJ124" s="287"/>
      <c r="AK124" s="287"/>
      <c r="AL124" s="288"/>
      <c r="AN124" s="259" t="str">
        <f>B124&amp;" - Total Production (Net) (Mmcfe)"</f>
        <v>PUD - Total Production (Net) (Mmcfe)</v>
      </c>
      <c r="AO124" s="228"/>
      <c r="AP124" s="54"/>
      <c r="AQ124" s="54"/>
      <c r="AR124" s="54"/>
      <c r="AS124" s="54"/>
      <c r="AT124" s="54"/>
      <c r="AU124" s="54"/>
      <c r="AV124" s="54"/>
      <c r="AW124" s="228"/>
      <c r="AX124" s="54"/>
      <c r="AY124" s="54"/>
      <c r="AZ124" s="54"/>
      <c r="BA124" s="54"/>
      <c r="BB124" s="54"/>
      <c r="BC124" s="54"/>
      <c r="BD124" s="228"/>
      <c r="BE124" s="54"/>
      <c r="BF124" s="54"/>
      <c r="BG124" s="54"/>
      <c r="BH124" s="54"/>
      <c r="BI124" s="228"/>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229"/>
    </row>
    <row r="125" spans="2:98" x14ac:dyDescent="0.3">
      <c r="B125" s="232"/>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233"/>
      <c r="AN125" s="232"/>
      <c r="AO125" t="s">
        <v>341</v>
      </c>
      <c r="AR125" s="417">
        <f ca="1">$M$8*365</f>
        <v>300.02999999999997</v>
      </c>
      <c r="AS125" s="359" t="s">
        <v>353</v>
      </c>
      <c r="AT125" s="360">
        <f>Assumptions!$Q$29</f>
        <v>0</v>
      </c>
      <c r="AU125" s="15"/>
      <c r="AW125" s="15"/>
      <c r="AX125" s="15"/>
      <c r="AY125" s="15"/>
      <c r="AZ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231"/>
    </row>
    <row r="126" spans="2:98" x14ac:dyDescent="0.3">
      <c r="B126" s="232"/>
      <c r="C126" s="37" t="s">
        <v>357</v>
      </c>
      <c r="D126" s="23"/>
      <c r="E126" s="23"/>
      <c r="F126" s="23"/>
      <c r="G126" s="23"/>
      <c r="H126" s="261"/>
      <c r="I126" s="37" t="s">
        <v>15</v>
      </c>
      <c r="J126" s="23"/>
      <c r="K126" s="23"/>
      <c r="L126" s="15"/>
      <c r="M126" s="37" t="s">
        <v>278</v>
      </c>
      <c r="N126" s="23"/>
      <c r="O126" s="23"/>
      <c r="P126" s="15"/>
      <c r="Q126" s="37" t="s">
        <v>279</v>
      </c>
      <c r="R126" s="23"/>
      <c r="S126" s="23"/>
      <c r="T126" s="23"/>
      <c r="U126" s="15"/>
      <c r="V126" s="37" t="s">
        <v>280</v>
      </c>
      <c r="W126" s="23"/>
      <c r="X126" s="23"/>
      <c r="Y126" s="23"/>
      <c r="Z126" s="23"/>
      <c r="AA126" s="23"/>
      <c r="AB126" s="4"/>
      <c r="AC126" s="15"/>
      <c r="AD126" s="37" t="s">
        <v>281</v>
      </c>
      <c r="AE126" s="23"/>
      <c r="AF126" s="23"/>
      <c r="AG126" s="15"/>
      <c r="AH126" s="37" t="s">
        <v>282</v>
      </c>
      <c r="AI126" s="23"/>
      <c r="AJ126" s="23"/>
      <c r="AK126" s="23"/>
      <c r="AL126" s="233"/>
      <c r="AN126" s="232"/>
      <c r="AO126" s="15" t="s">
        <v>358</v>
      </c>
      <c r="AP126" s="15"/>
      <c r="AQ126" s="245"/>
      <c r="AR126" s="294">
        <v>0.6</v>
      </c>
      <c r="AS126" s="361" t="s">
        <v>359</v>
      </c>
      <c r="AT126" s="12">
        <f>Data!$K$61*Units</f>
        <v>885.34201954397383</v>
      </c>
      <c r="AU126" s="47"/>
      <c r="AV126" s="369"/>
      <c r="AW126" s="15"/>
      <c r="AX126" s="15"/>
      <c r="AY126" s="15"/>
      <c r="BA126" s="338" t="s">
        <v>343</v>
      </c>
      <c r="BB126" s="339">
        <f t="array" aca="1" ref="BB126:CR126" ca="1">TRANSPOSE(AS29:AS71)*$AR$9</f>
        <v>0</v>
      </c>
      <c r="BC126" s="339">
        <f ca="1"/>
        <v>47</v>
      </c>
      <c r="BD126" s="339">
        <f ca="1"/>
        <v>47</v>
      </c>
      <c r="BE126" s="339">
        <f ca="1"/>
        <v>36</v>
      </c>
      <c r="BF126" s="339">
        <f ca="1"/>
        <v>0</v>
      </c>
      <c r="BG126" s="339">
        <f ca="1"/>
        <v>0</v>
      </c>
      <c r="BH126" s="339">
        <f ca="1"/>
        <v>0</v>
      </c>
      <c r="BI126" s="339">
        <f ca="1"/>
        <v>0</v>
      </c>
      <c r="BJ126" s="339">
        <f ca="1"/>
        <v>0</v>
      </c>
      <c r="BK126" s="339">
        <f ca="1"/>
        <v>0</v>
      </c>
      <c r="BL126" s="339">
        <f ca="1"/>
        <v>0</v>
      </c>
      <c r="BM126" s="339">
        <f ca="1"/>
        <v>0</v>
      </c>
      <c r="BN126" s="339">
        <f ca="1"/>
        <v>0</v>
      </c>
      <c r="BO126" s="339">
        <f ca="1"/>
        <v>0</v>
      </c>
      <c r="BP126" s="339">
        <f ca="1"/>
        <v>0</v>
      </c>
      <c r="BQ126" s="339">
        <f ca="1"/>
        <v>0</v>
      </c>
      <c r="BR126" s="339">
        <f ca="1"/>
        <v>0</v>
      </c>
      <c r="BS126" s="339">
        <f ca="1"/>
        <v>0</v>
      </c>
      <c r="BT126" s="339">
        <f ca="1"/>
        <v>0</v>
      </c>
      <c r="BU126" s="339">
        <f ca="1"/>
        <v>0</v>
      </c>
      <c r="BV126" s="339">
        <f ca="1"/>
        <v>0</v>
      </c>
      <c r="BW126" s="339">
        <f ca="1"/>
        <v>0</v>
      </c>
      <c r="BX126" s="339">
        <f ca="1"/>
        <v>0</v>
      </c>
      <c r="BY126" s="339">
        <f ca="1"/>
        <v>0</v>
      </c>
      <c r="BZ126" s="339">
        <f ca="1"/>
        <v>0</v>
      </c>
      <c r="CA126" s="339">
        <f ca="1"/>
        <v>0</v>
      </c>
      <c r="CB126" s="339">
        <f ca="1"/>
        <v>0</v>
      </c>
      <c r="CC126" s="339">
        <f ca="1"/>
        <v>0</v>
      </c>
      <c r="CD126" s="339">
        <f ca="1"/>
        <v>0</v>
      </c>
      <c r="CE126" s="339">
        <f ca="1"/>
        <v>0</v>
      </c>
      <c r="CF126" s="339">
        <f ca="1"/>
        <v>0</v>
      </c>
      <c r="CG126" s="339">
        <f ca="1"/>
        <v>0</v>
      </c>
      <c r="CH126" s="339">
        <f ca="1"/>
        <v>0</v>
      </c>
      <c r="CI126" s="339">
        <f ca="1"/>
        <v>0</v>
      </c>
      <c r="CJ126" s="339">
        <f ca="1"/>
        <v>0</v>
      </c>
      <c r="CK126" s="339">
        <f ca="1"/>
        <v>0</v>
      </c>
      <c r="CL126" s="339">
        <f ca="1"/>
        <v>0</v>
      </c>
      <c r="CM126" s="339">
        <f ca="1"/>
        <v>0</v>
      </c>
      <c r="CN126" s="339">
        <f ca="1"/>
        <v>0</v>
      </c>
      <c r="CO126" s="339">
        <f ca="1"/>
        <v>0</v>
      </c>
      <c r="CP126" s="339">
        <f ca="1"/>
        <v>0</v>
      </c>
      <c r="CQ126" s="339">
        <f ca="1"/>
        <v>130</v>
      </c>
      <c r="CR126" s="340">
        <f ca="1"/>
        <v>0</v>
      </c>
      <c r="CS126" s="340">
        <f ca="1">SUM(CQ126:CR126)</f>
        <v>130</v>
      </c>
      <c r="CT126" s="233"/>
    </row>
    <row r="127" spans="2:98" x14ac:dyDescent="0.3">
      <c r="B127" s="232"/>
      <c r="C127" s="250"/>
      <c r="D127" s="250" t="s">
        <v>10</v>
      </c>
      <c r="E127" s="250" t="s">
        <v>11</v>
      </c>
      <c r="F127" s="250" t="s">
        <v>245</v>
      </c>
      <c r="G127" s="250" t="s">
        <v>12</v>
      </c>
      <c r="H127" s="261"/>
      <c r="I127" s="262" t="s">
        <v>10</v>
      </c>
      <c r="J127" s="262" t="s">
        <v>11</v>
      </c>
      <c r="K127" s="262" t="s">
        <v>245</v>
      </c>
      <c r="L127" s="15"/>
      <c r="M127" s="262" t="s">
        <v>10</v>
      </c>
      <c r="N127" s="262" t="s">
        <v>11</v>
      </c>
      <c r="O127" s="262" t="s">
        <v>245</v>
      </c>
      <c r="P127" s="15"/>
      <c r="Q127" s="262" t="s">
        <v>10</v>
      </c>
      <c r="R127" s="262" t="s">
        <v>11</v>
      </c>
      <c r="S127" s="262" t="s">
        <v>245</v>
      </c>
      <c r="T127" s="262" t="s">
        <v>12</v>
      </c>
      <c r="U127" s="15"/>
      <c r="V127" s="262" t="s">
        <v>283</v>
      </c>
      <c r="W127" s="262" t="s">
        <v>283</v>
      </c>
      <c r="X127" s="262" t="s">
        <v>284</v>
      </c>
      <c r="Y127" s="262" t="s">
        <v>284</v>
      </c>
      <c r="Z127" s="262" t="s">
        <v>285</v>
      </c>
      <c r="AA127" s="262" t="s">
        <v>285</v>
      </c>
      <c r="AB127" s="262" t="s">
        <v>12</v>
      </c>
      <c r="AC127" s="15"/>
      <c r="AD127" s="262" t="s">
        <v>286</v>
      </c>
      <c r="AE127" s="262" t="s">
        <v>287</v>
      </c>
      <c r="AF127" s="262" t="s">
        <v>281</v>
      </c>
      <c r="AG127" s="15"/>
      <c r="AH127" s="262"/>
      <c r="AI127" s="262" t="s">
        <v>288</v>
      </c>
      <c r="AJ127" s="262" t="s">
        <v>288</v>
      </c>
      <c r="AK127" s="262" t="s">
        <v>289</v>
      </c>
      <c r="AL127" s="233"/>
      <c r="AN127" s="341"/>
      <c r="AO127" s="18"/>
      <c r="AP127" s="37" t="s">
        <v>360</v>
      </c>
      <c r="AQ127" s="331"/>
      <c r="AR127" s="331"/>
      <c r="AS127" s="11" t="s">
        <v>12</v>
      </c>
      <c r="AT127" s="236" t="s">
        <v>345</v>
      </c>
      <c r="AU127" s="38" t="s">
        <v>354</v>
      </c>
      <c r="AW127" s="37" t="s">
        <v>361</v>
      </c>
      <c r="AX127" s="331"/>
      <c r="AY127" s="331"/>
      <c r="AZ127" s="11" t="s">
        <v>12</v>
      </c>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233"/>
    </row>
    <row r="128" spans="2:98" x14ac:dyDescent="0.3">
      <c r="B128" s="232"/>
      <c r="C128" s="13" t="s">
        <v>9</v>
      </c>
      <c r="D128" s="13" t="s">
        <v>307</v>
      </c>
      <c r="E128" s="13" t="s">
        <v>308</v>
      </c>
      <c r="F128" s="13" t="s">
        <v>308</v>
      </c>
      <c r="G128" s="13" t="s">
        <v>248</v>
      </c>
      <c r="H128" s="4"/>
      <c r="I128" s="13" t="s">
        <v>24</v>
      </c>
      <c r="J128" s="13" t="s">
        <v>25</v>
      </c>
      <c r="K128" s="13" t="s">
        <v>25</v>
      </c>
      <c r="L128" s="4"/>
      <c r="M128" s="13" t="s">
        <v>24</v>
      </c>
      <c r="N128" s="13" t="s">
        <v>25</v>
      </c>
      <c r="O128" s="13" t="s">
        <v>25</v>
      </c>
      <c r="P128" s="4"/>
      <c r="Q128" s="13" t="s">
        <v>293</v>
      </c>
      <c r="R128" s="13" t="s">
        <v>293</v>
      </c>
      <c r="S128" s="13" t="s">
        <v>293</v>
      </c>
      <c r="T128" s="13" t="s">
        <v>293</v>
      </c>
      <c r="U128" s="4"/>
      <c r="V128" s="13" t="s">
        <v>294</v>
      </c>
      <c r="W128" s="13" t="s">
        <v>293</v>
      </c>
      <c r="X128" s="13" t="s">
        <v>294</v>
      </c>
      <c r="Y128" s="13" t="s">
        <v>293</v>
      </c>
      <c r="Z128" s="13" t="s">
        <v>294</v>
      </c>
      <c r="AA128" s="13" t="s">
        <v>293</v>
      </c>
      <c r="AB128" s="13" t="s">
        <v>293</v>
      </c>
      <c r="AC128" s="4"/>
      <c r="AD128" s="13" t="s">
        <v>293</v>
      </c>
      <c r="AE128" s="13" t="s">
        <v>293</v>
      </c>
      <c r="AF128" s="13" t="s">
        <v>293</v>
      </c>
      <c r="AG128" s="4"/>
      <c r="AH128" s="13" t="s">
        <v>295</v>
      </c>
      <c r="AI128" s="13" t="s">
        <v>296</v>
      </c>
      <c r="AJ128" s="13" t="s">
        <v>297</v>
      </c>
      <c r="AK128" s="13" t="s">
        <v>293</v>
      </c>
      <c r="AL128" s="233"/>
      <c r="AN128" s="342"/>
      <c r="AO128" s="24" t="s">
        <v>296</v>
      </c>
      <c r="AP128" s="24" t="s">
        <v>347</v>
      </c>
      <c r="AQ128" s="24" t="s">
        <v>351</v>
      </c>
      <c r="AR128" s="24" t="s">
        <v>352</v>
      </c>
      <c r="AS128" s="343" t="s">
        <v>169</v>
      </c>
      <c r="AT128" s="344" t="s">
        <v>348</v>
      </c>
      <c r="AU128" s="11" t="s">
        <v>26</v>
      </c>
      <c r="AW128" s="24" t="s">
        <v>347</v>
      </c>
      <c r="AX128" s="24" t="s">
        <v>351</v>
      </c>
      <c r="AY128" s="24" t="s">
        <v>352</v>
      </c>
      <c r="AZ128" s="343" t="s">
        <v>169</v>
      </c>
      <c r="BB128" s="40">
        <v>0</v>
      </c>
      <c r="BC128" s="13">
        <f>BB128+1</f>
        <v>1</v>
      </c>
      <c r="BD128" s="13">
        <f t="shared" ref="BD128:CP128" si="51">BC128+1</f>
        <v>2</v>
      </c>
      <c r="BE128" s="13">
        <f t="shared" si="51"/>
        <v>3</v>
      </c>
      <c r="BF128" s="13">
        <f t="shared" si="51"/>
        <v>4</v>
      </c>
      <c r="BG128" s="13">
        <f t="shared" si="51"/>
        <v>5</v>
      </c>
      <c r="BH128" s="13">
        <f t="shared" si="51"/>
        <v>6</v>
      </c>
      <c r="BI128" s="13">
        <f t="shared" si="51"/>
        <v>7</v>
      </c>
      <c r="BJ128" s="13">
        <f t="shared" si="51"/>
        <v>8</v>
      </c>
      <c r="BK128" s="13">
        <f t="shared" si="51"/>
        <v>9</v>
      </c>
      <c r="BL128" s="13">
        <f t="shared" si="51"/>
        <v>10</v>
      </c>
      <c r="BM128" s="13">
        <f t="shared" si="51"/>
        <v>11</v>
      </c>
      <c r="BN128" s="13">
        <f t="shared" si="51"/>
        <v>12</v>
      </c>
      <c r="BO128" s="13">
        <f t="shared" si="51"/>
        <v>13</v>
      </c>
      <c r="BP128" s="13">
        <f t="shared" si="51"/>
        <v>14</v>
      </c>
      <c r="BQ128" s="13">
        <f t="shared" si="51"/>
        <v>15</v>
      </c>
      <c r="BR128" s="13">
        <f t="shared" si="51"/>
        <v>16</v>
      </c>
      <c r="BS128" s="13">
        <f t="shared" si="51"/>
        <v>17</v>
      </c>
      <c r="BT128" s="13">
        <f t="shared" si="51"/>
        <v>18</v>
      </c>
      <c r="BU128" s="13">
        <f t="shared" si="51"/>
        <v>19</v>
      </c>
      <c r="BV128" s="13">
        <f t="shared" si="51"/>
        <v>20</v>
      </c>
      <c r="BW128" s="13">
        <f t="shared" si="51"/>
        <v>21</v>
      </c>
      <c r="BX128" s="13">
        <f t="shared" si="51"/>
        <v>22</v>
      </c>
      <c r="BY128" s="13">
        <f t="shared" si="51"/>
        <v>23</v>
      </c>
      <c r="BZ128" s="13">
        <f t="shared" si="51"/>
        <v>24</v>
      </c>
      <c r="CA128" s="13">
        <f t="shared" si="51"/>
        <v>25</v>
      </c>
      <c r="CB128" s="13">
        <f t="shared" si="51"/>
        <v>26</v>
      </c>
      <c r="CC128" s="13">
        <f t="shared" si="51"/>
        <v>27</v>
      </c>
      <c r="CD128" s="13">
        <f t="shared" si="51"/>
        <v>28</v>
      </c>
      <c r="CE128" s="13">
        <f t="shared" si="51"/>
        <v>29</v>
      </c>
      <c r="CF128" s="13">
        <f t="shared" si="51"/>
        <v>30</v>
      </c>
      <c r="CG128" s="13">
        <f t="shared" si="51"/>
        <v>31</v>
      </c>
      <c r="CH128" s="13">
        <f t="shared" si="51"/>
        <v>32</v>
      </c>
      <c r="CI128" s="13">
        <f t="shared" si="51"/>
        <v>33</v>
      </c>
      <c r="CJ128" s="13">
        <f t="shared" si="51"/>
        <v>34</v>
      </c>
      <c r="CK128" s="13">
        <f t="shared" si="51"/>
        <v>35</v>
      </c>
      <c r="CL128" s="13">
        <f t="shared" si="51"/>
        <v>36</v>
      </c>
      <c r="CM128" s="13">
        <f t="shared" si="51"/>
        <v>37</v>
      </c>
      <c r="CN128" s="13">
        <f t="shared" si="51"/>
        <v>38</v>
      </c>
      <c r="CO128" s="13">
        <f t="shared" si="51"/>
        <v>39</v>
      </c>
      <c r="CP128" s="13">
        <f t="shared" si="51"/>
        <v>40</v>
      </c>
      <c r="CQ128" s="11" t="s">
        <v>349</v>
      </c>
      <c r="CR128" s="11" t="s">
        <v>350</v>
      </c>
      <c r="CS128" s="11" t="s">
        <v>12</v>
      </c>
      <c r="CT128" s="233"/>
    </row>
    <row r="129" spans="2:98" x14ac:dyDescent="0.3">
      <c r="B129" s="232"/>
      <c r="C129" s="250">
        <f>YEAR(FY_Date)</f>
        <v>2013</v>
      </c>
      <c r="D129" s="263">
        <f ca="1">$G129*$M$12</f>
        <v>0</v>
      </c>
      <c r="E129" s="263">
        <f t="shared" ref="E129:E169" ca="1" si="52">$G129*$M$14/Bbl_to_Mcfe</f>
        <v>0</v>
      </c>
      <c r="F129" s="263">
        <f t="shared" ref="F129:F169" ca="1" si="53">$G129*$M$13/Bbl_to_Mcfe</f>
        <v>0</v>
      </c>
      <c r="G129" s="263">
        <f ca="1">CS129*$AQ$9</f>
        <v>0</v>
      </c>
      <c r="H129" s="15"/>
      <c r="I129" s="264">
        <f ca="1">Assumptions!O$63</f>
        <v>3.7</v>
      </c>
      <c r="J129" s="264">
        <f ca="1">Assumptions!P$63</f>
        <v>101</v>
      </c>
      <c r="K129" s="264">
        <f t="shared" ref="K129:K169" ca="1" si="54">J129*$R$7</f>
        <v>50.5</v>
      </c>
      <c r="L129" s="15"/>
      <c r="M129" s="51">
        <f ca="1">I129*$R$5</f>
        <v>3.4779999999999998</v>
      </c>
      <c r="N129" s="51">
        <f t="shared" ref="N129:N169" ca="1" si="55">J129*$R$6</f>
        <v>80.800000000000011</v>
      </c>
      <c r="O129" s="51">
        <f t="shared" ref="O129:O169" ca="1" si="56">N129*$R$7</f>
        <v>40.400000000000006</v>
      </c>
      <c r="P129" s="15"/>
      <c r="Q129" s="265">
        <f ca="1">D129*M129</f>
        <v>0</v>
      </c>
      <c r="R129" s="265">
        <f ca="1">E129*N129</f>
        <v>0</v>
      </c>
      <c r="S129" s="265">
        <f ca="1">F129*O129</f>
        <v>0</v>
      </c>
      <c r="T129" s="265">
        <f ca="1">SUM(Q129:S129)</f>
        <v>0</v>
      </c>
      <c r="U129" s="15"/>
      <c r="V129" s="51">
        <f>$M$18</f>
        <v>0.7</v>
      </c>
      <c r="W129" s="265">
        <f ca="1">V129*$G129/(1-$M$6)</f>
        <v>0</v>
      </c>
      <c r="X129" s="51">
        <f>$M$17</f>
        <v>0.222</v>
      </c>
      <c r="Y129" s="265">
        <f ca="1">X129*$G129/(1-$M$6)</f>
        <v>0</v>
      </c>
      <c r="Z129" s="51">
        <f>$M$19</f>
        <v>0.34799999999999998</v>
      </c>
      <c r="AA129" s="265">
        <f ca="1">Z129*$G129/(1-$M$6)</f>
        <v>0</v>
      </c>
      <c r="AB129" s="265">
        <f ca="1">W129+Y129+AA129</f>
        <v>0</v>
      </c>
      <c r="AC129" s="15"/>
      <c r="AD129" s="265">
        <f ca="1">T129-AB129</f>
        <v>0</v>
      </c>
      <c r="AE129" s="265">
        <f t="array" aca="1" ref="AE129:AE169" ca="1">TRANSPOSE(BB126:CP126)*$M$9*$AQ$9*Units</f>
        <v>0</v>
      </c>
      <c r="AF129" s="265">
        <f ca="1">AD129-AE129</f>
        <v>0</v>
      </c>
      <c r="AG129" s="15"/>
      <c r="AH129" s="272">
        <f>FY_Date</f>
        <v>41639</v>
      </c>
      <c r="AI129" s="267">
        <f t="shared" ref="AI129:AI169" si="57">DAYS360(Valuation_Date,AH129)/360-MIN(0.5,0.5*DAYS360(Valuation_Date,AH129)/360)</f>
        <v>8.3333333333333329E-2</v>
      </c>
      <c r="AJ129" s="267">
        <f t="shared" ref="AJ129:AJ169" si="58">1/((1+Discount_Rate)^AI129)</f>
        <v>0.99208894344699095</v>
      </c>
      <c r="AK129" s="265">
        <f ca="1">AJ129*AF129*Stub_Per_Adj</f>
        <v>0</v>
      </c>
      <c r="AL129" s="233"/>
      <c r="AN129" s="345"/>
      <c r="AO129" s="268">
        <v>0</v>
      </c>
      <c r="AP129" s="34">
        <f t="shared" ref="AP129:AP169" ca="1" si="59">$AS129*$M$12</f>
        <v>0</v>
      </c>
      <c r="AQ129" s="34">
        <f t="shared" ref="AQ129:AQ169" ca="1" si="60">$AS129*$M$14/Bbl_to_Mcfe</f>
        <v>30.002999999999997</v>
      </c>
      <c r="AR129" s="34">
        <f t="shared" ref="AR129:AR169" ca="1" si="61">$AS129*$M$13/Bbl_to_Mcfe</f>
        <v>0</v>
      </c>
      <c r="AS129" s="34">
        <f ca="1">AU129*(1+$AT$125)</f>
        <v>180.01799999999997</v>
      </c>
      <c r="AU129" s="34">
        <f ca="1">MIN(AR126*AR125,$AT$126)</f>
        <v>180.01799999999997</v>
      </c>
      <c r="AV129" s="369"/>
      <c r="AW129" s="34">
        <f t="shared" ref="AW129:AW169" ca="1" si="62">AP129*(1-$M$6)</f>
        <v>0</v>
      </c>
      <c r="AX129" s="34">
        <f t="shared" ref="AX129:AX169" ca="1" si="63">AQ129*(1-$M$6)</f>
        <v>24.752474999999997</v>
      </c>
      <c r="AY129" s="34">
        <f t="shared" ref="AY129:AY169" ca="1" si="64">AR129*(1-$M$6)</f>
        <v>0</v>
      </c>
      <c r="AZ129" s="34">
        <f t="shared" ref="AZ129:AZ169" ca="1" si="65">AS129*(1-$M$6)</f>
        <v>148.51484999999997</v>
      </c>
      <c r="BA129" s="365"/>
      <c r="BB129" s="34">
        <f t="shared" ref="BB129:BK138" ca="1" si="66">IF($AO129&lt;BB$128,0,OFFSET($AZ$128,$AO129-BB$128+1,0)*BB$126)</f>
        <v>0</v>
      </c>
      <c r="BC129" s="34">
        <f t="shared" ca="1" si="66"/>
        <v>0</v>
      </c>
      <c r="BD129" s="34">
        <f t="shared" ca="1" si="66"/>
        <v>0</v>
      </c>
      <c r="BE129" s="34">
        <f t="shared" ca="1" si="66"/>
        <v>0</v>
      </c>
      <c r="BF129" s="34">
        <f t="shared" ca="1" si="66"/>
        <v>0</v>
      </c>
      <c r="BG129" s="34">
        <f t="shared" ca="1" si="66"/>
        <v>0</v>
      </c>
      <c r="BH129" s="34">
        <f t="shared" ca="1" si="66"/>
        <v>0</v>
      </c>
      <c r="BI129" s="34">
        <f t="shared" ca="1" si="66"/>
        <v>0</v>
      </c>
      <c r="BJ129" s="34">
        <f t="shared" ca="1" si="66"/>
        <v>0</v>
      </c>
      <c r="BK129" s="34">
        <f t="shared" ca="1" si="66"/>
        <v>0</v>
      </c>
      <c r="BL129" s="34">
        <f t="shared" ref="BL129:BU138" ca="1" si="67">IF($AO129&lt;BL$128,0,OFFSET($AZ$128,$AO129-BL$128+1,0)*BL$126)</f>
        <v>0</v>
      </c>
      <c r="BM129" s="34">
        <f t="shared" ca="1" si="67"/>
        <v>0</v>
      </c>
      <c r="BN129" s="34">
        <f t="shared" ca="1" si="67"/>
        <v>0</v>
      </c>
      <c r="BO129" s="34">
        <f t="shared" ca="1" si="67"/>
        <v>0</v>
      </c>
      <c r="BP129" s="34">
        <f t="shared" ca="1" si="67"/>
        <v>0</v>
      </c>
      <c r="BQ129" s="34">
        <f t="shared" ca="1" si="67"/>
        <v>0</v>
      </c>
      <c r="BR129" s="34">
        <f t="shared" ca="1" si="67"/>
        <v>0</v>
      </c>
      <c r="BS129" s="34">
        <f t="shared" ca="1" si="67"/>
        <v>0</v>
      </c>
      <c r="BT129" s="34">
        <f t="shared" ca="1" si="67"/>
        <v>0</v>
      </c>
      <c r="BU129" s="34">
        <f t="shared" ca="1" si="67"/>
        <v>0</v>
      </c>
      <c r="BV129" s="34">
        <f t="shared" ref="BV129:CE138" ca="1" si="68">IF($AO129&lt;BV$128,0,OFFSET($AZ$128,$AO129-BV$128+1,0)*BV$126)</f>
        <v>0</v>
      </c>
      <c r="BW129" s="34">
        <f t="shared" ca="1" si="68"/>
        <v>0</v>
      </c>
      <c r="BX129" s="34">
        <f t="shared" ca="1" si="68"/>
        <v>0</v>
      </c>
      <c r="BY129" s="34">
        <f t="shared" ca="1" si="68"/>
        <v>0</v>
      </c>
      <c r="BZ129" s="34">
        <f t="shared" ca="1" si="68"/>
        <v>0</v>
      </c>
      <c r="CA129" s="34">
        <f t="shared" ca="1" si="68"/>
        <v>0</v>
      </c>
      <c r="CB129" s="34">
        <f t="shared" ca="1" si="68"/>
        <v>0</v>
      </c>
      <c r="CC129" s="34">
        <f t="shared" ca="1" si="68"/>
        <v>0</v>
      </c>
      <c r="CD129" s="34">
        <f t="shared" ca="1" si="68"/>
        <v>0</v>
      </c>
      <c r="CE129" s="34">
        <f t="shared" ca="1" si="68"/>
        <v>0</v>
      </c>
      <c r="CF129" s="34">
        <f t="shared" ref="CF129:CP138" ca="1" si="69">IF($AO129&lt;CF$128,0,OFFSET($AZ$128,$AO129-CF$128+1,0)*CF$126)</f>
        <v>0</v>
      </c>
      <c r="CG129" s="34">
        <f t="shared" ca="1" si="69"/>
        <v>0</v>
      </c>
      <c r="CH129" s="34">
        <f t="shared" ca="1" si="69"/>
        <v>0</v>
      </c>
      <c r="CI129" s="34">
        <f t="shared" ca="1" si="69"/>
        <v>0</v>
      </c>
      <c r="CJ129" s="34">
        <f t="shared" ca="1" si="69"/>
        <v>0</v>
      </c>
      <c r="CK129" s="34">
        <f t="shared" ca="1" si="69"/>
        <v>0</v>
      </c>
      <c r="CL129" s="34">
        <f t="shared" ca="1" si="69"/>
        <v>0</v>
      </c>
      <c r="CM129" s="34">
        <f t="shared" ca="1" si="69"/>
        <v>0</v>
      </c>
      <c r="CN129" s="34">
        <f t="shared" ca="1" si="69"/>
        <v>0</v>
      </c>
      <c r="CO129" s="34">
        <f t="shared" ca="1" si="69"/>
        <v>0</v>
      </c>
      <c r="CP129" s="34">
        <f t="shared" ca="1" si="69"/>
        <v>0</v>
      </c>
      <c r="CQ129" s="34">
        <f ca="1">SUM(BB129:CP129)</f>
        <v>0</v>
      </c>
      <c r="CR129" s="363">
        <v>0</v>
      </c>
      <c r="CS129" s="34">
        <f ca="1">SUM(CQ129:CR129)</f>
        <v>0</v>
      </c>
      <c r="CT129" s="233"/>
    </row>
    <row r="130" spans="2:98" x14ac:dyDescent="0.3">
      <c r="B130" s="232"/>
      <c r="C130" s="270">
        <f>C129+1</f>
        <v>2014</v>
      </c>
      <c r="D130" s="263">
        <f t="shared" ref="D130:D172" ca="1" si="70">$G130*$M$12</f>
        <v>0</v>
      </c>
      <c r="E130" s="263">
        <f t="shared" ca="1" si="52"/>
        <v>1163.3663249999997</v>
      </c>
      <c r="F130" s="263">
        <f t="shared" ca="1" si="53"/>
        <v>0</v>
      </c>
      <c r="G130" s="263">
        <f t="shared" ref="G130:G169" ca="1" si="71">CS130*$AQ$9</f>
        <v>6980.1979499999989</v>
      </c>
      <c r="H130" s="15"/>
      <c r="I130" s="271">
        <f ca="1">Assumptions!O$64</f>
        <v>3.8</v>
      </c>
      <c r="J130" s="271">
        <f ca="1">Assumptions!P$64</f>
        <v>92</v>
      </c>
      <c r="K130" s="271">
        <f t="shared" ca="1" si="54"/>
        <v>46</v>
      </c>
      <c r="L130" s="15"/>
      <c r="M130" s="35">
        <f t="shared" ref="M130:M169" ca="1" si="72">I130*$R$5</f>
        <v>3.5719999999999996</v>
      </c>
      <c r="N130" s="35">
        <f t="shared" ca="1" si="55"/>
        <v>73.600000000000009</v>
      </c>
      <c r="O130" s="35">
        <f t="shared" ca="1" si="56"/>
        <v>36.800000000000004</v>
      </c>
      <c r="P130" s="15"/>
      <c r="Q130" s="34">
        <f t="shared" ref="Q130:S169" ca="1" si="73">D130*M130</f>
        <v>0</v>
      </c>
      <c r="R130" s="34">
        <f t="shared" ca="1" si="73"/>
        <v>85623.761519999985</v>
      </c>
      <c r="S130" s="34">
        <f t="shared" ca="1" si="73"/>
        <v>0</v>
      </c>
      <c r="T130" s="34">
        <f t="shared" ref="T130:T170" ca="1" si="74">SUM(Q130:S130)</f>
        <v>85623.761519999985</v>
      </c>
      <c r="U130" s="414"/>
      <c r="V130" s="35">
        <f t="shared" ref="V130:V169" si="75">$M$18</f>
        <v>0.7</v>
      </c>
      <c r="W130" s="34">
        <f ca="1">V130*$G130/(1-$M$6)</f>
        <v>5922.5921999999991</v>
      </c>
      <c r="X130" s="35">
        <f t="shared" ref="X130:X169" si="76">$M$17</f>
        <v>0.222</v>
      </c>
      <c r="Y130" s="34">
        <f t="shared" ref="Y130:Y169" ca="1" si="77">X130*$G130/(1-$M$6)</f>
        <v>1878.3078119999998</v>
      </c>
      <c r="Z130" s="35">
        <f t="shared" ref="Z130:Z169" si="78">$M$19</f>
        <v>0.34799999999999998</v>
      </c>
      <c r="AA130" s="34">
        <f t="shared" ref="AA130:AA169" ca="1" si="79">Z130*$G130/(1-$M$6)</f>
        <v>2944.3744079999997</v>
      </c>
      <c r="AB130" s="34">
        <f t="shared" ref="AB130:AB169" ca="1" si="80">W130+Y130+AA130</f>
        <v>10745.274419999998</v>
      </c>
      <c r="AC130" s="15"/>
      <c r="AD130" s="34">
        <f t="shared" ref="AD130:AD169" ca="1" si="81">T130-AB130</f>
        <v>74878.487099999984</v>
      </c>
      <c r="AE130" s="34">
        <f ca="1"/>
        <v>62702.086956521729</v>
      </c>
      <c r="AF130" s="34">
        <f t="shared" ref="AF130:AF169" ca="1" si="82">AD130-AE130</f>
        <v>12176.400143478255</v>
      </c>
      <c r="AG130" s="15"/>
      <c r="AH130" s="272">
        <f>EOMONTH(AH129,12)</f>
        <v>42004</v>
      </c>
      <c r="AI130" s="267">
        <f t="shared" si="57"/>
        <v>0.66666666666666674</v>
      </c>
      <c r="AJ130" s="267">
        <f t="shared" si="58"/>
        <v>0.93843646859669738</v>
      </c>
      <c r="AK130" s="34">
        <f ca="1">AJ130*AF130</f>
        <v>11426.777950866053</v>
      </c>
      <c r="AL130" s="233"/>
      <c r="AN130" s="346"/>
      <c r="AO130" s="237">
        <f t="shared" ref="AO130:AO169" si="83">AO129+1</f>
        <v>1</v>
      </c>
      <c r="AP130" s="34">
        <f t="shared" ca="1" si="59"/>
        <v>0</v>
      </c>
      <c r="AQ130" s="34">
        <f t="shared" ca="1" si="60"/>
        <v>15.001499999999998</v>
      </c>
      <c r="AR130" s="34">
        <f t="shared" ca="1" si="61"/>
        <v>0</v>
      </c>
      <c r="AS130" s="34">
        <f t="shared" ref="AS130:AS169" ca="1" si="84">AU130*(1+$AT$125)</f>
        <v>90.008999999999986</v>
      </c>
      <c r="AT130" s="347">
        <v>-0.5</v>
      </c>
      <c r="AU130" s="34">
        <f ca="1">MIN(AU129*(1+AT130),$AT$126-SUM(AU$129:AU129))</f>
        <v>90.008999999999986</v>
      </c>
      <c r="AV130" s="369"/>
      <c r="AW130" s="34">
        <f t="shared" ca="1" si="62"/>
        <v>0</v>
      </c>
      <c r="AX130" s="34">
        <f t="shared" ca="1" si="63"/>
        <v>12.376237499999998</v>
      </c>
      <c r="AY130" s="34">
        <f t="shared" ca="1" si="64"/>
        <v>0</v>
      </c>
      <c r="AZ130" s="34">
        <f t="shared" ca="1" si="65"/>
        <v>74.257424999999984</v>
      </c>
      <c r="BA130" s="34"/>
      <c r="BB130" s="34">
        <f t="shared" ca="1" si="66"/>
        <v>0</v>
      </c>
      <c r="BC130" s="34">
        <f t="shared" ca="1" si="66"/>
        <v>6980.1979499999989</v>
      </c>
      <c r="BD130" s="34">
        <f t="shared" ca="1" si="66"/>
        <v>0</v>
      </c>
      <c r="BE130" s="34">
        <f t="shared" ca="1" si="66"/>
        <v>0</v>
      </c>
      <c r="BF130" s="34">
        <f t="shared" ca="1" si="66"/>
        <v>0</v>
      </c>
      <c r="BG130" s="34">
        <f t="shared" ca="1" si="66"/>
        <v>0</v>
      </c>
      <c r="BH130" s="34">
        <f t="shared" ca="1" si="66"/>
        <v>0</v>
      </c>
      <c r="BI130" s="34">
        <f t="shared" ca="1" si="66"/>
        <v>0</v>
      </c>
      <c r="BJ130" s="34">
        <f t="shared" ca="1" si="66"/>
        <v>0</v>
      </c>
      <c r="BK130" s="34">
        <f t="shared" ca="1" si="66"/>
        <v>0</v>
      </c>
      <c r="BL130" s="34">
        <f t="shared" ca="1" si="67"/>
        <v>0</v>
      </c>
      <c r="BM130" s="34">
        <f t="shared" ca="1" si="67"/>
        <v>0</v>
      </c>
      <c r="BN130" s="34">
        <f t="shared" ca="1" si="67"/>
        <v>0</v>
      </c>
      <c r="BO130" s="34">
        <f t="shared" ca="1" si="67"/>
        <v>0</v>
      </c>
      <c r="BP130" s="34">
        <f t="shared" ca="1" si="67"/>
        <v>0</v>
      </c>
      <c r="BQ130" s="34">
        <f t="shared" ca="1" si="67"/>
        <v>0</v>
      </c>
      <c r="BR130" s="34">
        <f t="shared" ca="1" si="67"/>
        <v>0</v>
      </c>
      <c r="BS130" s="34">
        <f t="shared" ca="1" si="67"/>
        <v>0</v>
      </c>
      <c r="BT130" s="34">
        <f t="shared" ca="1" si="67"/>
        <v>0</v>
      </c>
      <c r="BU130" s="34">
        <f t="shared" ca="1" si="67"/>
        <v>0</v>
      </c>
      <c r="BV130" s="34">
        <f t="shared" ca="1" si="68"/>
        <v>0</v>
      </c>
      <c r="BW130" s="34">
        <f t="shared" ca="1" si="68"/>
        <v>0</v>
      </c>
      <c r="BX130" s="34">
        <f t="shared" ca="1" si="68"/>
        <v>0</v>
      </c>
      <c r="BY130" s="34">
        <f t="shared" ca="1" si="68"/>
        <v>0</v>
      </c>
      <c r="BZ130" s="34">
        <f t="shared" ca="1" si="68"/>
        <v>0</v>
      </c>
      <c r="CA130" s="34">
        <f t="shared" ca="1" si="68"/>
        <v>0</v>
      </c>
      <c r="CB130" s="34">
        <f t="shared" ca="1" si="68"/>
        <v>0</v>
      </c>
      <c r="CC130" s="34">
        <f t="shared" ca="1" si="68"/>
        <v>0</v>
      </c>
      <c r="CD130" s="34">
        <f t="shared" ca="1" si="68"/>
        <v>0</v>
      </c>
      <c r="CE130" s="34">
        <f t="shared" ca="1" si="68"/>
        <v>0</v>
      </c>
      <c r="CF130" s="34">
        <f t="shared" ca="1" si="69"/>
        <v>0</v>
      </c>
      <c r="CG130" s="34">
        <f t="shared" ca="1" si="69"/>
        <v>0</v>
      </c>
      <c r="CH130" s="34">
        <f t="shared" ca="1" si="69"/>
        <v>0</v>
      </c>
      <c r="CI130" s="34">
        <f t="shared" ca="1" si="69"/>
        <v>0</v>
      </c>
      <c r="CJ130" s="34">
        <f t="shared" ca="1" si="69"/>
        <v>0</v>
      </c>
      <c r="CK130" s="34">
        <f t="shared" ca="1" si="69"/>
        <v>0</v>
      </c>
      <c r="CL130" s="34">
        <f t="shared" ca="1" si="69"/>
        <v>0</v>
      </c>
      <c r="CM130" s="34">
        <f t="shared" ca="1" si="69"/>
        <v>0</v>
      </c>
      <c r="CN130" s="34">
        <f t="shared" ca="1" si="69"/>
        <v>0</v>
      </c>
      <c r="CO130" s="34">
        <f t="shared" ca="1" si="69"/>
        <v>0</v>
      </c>
      <c r="CP130" s="34">
        <f t="shared" ca="1" si="69"/>
        <v>0</v>
      </c>
      <c r="CQ130" s="34">
        <f t="shared" ref="CQ130:CQ169" ca="1" si="85">SUM(BB130:CP130)</f>
        <v>6980.1979499999989</v>
      </c>
      <c r="CR130" s="363">
        <v>0</v>
      </c>
      <c r="CS130" s="34">
        <f t="shared" ref="CS130:CS168" ca="1" si="86">SUM(CQ130:CR130)</f>
        <v>6980.1979499999989</v>
      </c>
      <c r="CT130" s="233"/>
    </row>
    <row r="131" spans="2:98" x14ac:dyDescent="0.3">
      <c r="B131" s="232"/>
      <c r="C131" s="250">
        <f t="shared" ref="C131:C169" si="87">C130+1</f>
        <v>2015</v>
      </c>
      <c r="D131" s="263">
        <f t="shared" ca="1" si="70"/>
        <v>0</v>
      </c>
      <c r="E131" s="263">
        <f t="shared" ca="1" si="52"/>
        <v>1745.0494874999997</v>
      </c>
      <c r="F131" s="263">
        <f t="shared" ca="1" si="53"/>
        <v>0</v>
      </c>
      <c r="G131" s="263">
        <f t="shared" ca="1" si="71"/>
        <v>10470.296924999999</v>
      </c>
      <c r="H131" s="15"/>
      <c r="I131" s="271">
        <f ca="1">Assumptions!O$65</f>
        <v>4</v>
      </c>
      <c r="J131" s="271">
        <f ca="1">Assumptions!P$65</f>
        <v>88</v>
      </c>
      <c r="K131" s="271">
        <f t="shared" ca="1" si="54"/>
        <v>44</v>
      </c>
      <c r="L131" s="15"/>
      <c r="M131" s="35">
        <f t="shared" ca="1" si="72"/>
        <v>3.76</v>
      </c>
      <c r="N131" s="35">
        <f t="shared" ca="1" si="55"/>
        <v>70.400000000000006</v>
      </c>
      <c r="O131" s="35">
        <f t="shared" ca="1" si="56"/>
        <v>35.200000000000003</v>
      </c>
      <c r="P131" s="15"/>
      <c r="Q131" s="34">
        <f t="shared" ca="1" si="73"/>
        <v>0</v>
      </c>
      <c r="R131" s="34">
        <f t="shared" ca="1" si="73"/>
        <v>122851.48391999998</v>
      </c>
      <c r="S131" s="34">
        <f t="shared" ca="1" si="73"/>
        <v>0</v>
      </c>
      <c r="T131" s="34">
        <f t="shared" ca="1" si="74"/>
        <v>122851.48391999998</v>
      </c>
      <c r="U131" s="15"/>
      <c r="V131" s="35">
        <f t="shared" si="75"/>
        <v>0.7</v>
      </c>
      <c r="W131" s="34">
        <f t="shared" ref="W131:W169" ca="1" si="88">V131*$G131/(1-$M$6)</f>
        <v>8883.8882999999987</v>
      </c>
      <c r="X131" s="35">
        <f t="shared" si="76"/>
        <v>0.222</v>
      </c>
      <c r="Y131" s="34">
        <f t="shared" ca="1" si="77"/>
        <v>2817.4617179999996</v>
      </c>
      <c r="Z131" s="35">
        <f t="shared" si="78"/>
        <v>0.34799999999999998</v>
      </c>
      <c r="AA131" s="34">
        <f t="shared" ca="1" si="79"/>
        <v>4416.5616119999995</v>
      </c>
      <c r="AB131" s="34">
        <f t="shared" ca="1" si="80"/>
        <v>16117.911629999997</v>
      </c>
      <c r="AC131" s="15"/>
      <c r="AD131" s="34">
        <f t="shared" ca="1" si="81"/>
        <v>106733.57228999998</v>
      </c>
      <c r="AE131" s="34">
        <f ca="1"/>
        <v>62702.086956521729</v>
      </c>
      <c r="AF131" s="34">
        <f t="shared" ca="1" si="82"/>
        <v>44031.485333478253</v>
      </c>
      <c r="AG131" s="15"/>
      <c r="AH131" s="272">
        <f t="shared" ref="AH131:AH169" si="89">EOMONTH(AH130,12)</f>
        <v>42369</v>
      </c>
      <c r="AI131" s="267">
        <f t="shared" si="57"/>
        <v>1.6666666666666665</v>
      </c>
      <c r="AJ131" s="267">
        <f t="shared" si="58"/>
        <v>0.85312406236063398</v>
      </c>
      <c r="AK131" s="34">
        <f t="shared" ref="AK131:AK171" ca="1" si="90">AJ131*AF131</f>
        <v>37564.319639469642</v>
      </c>
      <c r="AL131" s="233"/>
      <c r="AN131" s="349"/>
      <c r="AO131" s="237">
        <f t="shared" si="83"/>
        <v>2</v>
      </c>
      <c r="AP131" s="34">
        <f t="shared" ca="1" si="59"/>
        <v>0</v>
      </c>
      <c r="AQ131" s="34">
        <f t="shared" ca="1" si="60"/>
        <v>9.7509749999999986</v>
      </c>
      <c r="AR131" s="34">
        <f t="shared" ca="1" si="61"/>
        <v>0</v>
      </c>
      <c r="AS131" s="34">
        <f t="shared" ca="1" si="84"/>
        <v>58.505849999999995</v>
      </c>
      <c r="AT131" s="350">
        <v>-0.35</v>
      </c>
      <c r="AU131" s="34">
        <f ca="1">MIN(AU130*(1+AT131),$AT$126-SUM(AU$129:AU130))</f>
        <v>58.505849999999995</v>
      </c>
      <c r="AV131" s="369"/>
      <c r="AW131" s="34">
        <f t="shared" ca="1" si="62"/>
        <v>0</v>
      </c>
      <c r="AX131" s="34">
        <f t="shared" ca="1" si="63"/>
        <v>8.0445543749999988</v>
      </c>
      <c r="AY131" s="34">
        <f t="shared" ca="1" si="64"/>
        <v>0</v>
      </c>
      <c r="AZ131" s="34">
        <f t="shared" ca="1" si="65"/>
        <v>48.267326249999996</v>
      </c>
      <c r="BA131" s="34"/>
      <c r="BB131" s="34">
        <f t="shared" ca="1" si="66"/>
        <v>0</v>
      </c>
      <c r="BC131" s="34">
        <f t="shared" ca="1" si="66"/>
        <v>3490.0989749999994</v>
      </c>
      <c r="BD131" s="34">
        <f t="shared" ca="1" si="66"/>
        <v>6980.1979499999989</v>
      </c>
      <c r="BE131" s="34">
        <f t="shared" ca="1" si="66"/>
        <v>0</v>
      </c>
      <c r="BF131" s="34">
        <f t="shared" ca="1" si="66"/>
        <v>0</v>
      </c>
      <c r="BG131" s="34">
        <f t="shared" ca="1" si="66"/>
        <v>0</v>
      </c>
      <c r="BH131" s="34">
        <f t="shared" ca="1" si="66"/>
        <v>0</v>
      </c>
      <c r="BI131" s="34">
        <f t="shared" ca="1" si="66"/>
        <v>0</v>
      </c>
      <c r="BJ131" s="34">
        <f t="shared" ca="1" si="66"/>
        <v>0</v>
      </c>
      <c r="BK131" s="34">
        <f t="shared" ca="1" si="66"/>
        <v>0</v>
      </c>
      <c r="BL131" s="34">
        <f t="shared" ca="1" si="67"/>
        <v>0</v>
      </c>
      <c r="BM131" s="34">
        <f t="shared" ca="1" si="67"/>
        <v>0</v>
      </c>
      <c r="BN131" s="34">
        <f t="shared" ca="1" si="67"/>
        <v>0</v>
      </c>
      <c r="BO131" s="34">
        <f t="shared" ca="1" si="67"/>
        <v>0</v>
      </c>
      <c r="BP131" s="34">
        <f t="shared" ca="1" si="67"/>
        <v>0</v>
      </c>
      <c r="BQ131" s="34">
        <f t="shared" ca="1" si="67"/>
        <v>0</v>
      </c>
      <c r="BR131" s="34">
        <f t="shared" ca="1" si="67"/>
        <v>0</v>
      </c>
      <c r="BS131" s="34">
        <f t="shared" ca="1" si="67"/>
        <v>0</v>
      </c>
      <c r="BT131" s="34">
        <f t="shared" ca="1" si="67"/>
        <v>0</v>
      </c>
      <c r="BU131" s="34">
        <f t="shared" ca="1" si="67"/>
        <v>0</v>
      </c>
      <c r="BV131" s="34">
        <f t="shared" ca="1" si="68"/>
        <v>0</v>
      </c>
      <c r="BW131" s="34">
        <f t="shared" ca="1" si="68"/>
        <v>0</v>
      </c>
      <c r="BX131" s="34">
        <f t="shared" ca="1" si="68"/>
        <v>0</v>
      </c>
      <c r="BY131" s="34">
        <f t="shared" ca="1" si="68"/>
        <v>0</v>
      </c>
      <c r="BZ131" s="34">
        <f t="shared" ca="1" si="68"/>
        <v>0</v>
      </c>
      <c r="CA131" s="34">
        <f t="shared" ca="1" si="68"/>
        <v>0</v>
      </c>
      <c r="CB131" s="34">
        <f t="shared" ca="1" si="68"/>
        <v>0</v>
      </c>
      <c r="CC131" s="34">
        <f t="shared" ca="1" si="68"/>
        <v>0</v>
      </c>
      <c r="CD131" s="34">
        <f t="shared" ca="1" si="68"/>
        <v>0</v>
      </c>
      <c r="CE131" s="34">
        <f t="shared" ca="1" si="68"/>
        <v>0</v>
      </c>
      <c r="CF131" s="34">
        <f t="shared" ca="1" si="69"/>
        <v>0</v>
      </c>
      <c r="CG131" s="34">
        <f t="shared" ca="1" si="69"/>
        <v>0</v>
      </c>
      <c r="CH131" s="34">
        <f t="shared" ca="1" si="69"/>
        <v>0</v>
      </c>
      <c r="CI131" s="34">
        <f t="shared" ca="1" si="69"/>
        <v>0</v>
      </c>
      <c r="CJ131" s="34">
        <f t="shared" ca="1" si="69"/>
        <v>0</v>
      </c>
      <c r="CK131" s="34">
        <f t="shared" ca="1" si="69"/>
        <v>0</v>
      </c>
      <c r="CL131" s="34">
        <f t="shared" ca="1" si="69"/>
        <v>0</v>
      </c>
      <c r="CM131" s="34">
        <f t="shared" ca="1" si="69"/>
        <v>0</v>
      </c>
      <c r="CN131" s="34">
        <f t="shared" ca="1" si="69"/>
        <v>0</v>
      </c>
      <c r="CO131" s="34">
        <f t="shared" ca="1" si="69"/>
        <v>0</v>
      </c>
      <c r="CP131" s="34">
        <f t="shared" ca="1" si="69"/>
        <v>0</v>
      </c>
      <c r="CQ131" s="34">
        <f t="shared" ca="1" si="85"/>
        <v>10470.296924999999</v>
      </c>
      <c r="CR131" s="363">
        <v>0</v>
      </c>
      <c r="CS131" s="34">
        <f t="shared" ca="1" si="86"/>
        <v>10470.296924999999</v>
      </c>
      <c r="CT131" s="233"/>
    </row>
    <row r="132" spans="2:98" x14ac:dyDescent="0.3">
      <c r="B132" s="232"/>
      <c r="C132" s="250">
        <f t="shared" si="87"/>
        <v>2016</v>
      </c>
      <c r="D132" s="263">
        <f t="shared" ca="1" si="70"/>
        <v>0</v>
      </c>
      <c r="E132" s="263">
        <f t="shared" ca="1" si="52"/>
        <v>1850.8663181249997</v>
      </c>
      <c r="F132" s="263">
        <f t="shared" ca="1" si="53"/>
        <v>0</v>
      </c>
      <c r="G132" s="263">
        <f t="shared" ca="1" si="71"/>
        <v>11105.197908749999</v>
      </c>
      <c r="H132" s="15"/>
      <c r="I132" s="271">
        <f ca="1">Assumptions!O$66</f>
        <v>4.0999999999999996</v>
      </c>
      <c r="J132" s="271">
        <f ca="1">Assumptions!P$66</f>
        <v>84</v>
      </c>
      <c r="K132" s="271">
        <f t="shared" ca="1" si="54"/>
        <v>42</v>
      </c>
      <c r="L132" s="15"/>
      <c r="M132" s="35">
        <f t="shared" ca="1" si="72"/>
        <v>3.8539999999999996</v>
      </c>
      <c r="N132" s="35">
        <f t="shared" ca="1" si="55"/>
        <v>67.2</v>
      </c>
      <c r="O132" s="35">
        <f t="shared" ca="1" si="56"/>
        <v>33.6</v>
      </c>
      <c r="P132" s="15"/>
      <c r="Q132" s="34">
        <f t="shared" ca="1" si="73"/>
        <v>0</v>
      </c>
      <c r="R132" s="34">
        <f t="shared" ca="1" si="73"/>
        <v>124378.21657799998</v>
      </c>
      <c r="S132" s="34">
        <f t="shared" ca="1" si="73"/>
        <v>0</v>
      </c>
      <c r="T132" s="34">
        <f t="shared" ca="1" si="74"/>
        <v>124378.21657799998</v>
      </c>
      <c r="U132" s="15"/>
      <c r="V132" s="35">
        <f t="shared" si="75"/>
        <v>0.7</v>
      </c>
      <c r="W132" s="34">
        <f t="shared" ca="1" si="88"/>
        <v>9422.5921649999982</v>
      </c>
      <c r="X132" s="35">
        <f t="shared" si="76"/>
        <v>0.222</v>
      </c>
      <c r="Y132" s="34">
        <f t="shared" ca="1" si="77"/>
        <v>2988.3078009000001</v>
      </c>
      <c r="Z132" s="35">
        <f t="shared" si="78"/>
        <v>0.34799999999999998</v>
      </c>
      <c r="AA132" s="34">
        <f t="shared" ca="1" si="79"/>
        <v>4684.3743905999991</v>
      </c>
      <c r="AB132" s="34">
        <f t="shared" ca="1" si="80"/>
        <v>17095.274356499998</v>
      </c>
      <c r="AC132" s="15"/>
      <c r="AD132" s="34">
        <f t="shared" ca="1" si="81"/>
        <v>107282.94222149998</v>
      </c>
      <c r="AE132" s="34">
        <f ca="1"/>
        <v>48027.130434782608</v>
      </c>
      <c r="AF132" s="34">
        <f t="shared" ca="1" si="82"/>
        <v>59255.811786717371</v>
      </c>
      <c r="AG132" s="15"/>
      <c r="AH132" s="272">
        <f t="shared" si="89"/>
        <v>42735</v>
      </c>
      <c r="AI132" s="267">
        <f t="shared" si="57"/>
        <v>2.6666666666666665</v>
      </c>
      <c r="AJ132" s="267">
        <f t="shared" si="58"/>
        <v>0.77556732941875806</v>
      </c>
      <c r="AK132" s="34">
        <f t="shared" ca="1" si="90"/>
        <v>45956.871699964955</v>
      </c>
      <c r="AL132" s="233"/>
      <c r="AN132" s="349"/>
      <c r="AO132" s="237">
        <f t="shared" si="83"/>
        <v>3</v>
      </c>
      <c r="AP132" s="34">
        <f t="shared" ca="1" si="59"/>
        <v>0</v>
      </c>
      <c r="AQ132" s="34">
        <f t="shared" ca="1" si="60"/>
        <v>8.7758775</v>
      </c>
      <c r="AR132" s="34">
        <f t="shared" ca="1" si="61"/>
        <v>0</v>
      </c>
      <c r="AS132" s="34">
        <f t="shared" ca="1" si="84"/>
        <v>52.655265</v>
      </c>
      <c r="AT132" s="350">
        <v>-0.1</v>
      </c>
      <c r="AU132" s="34">
        <f ca="1">MIN(AU131*(1+AT132),$AT$126-SUM(AU$129:AU131))</f>
        <v>52.655265</v>
      </c>
      <c r="AV132" s="369"/>
      <c r="AW132" s="34">
        <f t="shared" ca="1" si="62"/>
        <v>0</v>
      </c>
      <c r="AX132" s="34">
        <f t="shared" ca="1" si="63"/>
        <v>7.2400989375</v>
      </c>
      <c r="AY132" s="34">
        <f t="shared" ca="1" si="64"/>
        <v>0</v>
      </c>
      <c r="AZ132" s="34">
        <f t="shared" ca="1" si="65"/>
        <v>43.440593624999998</v>
      </c>
      <c r="BA132" s="34"/>
      <c r="BB132" s="34">
        <f t="shared" ca="1" si="66"/>
        <v>0</v>
      </c>
      <c r="BC132" s="34">
        <f t="shared" ca="1" si="66"/>
        <v>2268.5643337499996</v>
      </c>
      <c r="BD132" s="34">
        <f t="shared" ca="1" si="66"/>
        <v>3490.0989749999994</v>
      </c>
      <c r="BE132" s="34">
        <f t="shared" ca="1" si="66"/>
        <v>5346.534599999999</v>
      </c>
      <c r="BF132" s="34">
        <f t="shared" ca="1" si="66"/>
        <v>0</v>
      </c>
      <c r="BG132" s="34">
        <f t="shared" ca="1" si="66"/>
        <v>0</v>
      </c>
      <c r="BH132" s="34">
        <f t="shared" ca="1" si="66"/>
        <v>0</v>
      </c>
      <c r="BI132" s="34">
        <f t="shared" ca="1" si="66"/>
        <v>0</v>
      </c>
      <c r="BJ132" s="34">
        <f t="shared" ca="1" si="66"/>
        <v>0</v>
      </c>
      <c r="BK132" s="34">
        <f t="shared" ca="1" si="66"/>
        <v>0</v>
      </c>
      <c r="BL132" s="34">
        <f t="shared" ca="1" si="67"/>
        <v>0</v>
      </c>
      <c r="BM132" s="34">
        <f t="shared" ca="1" si="67"/>
        <v>0</v>
      </c>
      <c r="BN132" s="34">
        <f t="shared" ca="1" si="67"/>
        <v>0</v>
      </c>
      <c r="BO132" s="34">
        <f t="shared" ca="1" si="67"/>
        <v>0</v>
      </c>
      <c r="BP132" s="34">
        <f t="shared" ca="1" si="67"/>
        <v>0</v>
      </c>
      <c r="BQ132" s="34">
        <f t="shared" ca="1" si="67"/>
        <v>0</v>
      </c>
      <c r="BR132" s="34">
        <f t="shared" ca="1" si="67"/>
        <v>0</v>
      </c>
      <c r="BS132" s="34">
        <f t="shared" ca="1" si="67"/>
        <v>0</v>
      </c>
      <c r="BT132" s="34">
        <f t="shared" ca="1" si="67"/>
        <v>0</v>
      </c>
      <c r="BU132" s="34">
        <f t="shared" ca="1" si="67"/>
        <v>0</v>
      </c>
      <c r="BV132" s="34">
        <f t="shared" ca="1" si="68"/>
        <v>0</v>
      </c>
      <c r="BW132" s="34">
        <f t="shared" ca="1" si="68"/>
        <v>0</v>
      </c>
      <c r="BX132" s="34">
        <f t="shared" ca="1" si="68"/>
        <v>0</v>
      </c>
      <c r="BY132" s="34">
        <f t="shared" ca="1" si="68"/>
        <v>0</v>
      </c>
      <c r="BZ132" s="34">
        <f t="shared" ca="1" si="68"/>
        <v>0</v>
      </c>
      <c r="CA132" s="34">
        <f t="shared" ca="1" si="68"/>
        <v>0</v>
      </c>
      <c r="CB132" s="34">
        <f t="shared" ca="1" si="68"/>
        <v>0</v>
      </c>
      <c r="CC132" s="34">
        <f t="shared" ca="1" si="68"/>
        <v>0</v>
      </c>
      <c r="CD132" s="34">
        <f t="shared" ca="1" si="68"/>
        <v>0</v>
      </c>
      <c r="CE132" s="34">
        <f t="shared" ca="1" si="68"/>
        <v>0</v>
      </c>
      <c r="CF132" s="34">
        <f t="shared" ca="1" si="69"/>
        <v>0</v>
      </c>
      <c r="CG132" s="34">
        <f t="shared" ca="1" si="69"/>
        <v>0</v>
      </c>
      <c r="CH132" s="34">
        <f t="shared" ca="1" si="69"/>
        <v>0</v>
      </c>
      <c r="CI132" s="34">
        <f t="shared" ca="1" si="69"/>
        <v>0</v>
      </c>
      <c r="CJ132" s="34">
        <f t="shared" ca="1" si="69"/>
        <v>0</v>
      </c>
      <c r="CK132" s="34">
        <f t="shared" ca="1" si="69"/>
        <v>0</v>
      </c>
      <c r="CL132" s="34">
        <f t="shared" ca="1" si="69"/>
        <v>0</v>
      </c>
      <c r="CM132" s="34">
        <f t="shared" ca="1" si="69"/>
        <v>0</v>
      </c>
      <c r="CN132" s="34">
        <f t="shared" ca="1" si="69"/>
        <v>0</v>
      </c>
      <c r="CO132" s="34">
        <f t="shared" ca="1" si="69"/>
        <v>0</v>
      </c>
      <c r="CP132" s="34">
        <f t="shared" ca="1" si="69"/>
        <v>0</v>
      </c>
      <c r="CQ132" s="34">
        <f t="shared" ca="1" si="85"/>
        <v>11105.197908749999</v>
      </c>
      <c r="CR132" s="363">
        <v>0</v>
      </c>
      <c r="CS132" s="34">
        <f t="shared" ca="1" si="86"/>
        <v>11105.197908749999</v>
      </c>
      <c r="CT132" s="233"/>
    </row>
    <row r="133" spans="2:98" x14ac:dyDescent="0.3">
      <c r="B133" s="232"/>
      <c r="C133" s="250">
        <f t="shared" si="87"/>
        <v>2017</v>
      </c>
      <c r="D133" s="263">
        <f t="shared" ca="1" si="70"/>
        <v>0</v>
      </c>
      <c r="E133" s="263">
        <f t="shared" ca="1" si="52"/>
        <v>1163.9232556874997</v>
      </c>
      <c r="F133" s="263">
        <f t="shared" ca="1" si="53"/>
        <v>0</v>
      </c>
      <c r="G133" s="263">
        <f t="shared" ca="1" si="71"/>
        <v>6983.5395341249987</v>
      </c>
      <c r="H133" s="15"/>
      <c r="I133" s="271">
        <f ca="1">Assumptions!O$67</f>
        <v>4.2</v>
      </c>
      <c r="J133" s="271">
        <f ca="1">Assumptions!P$67</f>
        <v>82</v>
      </c>
      <c r="K133" s="271">
        <f t="shared" ca="1" si="54"/>
        <v>41</v>
      </c>
      <c r="L133" s="15"/>
      <c r="M133" s="35">
        <f t="shared" ca="1" si="72"/>
        <v>3.948</v>
      </c>
      <c r="N133" s="35">
        <f t="shared" ca="1" si="55"/>
        <v>65.600000000000009</v>
      </c>
      <c r="O133" s="35">
        <f t="shared" ca="1" si="56"/>
        <v>32.800000000000004</v>
      </c>
      <c r="P133" s="15"/>
      <c r="Q133" s="34">
        <f t="shared" ca="1" si="73"/>
        <v>0</v>
      </c>
      <c r="R133" s="34">
        <f t="shared" ca="1" si="73"/>
        <v>76353.365573099989</v>
      </c>
      <c r="S133" s="34">
        <f t="shared" ca="1" si="73"/>
        <v>0</v>
      </c>
      <c r="T133" s="34">
        <f t="shared" ca="1" si="74"/>
        <v>76353.365573099989</v>
      </c>
      <c r="U133" s="15"/>
      <c r="V133" s="35">
        <f t="shared" si="75"/>
        <v>0.7</v>
      </c>
      <c r="W133" s="34">
        <f t="shared" ca="1" si="88"/>
        <v>5925.4274834999987</v>
      </c>
      <c r="X133" s="35">
        <f t="shared" si="76"/>
        <v>0.222</v>
      </c>
      <c r="Y133" s="34">
        <f t="shared" ca="1" si="77"/>
        <v>1879.2070019099999</v>
      </c>
      <c r="Z133" s="35">
        <f t="shared" si="78"/>
        <v>0.34799999999999998</v>
      </c>
      <c r="AA133" s="34">
        <f t="shared" ca="1" si="79"/>
        <v>2945.7839489399998</v>
      </c>
      <c r="AB133" s="34">
        <f t="shared" ca="1" si="80"/>
        <v>10750.418434349998</v>
      </c>
      <c r="AC133" s="15"/>
      <c r="AD133" s="34">
        <f t="shared" ca="1" si="81"/>
        <v>65602.947138749994</v>
      </c>
      <c r="AE133" s="34">
        <f ca="1"/>
        <v>0</v>
      </c>
      <c r="AF133" s="34">
        <f t="shared" ca="1" si="82"/>
        <v>65602.947138749994</v>
      </c>
      <c r="AG133" s="15"/>
      <c r="AH133" s="272">
        <f t="shared" si="89"/>
        <v>43100</v>
      </c>
      <c r="AI133" s="267">
        <f t="shared" si="57"/>
        <v>3.666666666666667</v>
      </c>
      <c r="AJ133" s="267">
        <f t="shared" si="58"/>
        <v>0.7050612085625072</v>
      </c>
      <c r="AK133" s="34">
        <f t="shared" ca="1" si="90"/>
        <v>46254.093194909343</v>
      </c>
      <c r="AL133" s="233"/>
      <c r="AN133" s="349"/>
      <c r="AO133" s="237">
        <f t="shared" si="83"/>
        <v>4</v>
      </c>
      <c r="AP133" s="34">
        <f t="shared" ca="1" si="59"/>
        <v>0</v>
      </c>
      <c r="AQ133" s="34">
        <f t="shared" ca="1" si="60"/>
        <v>7.89828975</v>
      </c>
      <c r="AR133" s="34">
        <f t="shared" ca="1" si="61"/>
        <v>0</v>
      </c>
      <c r="AS133" s="34">
        <f t="shared" ca="1" si="84"/>
        <v>47.3897385</v>
      </c>
      <c r="AT133" s="350">
        <v>-0.1</v>
      </c>
      <c r="AU133" s="34">
        <f ca="1">MIN(AU132*(1+AT133),$AT$126-SUM(AU$129:AU132))</f>
        <v>47.3897385</v>
      </c>
      <c r="AV133" s="369"/>
      <c r="AW133" s="34">
        <f t="shared" ca="1" si="62"/>
        <v>0</v>
      </c>
      <c r="AX133" s="34">
        <f t="shared" ca="1" si="63"/>
        <v>6.5160890437500001</v>
      </c>
      <c r="AY133" s="34">
        <f t="shared" ca="1" si="64"/>
        <v>0</v>
      </c>
      <c r="AZ133" s="34">
        <f t="shared" ca="1" si="65"/>
        <v>39.096534262500001</v>
      </c>
      <c r="BA133" s="34"/>
      <c r="BB133" s="34">
        <f t="shared" ca="1" si="66"/>
        <v>0</v>
      </c>
      <c r="BC133" s="34">
        <f t="shared" ca="1" si="66"/>
        <v>2041.707900375</v>
      </c>
      <c r="BD133" s="34">
        <f t="shared" ca="1" si="66"/>
        <v>2268.5643337499996</v>
      </c>
      <c r="BE133" s="34">
        <f t="shared" ca="1" si="66"/>
        <v>2673.2672999999995</v>
      </c>
      <c r="BF133" s="34">
        <f t="shared" ca="1" si="66"/>
        <v>0</v>
      </c>
      <c r="BG133" s="34">
        <f t="shared" ca="1" si="66"/>
        <v>0</v>
      </c>
      <c r="BH133" s="34">
        <f t="shared" ca="1" si="66"/>
        <v>0</v>
      </c>
      <c r="BI133" s="34">
        <f t="shared" ca="1" si="66"/>
        <v>0</v>
      </c>
      <c r="BJ133" s="34">
        <f t="shared" ca="1" si="66"/>
        <v>0</v>
      </c>
      <c r="BK133" s="34">
        <f t="shared" ca="1" si="66"/>
        <v>0</v>
      </c>
      <c r="BL133" s="34">
        <f t="shared" ca="1" si="67"/>
        <v>0</v>
      </c>
      <c r="BM133" s="34">
        <f t="shared" ca="1" si="67"/>
        <v>0</v>
      </c>
      <c r="BN133" s="34">
        <f t="shared" ca="1" si="67"/>
        <v>0</v>
      </c>
      <c r="BO133" s="34">
        <f t="shared" ca="1" si="67"/>
        <v>0</v>
      </c>
      <c r="BP133" s="34">
        <f t="shared" ca="1" si="67"/>
        <v>0</v>
      </c>
      <c r="BQ133" s="34">
        <f t="shared" ca="1" si="67"/>
        <v>0</v>
      </c>
      <c r="BR133" s="34">
        <f t="shared" ca="1" si="67"/>
        <v>0</v>
      </c>
      <c r="BS133" s="34">
        <f t="shared" ca="1" si="67"/>
        <v>0</v>
      </c>
      <c r="BT133" s="34">
        <f t="shared" ca="1" si="67"/>
        <v>0</v>
      </c>
      <c r="BU133" s="34">
        <f t="shared" ca="1" si="67"/>
        <v>0</v>
      </c>
      <c r="BV133" s="34">
        <f t="shared" ca="1" si="68"/>
        <v>0</v>
      </c>
      <c r="BW133" s="34">
        <f t="shared" ca="1" si="68"/>
        <v>0</v>
      </c>
      <c r="BX133" s="34">
        <f t="shared" ca="1" si="68"/>
        <v>0</v>
      </c>
      <c r="BY133" s="34">
        <f t="shared" ca="1" si="68"/>
        <v>0</v>
      </c>
      <c r="BZ133" s="34">
        <f t="shared" ca="1" si="68"/>
        <v>0</v>
      </c>
      <c r="CA133" s="34">
        <f t="shared" ca="1" si="68"/>
        <v>0</v>
      </c>
      <c r="CB133" s="34">
        <f t="shared" ca="1" si="68"/>
        <v>0</v>
      </c>
      <c r="CC133" s="34">
        <f t="shared" ca="1" si="68"/>
        <v>0</v>
      </c>
      <c r="CD133" s="34">
        <f t="shared" ca="1" si="68"/>
        <v>0</v>
      </c>
      <c r="CE133" s="34">
        <f t="shared" ca="1" si="68"/>
        <v>0</v>
      </c>
      <c r="CF133" s="34">
        <f t="shared" ca="1" si="69"/>
        <v>0</v>
      </c>
      <c r="CG133" s="34">
        <f t="shared" ca="1" si="69"/>
        <v>0</v>
      </c>
      <c r="CH133" s="34">
        <f t="shared" ca="1" si="69"/>
        <v>0</v>
      </c>
      <c r="CI133" s="34">
        <f t="shared" ca="1" si="69"/>
        <v>0</v>
      </c>
      <c r="CJ133" s="34">
        <f t="shared" ca="1" si="69"/>
        <v>0</v>
      </c>
      <c r="CK133" s="34">
        <f t="shared" ca="1" si="69"/>
        <v>0</v>
      </c>
      <c r="CL133" s="34">
        <f t="shared" ca="1" si="69"/>
        <v>0</v>
      </c>
      <c r="CM133" s="34">
        <f t="shared" ca="1" si="69"/>
        <v>0</v>
      </c>
      <c r="CN133" s="34">
        <f t="shared" ca="1" si="69"/>
        <v>0</v>
      </c>
      <c r="CO133" s="34">
        <f t="shared" ca="1" si="69"/>
        <v>0</v>
      </c>
      <c r="CP133" s="34">
        <f t="shared" ca="1" si="69"/>
        <v>0</v>
      </c>
      <c r="CQ133" s="34">
        <f t="shared" ca="1" si="85"/>
        <v>6983.5395341249987</v>
      </c>
      <c r="CR133" s="363">
        <v>0</v>
      </c>
      <c r="CS133" s="34">
        <f t="shared" ca="1" si="86"/>
        <v>6983.5395341249987</v>
      </c>
      <c r="CT133" s="233"/>
    </row>
    <row r="134" spans="2:98" x14ac:dyDescent="0.3">
      <c r="B134" s="232"/>
      <c r="C134" s="250">
        <f t="shared" si="87"/>
        <v>2018</v>
      </c>
      <c r="D134" s="263">
        <f t="shared" ca="1" si="70"/>
        <v>0</v>
      </c>
      <c r="E134" s="263">
        <f t="shared" ca="1" si="52"/>
        <v>936.14479261874988</v>
      </c>
      <c r="F134" s="263">
        <f t="shared" ca="1" si="53"/>
        <v>0</v>
      </c>
      <c r="G134" s="263">
        <f t="shared" ca="1" si="71"/>
        <v>5616.8687557124995</v>
      </c>
      <c r="H134" s="15"/>
      <c r="I134" s="271">
        <f ca="1">Assumptions!O$68</f>
        <v>4.5</v>
      </c>
      <c r="J134" s="271">
        <f ca="1">Assumptions!P$68</f>
        <v>80</v>
      </c>
      <c r="K134" s="271">
        <f t="shared" ca="1" si="54"/>
        <v>40</v>
      </c>
      <c r="L134" s="15"/>
      <c r="M134" s="35">
        <f t="shared" ca="1" si="72"/>
        <v>4.2299999999999995</v>
      </c>
      <c r="N134" s="35">
        <f t="shared" ca="1" si="55"/>
        <v>64</v>
      </c>
      <c r="O134" s="35">
        <f t="shared" ca="1" si="56"/>
        <v>32</v>
      </c>
      <c r="P134" s="15"/>
      <c r="Q134" s="34">
        <f t="shared" ca="1" si="73"/>
        <v>0</v>
      </c>
      <c r="R134" s="34">
        <f t="shared" ca="1" si="73"/>
        <v>59913.266727599992</v>
      </c>
      <c r="S134" s="34">
        <f t="shared" ca="1" si="73"/>
        <v>0</v>
      </c>
      <c r="T134" s="34">
        <f t="shared" ca="1" si="74"/>
        <v>59913.266727599992</v>
      </c>
      <c r="U134" s="15"/>
      <c r="V134" s="35">
        <f t="shared" si="75"/>
        <v>0.7</v>
      </c>
      <c r="W134" s="34">
        <f t="shared" ca="1" si="88"/>
        <v>4765.8280351499998</v>
      </c>
      <c r="X134" s="35">
        <f t="shared" si="76"/>
        <v>0.222</v>
      </c>
      <c r="Y134" s="34">
        <f t="shared" ca="1" si="77"/>
        <v>1511.448319719</v>
      </c>
      <c r="Z134" s="35">
        <f t="shared" si="78"/>
        <v>0.34799999999999998</v>
      </c>
      <c r="AA134" s="34">
        <f t="shared" ca="1" si="79"/>
        <v>2369.2973660459998</v>
      </c>
      <c r="AB134" s="34">
        <f t="shared" ca="1" si="80"/>
        <v>8646.5737209149993</v>
      </c>
      <c r="AC134" s="15"/>
      <c r="AD134" s="34">
        <f t="shared" ca="1" si="81"/>
        <v>51266.693006684989</v>
      </c>
      <c r="AE134" s="34">
        <f ca="1"/>
        <v>0</v>
      </c>
      <c r="AF134" s="34">
        <f t="shared" ca="1" si="82"/>
        <v>51266.693006684989</v>
      </c>
      <c r="AG134" s="15"/>
      <c r="AH134" s="272">
        <f t="shared" si="89"/>
        <v>43465</v>
      </c>
      <c r="AI134" s="267">
        <f t="shared" si="57"/>
        <v>4.666666666666667</v>
      </c>
      <c r="AJ134" s="267">
        <f t="shared" si="58"/>
        <v>0.64096473505682472</v>
      </c>
      <c r="AK134" s="34">
        <f t="shared" ca="1" si="90"/>
        <v>32860.142300269414</v>
      </c>
      <c r="AL134" s="233"/>
      <c r="AN134" s="349"/>
      <c r="AO134" s="237">
        <f t="shared" si="83"/>
        <v>5</v>
      </c>
      <c r="AP134" s="34">
        <f t="shared" ca="1" si="59"/>
        <v>0</v>
      </c>
      <c r="AQ134" s="34">
        <f t="shared" ca="1" si="60"/>
        <v>7.1084607750000002</v>
      </c>
      <c r="AR134" s="34">
        <f t="shared" ca="1" si="61"/>
        <v>0</v>
      </c>
      <c r="AS134" s="34">
        <f t="shared" ca="1" si="84"/>
        <v>42.650764649999999</v>
      </c>
      <c r="AT134" s="350">
        <v>-0.1</v>
      </c>
      <c r="AU134" s="34">
        <f ca="1">MIN(AU133*(1+AT134),$AT$126-SUM(AU$129:AU133))</f>
        <v>42.650764649999999</v>
      </c>
      <c r="AV134" s="369"/>
      <c r="AW134" s="34">
        <f t="shared" ca="1" si="62"/>
        <v>0</v>
      </c>
      <c r="AX134" s="34">
        <f t="shared" ca="1" si="63"/>
        <v>5.8644801393749999</v>
      </c>
      <c r="AY134" s="34">
        <f t="shared" ca="1" si="64"/>
        <v>0</v>
      </c>
      <c r="AZ134" s="34">
        <f t="shared" ca="1" si="65"/>
        <v>35.186880836249998</v>
      </c>
      <c r="BA134" s="34"/>
      <c r="BB134" s="34">
        <f t="shared" ca="1" si="66"/>
        <v>0</v>
      </c>
      <c r="BC134" s="34">
        <f t="shared" ca="1" si="66"/>
        <v>1837.5371103375001</v>
      </c>
      <c r="BD134" s="34">
        <f t="shared" ca="1" si="66"/>
        <v>2041.707900375</v>
      </c>
      <c r="BE134" s="34">
        <f t="shared" ca="1" si="66"/>
        <v>1737.6237449999999</v>
      </c>
      <c r="BF134" s="34">
        <f t="shared" ca="1" si="66"/>
        <v>0</v>
      </c>
      <c r="BG134" s="34">
        <f t="shared" ca="1" si="66"/>
        <v>0</v>
      </c>
      <c r="BH134" s="34">
        <f t="shared" ca="1" si="66"/>
        <v>0</v>
      </c>
      <c r="BI134" s="34">
        <f t="shared" ca="1" si="66"/>
        <v>0</v>
      </c>
      <c r="BJ134" s="34">
        <f t="shared" ca="1" si="66"/>
        <v>0</v>
      </c>
      <c r="BK134" s="34">
        <f t="shared" ca="1" si="66"/>
        <v>0</v>
      </c>
      <c r="BL134" s="34">
        <f t="shared" ca="1" si="67"/>
        <v>0</v>
      </c>
      <c r="BM134" s="34">
        <f t="shared" ca="1" si="67"/>
        <v>0</v>
      </c>
      <c r="BN134" s="34">
        <f t="shared" ca="1" si="67"/>
        <v>0</v>
      </c>
      <c r="BO134" s="34">
        <f t="shared" ca="1" si="67"/>
        <v>0</v>
      </c>
      <c r="BP134" s="34">
        <f t="shared" ca="1" si="67"/>
        <v>0</v>
      </c>
      <c r="BQ134" s="34">
        <f t="shared" ca="1" si="67"/>
        <v>0</v>
      </c>
      <c r="BR134" s="34">
        <f t="shared" ca="1" si="67"/>
        <v>0</v>
      </c>
      <c r="BS134" s="34">
        <f t="shared" ca="1" si="67"/>
        <v>0</v>
      </c>
      <c r="BT134" s="34">
        <f t="shared" ca="1" si="67"/>
        <v>0</v>
      </c>
      <c r="BU134" s="34">
        <f t="shared" ca="1" si="67"/>
        <v>0</v>
      </c>
      <c r="BV134" s="34">
        <f t="shared" ca="1" si="68"/>
        <v>0</v>
      </c>
      <c r="BW134" s="34">
        <f t="shared" ca="1" si="68"/>
        <v>0</v>
      </c>
      <c r="BX134" s="34">
        <f t="shared" ca="1" si="68"/>
        <v>0</v>
      </c>
      <c r="BY134" s="34">
        <f t="shared" ca="1" si="68"/>
        <v>0</v>
      </c>
      <c r="BZ134" s="34">
        <f t="shared" ca="1" si="68"/>
        <v>0</v>
      </c>
      <c r="CA134" s="34">
        <f t="shared" ca="1" si="68"/>
        <v>0</v>
      </c>
      <c r="CB134" s="34">
        <f t="shared" ca="1" si="68"/>
        <v>0</v>
      </c>
      <c r="CC134" s="34">
        <f t="shared" ca="1" si="68"/>
        <v>0</v>
      </c>
      <c r="CD134" s="34">
        <f t="shared" ca="1" si="68"/>
        <v>0</v>
      </c>
      <c r="CE134" s="34">
        <f t="shared" ca="1" si="68"/>
        <v>0</v>
      </c>
      <c r="CF134" s="34">
        <f t="shared" ca="1" si="69"/>
        <v>0</v>
      </c>
      <c r="CG134" s="34">
        <f t="shared" ca="1" si="69"/>
        <v>0</v>
      </c>
      <c r="CH134" s="34">
        <f t="shared" ca="1" si="69"/>
        <v>0</v>
      </c>
      <c r="CI134" s="34">
        <f t="shared" ca="1" si="69"/>
        <v>0</v>
      </c>
      <c r="CJ134" s="34">
        <f t="shared" ca="1" si="69"/>
        <v>0</v>
      </c>
      <c r="CK134" s="34">
        <f t="shared" ca="1" si="69"/>
        <v>0</v>
      </c>
      <c r="CL134" s="34">
        <f t="shared" ca="1" si="69"/>
        <v>0</v>
      </c>
      <c r="CM134" s="34">
        <f t="shared" ca="1" si="69"/>
        <v>0</v>
      </c>
      <c r="CN134" s="34">
        <f t="shared" ca="1" si="69"/>
        <v>0</v>
      </c>
      <c r="CO134" s="34">
        <f t="shared" ca="1" si="69"/>
        <v>0</v>
      </c>
      <c r="CP134" s="34">
        <f t="shared" ca="1" si="69"/>
        <v>0</v>
      </c>
      <c r="CQ134" s="34">
        <f t="shared" ca="1" si="85"/>
        <v>5616.8687557124995</v>
      </c>
      <c r="CR134" s="363">
        <v>0</v>
      </c>
      <c r="CS134" s="34">
        <f t="shared" ca="1" si="86"/>
        <v>5616.8687557124995</v>
      </c>
      <c r="CT134" s="233"/>
    </row>
    <row r="135" spans="2:98" x14ac:dyDescent="0.3">
      <c r="B135" s="232"/>
      <c r="C135" s="250">
        <f t="shared" si="87"/>
        <v>2019</v>
      </c>
      <c r="D135" s="263">
        <f t="shared" ca="1" si="70"/>
        <v>0</v>
      </c>
      <c r="E135" s="263">
        <f t="shared" ca="1" si="52"/>
        <v>842.53031335687501</v>
      </c>
      <c r="F135" s="263">
        <f t="shared" ca="1" si="53"/>
        <v>0</v>
      </c>
      <c r="G135" s="263">
        <f t="shared" ca="1" si="71"/>
        <v>5055.1818801412501</v>
      </c>
      <c r="H135" s="15"/>
      <c r="I135" s="271">
        <f ca="1">Assumptions!O$68</f>
        <v>4.5</v>
      </c>
      <c r="J135" s="271">
        <f ca="1">Assumptions!P$68</f>
        <v>80</v>
      </c>
      <c r="K135" s="271">
        <f t="shared" ca="1" si="54"/>
        <v>40</v>
      </c>
      <c r="L135" s="15"/>
      <c r="M135" s="35">
        <f t="shared" ca="1" si="72"/>
        <v>4.2299999999999995</v>
      </c>
      <c r="N135" s="35">
        <f t="shared" ca="1" si="55"/>
        <v>64</v>
      </c>
      <c r="O135" s="35">
        <f t="shared" ca="1" si="56"/>
        <v>32</v>
      </c>
      <c r="P135" s="15"/>
      <c r="Q135" s="34">
        <f t="shared" ca="1" si="73"/>
        <v>0</v>
      </c>
      <c r="R135" s="34">
        <f t="shared" ca="1" si="73"/>
        <v>53921.940054840001</v>
      </c>
      <c r="S135" s="34">
        <f t="shared" ca="1" si="73"/>
        <v>0</v>
      </c>
      <c r="T135" s="34">
        <f t="shared" ca="1" si="74"/>
        <v>53921.940054840001</v>
      </c>
      <c r="U135" s="15"/>
      <c r="V135" s="35">
        <f t="shared" si="75"/>
        <v>0.7</v>
      </c>
      <c r="W135" s="34">
        <f t="shared" ca="1" si="88"/>
        <v>4289.245231635</v>
      </c>
      <c r="X135" s="35">
        <f t="shared" si="76"/>
        <v>0.222</v>
      </c>
      <c r="Y135" s="34">
        <f t="shared" ca="1" si="77"/>
        <v>1360.3034877471</v>
      </c>
      <c r="Z135" s="35">
        <f t="shared" si="78"/>
        <v>0.34799999999999998</v>
      </c>
      <c r="AA135" s="34">
        <f t="shared" ca="1" si="79"/>
        <v>2132.3676294413999</v>
      </c>
      <c r="AB135" s="34">
        <f t="shared" ca="1" si="80"/>
        <v>7781.9163488234999</v>
      </c>
      <c r="AC135" s="15"/>
      <c r="AD135" s="34">
        <f t="shared" ca="1" si="81"/>
        <v>46140.023706016502</v>
      </c>
      <c r="AE135" s="34">
        <f ca="1"/>
        <v>0</v>
      </c>
      <c r="AF135" s="34">
        <f t="shared" ca="1" si="82"/>
        <v>46140.023706016502</v>
      </c>
      <c r="AG135" s="15"/>
      <c r="AH135" s="272">
        <f t="shared" si="89"/>
        <v>43830</v>
      </c>
      <c r="AI135" s="267">
        <f t="shared" si="57"/>
        <v>5.666666666666667</v>
      </c>
      <c r="AJ135" s="267">
        <f t="shared" si="58"/>
        <v>0.58269521368802246</v>
      </c>
      <c r="AK135" s="34">
        <f t="shared" ca="1" si="90"/>
        <v>26885.570972947709</v>
      </c>
      <c r="AL135" s="233"/>
      <c r="AN135" s="349"/>
      <c r="AO135" s="237">
        <f t="shared" si="83"/>
        <v>6</v>
      </c>
      <c r="AP135" s="34">
        <f t="shared" ca="1" si="59"/>
        <v>0</v>
      </c>
      <c r="AQ135" s="34">
        <f t="shared" ca="1" si="60"/>
        <v>6.3976146974999999</v>
      </c>
      <c r="AR135" s="34">
        <f t="shared" ca="1" si="61"/>
        <v>0</v>
      </c>
      <c r="AS135" s="34">
        <f t="shared" ca="1" si="84"/>
        <v>38.385688184999999</v>
      </c>
      <c r="AT135" s="350">
        <v>-0.1</v>
      </c>
      <c r="AU135" s="34">
        <f ca="1">MIN(AU134*(1+AT135),$AT$126-SUM(AU$129:AU134))</f>
        <v>38.385688184999999</v>
      </c>
      <c r="AV135" s="369"/>
      <c r="AW135" s="34">
        <f t="shared" ca="1" si="62"/>
        <v>0</v>
      </c>
      <c r="AX135" s="34">
        <f t="shared" ca="1" si="63"/>
        <v>5.2780321254375</v>
      </c>
      <c r="AY135" s="34">
        <f t="shared" ca="1" si="64"/>
        <v>0</v>
      </c>
      <c r="AZ135" s="34">
        <f t="shared" ca="1" si="65"/>
        <v>31.668192752624996</v>
      </c>
      <c r="BA135" s="34"/>
      <c r="BB135" s="34">
        <f t="shared" ca="1" si="66"/>
        <v>0</v>
      </c>
      <c r="BC135" s="34">
        <f t="shared" ca="1" si="66"/>
        <v>1653.7833993037498</v>
      </c>
      <c r="BD135" s="34">
        <f t="shared" ca="1" si="66"/>
        <v>1837.5371103375001</v>
      </c>
      <c r="BE135" s="34">
        <f t="shared" ca="1" si="66"/>
        <v>1563.8613705</v>
      </c>
      <c r="BF135" s="34">
        <f t="shared" ca="1" si="66"/>
        <v>0</v>
      </c>
      <c r="BG135" s="34">
        <f t="shared" ca="1" si="66"/>
        <v>0</v>
      </c>
      <c r="BH135" s="34">
        <f t="shared" ca="1" si="66"/>
        <v>0</v>
      </c>
      <c r="BI135" s="34">
        <f t="shared" ca="1" si="66"/>
        <v>0</v>
      </c>
      <c r="BJ135" s="34">
        <f t="shared" ca="1" si="66"/>
        <v>0</v>
      </c>
      <c r="BK135" s="34">
        <f t="shared" ca="1" si="66"/>
        <v>0</v>
      </c>
      <c r="BL135" s="34">
        <f t="shared" ca="1" si="67"/>
        <v>0</v>
      </c>
      <c r="BM135" s="34">
        <f t="shared" ca="1" si="67"/>
        <v>0</v>
      </c>
      <c r="BN135" s="34">
        <f t="shared" ca="1" si="67"/>
        <v>0</v>
      </c>
      <c r="BO135" s="34">
        <f t="shared" ca="1" si="67"/>
        <v>0</v>
      </c>
      <c r="BP135" s="34">
        <f t="shared" ca="1" si="67"/>
        <v>0</v>
      </c>
      <c r="BQ135" s="34">
        <f t="shared" ca="1" si="67"/>
        <v>0</v>
      </c>
      <c r="BR135" s="34">
        <f t="shared" ca="1" si="67"/>
        <v>0</v>
      </c>
      <c r="BS135" s="34">
        <f t="shared" ca="1" si="67"/>
        <v>0</v>
      </c>
      <c r="BT135" s="34">
        <f t="shared" ca="1" si="67"/>
        <v>0</v>
      </c>
      <c r="BU135" s="34">
        <f t="shared" ca="1" si="67"/>
        <v>0</v>
      </c>
      <c r="BV135" s="34">
        <f t="shared" ca="1" si="68"/>
        <v>0</v>
      </c>
      <c r="BW135" s="34">
        <f t="shared" ca="1" si="68"/>
        <v>0</v>
      </c>
      <c r="BX135" s="34">
        <f t="shared" ca="1" si="68"/>
        <v>0</v>
      </c>
      <c r="BY135" s="34">
        <f t="shared" ca="1" si="68"/>
        <v>0</v>
      </c>
      <c r="BZ135" s="34">
        <f t="shared" ca="1" si="68"/>
        <v>0</v>
      </c>
      <c r="CA135" s="34">
        <f t="shared" ca="1" si="68"/>
        <v>0</v>
      </c>
      <c r="CB135" s="34">
        <f t="shared" ca="1" si="68"/>
        <v>0</v>
      </c>
      <c r="CC135" s="34">
        <f t="shared" ca="1" si="68"/>
        <v>0</v>
      </c>
      <c r="CD135" s="34">
        <f t="shared" ca="1" si="68"/>
        <v>0</v>
      </c>
      <c r="CE135" s="34">
        <f t="shared" ca="1" si="68"/>
        <v>0</v>
      </c>
      <c r="CF135" s="34">
        <f t="shared" ca="1" si="69"/>
        <v>0</v>
      </c>
      <c r="CG135" s="34">
        <f t="shared" ca="1" si="69"/>
        <v>0</v>
      </c>
      <c r="CH135" s="34">
        <f t="shared" ca="1" si="69"/>
        <v>0</v>
      </c>
      <c r="CI135" s="34">
        <f t="shared" ca="1" si="69"/>
        <v>0</v>
      </c>
      <c r="CJ135" s="34">
        <f t="shared" ca="1" si="69"/>
        <v>0</v>
      </c>
      <c r="CK135" s="34">
        <f t="shared" ca="1" si="69"/>
        <v>0</v>
      </c>
      <c r="CL135" s="34">
        <f t="shared" ca="1" si="69"/>
        <v>0</v>
      </c>
      <c r="CM135" s="34">
        <f t="shared" ca="1" si="69"/>
        <v>0</v>
      </c>
      <c r="CN135" s="34">
        <f t="shared" ca="1" si="69"/>
        <v>0</v>
      </c>
      <c r="CO135" s="34">
        <f t="shared" ca="1" si="69"/>
        <v>0</v>
      </c>
      <c r="CP135" s="34">
        <f t="shared" ca="1" si="69"/>
        <v>0</v>
      </c>
      <c r="CQ135" s="34">
        <f t="shared" ca="1" si="85"/>
        <v>5055.1818801412501</v>
      </c>
      <c r="CR135" s="363">
        <v>0</v>
      </c>
      <c r="CS135" s="34">
        <f t="shared" ca="1" si="86"/>
        <v>5055.1818801412501</v>
      </c>
      <c r="CT135" s="233"/>
    </row>
    <row r="136" spans="2:98" x14ac:dyDescent="0.3">
      <c r="B136" s="232"/>
      <c r="C136" s="250">
        <f t="shared" si="87"/>
        <v>2020</v>
      </c>
      <c r="D136" s="263">
        <f t="shared" ca="1" si="70"/>
        <v>0</v>
      </c>
      <c r="E136" s="263">
        <f t="shared" ca="1" si="52"/>
        <v>758.27728202118749</v>
      </c>
      <c r="F136" s="263">
        <f t="shared" ca="1" si="53"/>
        <v>0</v>
      </c>
      <c r="G136" s="263">
        <f t="shared" ca="1" si="71"/>
        <v>4549.6636921271247</v>
      </c>
      <c r="H136" s="15"/>
      <c r="I136" s="271">
        <f ca="1">Assumptions!O$68</f>
        <v>4.5</v>
      </c>
      <c r="J136" s="271">
        <f ca="1">Assumptions!P$68</f>
        <v>80</v>
      </c>
      <c r="K136" s="271">
        <f t="shared" ca="1" si="54"/>
        <v>40</v>
      </c>
      <c r="L136" s="15"/>
      <c r="M136" s="35">
        <f t="shared" ca="1" si="72"/>
        <v>4.2299999999999995</v>
      </c>
      <c r="N136" s="35">
        <f t="shared" ca="1" si="55"/>
        <v>64</v>
      </c>
      <c r="O136" s="35">
        <f t="shared" ca="1" si="56"/>
        <v>32</v>
      </c>
      <c r="P136" s="15"/>
      <c r="Q136" s="34">
        <f t="shared" ca="1" si="73"/>
        <v>0</v>
      </c>
      <c r="R136" s="34">
        <f t="shared" ca="1" si="73"/>
        <v>48529.746049355999</v>
      </c>
      <c r="S136" s="34">
        <f t="shared" ca="1" si="73"/>
        <v>0</v>
      </c>
      <c r="T136" s="34">
        <f t="shared" ca="1" si="74"/>
        <v>48529.746049355999</v>
      </c>
      <c r="U136" s="15"/>
      <c r="V136" s="35">
        <f t="shared" si="75"/>
        <v>0.7</v>
      </c>
      <c r="W136" s="34">
        <f t="shared" ca="1" si="88"/>
        <v>3860.3207084714995</v>
      </c>
      <c r="X136" s="35">
        <f t="shared" si="76"/>
        <v>0.222</v>
      </c>
      <c r="Y136" s="34">
        <f t="shared" ca="1" si="77"/>
        <v>1224.2731389723899</v>
      </c>
      <c r="Z136" s="35">
        <f t="shared" si="78"/>
        <v>0.34799999999999998</v>
      </c>
      <c r="AA136" s="34">
        <f t="shared" ca="1" si="79"/>
        <v>1919.1308664972598</v>
      </c>
      <c r="AB136" s="34">
        <f t="shared" ca="1" si="80"/>
        <v>7003.7247139411502</v>
      </c>
      <c r="AC136" s="15"/>
      <c r="AD136" s="34">
        <f t="shared" ca="1" si="81"/>
        <v>41526.021335414851</v>
      </c>
      <c r="AE136" s="34">
        <f ca="1"/>
        <v>0</v>
      </c>
      <c r="AF136" s="34">
        <f t="shared" ca="1" si="82"/>
        <v>41526.021335414851</v>
      </c>
      <c r="AG136" s="15"/>
      <c r="AH136" s="272">
        <f t="shared" si="89"/>
        <v>44196</v>
      </c>
      <c r="AI136" s="267">
        <f t="shared" si="57"/>
        <v>6.666666666666667</v>
      </c>
      <c r="AJ136" s="267">
        <f t="shared" si="58"/>
        <v>0.52972292153456579</v>
      </c>
      <c r="AK136" s="34">
        <f t="shared" ca="1" si="90"/>
        <v>21997.285341502666</v>
      </c>
      <c r="AL136" s="233"/>
      <c r="AN136" s="349"/>
      <c r="AO136" s="237">
        <f t="shared" si="83"/>
        <v>7</v>
      </c>
      <c r="AP136" s="34">
        <f t="shared" ca="1" si="59"/>
        <v>0</v>
      </c>
      <c r="AQ136" s="34">
        <f t="shared" ca="1" si="60"/>
        <v>5.7578532277500001</v>
      </c>
      <c r="AR136" s="34">
        <f t="shared" ca="1" si="61"/>
        <v>0</v>
      </c>
      <c r="AS136" s="34">
        <f t="shared" ca="1" si="84"/>
        <v>34.547119366499999</v>
      </c>
      <c r="AT136" s="350">
        <v>-0.1</v>
      </c>
      <c r="AU136" s="34">
        <f ca="1">MIN(AU135*(1+AT136),$AT$126-SUM(AU$129:AU135))</f>
        <v>34.547119366499999</v>
      </c>
      <c r="AV136" s="369"/>
      <c r="AW136" s="34">
        <f t="shared" ca="1" si="62"/>
        <v>0</v>
      </c>
      <c r="AX136" s="34">
        <f t="shared" ca="1" si="63"/>
        <v>4.7502289128937498</v>
      </c>
      <c r="AY136" s="34">
        <f t="shared" ca="1" si="64"/>
        <v>0</v>
      </c>
      <c r="AZ136" s="34">
        <f t="shared" ca="1" si="65"/>
        <v>28.501373477362499</v>
      </c>
      <c r="BA136" s="34"/>
      <c r="BB136" s="34">
        <f t="shared" ca="1" si="66"/>
        <v>0</v>
      </c>
      <c r="BC136" s="34">
        <f t="shared" ca="1" si="66"/>
        <v>1488.4050593733748</v>
      </c>
      <c r="BD136" s="34">
        <f t="shared" ca="1" si="66"/>
        <v>1653.7833993037498</v>
      </c>
      <c r="BE136" s="34">
        <f t="shared" ca="1" si="66"/>
        <v>1407.4752334499999</v>
      </c>
      <c r="BF136" s="34">
        <f t="shared" ca="1" si="66"/>
        <v>0</v>
      </c>
      <c r="BG136" s="34">
        <f t="shared" ca="1" si="66"/>
        <v>0</v>
      </c>
      <c r="BH136" s="34">
        <f t="shared" ca="1" si="66"/>
        <v>0</v>
      </c>
      <c r="BI136" s="34">
        <f t="shared" ca="1" si="66"/>
        <v>0</v>
      </c>
      <c r="BJ136" s="34">
        <f t="shared" ca="1" si="66"/>
        <v>0</v>
      </c>
      <c r="BK136" s="34">
        <f t="shared" ca="1" si="66"/>
        <v>0</v>
      </c>
      <c r="BL136" s="34">
        <f t="shared" ca="1" si="67"/>
        <v>0</v>
      </c>
      <c r="BM136" s="34">
        <f t="shared" ca="1" si="67"/>
        <v>0</v>
      </c>
      <c r="BN136" s="34">
        <f t="shared" ca="1" si="67"/>
        <v>0</v>
      </c>
      <c r="BO136" s="34">
        <f t="shared" ca="1" si="67"/>
        <v>0</v>
      </c>
      <c r="BP136" s="34">
        <f t="shared" ca="1" si="67"/>
        <v>0</v>
      </c>
      <c r="BQ136" s="34">
        <f t="shared" ca="1" si="67"/>
        <v>0</v>
      </c>
      <c r="BR136" s="34">
        <f t="shared" ca="1" si="67"/>
        <v>0</v>
      </c>
      <c r="BS136" s="34">
        <f t="shared" ca="1" si="67"/>
        <v>0</v>
      </c>
      <c r="BT136" s="34">
        <f t="shared" ca="1" si="67"/>
        <v>0</v>
      </c>
      <c r="BU136" s="34">
        <f t="shared" ca="1" si="67"/>
        <v>0</v>
      </c>
      <c r="BV136" s="34">
        <f t="shared" ca="1" si="68"/>
        <v>0</v>
      </c>
      <c r="BW136" s="34">
        <f t="shared" ca="1" si="68"/>
        <v>0</v>
      </c>
      <c r="BX136" s="34">
        <f t="shared" ca="1" si="68"/>
        <v>0</v>
      </c>
      <c r="BY136" s="34">
        <f t="shared" ca="1" si="68"/>
        <v>0</v>
      </c>
      <c r="BZ136" s="34">
        <f t="shared" ca="1" si="68"/>
        <v>0</v>
      </c>
      <c r="CA136" s="34">
        <f t="shared" ca="1" si="68"/>
        <v>0</v>
      </c>
      <c r="CB136" s="34">
        <f t="shared" ca="1" si="68"/>
        <v>0</v>
      </c>
      <c r="CC136" s="34">
        <f t="shared" ca="1" si="68"/>
        <v>0</v>
      </c>
      <c r="CD136" s="34">
        <f t="shared" ca="1" si="68"/>
        <v>0</v>
      </c>
      <c r="CE136" s="34">
        <f t="shared" ca="1" si="68"/>
        <v>0</v>
      </c>
      <c r="CF136" s="34">
        <f t="shared" ca="1" si="69"/>
        <v>0</v>
      </c>
      <c r="CG136" s="34">
        <f t="shared" ca="1" si="69"/>
        <v>0</v>
      </c>
      <c r="CH136" s="34">
        <f t="shared" ca="1" si="69"/>
        <v>0</v>
      </c>
      <c r="CI136" s="34">
        <f t="shared" ca="1" si="69"/>
        <v>0</v>
      </c>
      <c r="CJ136" s="34">
        <f t="shared" ca="1" si="69"/>
        <v>0</v>
      </c>
      <c r="CK136" s="34">
        <f t="shared" ca="1" si="69"/>
        <v>0</v>
      </c>
      <c r="CL136" s="34">
        <f t="shared" ca="1" si="69"/>
        <v>0</v>
      </c>
      <c r="CM136" s="34">
        <f t="shared" ca="1" si="69"/>
        <v>0</v>
      </c>
      <c r="CN136" s="34">
        <f t="shared" ca="1" si="69"/>
        <v>0</v>
      </c>
      <c r="CO136" s="34">
        <f t="shared" ca="1" si="69"/>
        <v>0</v>
      </c>
      <c r="CP136" s="34">
        <f t="shared" ca="1" si="69"/>
        <v>0</v>
      </c>
      <c r="CQ136" s="34">
        <f t="shared" ca="1" si="85"/>
        <v>4549.6636921271247</v>
      </c>
      <c r="CR136" s="363">
        <v>0</v>
      </c>
      <c r="CS136" s="34">
        <f t="shared" ca="1" si="86"/>
        <v>4549.6636921271247</v>
      </c>
      <c r="CT136" s="233"/>
    </row>
    <row r="137" spans="2:98" x14ac:dyDescent="0.3">
      <c r="B137" s="232"/>
      <c r="C137" s="250">
        <f t="shared" si="87"/>
        <v>2021</v>
      </c>
      <c r="D137" s="263">
        <f t="shared" ca="1" si="70"/>
        <v>0</v>
      </c>
      <c r="E137" s="263">
        <f t="shared" ca="1" si="52"/>
        <v>682.44955381906868</v>
      </c>
      <c r="F137" s="263">
        <f t="shared" ca="1" si="53"/>
        <v>0</v>
      </c>
      <c r="G137" s="263">
        <f t="shared" ca="1" si="71"/>
        <v>4094.6973229144119</v>
      </c>
      <c r="H137" s="15"/>
      <c r="I137" s="271">
        <f ca="1">Assumptions!O$68</f>
        <v>4.5</v>
      </c>
      <c r="J137" s="271">
        <f ca="1">Assumptions!P$68</f>
        <v>80</v>
      </c>
      <c r="K137" s="271">
        <f t="shared" ca="1" si="54"/>
        <v>40</v>
      </c>
      <c r="L137" s="15"/>
      <c r="M137" s="35">
        <f t="shared" ca="1" si="72"/>
        <v>4.2299999999999995</v>
      </c>
      <c r="N137" s="35">
        <f t="shared" ca="1" si="55"/>
        <v>64</v>
      </c>
      <c r="O137" s="35">
        <f t="shared" ca="1" si="56"/>
        <v>32</v>
      </c>
      <c r="P137" s="15"/>
      <c r="Q137" s="34">
        <f t="shared" ca="1" si="73"/>
        <v>0</v>
      </c>
      <c r="R137" s="34">
        <f t="shared" ca="1" si="73"/>
        <v>43676.771444420396</v>
      </c>
      <c r="S137" s="34">
        <f t="shared" ca="1" si="73"/>
        <v>0</v>
      </c>
      <c r="T137" s="34">
        <f t="shared" ca="1" si="74"/>
        <v>43676.771444420396</v>
      </c>
      <c r="U137" s="15"/>
      <c r="V137" s="35">
        <f t="shared" si="75"/>
        <v>0.7</v>
      </c>
      <c r="W137" s="34">
        <f t="shared" ca="1" si="88"/>
        <v>3474.2886376243496</v>
      </c>
      <c r="X137" s="35">
        <f t="shared" si="76"/>
        <v>0.222</v>
      </c>
      <c r="Y137" s="34">
        <f t="shared" ca="1" si="77"/>
        <v>1101.8458250751507</v>
      </c>
      <c r="Z137" s="35">
        <f t="shared" si="78"/>
        <v>0.34799999999999998</v>
      </c>
      <c r="AA137" s="34">
        <f t="shared" ca="1" si="79"/>
        <v>1727.2177798475338</v>
      </c>
      <c r="AB137" s="34">
        <f t="shared" ca="1" si="80"/>
        <v>6303.3522425470346</v>
      </c>
      <c r="AC137" s="15"/>
      <c r="AD137" s="34">
        <f t="shared" ca="1" si="81"/>
        <v>37373.419201873359</v>
      </c>
      <c r="AE137" s="34">
        <f ca="1"/>
        <v>0</v>
      </c>
      <c r="AF137" s="34">
        <f t="shared" ca="1" si="82"/>
        <v>37373.419201873359</v>
      </c>
      <c r="AG137" s="15"/>
      <c r="AH137" s="272">
        <f t="shared" si="89"/>
        <v>44561</v>
      </c>
      <c r="AI137" s="267">
        <f t="shared" si="57"/>
        <v>7.6666666666666661</v>
      </c>
      <c r="AJ137" s="267">
        <f t="shared" si="58"/>
        <v>0.48156629230415066</v>
      </c>
      <c r="AK137" s="34">
        <f t="shared" ca="1" si="90"/>
        <v>17997.778915774903</v>
      </c>
      <c r="AL137" s="233"/>
      <c r="AN137" s="349"/>
      <c r="AO137" s="237">
        <f t="shared" si="83"/>
        <v>8</v>
      </c>
      <c r="AP137" s="34">
        <f t="shared" ca="1" si="59"/>
        <v>0</v>
      </c>
      <c r="AQ137" s="34">
        <f t="shared" ca="1" si="60"/>
        <v>5.1820679049749998</v>
      </c>
      <c r="AR137" s="34">
        <f t="shared" ca="1" si="61"/>
        <v>0</v>
      </c>
      <c r="AS137" s="34">
        <f t="shared" ca="1" si="84"/>
        <v>31.092407429849999</v>
      </c>
      <c r="AT137" s="350">
        <v>-0.1</v>
      </c>
      <c r="AU137" s="34">
        <f ca="1">MIN(AU136*(1+AT137),$AT$126-SUM(AU$129:AU136))</f>
        <v>31.092407429849999</v>
      </c>
      <c r="AV137" s="369"/>
      <c r="AW137" s="34">
        <f t="shared" ca="1" si="62"/>
        <v>0</v>
      </c>
      <c r="AX137" s="34">
        <f t="shared" ca="1" si="63"/>
        <v>4.275206021604375</v>
      </c>
      <c r="AY137" s="34">
        <f t="shared" ca="1" si="64"/>
        <v>0</v>
      </c>
      <c r="AZ137" s="34">
        <f t="shared" ca="1" si="65"/>
        <v>25.651236129626248</v>
      </c>
      <c r="BA137" s="34"/>
      <c r="BB137" s="34">
        <f t="shared" ca="1" si="66"/>
        <v>0</v>
      </c>
      <c r="BC137" s="34">
        <f t="shared" ca="1" si="66"/>
        <v>1339.5645534360374</v>
      </c>
      <c r="BD137" s="34">
        <f t="shared" ca="1" si="66"/>
        <v>1488.4050593733748</v>
      </c>
      <c r="BE137" s="34">
        <f t="shared" ca="1" si="66"/>
        <v>1266.7277101049999</v>
      </c>
      <c r="BF137" s="34">
        <f t="shared" ca="1" si="66"/>
        <v>0</v>
      </c>
      <c r="BG137" s="34">
        <f t="shared" ca="1" si="66"/>
        <v>0</v>
      </c>
      <c r="BH137" s="34">
        <f t="shared" ca="1" si="66"/>
        <v>0</v>
      </c>
      <c r="BI137" s="34">
        <f t="shared" ca="1" si="66"/>
        <v>0</v>
      </c>
      <c r="BJ137" s="34">
        <f t="shared" ca="1" si="66"/>
        <v>0</v>
      </c>
      <c r="BK137" s="34">
        <f t="shared" ca="1" si="66"/>
        <v>0</v>
      </c>
      <c r="BL137" s="34">
        <f t="shared" ca="1" si="67"/>
        <v>0</v>
      </c>
      <c r="BM137" s="34">
        <f t="shared" ca="1" si="67"/>
        <v>0</v>
      </c>
      <c r="BN137" s="34">
        <f t="shared" ca="1" si="67"/>
        <v>0</v>
      </c>
      <c r="BO137" s="34">
        <f t="shared" ca="1" si="67"/>
        <v>0</v>
      </c>
      <c r="BP137" s="34">
        <f t="shared" ca="1" si="67"/>
        <v>0</v>
      </c>
      <c r="BQ137" s="34">
        <f t="shared" ca="1" si="67"/>
        <v>0</v>
      </c>
      <c r="BR137" s="34">
        <f t="shared" ca="1" si="67"/>
        <v>0</v>
      </c>
      <c r="BS137" s="34">
        <f t="shared" ca="1" si="67"/>
        <v>0</v>
      </c>
      <c r="BT137" s="34">
        <f t="shared" ca="1" si="67"/>
        <v>0</v>
      </c>
      <c r="BU137" s="34">
        <f t="shared" ca="1" si="67"/>
        <v>0</v>
      </c>
      <c r="BV137" s="34">
        <f t="shared" ca="1" si="68"/>
        <v>0</v>
      </c>
      <c r="BW137" s="34">
        <f t="shared" ca="1" si="68"/>
        <v>0</v>
      </c>
      <c r="BX137" s="34">
        <f t="shared" ca="1" si="68"/>
        <v>0</v>
      </c>
      <c r="BY137" s="34">
        <f t="shared" ca="1" si="68"/>
        <v>0</v>
      </c>
      <c r="BZ137" s="34">
        <f t="shared" ca="1" si="68"/>
        <v>0</v>
      </c>
      <c r="CA137" s="34">
        <f t="shared" ca="1" si="68"/>
        <v>0</v>
      </c>
      <c r="CB137" s="34">
        <f t="shared" ca="1" si="68"/>
        <v>0</v>
      </c>
      <c r="CC137" s="34">
        <f t="shared" ca="1" si="68"/>
        <v>0</v>
      </c>
      <c r="CD137" s="34">
        <f t="shared" ca="1" si="68"/>
        <v>0</v>
      </c>
      <c r="CE137" s="34">
        <f t="shared" ca="1" si="68"/>
        <v>0</v>
      </c>
      <c r="CF137" s="34">
        <f t="shared" ca="1" si="69"/>
        <v>0</v>
      </c>
      <c r="CG137" s="34">
        <f t="shared" ca="1" si="69"/>
        <v>0</v>
      </c>
      <c r="CH137" s="34">
        <f t="shared" ca="1" si="69"/>
        <v>0</v>
      </c>
      <c r="CI137" s="34">
        <f t="shared" ca="1" si="69"/>
        <v>0</v>
      </c>
      <c r="CJ137" s="34">
        <f t="shared" ca="1" si="69"/>
        <v>0</v>
      </c>
      <c r="CK137" s="34">
        <f t="shared" ca="1" si="69"/>
        <v>0</v>
      </c>
      <c r="CL137" s="34">
        <f t="shared" ca="1" si="69"/>
        <v>0</v>
      </c>
      <c r="CM137" s="34">
        <f t="shared" ca="1" si="69"/>
        <v>0</v>
      </c>
      <c r="CN137" s="34">
        <f t="shared" ca="1" si="69"/>
        <v>0</v>
      </c>
      <c r="CO137" s="34">
        <f t="shared" ca="1" si="69"/>
        <v>0</v>
      </c>
      <c r="CP137" s="34">
        <f t="shared" ca="1" si="69"/>
        <v>0</v>
      </c>
      <c r="CQ137" s="34">
        <f t="shared" ca="1" si="85"/>
        <v>4094.6973229144119</v>
      </c>
      <c r="CR137" s="363">
        <v>0</v>
      </c>
      <c r="CS137" s="34">
        <f t="shared" ca="1" si="86"/>
        <v>4094.6973229144119</v>
      </c>
      <c r="CT137" s="233"/>
    </row>
    <row r="138" spans="2:98" x14ac:dyDescent="0.3">
      <c r="B138" s="232"/>
      <c r="C138" s="250">
        <f t="shared" si="87"/>
        <v>2022</v>
      </c>
      <c r="D138" s="263">
        <f t="shared" ca="1" si="70"/>
        <v>0</v>
      </c>
      <c r="E138" s="263">
        <f t="shared" ca="1" si="52"/>
        <v>614.20459843716174</v>
      </c>
      <c r="F138" s="263">
        <f t="shared" ca="1" si="53"/>
        <v>0</v>
      </c>
      <c r="G138" s="263">
        <f t="shared" ca="1" si="71"/>
        <v>3685.2275906229706</v>
      </c>
      <c r="H138" s="15"/>
      <c r="I138" s="271">
        <f ca="1">Assumptions!O$68</f>
        <v>4.5</v>
      </c>
      <c r="J138" s="271">
        <f ca="1">Assumptions!P$68</f>
        <v>80</v>
      </c>
      <c r="K138" s="271">
        <f t="shared" ca="1" si="54"/>
        <v>40</v>
      </c>
      <c r="L138" s="15"/>
      <c r="M138" s="35">
        <f t="shared" ca="1" si="72"/>
        <v>4.2299999999999995</v>
      </c>
      <c r="N138" s="35">
        <f t="shared" ca="1" si="55"/>
        <v>64</v>
      </c>
      <c r="O138" s="35">
        <f t="shared" ca="1" si="56"/>
        <v>32</v>
      </c>
      <c r="P138" s="15"/>
      <c r="Q138" s="34">
        <f t="shared" ca="1" si="73"/>
        <v>0</v>
      </c>
      <c r="R138" s="34">
        <f t="shared" ca="1" si="73"/>
        <v>39309.094299978351</v>
      </c>
      <c r="S138" s="34">
        <f t="shared" ca="1" si="73"/>
        <v>0</v>
      </c>
      <c r="T138" s="34">
        <f t="shared" ca="1" si="74"/>
        <v>39309.094299978351</v>
      </c>
      <c r="U138" s="15"/>
      <c r="V138" s="35">
        <f t="shared" si="75"/>
        <v>0.7</v>
      </c>
      <c r="W138" s="34">
        <f t="shared" ca="1" si="88"/>
        <v>3126.8597738619142</v>
      </c>
      <c r="X138" s="35">
        <f t="shared" si="76"/>
        <v>0.222</v>
      </c>
      <c r="Y138" s="34">
        <f t="shared" ca="1" si="77"/>
        <v>991.66124256763578</v>
      </c>
      <c r="Z138" s="35">
        <f t="shared" si="78"/>
        <v>0.34799999999999998</v>
      </c>
      <c r="AA138" s="34">
        <f t="shared" ca="1" si="79"/>
        <v>1554.4960018627803</v>
      </c>
      <c r="AB138" s="34">
        <f t="shared" ca="1" si="80"/>
        <v>5673.0170182923302</v>
      </c>
      <c r="AC138" s="15"/>
      <c r="AD138" s="34">
        <f t="shared" ca="1" si="81"/>
        <v>33636.077281686019</v>
      </c>
      <c r="AE138" s="34">
        <f ca="1"/>
        <v>0</v>
      </c>
      <c r="AF138" s="34">
        <f t="shared" ca="1" si="82"/>
        <v>33636.077281686019</v>
      </c>
      <c r="AG138" s="15"/>
      <c r="AH138" s="272">
        <f t="shared" si="89"/>
        <v>44926</v>
      </c>
      <c r="AI138" s="267">
        <f t="shared" si="57"/>
        <v>8.6666666666666661</v>
      </c>
      <c r="AJ138" s="267">
        <f t="shared" si="58"/>
        <v>0.4377875384583188</v>
      </c>
      <c r="AK138" s="34">
        <f t="shared" ca="1" si="90"/>
        <v>14725.455476543102</v>
      </c>
      <c r="AL138" s="233"/>
      <c r="AN138" s="349"/>
      <c r="AO138" s="237">
        <f t="shared" si="83"/>
        <v>9</v>
      </c>
      <c r="AP138" s="34">
        <f t="shared" ca="1" si="59"/>
        <v>0</v>
      </c>
      <c r="AQ138" s="34">
        <f t="shared" ca="1" si="60"/>
        <v>4.6638611144775002</v>
      </c>
      <c r="AR138" s="34">
        <f t="shared" ca="1" si="61"/>
        <v>0</v>
      </c>
      <c r="AS138" s="34">
        <f t="shared" ca="1" si="84"/>
        <v>27.983166686865001</v>
      </c>
      <c r="AT138" s="350">
        <v>-0.1</v>
      </c>
      <c r="AU138" s="34">
        <f ca="1">MIN(AU137*(1+AT138),$AT$126-SUM(AU$129:AU137))</f>
        <v>27.983166686865001</v>
      </c>
      <c r="AV138" s="369"/>
      <c r="AW138" s="34">
        <f t="shared" ca="1" si="62"/>
        <v>0</v>
      </c>
      <c r="AX138" s="34">
        <f t="shared" ca="1" si="63"/>
        <v>3.8476854194439376</v>
      </c>
      <c r="AY138" s="34">
        <f t="shared" ca="1" si="64"/>
        <v>0</v>
      </c>
      <c r="AZ138" s="34">
        <f t="shared" ca="1" si="65"/>
        <v>23.086112516663626</v>
      </c>
      <c r="BA138" s="34"/>
      <c r="BB138" s="34">
        <f t="shared" ca="1" si="66"/>
        <v>0</v>
      </c>
      <c r="BC138" s="34">
        <f t="shared" ca="1" si="66"/>
        <v>1205.6080980924337</v>
      </c>
      <c r="BD138" s="34">
        <f t="shared" ca="1" si="66"/>
        <v>1339.5645534360374</v>
      </c>
      <c r="BE138" s="34">
        <f t="shared" ca="1" si="66"/>
        <v>1140.0549390944998</v>
      </c>
      <c r="BF138" s="34">
        <f t="shared" ca="1" si="66"/>
        <v>0</v>
      </c>
      <c r="BG138" s="34">
        <f t="shared" ca="1" si="66"/>
        <v>0</v>
      </c>
      <c r="BH138" s="34">
        <f t="shared" ca="1" si="66"/>
        <v>0</v>
      </c>
      <c r="BI138" s="34">
        <f t="shared" ca="1" si="66"/>
        <v>0</v>
      </c>
      <c r="BJ138" s="34">
        <f t="shared" ca="1" si="66"/>
        <v>0</v>
      </c>
      <c r="BK138" s="34">
        <f t="shared" ca="1" si="66"/>
        <v>0</v>
      </c>
      <c r="BL138" s="34">
        <f t="shared" ca="1" si="67"/>
        <v>0</v>
      </c>
      <c r="BM138" s="34">
        <f t="shared" ca="1" si="67"/>
        <v>0</v>
      </c>
      <c r="BN138" s="34">
        <f t="shared" ca="1" si="67"/>
        <v>0</v>
      </c>
      <c r="BO138" s="34">
        <f t="shared" ca="1" si="67"/>
        <v>0</v>
      </c>
      <c r="BP138" s="34">
        <f t="shared" ca="1" si="67"/>
        <v>0</v>
      </c>
      <c r="BQ138" s="34">
        <f t="shared" ca="1" si="67"/>
        <v>0</v>
      </c>
      <c r="BR138" s="34">
        <f t="shared" ca="1" si="67"/>
        <v>0</v>
      </c>
      <c r="BS138" s="34">
        <f t="shared" ca="1" si="67"/>
        <v>0</v>
      </c>
      <c r="BT138" s="34">
        <f t="shared" ca="1" si="67"/>
        <v>0</v>
      </c>
      <c r="BU138" s="34">
        <f t="shared" ca="1" si="67"/>
        <v>0</v>
      </c>
      <c r="BV138" s="34">
        <f t="shared" ca="1" si="68"/>
        <v>0</v>
      </c>
      <c r="BW138" s="34">
        <f t="shared" ca="1" si="68"/>
        <v>0</v>
      </c>
      <c r="BX138" s="34">
        <f t="shared" ca="1" si="68"/>
        <v>0</v>
      </c>
      <c r="BY138" s="34">
        <f t="shared" ca="1" si="68"/>
        <v>0</v>
      </c>
      <c r="BZ138" s="34">
        <f t="shared" ca="1" si="68"/>
        <v>0</v>
      </c>
      <c r="CA138" s="34">
        <f t="shared" ca="1" si="68"/>
        <v>0</v>
      </c>
      <c r="CB138" s="34">
        <f t="shared" ca="1" si="68"/>
        <v>0</v>
      </c>
      <c r="CC138" s="34">
        <f t="shared" ca="1" si="68"/>
        <v>0</v>
      </c>
      <c r="CD138" s="34">
        <f t="shared" ca="1" si="68"/>
        <v>0</v>
      </c>
      <c r="CE138" s="34">
        <f t="shared" ca="1" si="68"/>
        <v>0</v>
      </c>
      <c r="CF138" s="34">
        <f t="shared" ca="1" si="69"/>
        <v>0</v>
      </c>
      <c r="CG138" s="34">
        <f t="shared" ca="1" si="69"/>
        <v>0</v>
      </c>
      <c r="CH138" s="34">
        <f t="shared" ca="1" si="69"/>
        <v>0</v>
      </c>
      <c r="CI138" s="34">
        <f t="shared" ca="1" si="69"/>
        <v>0</v>
      </c>
      <c r="CJ138" s="34">
        <f t="shared" ca="1" si="69"/>
        <v>0</v>
      </c>
      <c r="CK138" s="34">
        <f t="shared" ca="1" si="69"/>
        <v>0</v>
      </c>
      <c r="CL138" s="34">
        <f t="shared" ca="1" si="69"/>
        <v>0</v>
      </c>
      <c r="CM138" s="34">
        <f t="shared" ca="1" si="69"/>
        <v>0</v>
      </c>
      <c r="CN138" s="34">
        <f t="shared" ca="1" si="69"/>
        <v>0</v>
      </c>
      <c r="CO138" s="34">
        <f t="shared" ca="1" si="69"/>
        <v>0</v>
      </c>
      <c r="CP138" s="34">
        <f t="shared" ca="1" si="69"/>
        <v>0</v>
      </c>
      <c r="CQ138" s="34">
        <f t="shared" ca="1" si="85"/>
        <v>3685.2275906229706</v>
      </c>
      <c r="CR138" s="363">
        <v>0</v>
      </c>
      <c r="CS138" s="34">
        <f t="shared" ca="1" si="86"/>
        <v>3685.2275906229706</v>
      </c>
      <c r="CT138" s="233"/>
    </row>
    <row r="139" spans="2:98" x14ac:dyDescent="0.3">
      <c r="B139" s="232"/>
      <c r="C139" s="250">
        <f t="shared" si="87"/>
        <v>2023</v>
      </c>
      <c r="D139" s="263">
        <f t="shared" ca="1" si="70"/>
        <v>0</v>
      </c>
      <c r="E139" s="263">
        <f t="shared" ca="1" si="52"/>
        <v>552.78413859344573</v>
      </c>
      <c r="F139" s="263">
        <f t="shared" ca="1" si="53"/>
        <v>0</v>
      </c>
      <c r="G139" s="263">
        <f t="shared" ca="1" si="71"/>
        <v>3316.7048315606744</v>
      </c>
      <c r="H139" s="15"/>
      <c r="I139" s="271">
        <f ca="1">Assumptions!O$68</f>
        <v>4.5</v>
      </c>
      <c r="J139" s="271">
        <f ca="1">Assumptions!P$68</f>
        <v>80</v>
      </c>
      <c r="K139" s="271">
        <f t="shared" ca="1" si="54"/>
        <v>40</v>
      </c>
      <c r="L139" s="15"/>
      <c r="M139" s="35">
        <f t="shared" ca="1" si="72"/>
        <v>4.2299999999999995</v>
      </c>
      <c r="N139" s="35">
        <f t="shared" ca="1" si="55"/>
        <v>64</v>
      </c>
      <c r="O139" s="35">
        <f t="shared" ca="1" si="56"/>
        <v>32</v>
      </c>
      <c r="P139" s="15"/>
      <c r="Q139" s="34">
        <f t="shared" ca="1" si="73"/>
        <v>0</v>
      </c>
      <c r="R139" s="34">
        <f t="shared" ca="1" si="73"/>
        <v>35378.184869980527</v>
      </c>
      <c r="S139" s="34">
        <f t="shared" ca="1" si="73"/>
        <v>0</v>
      </c>
      <c r="T139" s="34">
        <f t="shared" ca="1" si="74"/>
        <v>35378.184869980527</v>
      </c>
      <c r="U139" s="15"/>
      <c r="V139" s="35">
        <f t="shared" si="75"/>
        <v>0.7</v>
      </c>
      <c r="W139" s="34">
        <f t="shared" ca="1" si="88"/>
        <v>2814.1737964757235</v>
      </c>
      <c r="X139" s="35">
        <f t="shared" si="76"/>
        <v>0.222</v>
      </c>
      <c r="Y139" s="34">
        <f t="shared" ca="1" si="77"/>
        <v>892.4951183108725</v>
      </c>
      <c r="Z139" s="35">
        <f t="shared" si="78"/>
        <v>0.34799999999999998</v>
      </c>
      <c r="AA139" s="34">
        <f t="shared" ca="1" si="79"/>
        <v>1399.0464016765027</v>
      </c>
      <c r="AB139" s="34">
        <f t="shared" ca="1" si="80"/>
        <v>5105.7153164630981</v>
      </c>
      <c r="AC139" s="15"/>
      <c r="AD139" s="34">
        <f t="shared" ca="1" si="81"/>
        <v>30272.469553517429</v>
      </c>
      <c r="AE139" s="34">
        <f ca="1"/>
        <v>0</v>
      </c>
      <c r="AF139" s="34">
        <f t="shared" ca="1" si="82"/>
        <v>30272.469553517429</v>
      </c>
      <c r="AG139" s="15"/>
      <c r="AH139" s="272">
        <f t="shared" si="89"/>
        <v>45291</v>
      </c>
      <c r="AI139" s="267">
        <f t="shared" si="57"/>
        <v>9.6666666666666661</v>
      </c>
      <c r="AJ139" s="267">
        <f t="shared" si="58"/>
        <v>0.39798867132574434</v>
      </c>
      <c r="AK139" s="34">
        <f t="shared" ca="1" si="90"/>
        <v>12048.09993535345</v>
      </c>
      <c r="AL139" s="233"/>
      <c r="AN139" s="349"/>
      <c r="AO139" s="237">
        <f t="shared" si="83"/>
        <v>10</v>
      </c>
      <c r="AP139" s="34">
        <f t="shared" ca="1" si="59"/>
        <v>0</v>
      </c>
      <c r="AQ139" s="34">
        <f t="shared" ca="1" si="60"/>
        <v>4.1974750030297505</v>
      </c>
      <c r="AR139" s="34">
        <f t="shared" ca="1" si="61"/>
        <v>0</v>
      </c>
      <c r="AS139" s="34">
        <f t="shared" ca="1" si="84"/>
        <v>25.184850018178501</v>
      </c>
      <c r="AT139" s="350">
        <v>-0.1</v>
      </c>
      <c r="AU139" s="34">
        <f ca="1">MIN(AU138*(1+AT139),$AT$126-SUM(AU$129:AU138))</f>
        <v>25.184850018178501</v>
      </c>
      <c r="AV139" s="369"/>
      <c r="AW139" s="34">
        <f t="shared" ca="1" si="62"/>
        <v>0</v>
      </c>
      <c r="AX139" s="34">
        <f t="shared" ca="1" si="63"/>
        <v>3.462916877499544</v>
      </c>
      <c r="AY139" s="34">
        <f t="shared" ca="1" si="64"/>
        <v>0</v>
      </c>
      <c r="AZ139" s="34">
        <f t="shared" ca="1" si="65"/>
        <v>20.777501264997262</v>
      </c>
      <c r="BA139" s="34"/>
      <c r="BB139" s="34">
        <f t="shared" ref="BB139:BK148" ca="1" si="91">IF($AO139&lt;BB$128,0,OFFSET($AZ$128,$AO139-BB$128+1,0)*BB$126)</f>
        <v>0</v>
      </c>
      <c r="BC139" s="34">
        <f t="shared" ca="1" si="91"/>
        <v>1085.0472882831905</v>
      </c>
      <c r="BD139" s="34">
        <f t="shared" ca="1" si="91"/>
        <v>1205.6080980924337</v>
      </c>
      <c r="BE139" s="34">
        <f t="shared" ca="1" si="91"/>
        <v>1026.04944518505</v>
      </c>
      <c r="BF139" s="34">
        <f t="shared" ca="1" si="91"/>
        <v>0</v>
      </c>
      <c r="BG139" s="34">
        <f t="shared" ca="1" si="91"/>
        <v>0</v>
      </c>
      <c r="BH139" s="34">
        <f t="shared" ca="1" si="91"/>
        <v>0</v>
      </c>
      <c r="BI139" s="34">
        <f t="shared" ca="1" si="91"/>
        <v>0</v>
      </c>
      <c r="BJ139" s="34">
        <f t="shared" ca="1" si="91"/>
        <v>0</v>
      </c>
      <c r="BK139" s="34">
        <f t="shared" ca="1" si="91"/>
        <v>0</v>
      </c>
      <c r="BL139" s="34">
        <f t="shared" ref="BL139:BU148" ca="1" si="92">IF($AO139&lt;BL$128,0,OFFSET($AZ$128,$AO139-BL$128+1,0)*BL$126)</f>
        <v>0</v>
      </c>
      <c r="BM139" s="34">
        <f t="shared" ca="1" si="92"/>
        <v>0</v>
      </c>
      <c r="BN139" s="34">
        <f t="shared" ca="1" si="92"/>
        <v>0</v>
      </c>
      <c r="BO139" s="34">
        <f t="shared" ca="1" si="92"/>
        <v>0</v>
      </c>
      <c r="BP139" s="34">
        <f t="shared" ca="1" si="92"/>
        <v>0</v>
      </c>
      <c r="BQ139" s="34">
        <f t="shared" ca="1" si="92"/>
        <v>0</v>
      </c>
      <c r="BR139" s="34">
        <f t="shared" ca="1" si="92"/>
        <v>0</v>
      </c>
      <c r="BS139" s="34">
        <f t="shared" ca="1" si="92"/>
        <v>0</v>
      </c>
      <c r="BT139" s="34">
        <f t="shared" ca="1" si="92"/>
        <v>0</v>
      </c>
      <c r="BU139" s="34">
        <f t="shared" ca="1" si="92"/>
        <v>0</v>
      </c>
      <c r="BV139" s="34">
        <f t="shared" ref="BV139:CE148" ca="1" si="93">IF($AO139&lt;BV$128,0,OFFSET($AZ$128,$AO139-BV$128+1,0)*BV$126)</f>
        <v>0</v>
      </c>
      <c r="BW139" s="34">
        <f t="shared" ca="1" si="93"/>
        <v>0</v>
      </c>
      <c r="BX139" s="34">
        <f t="shared" ca="1" si="93"/>
        <v>0</v>
      </c>
      <c r="BY139" s="34">
        <f t="shared" ca="1" si="93"/>
        <v>0</v>
      </c>
      <c r="BZ139" s="34">
        <f t="shared" ca="1" si="93"/>
        <v>0</v>
      </c>
      <c r="CA139" s="34">
        <f t="shared" ca="1" si="93"/>
        <v>0</v>
      </c>
      <c r="CB139" s="34">
        <f t="shared" ca="1" si="93"/>
        <v>0</v>
      </c>
      <c r="CC139" s="34">
        <f t="shared" ca="1" si="93"/>
        <v>0</v>
      </c>
      <c r="CD139" s="34">
        <f t="shared" ca="1" si="93"/>
        <v>0</v>
      </c>
      <c r="CE139" s="34">
        <f t="shared" ca="1" si="93"/>
        <v>0</v>
      </c>
      <c r="CF139" s="34">
        <f t="shared" ref="CF139:CP148" ca="1" si="94">IF($AO139&lt;CF$128,0,OFFSET($AZ$128,$AO139-CF$128+1,0)*CF$126)</f>
        <v>0</v>
      </c>
      <c r="CG139" s="34">
        <f t="shared" ca="1" si="94"/>
        <v>0</v>
      </c>
      <c r="CH139" s="34">
        <f t="shared" ca="1" si="94"/>
        <v>0</v>
      </c>
      <c r="CI139" s="34">
        <f t="shared" ca="1" si="94"/>
        <v>0</v>
      </c>
      <c r="CJ139" s="34">
        <f t="shared" ca="1" si="94"/>
        <v>0</v>
      </c>
      <c r="CK139" s="34">
        <f t="shared" ca="1" si="94"/>
        <v>0</v>
      </c>
      <c r="CL139" s="34">
        <f t="shared" ca="1" si="94"/>
        <v>0</v>
      </c>
      <c r="CM139" s="34">
        <f t="shared" ca="1" si="94"/>
        <v>0</v>
      </c>
      <c r="CN139" s="34">
        <f t="shared" ca="1" si="94"/>
        <v>0</v>
      </c>
      <c r="CO139" s="34">
        <f t="shared" ca="1" si="94"/>
        <v>0</v>
      </c>
      <c r="CP139" s="34">
        <f t="shared" ca="1" si="94"/>
        <v>0</v>
      </c>
      <c r="CQ139" s="34">
        <f t="shared" ca="1" si="85"/>
        <v>3316.7048315606744</v>
      </c>
      <c r="CR139" s="363">
        <v>0</v>
      </c>
      <c r="CS139" s="34">
        <f t="shared" ca="1" si="86"/>
        <v>3316.7048315606744</v>
      </c>
      <c r="CT139" s="233"/>
    </row>
    <row r="140" spans="2:98" x14ac:dyDescent="0.3">
      <c r="B140" s="232"/>
      <c r="C140" s="250">
        <f t="shared" si="87"/>
        <v>2024</v>
      </c>
      <c r="D140" s="263">
        <f t="shared" ca="1" si="70"/>
        <v>0</v>
      </c>
      <c r="E140" s="263">
        <f t="shared" ca="1" si="52"/>
        <v>497.50572473410119</v>
      </c>
      <c r="F140" s="263">
        <f t="shared" ca="1" si="53"/>
        <v>0</v>
      </c>
      <c r="G140" s="263">
        <f t="shared" ca="1" si="71"/>
        <v>2985.034348404607</v>
      </c>
      <c r="H140" s="15"/>
      <c r="I140" s="271">
        <f ca="1">Assumptions!O$68</f>
        <v>4.5</v>
      </c>
      <c r="J140" s="271">
        <f ca="1">Assumptions!P$68</f>
        <v>80</v>
      </c>
      <c r="K140" s="271">
        <f t="shared" ca="1" si="54"/>
        <v>40</v>
      </c>
      <c r="L140" s="15"/>
      <c r="M140" s="35">
        <f t="shared" ca="1" si="72"/>
        <v>4.2299999999999995</v>
      </c>
      <c r="N140" s="35">
        <f t="shared" ca="1" si="55"/>
        <v>64</v>
      </c>
      <c r="O140" s="35">
        <f t="shared" ca="1" si="56"/>
        <v>32</v>
      </c>
      <c r="P140" s="15"/>
      <c r="Q140" s="34">
        <f t="shared" ca="1" si="73"/>
        <v>0</v>
      </c>
      <c r="R140" s="34">
        <f t="shared" ca="1" si="73"/>
        <v>31840.366382982476</v>
      </c>
      <c r="S140" s="34">
        <f t="shared" ca="1" si="73"/>
        <v>0</v>
      </c>
      <c r="T140" s="34">
        <f t="shared" ca="1" si="74"/>
        <v>31840.366382982476</v>
      </c>
      <c r="U140" s="15"/>
      <c r="V140" s="35">
        <f t="shared" si="75"/>
        <v>0.7</v>
      </c>
      <c r="W140" s="34">
        <f t="shared" ca="1" si="88"/>
        <v>2532.7564168281515</v>
      </c>
      <c r="X140" s="35">
        <f t="shared" si="76"/>
        <v>0.222</v>
      </c>
      <c r="Y140" s="34">
        <f t="shared" ca="1" si="77"/>
        <v>803.24560647978524</v>
      </c>
      <c r="Z140" s="35">
        <f t="shared" si="78"/>
        <v>0.34799999999999998</v>
      </c>
      <c r="AA140" s="34">
        <f t="shared" ca="1" si="79"/>
        <v>1259.1417615088524</v>
      </c>
      <c r="AB140" s="34">
        <f t="shared" ca="1" si="80"/>
        <v>4595.1437848167889</v>
      </c>
      <c r="AC140" s="15"/>
      <c r="AD140" s="34">
        <f t="shared" ca="1" si="81"/>
        <v>27245.222598165688</v>
      </c>
      <c r="AE140" s="34">
        <f ca="1"/>
        <v>0</v>
      </c>
      <c r="AF140" s="34">
        <f t="shared" ca="1" si="82"/>
        <v>27245.222598165688</v>
      </c>
      <c r="AG140" s="15"/>
      <c r="AH140" s="272">
        <f t="shared" si="89"/>
        <v>45657</v>
      </c>
      <c r="AI140" s="267">
        <f t="shared" si="57"/>
        <v>10.666666666666666</v>
      </c>
      <c r="AJ140" s="267">
        <f t="shared" si="58"/>
        <v>0.36180788302340394</v>
      </c>
      <c r="AK140" s="34">
        <f t="shared" ca="1" si="90"/>
        <v>9857.5363107437333</v>
      </c>
      <c r="AL140" s="233"/>
      <c r="AN140" s="349"/>
      <c r="AO140" s="237">
        <f t="shared" si="83"/>
        <v>11</v>
      </c>
      <c r="AP140" s="34">
        <f t="shared" ca="1" si="59"/>
        <v>0</v>
      </c>
      <c r="AQ140" s="34">
        <f t="shared" ca="1" si="60"/>
        <v>3.7777275027267749</v>
      </c>
      <c r="AR140" s="34">
        <f t="shared" ca="1" si="61"/>
        <v>0</v>
      </c>
      <c r="AS140" s="34">
        <f t="shared" ca="1" si="84"/>
        <v>22.66636501636065</v>
      </c>
      <c r="AT140" s="350">
        <v>-0.1</v>
      </c>
      <c r="AU140" s="34">
        <f ca="1">MIN(AU139*(1+AT140),$AT$126-SUM(AU$129:AU139))</f>
        <v>22.66636501636065</v>
      </c>
      <c r="AV140" s="369"/>
      <c r="AW140" s="34">
        <f t="shared" ca="1" si="62"/>
        <v>0</v>
      </c>
      <c r="AX140" s="34">
        <f t="shared" ca="1" si="63"/>
        <v>3.1166251897495894</v>
      </c>
      <c r="AY140" s="34">
        <f t="shared" ca="1" si="64"/>
        <v>0</v>
      </c>
      <c r="AZ140" s="34">
        <f t="shared" ca="1" si="65"/>
        <v>18.699751138497536</v>
      </c>
      <c r="BA140" s="34"/>
      <c r="BB140" s="34">
        <f t="shared" ca="1" si="91"/>
        <v>0</v>
      </c>
      <c r="BC140" s="34">
        <f t="shared" ca="1" si="91"/>
        <v>976.54255945487137</v>
      </c>
      <c r="BD140" s="34">
        <f t="shared" ca="1" si="91"/>
        <v>1085.0472882831905</v>
      </c>
      <c r="BE140" s="34">
        <f t="shared" ca="1" si="91"/>
        <v>923.44450066654497</v>
      </c>
      <c r="BF140" s="34">
        <f t="shared" ca="1" si="91"/>
        <v>0</v>
      </c>
      <c r="BG140" s="34">
        <f t="shared" ca="1" si="91"/>
        <v>0</v>
      </c>
      <c r="BH140" s="34">
        <f t="shared" ca="1" si="91"/>
        <v>0</v>
      </c>
      <c r="BI140" s="34">
        <f t="shared" ca="1" si="91"/>
        <v>0</v>
      </c>
      <c r="BJ140" s="34">
        <f t="shared" ca="1" si="91"/>
        <v>0</v>
      </c>
      <c r="BK140" s="34">
        <f t="shared" ca="1" si="91"/>
        <v>0</v>
      </c>
      <c r="BL140" s="34">
        <f t="shared" ca="1" si="92"/>
        <v>0</v>
      </c>
      <c r="BM140" s="34">
        <f t="shared" ca="1" si="92"/>
        <v>0</v>
      </c>
      <c r="BN140" s="34">
        <f t="shared" ca="1" si="92"/>
        <v>0</v>
      </c>
      <c r="BO140" s="34">
        <f t="shared" ca="1" si="92"/>
        <v>0</v>
      </c>
      <c r="BP140" s="34">
        <f t="shared" ca="1" si="92"/>
        <v>0</v>
      </c>
      <c r="BQ140" s="34">
        <f t="shared" ca="1" si="92"/>
        <v>0</v>
      </c>
      <c r="BR140" s="34">
        <f t="shared" ca="1" si="92"/>
        <v>0</v>
      </c>
      <c r="BS140" s="34">
        <f t="shared" ca="1" si="92"/>
        <v>0</v>
      </c>
      <c r="BT140" s="34">
        <f t="shared" ca="1" si="92"/>
        <v>0</v>
      </c>
      <c r="BU140" s="34">
        <f t="shared" ca="1" si="92"/>
        <v>0</v>
      </c>
      <c r="BV140" s="34">
        <f t="shared" ca="1" si="93"/>
        <v>0</v>
      </c>
      <c r="BW140" s="34">
        <f t="shared" ca="1" si="93"/>
        <v>0</v>
      </c>
      <c r="BX140" s="34">
        <f t="shared" ca="1" si="93"/>
        <v>0</v>
      </c>
      <c r="BY140" s="34">
        <f t="shared" ca="1" si="93"/>
        <v>0</v>
      </c>
      <c r="BZ140" s="34">
        <f t="shared" ca="1" si="93"/>
        <v>0</v>
      </c>
      <c r="CA140" s="34">
        <f t="shared" ca="1" si="93"/>
        <v>0</v>
      </c>
      <c r="CB140" s="34">
        <f t="shared" ca="1" si="93"/>
        <v>0</v>
      </c>
      <c r="CC140" s="34">
        <f t="shared" ca="1" si="93"/>
        <v>0</v>
      </c>
      <c r="CD140" s="34">
        <f t="shared" ca="1" si="93"/>
        <v>0</v>
      </c>
      <c r="CE140" s="34">
        <f t="shared" ca="1" si="93"/>
        <v>0</v>
      </c>
      <c r="CF140" s="34">
        <f t="shared" ca="1" si="94"/>
        <v>0</v>
      </c>
      <c r="CG140" s="34">
        <f t="shared" ca="1" si="94"/>
        <v>0</v>
      </c>
      <c r="CH140" s="34">
        <f t="shared" ca="1" si="94"/>
        <v>0</v>
      </c>
      <c r="CI140" s="34">
        <f t="shared" ca="1" si="94"/>
        <v>0</v>
      </c>
      <c r="CJ140" s="34">
        <f t="shared" ca="1" si="94"/>
        <v>0</v>
      </c>
      <c r="CK140" s="34">
        <f t="shared" ca="1" si="94"/>
        <v>0</v>
      </c>
      <c r="CL140" s="34">
        <f t="shared" ca="1" si="94"/>
        <v>0</v>
      </c>
      <c r="CM140" s="34">
        <f t="shared" ca="1" si="94"/>
        <v>0</v>
      </c>
      <c r="CN140" s="34">
        <f t="shared" ca="1" si="94"/>
        <v>0</v>
      </c>
      <c r="CO140" s="34">
        <f t="shared" ca="1" si="94"/>
        <v>0</v>
      </c>
      <c r="CP140" s="34">
        <f t="shared" ca="1" si="94"/>
        <v>0</v>
      </c>
      <c r="CQ140" s="34">
        <f t="shared" ca="1" si="85"/>
        <v>2985.034348404607</v>
      </c>
      <c r="CR140" s="363">
        <v>0</v>
      </c>
      <c r="CS140" s="34">
        <f t="shared" ca="1" si="86"/>
        <v>2985.034348404607</v>
      </c>
      <c r="CT140" s="233"/>
    </row>
    <row r="141" spans="2:98" x14ac:dyDescent="0.3">
      <c r="B141" s="232"/>
      <c r="C141" s="250">
        <f t="shared" si="87"/>
        <v>2025</v>
      </c>
      <c r="D141" s="263">
        <f t="shared" ca="1" si="70"/>
        <v>0</v>
      </c>
      <c r="E141" s="263">
        <f t="shared" ca="1" si="52"/>
        <v>447.75515226069098</v>
      </c>
      <c r="F141" s="263">
        <f t="shared" ca="1" si="53"/>
        <v>0</v>
      </c>
      <c r="G141" s="263">
        <f t="shared" ca="1" si="71"/>
        <v>2686.530913564146</v>
      </c>
      <c r="H141" s="15"/>
      <c r="I141" s="271">
        <f ca="1">Assumptions!O$68</f>
        <v>4.5</v>
      </c>
      <c r="J141" s="271">
        <f ca="1">Assumptions!P$68</f>
        <v>80</v>
      </c>
      <c r="K141" s="271">
        <f t="shared" ca="1" si="54"/>
        <v>40</v>
      </c>
      <c r="L141" s="15"/>
      <c r="M141" s="35">
        <f t="shared" ca="1" si="72"/>
        <v>4.2299999999999995</v>
      </c>
      <c r="N141" s="35">
        <f t="shared" ca="1" si="55"/>
        <v>64</v>
      </c>
      <c r="O141" s="35">
        <f t="shared" ca="1" si="56"/>
        <v>32</v>
      </c>
      <c r="P141" s="15"/>
      <c r="Q141" s="34">
        <f t="shared" ca="1" si="73"/>
        <v>0</v>
      </c>
      <c r="R141" s="34">
        <f t="shared" ca="1" si="73"/>
        <v>28656.329744684223</v>
      </c>
      <c r="S141" s="34">
        <f t="shared" ca="1" si="73"/>
        <v>0</v>
      </c>
      <c r="T141" s="34">
        <f t="shared" ca="1" si="74"/>
        <v>28656.329744684223</v>
      </c>
      <c r="U141" s="15"/>
      <c r="V141" s="35">
        <f t="shared" si="75"/>
        <v>0.7</v>
      </c>
      <c r="W141" s="34">
        <f t="shared" ca="1" si="88"/>
        <v>2279.4807751453359</v>
      </c>
      <c r="X141" s="35">
        <f t="shared" si="76"/>
        <v>0.222</v>
      </c>
      <c r="Y141" s="34">
        <f t="shared" ca="1" si="77"/>
        <v>722.92104583180651</v>
      </c>
      <c r="Z141" s="35">
        <f t="shared" si="78"/>
        <v>0.34799999999999998</v>
      </c>
      <c r="AA141" s="34">
        <f t="shared" ca="1" si="79"/>
        <v>1133.227585357967</v>
      </c>
      <c r="AB141" s="34">
        <f t="shared" ca="1" si="80"/>
        <v>4135.6294063351097</v>
      </c>
      <c r="AC141" s="15"/>
      <c r="AD141" s="34">
        <f t="shared" ca="1" si="81"/>
        <v>24520.700338349114</v>
      </c>
      <c r="AE141" s="34">
        <f ca="1"/>
        <v>0</v>
      </c>
      <c r="AF141" s="34">
        <f t="shared" ca="1" si="82"/>
        <v>24520.700338349114</v>
      </c>
      <c r="AG141" s="15"/>
      <c r="AH141" s="272">
        <f t="shared" si="89"/>
        <v>46022</v>
      </c>
      <c r="AI141" s="267">
        <f t="shared" si="57"/>
        <v>11.666666666666666</v>
      </c>
      <c r="AJ141" s="267">
        <f t="shared" si="58"/>
        <v>0.32891625729400353</v>
      </c>
      <c r="AK141" s="34">
        <f t="shared" ca="1" si="90"/>
        <v>8065.2569815175966</v>
      </c>
      <c r="AL141" s="233"/>
      <c r="AN141" s="349"/>
      <c r="AO141" s="237">
        <f t="shared" si="83"/>
        <v>12</v>
      </c>
      <c r="AP141" s="34">
        <f t="shared" ca="1" si="59"/>
        <v>0</v>
      </c>
      <c r="AQ141" s="34">
        <f t="shared" ca="1" si="60"/>
        <v>3.3999547524540978</v>
      </c>
      <c r="AR141" s="34">
        <f t="shared" ca="1" si="61"/>
        <v>0</v>
      </c>
      <c r="AS141" s="34">
        <f t="shared" ca="1" si="84"/>
        <v>20.399728514724586</v>
      </c>
      <c r="AT141" s="350">
        <v>-0.1</v>
      </c>
      <c r="AU141" s="34">
        <f ca="1">MIN(AU140*(1+AT141),$AT$126-SUM(AU$129:AU140))</f>
        <v>20.399728514724586</v>
      </c>
      <c r="AV141" s="369"/>
      <c r="AW141" s="34">
        <f t="shared" ca="1" si="62"/>
        <v>0</v>
      </c>
      <c r="AX141" s="34">
        <f t="shared" ca="1" si="63"/>
        <v>2.8049626707746307</v>
      </c>
      <c r="AY141" s="34">
        <f t="shared" ca="1" si="64"/>
        <v>0</v>
      </c>
      <c r="AZ141" s="34">
        <f t="shared" ca="1" si="65"/>
        <v>16.829776024647781</v>
      </c>
      <c r="BA141" s="34"/>
      <c r="BB141" s="34">
        <f t="shared" ca="1" si="91"/>
        <v>0</v>
      </c>
      <c r="BC141" s="34">
        <f t="shared" ca="1" si="91"/>
        <v>878.88830350938417</v>
      </c>
      <c r="BD141" s="34">
        <f t="shared" ca="1" si="91"/>
        <v>976.54255945487137</v>
      </c>
      <c r="BE141" s="34">
        <f t="shared" ca="1" si="91"/>
        <v>831.10005059989055</v>
      </c>
      <c r="BF141" s="34">
        <f t="shared" ca="1" si="91"/>
        <v>0</v>
      </c>
      <c r="BG141" s="34">
        <f t="shared" ca="1" si="91"/>
        <v>0</v>
      </c>
      <c r="BH141" s="34">
        <f t="shared" ca="1" si="91"/>
        <v>0</v>
      </c>
      <c r="BI141" s="34">
        <f t="shared" ca="1" si="91"/>
        <v>0</v>
      </c>
      <c r="BJ141" s="34">
        <f t="shared" ca="1" si="91"/>
        <v>0</v>
      </c>
      <c r="BK141" s="34">
        <f t="shared" ca="1" si="91"/>
        <v>0</v>
      </c>
      <c r="BL141" s="34">
        <f t="shared" ca="1" si="92"/>
        <v>0</v>
      </c>
      <c r="BM141" s="34">
        <f t="shared" ca="1" si="92"/>
        <v>0</v>
      </c>
      <c r="BN141" s="34">
        <f t="shared" ca="1" si="92"/>
        <v>0</v>
      </c>
      <c r="BO141" s="34">
        <f t="shared" ca="1" si="92"/>
        <v>0</v>
      </c>
      <c r="BP141" s="34">
        <f t="shared" ca="1" si="92"/>
        <v>0</v>
      </c>
      <c r="BQ141" s="34">
        <f t="shared" ca="1" si="92"/>
        <v>0</v>
      </c>
      <c r="BR141" s="34">
        <f t="shared" ca="1" si="92"/>
        <v>0</v>
      </c>
      <c r="BS141" s="34">
        <f t="shared" ca="1" si="92"/>
        <v>0</v>
      </c>
      <c r="BT141" s="34">
        <f t="shared" ca="1" si="92"/>
        <v>0</v>
      </c>
      <c r="BU141" s="34">
        <f t="shared" ca="1" si="92"/>
        <v>0</v>
      </c>
      <c r="BV141" s="34">
        <f t="shared" ca="1" si="93"/>
        <v>0</v>
      </c>
      <c r="BW141" s="34">
        <f t="shared" ca="1" si="93"/>
        <v>0</v>
      </c>
      <c r="BX141" s="34">
        <f t="shared" ca="1" si="93"/>
        <v>0</v>
      </c>
      <c r="BY141" s="34">
        <f t="shared" ca="1" si="93"/>
        <v>0</v>
      </c>
      <c r="BZ141" s="34">
        <f t="shared" ca="1" si="93"/>
        <v>0</v>
      </c>
      <c r="CA141" s="34">
        <f t="shared" ca="1" si="93"/>
        <v>0</v>
      </c>
      <c r="CB141" s="34">
        <f t="shared" ca="1" si="93"/>
        <v>0</v>
      </c>
      <c r="CC141" s="34">
        <f t="shared" ca="1" si="93"/>
        <v>0</v>
      </c>
      <c r="CD141" s="34">
        <f t="shared" ca="1" si="93"/>
        <v>0</v>
      </c>
      <c r="CE141" s="34">
        <f t="shared" ca="1" si="93"/>
        <v>0</v>
      </c>
      <c r="CF141" s="34">
        <f t="shared" ca="1" si="94"/>
        <v>0</v>
      </c>
      <c r="CG141" s="34">
        <f t="shared" ca="1" si="94"/>
        <v>0</v>
      </c>
      <c r="CH141" s="34">
        <f t="shared" ca="1" si="94"/>
        <v>0</v>
      </c>
      <c r="CI141" s="34">
        <f t="shared" ca="1" si="94"/>
        <v>0</v>
      </c>
      <c r="CJ141" s="34">
        <f t="shared" ca="1" si="94"/>
        <v>0</v>
      </c>
      <c r="CK141" s="34">
        <f t="shared" ca="1" si="94"/>
        <v>0</v>
      </c>
      <c r="CL141" s="34">
        <f t="shared" ca="1" si="94"/>
        <v>0</v>
      </c>
      <c r="CM141" s="34">
        <f t="shared" ca="1" si="94"/>
        <v>0</v>
      </c>
      <c r="CN141" s="34">
        <f t="shared" ca="1" si="94"/>
        <v>0</v>
      </c>
      <c r="CO141" s="34">
        <f t="shared" ca="1" si="94"/>
        <v>0</v>
      </c>
      <c r="CP141" s="34">
        <f t="shared" ca="1" si="94"/>
        <v>0</v>
      </c>
      <c r="CQ141" s="34">
        <f t="shared" ca="1" si="85"/>
        <v>2686.530913564146</v>
      </c>
      <c r="CR141" s="363">
        <v>0</v>
      </c>
      <c r="CS141" s="34">
        <f t="shared" ca="1" si="86"/>
        <v>2686.530913564146</v>
      </c>
      <c r="CT141" s="233"/>
    </row>
    <row r="142" spans="2:98" x14ac:dyDescent="0.3">
      <c r="B142" s="232"/>
      <c r="C142" s="250">
        <f t="shared" si="87"/>
        <v>2026</v>
      </c>
      <c r="D142" s="263">
        <f t="shared" ca="1" si="70"/>
        <v>0</v>
      </c>
      <c r="E142" s="263">
        <f t="shared" ca="1" si="52"/>
        <v>402.97963703462187</v>
      </c>
      <c r="F142" s="263">
        <f t="shared" ca="1" si="53"/>
        <v>0</v>
      </c>
      <c r="G142" s="263">
        <f t="shared" ca="1" si="71"/>
        <v>2417.8778222077312</v>
      </c>
      <c r="H142" s="15"/>
      <c r="I142" s="271">
        <f ca="1">Assumptions!O$68</f>
        <v>4.5</v>
      </c>
      <c r="J142" s="271">
        <f ca="1">Assumptions!P$68</f>
        <v>80</v>
      </c>
      <c r="K142" s="271">
        <f t="shared" ca="1" si="54"/>
        <v>40</v>
      </c>
      <c r="L142" s="15"/>
      <c r="M142" s="35">
        <f t="shared" ca="1" si="72"/>
        <v>4.2299999999999995</v>
      </c>
      <c r="N142" s="35">
        <f t="shared" ca="1" si="55"/>
        <v>64</v>
      </c>
      <c r="O142" s="35">
        <f t="shared" ca="1" si="56"/>
        <v>32</v>
      </c>
      <c r="P142" s="15"/>
      <c r="Q142" s="34">
        <f t="shared" ca="1" si="73"/>
        <v>0</v>
      </c>
      <c r="R142" s="34">
        <f t="shared" ca="1" si="73"/>
        <v>25790.6967702158</v>
      </c>
      <c r="S142" s="34">
        <f t="shared" ca="1" si="73"/>
        <v>0</v>
      </c>
      <c r="T142" s="34">
        <f t="shared" ca="1" si="74"/>
        <v>25790.6967702158</v>
      </c>
      <c r="U142" s="15"/>
      <c r="V142" s="35">
        <f t="shared" si="75"/>
        <v>0.7</v>
      </c>
      <c r="W142" s="34">
        <f t="shared" ca="1" si="88"/>
        <v>2051.5326976308024</v>
      </c>
      <c r="X142" s="35">
        <f t="shared" si="76"/>
        <v>0.222</v>
      </c>
      <c r="Y142" s="34">
        <f t="shared" ca="1" si="77"/>
        <v>650.62894124862589</v>
      </c>
      <c r="Z142" s="35">
        <f t="shared" si="78"/>
        <v>0.34799999999999998</v>
      </c>
      <c r="AA142" s="34">
        <f t="shared" ca="1" si="79"/>
        <v>1019.9048268221703</v>
      </c>
      <c r="AB142" s="34">
        <f t="shared" ca="1" si="80"/>
        <v>3722.0664657015986</v>
      </c>
      <c r="AC142" s="15"/>
      <c r="AD142" s="34">
        <f t="shared" ca="1" si="81"/>
        <v>22068.630304514201</v>
      </c>
      <c r="AE142" s="34">
        <f ca="1"/>
        <v>0</v>
      </c>
      <c r="AF142" s="34">
        <f t="shared" ca="1" si="82"/>
        <v>22068.630304514201</v>
      </c>
      <c r="AG142" s="15"/>
      <c r="AH142" s="272">
        <f t="shared" si="89"/>
        <v>46387</v>
      </c>
      <c r="AI142" s="267">
        <f t="shared" si="57"/>
        <v>12.666666666666666</v>
      </c>
      <c r="AJ142" s="267">
        <f t="shared" si="58"/>
        <v>0.29901477935818499</v>
      </c>
      <c r="AK142" s="34">
        <f t="shared" ca="1" si="90"/>
        <v>6598.8466212416688</v>
      </c>
      <c r="AL142" s="233"/>
      <c r="AN142" s="349"/>
      <c r="AO142" s="237">
        <f t="shared" si="83"/>
        <v>13</v>
      </c>
      <c r="AP142" s="34">
        <f t="shared" ca="1" si="59"/>
        <v>0</v>
      </c>
      <c r="AQ142" s="34">
        <f t="shared" ca="1" si="60"/>
        <v>3.0599592772086877</v>
      </c>
      <c r="AR142" s="34">
        <f t="shared" ca="1" si="61"/>
        <v>0</v>
      </c>
      <c r="AS142" s="34">
        <f t="shared" ca="1" si="84"/>
        <v>18.359755663252127</v>
      </c>
      <c r="AT142" s="350">
        <v>-0.1</v>
      </c>
      <c r="AU142" s="34">
        <f ca="1">MIN(AU141*(1+AT142),$AT$126-SUM(AU$129:AU141))</f>
        <v>18.359755663252127</v>
      </c>
      <c r="AV142" s="369"/>
      <c r="AW142" s="34">
        <f t="shared" ca="1" si="62"/>
        <v>0</v>
      </c>
      <c r="AX142" s="34">
        <f t="shared" ca="1" si="63"/>
        <v>2.5244664036971671</v>
      </c>
      <c r="AY142" s="34">
        <f t="shared" ca="1" si="64"/>
        <v>0</v>
      </c>
      <c r="AZ142" s="34">
        <f t="shared" ca="1" si="65"/>
        <v>15.146798422183004</v>
      </c>
      <c r="BA142" s="34"/>
      <c r="BB142" s="34">
        <f t="shared" ca="1" si="91"/>
        <v>0</v>
      </c>
      <c r="BC142" s="34">
        <f t="shared" ca="1" si="91"/>
        <v>790.99947315844577</v>
      </c>
      <c r="BD142" s="34">
        <f t="shared" ca="1" si="91"/>
        <v>878.88830350938417</v>
      </c>
      <c r="BE142" s="34">
        <f t="shared" ca="1" si="91"/>
        <v>747.99004553990142</v>
      </c>
      <c r="BF142" s="34">
        <f t="shared" ca="1" si="91"/>
        <v>0</v>
      </c>
      <c r="BG142" s="34">
        <f t="shared" ca="1" si="91"/>
        <v>0</v>
      </c>
      <c r="BH142" s="34">
        <f t="shared" ca="1" si="91"/>
        <v>0</v>
      </c>
      <c r="BI142" s="34">
        <f t="shared" ca="1" si="91"/>
        <v>0</v>
      </c>
      <c r="BJ142" s="34">
        <f t="shared" ca="1" si="91"/>
        <v>0</v>
      </c>
      <c r="BK142" s="34">
        <f t="shared" ca="1" si="91"/>
        <v>0</v>
      </c>
      <c r="BL142" s="34">
        <f t="shared" ca="1" si="92"/>
        <v>0</v>
      </c>
      <c r="BM142" s="34">
        <f t="shared" ca="1" si="92"/>
        <v>0</v>
      </c>
      <c r="BN142" s="34">
        <f t="shared" ca="1" si="92"/>
        <v>0</v>
      </c>
      <c r="BO142" s="34">
        <f t="shared" ca="1" si="92"/>
        <v>0</v>
      </c>
      <c r="BP142" s="34">
        <f t="shared" ca="1" si="92"/>
        <v>0</v>
      </c>
      <c r="BQ142" s="34">
        <f t="shared" ca="1" si="92"/>
        <v>0</v>
      </c>
      <c r="BR142" s="34">
        <f t="shared" ca="1" si="92"/>
        <v>0</v>
      </c>
      <c r="BS142" s="34">
        <f t="shared" ca="1" si="92"/>
        <v>0</v>
      </c>
      <c r="BT142" s="34">
        <f t="shared" ca="1" si="92"/>
        <v>0</v>
      </c>
      <c r="BU142" s="34">
        <f t="shared" ca="1" si="92"/>
        <v>0</v>
      </c>
      <c r="BV142" s="34">
        <f t="shared" ca="1" si="93"/>
        <v>0</v>
      </c>
      <c r="BW142" s="34">
        <f t="shared" ca="1" si="93"/>
        <v>0</v>
      </c>
      <c r="BX142" s="34">
        <f t="shared" ca="1" si="93"/>
        <v>0</v>
      </c>
      <c r="BY142" s="34">
        <f t="shared" ca="1" si="93"/>
        <v>0</v>
      </c>
      <c r="BZ142" s="34">
        <f t="shared" ca="1" si="93"/>
        <v>0</v>
      </c>
      <c r="CA142" s="34">
        <f t="shared" ca="1" si="93"/>
        <v>0</v>
      </c>
      <c r="CB142" s="34">
        <f t="shared" ca="1" si="93"/>
        <v>0</v>
      </c>
      <c r="CC142" s="34">
        <f t="shared" ca="1" si="93"/>
        <v>0</v>
      </c>
      <c r="CD142" s="34">
        <f t="shared" ca="1" si="93"/>
        <v>0</v>
      </c>
      <c r="CE142" s="34">
        <f t="shared" ca="1" si="93"/>
        <v>0</v>
      </c>
      <c r="CF142" s="34">
        <f t="shared" ca="1" si="94"/>
        <v>0</v>
      </c>
      <c r="CG142" s="34">
        <f t="shared" ca="1" si="94"/>
        <v>0</v>
      </c>
      <c r="CH142" s="34">
        <f t="shared" ca="1" si="94"/>
        <v>0</v>
      </c>
      <c r="CI142" s="34">
        <f t="shared" ca="1" si="94"/>
        <v>0</v>
      </c>
      <c r="CJ142" s="34">
        <f t="shared" ca="1" si="94"/>
        <v>0</v>
      </c>
      <c r="CK142" s="34">
        <f t="shared" ca="1" si="94"/>
        <v>0</v>
      </c>
      <c r="CL142" s="34">
        <f t="shared" ca="1" si="94"/>
        <v>0</v>
      </c>
      <c r="CM142" s="34">
        <f t="shared" ca="1" si="94"/>
        <v>0</v>
      </c>
      <c r="CN142" s="34">
        <f t="shared" ca="1" si="94"/>
        <v>0</v>
      </c>
      <c r="CO142" s="34">
        <f t="shared" ca="1" si="94"/>
        <v>0</v>
      </c>
      <c r="CP142" s="34">
        <f t="shared" ca="1" si="94"/>
        <v>0</v>
      </c>
      <c r="CQ142" s="34">
        <f t="shared" ca="1" si="85"/>
        <v>2417.8778222077312</v>
      </c>
      <c r="CR142" s="363">
        <v>0</v>
      </c>
      <c r="CS142" s="34">
        <f t="shared" ca="1" si="86"/>
        <v>2417.8778222077312</v>
      </c>
      <c r="CT142" s="233"/>
    </row>
    <row r="143" spans="2:98" x14ac:dyDescent="0.3">
      <c r="B143" s="232"/>
      <c r="C143" s="250">
        <f t="shared" si="87"/>
        <v>2027</v>
      </c>
      <c r="D143" s="263">
        <f t="shared" ca="1" si="70"/>
        <v>0</v>
      </c>
      <c r="E143" s="263">
        <f t="shared" ca="1" si="52"/>
        <v>362.68167333115963</v>
      </c>
      <c r="F143" s="263">
        <f t="shared" ca="1" si="53"/>
        <v>0</v>
      </c>
      <c r="G143" s="263">
        <f t="shared" ca="1" si="71"/>
        <v>2176.0900399869579</v>
      </c>
      <c r="H143" s="15"/>
      <c r="I143" s="271">
        <f ca="1">Assumptions!O$68</f>
        <v>4.5</v>
      </c>
      <c r="J143" s="271">
        <f ca="1">Assumptions!P$68</f>
        <v>80</v>
      </c>
      <c r="K143" s="271">
        <f t="shared" ca="1" si="54"/>
        <v>40</v>
      </c>
      <c r="L143" s="15"/>
      <c r="M143" s="35">
        <f t="shared" ca="1" si="72"/>
        <v>4.2299999999999995</v>
      </c>
      <c r="N143" s="35">
        <f t="shared" ca="1" si="55"/>
        <v>64</v>
      </c>
      <c r="O143" s="35">
        <f t="shared" ca="1" si="56"/>
        <v>32</v>
      </c>
      <c r="P143" s="15"/>
      <c r="Q143" s="34">
        <f t="shared" ca="1" si="73"/>
        <v>0</v>
      </c>
      <c r="R143" s="34">
        <f t="shared" ca="1" si="73"/>
        <v>23211.627093194216</v>
      </c>
      <c r="S143" s="34">
        <f t="shared" ca="1" si="73"/>
        <v>0</v>
      </c>
      <c r="T143" s="34">
        <f t="shared" ca="1" si="74"/>
        <v>23211.627093194216</v>
      </c>
      <c r="U143" s="15"/>
      <c r="V143" s="35">
        <f t="shared" si="75"/>
        <v>0.7</v>
      </c>
      <c r="W143" s="34">
        <f t="shared" ca="1" si="88"/>
        <v>1846.3794278677217</v>
      </c>
      <c r="X143" s="35">
        <f t="shared" si="76"/>
        <v>0.222</v>
      </c>
      <c r="Y143" s="34">
        <f t="shared" ca="1" si="77"/>
        <v>585.56604712376327</v>
      </c>
      <c r="Z143" s="35">
        <f t="shared" si="78"/>
        <v>0.34799999999999998</v>
      </c>
      <c r="AA143" s="34">
        <f t="shared" ca="1" si="79"/>
        <v>917.91434413995307</v>
      </c>
      <c r="AB143" s="34">
        <f t="shared" ca="1" si="80"/>
        <v>3349.8598191314377</v>
      </c>
      <c r="AC143" s="15"/>
      <c r="AD143" s="34">
        <f t="shared" ca="1" si="81"/>
        <v>19861.767274062779</v>
      </c>
      <c r="AE143" s="34">
        <f ca="1"/>
        <v>0</v>
      </c>
      <c r="AF143" s="34">
        <f t="shared" ca="1" si="82"/>
        <v>19861.767274062779</v>
      </c>
      <c r="AG143" s="15"/>
      <c r="AH143" s="272">
        <f t="shared" si="89"/>
        <v>46752</v>
      </c>
      <c r="AI143" s="267">
        <f t="shared" si="57"/>
        <v>13.666666666666666</v>
      </c>
      <c r="AJ143" s="267">
        <f t="shared" si="58"/>
        <v>0.27183161759835001</v>
      </c>
      <c r="AK143" s="34">
        <f t="shared" ca="1" si="90"/>
        <v>5399.056326470456</v>
      </c>
      <c r="AL143" s="233"/>
      <c r="AN143" s="349"/>
      <c r="AO143" s="237">
        <f t="shared" si="83"/>
        <v>14</v>
      </c>
      <c r="AP143" s="34">
        <f t="shared" ca="1" si="59"/>
        <v>0</v>
      </c>
      <c r="AQ143" s="34">
        <f t="shared" ca="1" si="60"/>
        <v>2.7539633494878188</v>
      </c>
      <c r="AR143" s="34">
        <f t="shared" ca="1" si="61"/>
        <v>0</v>
      </c>
      <c r="AS143" s="34">
        <f t="shared" ca="1" si="84"/>
        <v>16.523780096926913</v>
      </c>
      <c r="AT143" s="350">
        <v>-0.1</v>
      </c>
      <c r="AU143" s="34">
        <f ca="1">MIN(AU142*(1+AT143),$AT$126-SUM(AU$129:AU142))</f>
        <v>16.523780096926913</v>
      </c>
      <c r="AV143" s="369"/>
      <c r="AW143" s="34">
        <f t="shared" ca="1" si="62"/>
        <v>0</v>
      </c>
      <c r="AX143" s="34">
        <f t="shared" ca="1" si="63"/>
        <v>2.2720197633274504</v>
      </c>
      <c r="AY143" s="34">
        <f t="shared" ca="1" si="64"/>
        <v>0</v>
      </c>
      <c r="AZ143" s="34">
        <f t="shared" ca="1" si="65"/>
        <v>13.632118579964702</v>
      </c>
      <c r="BA143" s="34"/>
      <c r="BB143" s="34">
        <f t="shared" ca="1" si="91"/>
        <v>0</v>
      </c>
      <c r="BC143" s="34">
        <f t="shared" ca="1" si="91"/>
        <v>711.89952584260118</v>
      </c>
      <c r="BD143" s="34">
        <f t="shared" ca="1" si="91"/>
        <v>790.99947315844577</v>
      </c>
      <c r="BE143" s="34">
        <f t="shared" ca="1" si="91"/>
        <v>673.19104098591129</v>
      </c>
      <c r="BF143" s="34">
        <f t="shared" ca="1" si="91"/>
        <v>0</v>
      </c>
      <c r="BG143" s="34">
        <f t="shared" ca="1" si="91"/>
        <v>0</v>
      </c>
      <c r="BH143" s="34">
        <f t="shared" ca="1" si="91"/>
        <v>0</v>
      </c>
      <c r="BI143" s="34">
        <f t="shared" ca="1" si="91"/>
        <v>0</v>
      </c>
      <c r="BJ143" s="34">
        <f t="shared" ca="1" si="91"/>
        <v>0</v>
      </c>
      <c r="BK143" s="34">
        <f t="shared" ca="1" si="91"/>
        <v>0</v>
      </c>
      <c r="BL143" s="34">
        <f t="shared" ca="1" si="92"/>
        <v>0</v>
      </c>
      <c r="BM143" s="34">
        <f t="shared" ca="1" si="92"/>
        <v>0</v>
      </c>
      <c r="BN143" s="34">
        <f t="shared" ca="1" si="92"/>
        <v>0</v>
      </c>
      <c r="BO143" s="34">
        <f t="shared" ca="1" si="92"/>
        <v>0</v>
      </c>
      <c r="BP143" s="34">
        <f t="shared" ca="1" si="92"/>
        <v>0</v>
      </c>
      <c r="BQ143" s="34">
        <f t="shared" ca="1" si="92"/>
        <v>0</v>
      </c>
      <c r="BR143" s="34">
        <f t="shared" ca="1" si="92"/>
        <v>0</v>
      </c>
      <c r="BS143" s="34">
        <f t="shared" ca="1" si="92"/>
        <v>0</v>
      </c>
      <c r="BT143" s="34">
        <f t="shared" ca="1" si="92"/>
        <v>0</v>
      </c>
      <c r="BU143" s="34">
        <f t="shared" ca="1" si="92"/>
        <v>0</v>
      </c>
      <c r="BV143" s="34">
        <f t="shared" ca="1" si="93"/>
        <v>0</v>
      </c>
      <c r="BW143" s="34">
        <f t="shared" ca="1" si="93"/>
        <v>0</v>
      </c>
      <c r="BX143" s="34">
        <f t="shared" ca="1" si="93"/>
        <v>0</v>
      </c>
      <c r="BY143" s="34">
        <f t="shared" ca="1" si="93"/>
        <v>0</v>
      </c>
      <c r="BZ143" s="34">
        <f t="shared" ca="1" si="93"/>
        <v>0</v>
      </c>
      <c r="CA143" s="34">
        <f t="shared" ca="1" si="93"/>
        <v>0</v>
      </c>
      <c r="CB143" s="34">
        <f t="shared" ca="1" si="93"/>
        <v>0</v>
      </c>
      <c r="CC143" s="34">
        <f t="shared" ca="1" si="93"/>
        <v>0</v>
      </c>
      <c r="CD143" s="34">
        <f t="shared" ca="1" si="93"/>
        <v>0</v>
      </c>
      <c r="CE143" s="34">
        <f t="shared" ca="1" si="93"/>
        <v>0</v>
      </c>
      <c r="CF143" s="34">
        <f t="shared" ca="1" si="94"/>
        <v>0</v>
      </c>
      <c r="CG143" s="34">
        <f t="shared" ca="1" si="94"/>
        <v>0</v>
      </c>
      <c r="CH143" s="34">
        <f t="shared" ca="1" si="94"/>
        <v>0</v>
      </c>
      <c r="CI143" s="34">
        <f t="shared" ca="1" si="94"/>
        <v>0</v>
      </c>
      <c r="CJ143" s="34">
        <f t="shared" ca="1" si="94"/>
        <v>0</v>
      </c>
      <c r="CK143" s="34">
        <f t="shared" ca="1" si="94"/>
        <v>0</v>
      </c>
      <c r="CL143" s="34">
        <f t="shared" ca="1" si="94"/>
        <v>0</v>
      </c>
      <c r="CM143" s="34">
        <f t="shared" ca="1" si="94"/>
        <v>0</v>
      </c>
      <c r="CN143" s="34">
        <f t="shared" ca="1" si="94"/>
        <v>0</v>
      </c>
      <c r="CO143" s="34">
        <f t="shared" ca="1" si="94"/>
        <v>0</v>
      </c>
      <c r="CP143" s="34">
        <f t="shared" ca="1" si="94"/>
        <v>0</v>
      </c>
      <c r="CQ143" s="34">
        <f t="shared" ca="1" si="85"/>
        <v>2176.0900399869579</v>
      </c>
      <c r="CR143" s="363">
        <v>0</v>
      </c>
      <c r="CS143" s="34">
        <f t="shared" ca="1" si="86"/>
        <v>2176.0900399869579</v>
      </c>
      <c r="CT143" s="233"/>
    </row>
    <row r="144" spans="2:98" x14ac:dyDescent="0.3">
      <c r="B144" s="232"/>
      <c r="C144" s="250">
        <f t="shared" si="87"/>
        <v>2028</v>
      </c>
      <c r="D144" s="263">
        <f t="shared" ca="1" si="70"/>
        <v>0</v>
      </c>
      <c r="E144" s="263">
        <f t="shared" ca="1" si="52"/>
        <v>326.41350599804372</v>
      </c>
      <c r="F144" s="263">
        <f t="shared" ca="1" si="53"/>
        <v>0</v>
      </c>
      <c r="G144" s="263">
        <f t="shared" ca="1" si="71"/>
        <v>1958.4810359882624</v>
      </c>
      <c r="H144" s="15"/>
      <c r="I144" s="271">
        <f ca="1">Assumptions!O$68</f>
        <v>4.5</v>
      </c>
      <c r="J144" s="271">
        <f ca="1">Assumptions!P$68</f>
        <v>80</v>
      </c>
      <c r="K144" s="271">
        <f t="shared" ca="1" si="54"/>
        <v>40</v>
      </c>
      <c r="L144" s="15"/>
      <c r="M144" s="35">
        <f t="shared" ca="1" si="72"/>
        <v>4.2299999999999995</v>
      </c>
      <c r="N144" s="35">
        <f t="shared" ca="1" si="55"/>
        <v>64</v>
      </c>
      <c r="O144" s="35">
        <f t="shared" ca="1" si="56"/>
        <v>32</v>
      </c>
      <c r="P144" s="15"/>
      <c r="Q144" s="34">
        <f t="shared" ca="1" si="73"/>
        <v>0</v>
      </c>
      <c r="R144" s="34">
        <f t="shared" ca="1" si="73"/>
        <v>20890.464383874798</v>
      </c>
      <c r="S144" s="34">
        <f t="shared" ca="1" si="73"/>
        <v>0</v>
      </c>
      <c r="T144" s="34">
        <f t="shared" ca="1" si="74"/>
        <v>20890.464383874798</v>
      </c>
      <c r="U144" s="15"/>
      <c r="V144" s="35">
        <f t="shared" si="75"/>
        <v>0.7</v>
      </c>
      <c r="W144" s="34">
        <f t="shared" ca="1" si="88"/>
        <v>1661.7414850809498</v>
      </c>
      <c r="X144" s="35">
        <f t="shared" si="76"/>
        <v>0.222</v>
      </c>
      <c r="Y144" s="34">
        <f t="shared" ca="1" si="77"/>
        <v>527.009442411387</v>
      </c>
      <c r="Z144" s="35">
        <f t="shared" si="78"/>
        <v>0.34799999999999998</v>
      </c>
      <c r="AA144" s="34">
        <f t="shared" ca="1" si="79"/>
        <v>826.12290972595792</v>
      </c>
      <c r="AB144" s="34">
        <f t="shared" ca="1" si="80"/>
        <v>3014.8738372182947</v>
      </c>
      <c r="AC144" s="15"/>
      <c r="AD144" s="34">
        <f t="shared" ca="1" si="81"/>
        <v>17875.590546656502</v>
      </c>
      <c r="AE144" s="34">
        <f ca="1"/>
        <v>0</v>
      </c>
      <c r="AF144" s="34">
        <f t="shared" ca="1" si="82"/>
        <v>17875.590546656502</v>
      </c>
      <c r="AG144" s="15"/>
      <c r="AH144" s="272">
        <f t="shared" si="89"/>
        <v>47118</v>
      </c>
      <c r="AI144" s="267">
        <f t="shared" si="57"/>
        <v>14.666666666666666</v>
      </c>
      <c r="AJ144" s="267">
        <f t="shared" si="58"/>
        <v>0.24711965236213634</v>
      </c>
      <c r="AK144" s="34">
        <f t="shared" ca="1" si="90"/>
        <v>4417.4097216576456</v>
      </c>
      <c r="AL144" s="233"/>
      <c r="AN144" s="349"/>
      <c r="AO144" s="237">
        <f t="shared" si="83"/>
        <v>15</v>
      </c>
      <c r="AP144" s="34">
        <f t="shared" ca="1" si="59"/>
        <v>0</v>
      </c>
      <c r="AQ144" s="34">
        <f t="shared" ca="1" si="60"/>
        <v>2.4785670145390371</v>
      </c>
      <c r="AR144" s="34">
        <f t="shared" ca="1" si="61"/>
        <v>0</v>
      </c>
      <c r="AS144" s="34">
        <f t="shared" ca="1" si="84"/>
        <v>14.871402087234221</v>
      </c>
      <c r="AT144" s="350">
        <v>-0.1</v>
      </c>
      <c r="AU144" s="34">
        <f ca="1">MIN(AU143*(1+AT144),$AT$126-SUM(AU$129:AU143))</f>
        <v>14.871402087234221</v>
      </c>
      <c r="AV144" s="369"/>
      <c r="AW144" s="34">
        <f t="shared" ca="1" si="62"/>
        <v>0</v>
      </c>
      <c r="AX144" s="34">
        <f t="shared" ca="1" si="63"/>
        <v>2.0448177869947055</v>
      </c>
      <c r="AY144" s="34">
        <f t="shared" ca="1" si="64"/>
        <v>0</v>
      </c>
      <c r="AZ144" s="34">
        <f t="shared" ca="1" si="65"/>
        <v>12.268906721968232</v>
      </c>
      <c r="BA144" s="34"/>
      <c r="BB144" s="34">
        <f t="shared" ca="1" si="91"/>
        <v>0</v>
      </c>
      <c r="BC144" s="34">
        <f t="shared" ca="1" si="91"/>
        <v>640.70957325834104</v>
      </c>
      <c r="BD144" s="34">
        <f t="shared" ca="1" si="91"/>
        <v>711.89952584260118</v>
      </c>
      <c r="BE144" s="34">
        <f t="shared" ca="1" si="91"/>
        <v>605.87193688732009</v>
      </c>
      <c r="BF144" s="34">
        <f t="shared" ca="1" si="91"/>
        <v>0</v>
      </c>
      <c r="BG144" s="34">
        <f t="shared" ca="1" si="91"/>
        <v>0</v>
      </c>
      <c r="BH144" s="34">
        <f t="shared" ca="1" si="91"/>
        <v>0</v>
      </c>
      <c r="BI144" s="34">
        <f t="shared" ca="1" si="91"/>
        <v>0</v>
      </c>
      <c r="BJ144" s="34">
        <f t="shared" ca="1" si="91"/>
        <v>0</v>
      </c>
      <c r="BK144" s="34">
        <f t="shared" ca="1" si="91"/>
        <v>0</v>
      </c>
      <c r="BL144" s="34">
        <f t="shared" ca="1" si="92"/>
        <v>0</v>
      </c>
      <c r="BM144" s="34">
        <f t="shared" ca="1" si="92"/>
        <v>0</v>
      </c>
      <c r="BN144" s="34">
        <f t="shared" ca="1" si="92"/>
        <v>0</v>
      </c>
      <c r="BO144" s="34">
        <f t="shared" ca="1" si="92"/>
        <v>0</v>
      </c>
      <c r="BP144" s="34">
        <f t="shared" ca="1" si="92"/>
        <v>0</v>
      </c>
      <c r="BQ144" s="34">
        <f t="shared" ca="1" si="92"/>
        <v>0</v>
      </c>
      <c r="BR144" s="34">
        <f t="shared" ca="1" si="92"/>
        <v>0</v>
      </c>
      <c r="BS144" s="34">
        <f t="shared" ca="1" si="92"/>
        <v>0</v>
      </c>
      <c r="BT144" s="34">
        <f t="shared" ca="1" si="92"/>
        <v>0</v>
      </c>
      <c r="BU144" s="34">
        <f t="shared" ca="1" si="92"/>
        <v>0</v>
      </c>
      <c r="BV144" s="34">
        <f t="shared" ca="1" si="93"/>
        <v>0</v>
      </c>
      <c r="BW144" s="34">
        <f t="shared" ca="1" si="93"/>
        <v>0</v>
      </c>
      <c r="BX144" s="34">
        <f t="shared" ca="1" si="93"/>
        <v>0</v>
      </c>
      <c r="BY144" s="34">
        <f t="shared" ca="1" si="93"/>
        <v>0</v>
      </c>
      <c r="BZ144" s="34">
        <f t="shared" ca="1" si="93"/>
        <v>0</v>
      </c>
      <c r="CA144" s="34">
        <f t="shared" ca="1" si="93"/>
        <v>0</v>
      </c>
      <c r="CB144" s="34">
        <f t="shared" ca="1" si="93"/>
        <v>0</v>
      </c>
      <c r="CC144" s="34">
        <f t="shared" ca="1" si="93"/>
        <v>0</v>
      </c>
      <c r="CD144" s="34">
        <f t="shared" ca="1" si="93"/>
        <v>0</v>
      </c>
      <c r="CE144" s="34">
        <f t="shared" ca="1" si="93"/>
        <v>0</v>
      </c>
      <c r="CF144" s="34">
        <f t="shared" ca="1" si="94"/>
        <v>0</v>
      </c>
      <c r="CG144" s="34">
        <f t="shared" ca="1" si="94"/>
        <v>0</v>
      </c>
      <c r="CH144" s="34">
        <f t="shared" ca="1" si="94"/>
        <v>0</v>
      </c>
      <c r="CI144" s="34">
        <f t="shared" ca="1" si="94"/>
        <v>0</v>
      </c>
      <c r="CJ144" s="34">
        <f t="shared" ca="1" si="94"/>
        <v>0</v>
      </c>
      <c r="CK144" s="34">
        <f t="shared" ca="1" si="94"/>
        <v>0</v>
      </c>
      <c r="CL144" s="34">
        <f t="shared" ca="1" si="94"/>
        <v>0</v>
      </c>
      <c r="CM144" s="34">
        <f t="shared" ca="1" si="94"/>
        <v>0</v>
      </c>
      <c r="CN144" s="34">
        <f t="shared" ca="1" si="94"/>
        <v>0</v>
      </c>
      <c r="CO144" s="34">
        <f t="shared" ca="1" si="94"/>
        <v>0</v>
      </c>
      <c r="CP144" s="34">
        <f t="shared" ca="1" si="94"/>
        <v>0</v>
      </c>
      <c r="CQ144" s="34">
        <f t="shared" ca="1" si="85"/>
        <v>1958.4810359882624</v>
      </c>
      <c r="CR144" s="363">
        <v>0</v>
      </c>
      <c r="CS144" s="34">
        <f t="shared" ca="1" si="86"/>
        <v>1958.4810359882624</v>
      </c>
      <c r="CT144" s="233"/>
    </row>
    <row r="145" spans="2:98" x14ac:dyDescent="0.3">
      <c r="B145" s="232"/>
      <c r="C145" s="250">
        <f t="shared" si="87"/>
        <v>2029</v>
      </c>
      <c r="D145" s="263">
        <f t="shared" ca="1" si="70"/>
        <v>0</v>
      </c>
      <c r="E145" s="263">
        <f t="shared" ca="1" si="52"/>
        <v>293.77215539823936</v>
      </c>
      <c r="F145" s="263">
        <f t="shared" ca="1" si="53"/>
        <v>0</v>
      </c>
      <c r="G145" s="263">
        <f t="shared" ca="1" si="71"/>
        <v>1762.6329323894361</v>
      </c>
      <c r="H145" s="15"/>
      <c r="I145" s="271">
        <f ca="1">Assumptions!O$68</f>
        <v>4.5</v>
      </c>
      <c r="J145" s="271">
        <f ca="1">Assumptions!P$68</f>
        <v>80</v>
      </c>
      <c r="K145" s="271">
        <f t="shared" ca="1" si="54"/>
        <v>40</v>
      </c>
      <c r="L145" s="15"/>
      <c r="M145" s="35">
        <f t="shared" ca="1" si="72"/>
        <v>4.2299999999999995</v>
      </c>
      <c r="N145" s="35">
        <f t="shared" ca="1" si="55"/>
        <v>64</v>
      </c>
      <c r="O145" s="35">
        <f t="shared" ca="1" si="56"/>
        <v>32</v>
      </c>
      <c r="P145" s="15"/>
      <c r="Q145" s="34">
        <f t="shared" ca="1" si="73"/>
        <v>0</v>
      </c>
      <c r="R145" s="34">
        <f t="shared" ca="1" si="73"/>
        <v>18801.417945487319</v>
      </c>
      <c r="S145" s="34">
        <f t="shared" ca="1" si="73"/>
        <v>0</v>
      </c>
      <c r="T145" s="34">
        <f t="shared" ca="1" si="74"/>
        <v>18801.417945487319</v>
      </c>
      <c r="U145" s="15"/>
      <c r="V145" s="35">
        <f t="shared" si="75"/>
        <v>0.7</v>
      </c>
      <c r="W145" s="34">
        <f t="shared" ca="1" si="88"/>
        <v>1495.5673365728549</v>
      </c>
      <c r="X145" s="35">
        <f t="shared" si="76"/>
        <v>0.222</v>
      </c>
      <c r="Y145" s="34">
        <f t="shared" ca="1" si="77"/>
        <v>474.30849817024824</v>
      </c>
      <c r="Z145" s="35">
        <f t="shared" si="78"/>
        <v>0.34799999999999998</v>
      </c>
      <c r="AA145" s="34">
        <f t="shared" ca="1" si="79"/>
        <v>743.51061875336222</v>
      </c>
      <c r="AB145" s="34">
        <f t="shared" ca="1" si="80"/>
        <v>2713.386453496465</v>
      </c>
      <c r="AC145" s="15"/>
      <c r="AD145" s="34">
        <f t="shared" ca="1" si="81"/>
        <v>16088.031491990854</v>
      </c>
      <c r="AE145" s="34">
        <f ca="1"/>
        <v>0</v>
      </c>
      <c r="AF145" s="34">
        <f t="shared" ca="1" si="82"/>
        <v>16088.031491990854</v>
      </c>
      <c r="AG145" s="15"/>
      <c r="AH145" s="272">
        <f t="shared" si="89"/>
        <v>47483</v>
      </c>
      <c r="AI145" s="267">
        <f t="shared" si="57"/>
        <v>15.666666666666668</v>
      </c>
      <c r="AJ145" s="267">
        <f t="shared" si="58"/>
        <v>0.22465422942012386</v>
      </c>
      <c r="AK145" s="34">
        <f t="shared" ca="1" si="90"/>
        <v>3614.2443177198911</v>
      </c>
      <c r="AL145" s="233"/>
      <c r="AN145" s="349"/>
      <c r="AO145" s="237">
        <f t="shared" si="83"/>
        <v>16</v>
      </c>
      <c r="AP145" s="34">
        <f t="shared" ca="1" si="59"/>
        <v>0</v>
      </c>
      <c r="AQ145" s="34">
        <f t="shared" ca="1" si="60"/>
        <v>2.2307103130851331</v>
      </c>
      <c r="AR145" s="34">
        <f t="shared" ca="1" si="61"/>
        <v>0</v>
      </c>
      <c r="AS145" s="34">
        <f t="shared" ca="1" si="84"/>
        <v>13.384261878510799</v>
      </c>
      <c r="AT145" s="350">
        <v>-0.1</v>
      </c>
      <c r="AU145" s="34">
        <f ca="1">MIN(AU144*(1+AT145),$AT$126-SUM(AU$129:AU144))</f>
        <v>13.384261878510799</v>
      </c>
      <c r="AV145" s="369"/>
      <c r="AW145" s="34">
        <f t="shared" ca="1" si="62"/>
        <v>0</v>
      </c>
      <c r="AX145" s="34">
        <f t="shared" ca="1" si="63"/>
        <v>1.8403360082952347</v>
      </c>
      <c r="AY145" s="34">
        <f t="shared" ca="1" si="64"/>
        <v>0</v>
      </c>
      <c r="AZ145" s="34">
        <f t="shared" ca="1" si="65"/>
        <v>11.042016049771409</v>
      </c>
      <c r="BA145" s="34"/>
      <c r="BB145" s="34">
        <f t="shared" ca="1" si="91"/>
        <v>0</v>
      </c>
      <c r="BC145" s="34">
        <f t="shared" ca="1" si="91"/>
        <v>576.63861593250692</v>
      </c>
      <c r="BD145" s="34">
        <f t="shared" ca="1" si="91"/>
        <v>640.70957325834104</v>
      </c>
      <c r="BE145" s="34">
        <f t="shared" ca="1" si="91"/>
        <v>545.2847431985881</v>
      </c>
      <c r="BF145" s="34">
        <f t="shared" ca="1" si="91"/>
        <v>0</v>
      </c>
      <c r="BG145" s="34">
        <f t="shared" ca="1" si="91"/>
        <v>0</v>
      </c>
      <c r="BH145" s="34">
        <f t="shared" ca="1" si="91"/>
        <v>0</v>
      </c>
      <c r="BI145" s="34">
        <f t="shared" ca="1" si="91"/>
        <v>0</v>
      </c>
      <c r="BJ145" s="34">
        <f t="shared" ca="1" si="91"/>
        <v>0</v>
      </c>
      <c r="BK145" s="34">
        <f t="shared" ca="1" si="91"/>
        <v>0</v>
      </c>
      <c r="BL145" s="34">
        <f t="shared" ca="1" si="92"/>
        <v>0</v>
      </c>
      <c r="BM145" s="34">
        <f t="shared" ca="1" si="92"/>
        <v>0</v>
      </c>
      <c r="BN145" s="34">
        <f t="shared" ca="1" si="92"/>
        <v>0</v>
      </c>
      <c r="BO145" s="34">
        <f t="shared" ca="1" si="92"/>
        <v>0</v>
      </c>
      <c r="BP145" s="34">
        <f t="shared" ca="1" si="92"/>
        <v>0</v>
      </c>
      <c r="BQ145" s="34">
        <f t="shared" ca="1" si="92"/>
        <v>0</v>
      </c>
      <c r="BR145" s="34">
        <f t="shared" ca="1" si="92"/>
        <v>0</v>
      </c>
      <c r="BS145" s="34">
        <f t="shared" ca="1" si="92"/>
        <v>0</v>
      </c>
      <c r="BT145" s="34">
        <f t="shared" ca="1" si="92"/>
        <v>0</v>
      </c>
      <c r="BU145" s="34">
        <f t="shared" ca="1" si="92"/>
        <v>0</v>
      </c>
      <c r="BV145" s="34">
        <f t="shared" ca="1" si="93"/>
        <v>0</v>
      </c>
      <c r="BW145" s="34">
        <f t="shared" ca="1" si="93"/>
        <v>0</v>
      </c>
      <c r="BX145" s="34">
        <f t="shared" ca="1" si="93"/>
        <v>0</v>
      </c>
      <c r="BY145" s="34">
        <f t="shared" ca="1" si="93"/>
        <v>0</v>
      </c>
      <c r="BZ145" s="34">
        <f t="shared" ca="1" si="93"/>
        <v>0</v>
      </c>
      <c r="CA145" s="34">
        <f t="shared" ca="1" si="93"/>
        <v>0</v>
      </c>
      <c r="CB145" s="34">
        <f t="shared" ca="1" si="93"/>
        <v>0</v>
      </c>
      <c r="CC145" s="34">
        <f t="shared" ca="1" si="93"/>
        <v>0</v>
      </c>
      <c r="CD145" s="34">
        <f t="shared" ca="1" si="93"/>
        <v>0</v>
      </c>
      <c r="CE145" s="34">
        <f t="shared" ca="1" si="93"/>
        <v>0</v>
      </c>
      <c r="CF145" s="34">
        <f t="shared" ca="1" si="94"/>
        <v>0</v>
      </c>
      <c r="CG145" s="34">
        <f t="shared" ca="1" si="94"/>
        <v>0</v>
      </c>
      <c r="CH145" s="34">
        <f t="shared" ca="1" si="94"/>
        <v>0</v>
      </c>
      <c r="CI145" s="34">
        <f t="shared" ca="1" si="94"/>
        <v>0</v>
      </c>
      <c r="CJ145" s="34">
        <f t="shared" ca="1" si="94"/>
        <v>0</v>
      </c>
      <c r="CK145" s="34">
        <f t="shared" ca="1" si="94"/>
        <v>0</v>
      </c>
      <c r="CL145" s="34">
        <f t="shared" ca="1" si="94"/>
        <v>0</v>
      </c>
      <c r="CM145" s="34">
        <f t="shared" ca="1" si="94"/>
        <v>0</v>
      </c>
      <c r="CN145" s="34">
        <f t="shared" ca="1" si="94"/>
        <v>0</v>
      </c>
      <c r="CO145" s="34">
        <f t="shared" ca="1" si="94"/>
        <v>0</v>
      </c>
      <c r="CP145" s="34">
        <f t="shared" ca="1" si="94"/>
        <v>0</v>
      </c>
      <c r="CQ145" s="34">
        <f t="shared" ca="1" si="85"/>
        <v>1762.6329323894361</v>
      </c>
      <c r="CR145" s="363">
        <v>0</v>
      </c>
      <c r="CS145" s="34">
        <f t="shared" ca="1" si="86"/>
        <v>1762.6329323894361</v>
      </c>
      <c r="CT145" s="233"/>
    </row>
    <row r="146" spans="2:98" x14ac:dyDescent="0.3">
      <c r="B146" s="232"/>
      <c r="C146" s="250">
        <f t="shared" si="87"/>
        <v>2030</v>
      </c>
      <c r="D146" s="263">
        <f t="shared" ca="1" si="70"/>
        <v>0</v>
      </c>
      <c r="E146" s="263">
        <f t="shared" ca="1" si="52"/>
        <v>264.3949398584154</v>
      </c>
      <c r="F146" s="263">
        <f t="shared" ca="1" si="53"/>
        <v>0</v>
      </c>
      <c r="G146" s="263">
        <f t="shared" ca="1" si="71"/>
        <v>1586.3696391504923</v>
      </c>
      <c r="H146" s="15"/>
      <c r="I146" s="271">
        <f ca="1">Assumptions!O$68</f>
        <v>4.5</v>
      </c>
      <c r="J146" s="271">
        <f ca="1">Assumptions!P$68</f>
        <v>80</v>
      </c>
      <c r="K146" s="271">
        <f t="shared" ca="1" si="54"/>
        <v>40</v>
      </c>
      <c r="L146" s="15"/>
      <c r="M146" s="35">
        <f t="shared" ca="1" si="72"/>
        <v>4.2299999999999995</v>
      </c>
      <c r="N146" s="35">
        <f t="shared" ca="1" si="55"/>
        <v>64</v>
      </c>
      <c r="O146" s="35">
        <f t="shared" ca="1" si="56"/>
        <v>32</v>
      </c>
      <c r="P146" s="15"/>
      <c r="Q146" s="34">
        <f t="shared" ca="1" si="73"/>
        <v>0</v>
      </c>
      <c r="R146" s="34">
        <f t="shared" ca="1" si="73"/>
        <v>16921.276150938585</v>
      </c>
      <c r="S146" s="34">
        <f t="shared" ca="1" si="73"/>
        <v>0</v>
      </c>
      <c r="T146" s="34">
        <f t="shared" ca="1" si="74"/>
        <v>16921.276150938585</v>
      </c>
      <c r="U146" s="15"/>
      <c r="V146" s="35">
        <f t="shared" si="75"/>
        <v>0.7</v>
      </c>
      <c r="W146" s="34">
        <f t="shared" ca="1" si="88"/>
        <v>1346.0106029155691</v>
      </c>
      <c r="X146" s="35">
        <f t="shared" si="76"/>
        <v>0.222</v>
      </c>
      <c r="Y146" s="34">
        <f t="shared" ca="1" si="77"/>
        <v>426.87764835322338</v>
      </c>
      <c r="Z146" s="35">
        <f t="shared" si="78"/>
        <v>0.34799999999999998</v>
      </c>
      <c r="AA146" s="34">
        <f t="shared" ca="1" si="79"/>
        <v>669.1595568780258</v>
      </c>
      <c r="AB146" s="34">
        <f t="shared" ca="1" si="80"/>
        <v>2442.0478081468182</v>
      </c>
      <c r="AC146" s="15"/>
      <c r="AD146" s="34">
        <f t="shared" ca="1" si="81"/>
        <v>14479.228342791768</v>
      </c>
      <c r="AE146" s="34">
        <f ca="1"/>
        <v>0</v>
      </c>
      <c r="AF146" s="34">
        <f t="shared" ca="1" si="82"/>
        <v>14479.228342791768</v>
      </c>
      <c r="AG146" s="15"/>
      <c r="AH146" s="272">
        <f t="shared" si="89"/>
        <v>47848</v>
      </c>
      <c r="AI146" s="267">
        <f t="shared" si="57"/>
        <v>16.666666666666668</v>
      </c>
      <c r="AJ146" s="267">
        <f t="shared" si="58"/>
        <v>0.2042311176546581</v>
      </c>
      <c r="AK146" s="34">
        <f t="shared" ca="1" si="90"/>
        <v>2957.1089872253656</v>
      </c>
      <c r="AL146" s="233"/>
      <c r="AN146" s="349"/>
      <c r="AO146" s="237">
        <f t="shared" si="83"/>
        <v>17</v>
      </c>
      <c r="AP146" s="34">
        <f t="shared" ca="1" si="59"/>
        <v>0</v>
      </c>
      <c r="AQ146" s="34">
        <f t="shared" ca="1" si="60"/>
        <v>2.00763928177662</v>
      </c>
      <c r="AR146" s="34">
        <f t="shared" ca="1" si="61"/>
        <v>0</v>
      </c>
      <c r="AS146" s="34">
        <f t="shared" ca="1" si="84"/>
        <v>12.04583569065972</v>
      </c>
      <c r="AT146" s="350">
        <v>-0.1</v>
      </c>
      <c r="AU146" s="34">
        <f ca="1">MIN(AU145*(1+AT146),$AT$126-SUM(AU$129:AU145))</f>
        <v>12.04583569065972</v>
      </c>
      <c r="AV146" s="369"/>
      <c r="AW146" s="34">
        <f t="shared" ca="1" si="62"/>
        <v>0</v>
      </c>
      <c r="AX146" s="34">
        <f t="shared" ca="1" si="63"/>
        <v>1.6563024074657113</v>
      </c>
      <c r="AY146" s="34">
        <f t="shared" ca="1" si="64"/>
        <v>0</v>
      </c>
      <c r="AZ146" s="34">
        <f t="shared" ca="1" si="65"/>
        <v>9.9378144447942685</v>
      </c>
      <c r="BA146" s="34"/>
      <c r="BB146" s="34">
        <f t="shared" ca="1" si="91"/>
        <v>0</v>
      </c>
      <c r="BC146" s="34">
        <f t="shared" ca="1" si="91"/>
        <v>518.97475433925615</v>
      </c>
      <c r="BD146" s="34">
        <f t="shared" ca="1" si="91"/>
        <v>576.63861593250692</v>
      </c>
      <c r="BE146" s="34">
        <f t="shared" ca="1" si="91"/>
        <v>490.75626887872926</v>
      </c>
      <c r="BF146" s="34">
        <f t="shared" ca="1" si="91"/>
        <v>0</v>
      </c>
      <c r="BG146" s="34">
        <f t="shared" ca="1" si="91"/>
        <v>0</v>
      </c>
      <c r="BH146" s="34">
        <f t="shared" ca="1" si="91"/>
        <v>0</v>
      </c>
      <c r="BI146" s="34">
        <f t="shared" ca="1" si="91"/>
        <v>0</v>
      </c>
      <c r="BJ146" s="34">
        <f t="shared" ca="1" si="91"/>
        <v>0</v>
      </c>
      <c r="BK146" s="34">
        <f t="shared" ca="1" si="91"/>
        <v>0</v>
      </c>
      <c r="BL146" s="34">
        <f t="shared" ca="1" si="92"/>
        <v>0</v>
      </c>
      <c r="BM146" s="34">
        <f t="shared" ca="1" si="92"/>
        <v>0</v>
      </c>
      <c r="BN146" s="34">
        <f t="shared" ca="1" si="92"/>
        <v>0</v>
      </c>
      <c r="BO146" s="34">
        <f t="shared" ca="1" si="92"/>
        <v>0</v>
      </c>
      <c r="BP146" s="34">
        <f t="shared" ca="1" si="92"/>
        <v>0</v>
      </c>
      <c r="BQ146" s="34">
        <f t="shared" ca="1" si="92"/>
        <v>0</v>
      </c>
      <c r="BR146" s="34">
        <f t="shared" ca="1" si="92"/>
        <v>0</v>
      </c>
      <c r="BS146" s="34">
        <f t="shared" ca="1" si="92"/>
        <v>0</v>
      </c>
      <c r="BT146" s="34">
        <f t="shared" ca="1" si="92"/>
        <v>0</v>
      </c>
      <c r="BU146" s="34">
        <f t="shared" ca="1" si="92"/>
        <v>0</v>
      </c>
      <c r="BV146" s="34">
        <f t="shared" ca="1" si="93"/>
        <v>0</v>
      </c>
      <c r="BW146" s="34">
        <f t="shared" ca="1" si="93"/>
        <v>0</v>
      </c>
      <c r="BX146" s="34">
        <f t="shared" ca="1" si="93"/>
        <v>0</v>
      </c>
      <c r="BY146" s="34">
        <f t="shared" ca="1" si="93"/>
        <v>0</v>
      </c>
      <c r="BZ146" s="34">
        <f t="shared" ca="1" si="93"/>
        <v>0</v>
      </c>
      <c r="CA146" s="34">
        <f t="shared" ca="1" si="93"/>
        <v>0</v>
      </c>
      <c r="CB146" s="34">
        <f t="shared" ca="1" si="93"/>
        <v>0</v>
      </c>
      <c r="CC146" s="34">
        <f t="shared" ca="1" si="93"/>
        <v>0</v>
      </c>
      <c r="CD146" s="34">
        <f t="shared" ca="1" si="93"/>
        <v>0</v>
      </c>
      <c r="CE146" s="34">
        <f t="shared" ca="1" si="93"/>
        <v>0</v>
      </c>
      <c r="CF146" s="34">
        <f t="shared" ca="1" si="94"/>
        <v>0</v>
      </c>
      <c r="CG146" s="34">
        <f t="shared" ca="1" si="94"/>
        <v>0</v>
      </c>
      <c r="CH146" s="34">
        <f t="shared" ca="1" si="94"/>
        <v>0</v>
      </c>
      <c r="CI146" s="34">
        <f t="shared" ca="1" si="94"/>
        <v>0</v>
      </c>
      <c r="CJ146" s="34">
        <f t="shared" ca="1" si="94"/>
        <v>0</v>
      </c>
      <c r="CK146" s="34">
        <f t="shared" ca="1" si="94"/>
        <v>0</v>
      </c>
      <c r="CL146" s="34">
        <f t="shared" ca="1" si="94"/>
        <v>0</v>
      </c>
      <c r="CM146" s="34">
        <f t="shared" ca="1" si="94"/>
        <v>0</v>
      </c>
      <c r="CN146" s="34">
        <f t="shared" ca="1" si="94"/>
        <v>0</v>
      </c>
      <c r="CO146" s="34">
        <f t="shared" ca="1" si="94"/>
        <v>0</v>
      </c>
      <c r="CP146" s="34">
        <f t="shared" ca="1" si="94"/>
        <v>0</v>
      </c>
      <c r="CQ146" s="34">
        <f t="shared" ca="1" si="85"/>
        <v>1586.3696391504923</v>
      </c>
      <c r="CR146" s="363">
        <v>0</v>
      </c>
      <c r="CS146" s="34">
        <f t="shared" ca="1" si="86"/>
        <v>1586.3696391504923</v>
      </c>
      <c r="CT146" s="233"/>
    </row>
    <row r="147" spans="2:98" x14ac:dyDescent="0.3">
      <c r="B147" s="232"/>
      <c r="C147" s="250">
        <f t="shared" si="87"/>
        <v>2031</v>
      </c>
      <c r="D147" s="263">
        <f t="shared" ca="1" si="70"/>
        <v>0</v>
      </c>
      <c r="E147" s="263">
        <f t="shared" ca="1" si="52"/>
        <v>237.95544587257385</v>
      </c>
      <c r="F147" s="263">
        <f t="shared" ca="1" si="53"/>
        <v>0</v>
      </c>
      <c r="G147" s="263">
        <f t="shared" ca="1" si="71"/>
        <v>1427.7326752354431</v>
      </c>
      <c r="H147" s="15"/>
      <c r="I147" s="271">
        <f ca="1">Assumptions!O$68</f>
        <v>4.5</v>
      </c>
      <c r="J147" s="271">
        <f ca="1">Assumptions!P$68</f>
        <v>80</v>
      </c>
      <c r="K147" s="271">
        <f t="shared" ca="1" si="54"/>
        <v>40</v>
      </c>
      <c r="L147" s="15"/>
      <c r="M147" s="35">
        <f t="shared" ca="1" si="72"/>
        <v>4.2299999999999995</v>
      </c>
      <c r="N147" s="35">
        <f t="shared" ca="1" si="55"/>
        <v>64</v>
      </c>
      <c r="O147" s="35">
        <f t="shared" ca="1" si="56"/>
        <v>32</v>
      </c>
      <c r="P147" s="15"/>
      <c r="Q147" s="34">
        <f t="shared" ca="1" si="73"/>
        <v>0</v>
      </c>
      <c r="R147" s="34">
        <f t="shared" ca="1" si="73"/>
        <v>15229.148535844726</v>
      </c>
      <c r="S147" s="34">
        <f t="shared" ca="1" si="73"/>
        <v>0</v>
      </c>
      <c r="T147" s="34">
        <f t="shared" ca="1" si="74"/>
        <v>15229.148535844726</v>
      </c>
      <c r="U147" s="15"/>
      <c r="V147" s="35">
        <f t="shared" si="75"/>
        <v>0.7</v>
      </c>
      <c r="W147" s="34">
        <f t="shared" ca="1" si="88"/>
        <v>1211.4095426240124</v>
      </c>
      <c r="X147" s="35">
        <f t="shared" si="76"/>
        <v>0.222</v>
      </c>
      <c r="Y147" s="34">
        <f t="shared" ca="1" si="77"/>
        <v>384.18988351790108</v>
      </c>
      <c r="Z147" s="35">
        <f t="shared" si="78"/>
        <v>0.34799999999999998</v>
      </c>
      <c r="AA147" s="34">
        <f t="shared" ca="1" si="79"/>
        <v>602.24360119022322</v>
      </c>
      <c r="AB147" s="34">
        <f t="shared" ca="1" si="80"/>
        <v>2197.8430273321364</v>
      </c>
      <c r="AC147" s="15"/>
      <c r="AD147" s="34">
        <f t="shared" ca="1" si="81"/>
        <v>13031.305508512589</v>
      </c>
      <c r="AE147" s="34">
        <f ca="1"/>
        <v>0</v>
      </c>
      <c r="AF147" s="34">
        <f t="shared" ca="1" si="82"/>
        <v>13031.305508512589</v>
      </c>
      <c r="AG147" s="15"/>
      <c r="AH147" s="272">
        <f t="shared" si="89"/>
        <v>48213</v>
      </c>
      <c r="AI147" s="267">
        <f t="shared" si="57"/>
        <v>17.666666666666668</v>
      </c>
      <c r="AJ147" s="267">
        <f t="shared" si="58"/>
        <v>0.1856646524133255</v>
      </c>
      <c r="AK147" s="34">
        <f t="shared" ca="1" si="90"/>
        <v>2419.4528077298437</v>
      </c>
      <c r="AL147" s="233"/>
      <c r="AN147" s="349"/>
      <c r="AO147" s="237">
        <f t="shared" si="83"/>
        <v>18</v>
      </c>
      <c r="AP147" s="34">
        <f t="shared" ca="1" si="59"/>
        <v>0</v>
      </c>
      <c r="AQ147" s="34">
        <f t="shared" ca="1" si="60"/>
        <v>1.8068753535989579</v>
      </c>
      <c r="AR147" s="34">
        <f t="shared" ca="1" si="61"/>
        <v>0</v>
      </c>
      <c r="AS147" s="34">
        <f t="shared" ca="1" si="84"/>
        <v>10.841252121593747</v>
      </c>
      <c r="AT147" s="350">
        <v>-0.1</v>
      </c>
      <c r="AU147" s="34">
        <f ca="1">MIN(AU146*(1+AT147),$AT$126-SUM(AU$129:AU146))</f>
        <v>10.841252121593747</v>
      </c>
      <c r="AV147" s="369"/>
      <c r="AW147" s="34">
        <f t="shared" ca="1" si="62"/>
        <v>0</v>
      </c>
      <c r="AX147" s="34">
        <f t="shared" ca="1" si="63"/>
        <v>1.4906721667191403</v>
      </c>
      <c r="AY147" s="34">
        <f t="shared" ca="1" si="64"/>
        <v>0</v>
      </c>
      <c r="AZ147" s="34">
        <f t="shared" ca="1" si="65"/>
        <v>8.9440330003148407</v>
      </c>
      <c r="BA147" s="34"/>
      <c r="BB147" s="34">
        <f t="shared" ca="1" si="91"/>
        <v>0</v>
      </c>
      <c r="BC147" s="34">
        <f t="shared" ca="1" si="91"/>
        <v>467.07727890533062</v>
      </c>
      <c r="BD147" s="34">
        <f t="shared" ca="1" si="91"/>
        <v>518.97475433925615</v>
      </c>
      <c r="BE147" s="34">
        <f t="shared" ca="1" si="91"/>
        <v>441.68064199085637</v>
      </c>
      <c r="BF147" s="34">
        <f t="shared" ca="1" si="91"/>
        <v>0</v>
      </c>
      <c r="BG147" s="34">
        <f t="shared" ca="1" si="91"/>
        <v>0</v>
      </c>
      <c r="BH147" s="34">
        <f t="shared" ca="1" si="91"/>
        <v>0</v>
      </c>
      <c r="BI147" s="34">
        <f t="shared" ca="1" si="91"/>
        <v>0</v>
      </c>
      <c r="BJ147" s="34">
        <f t="shared" ca="1" si="91"/>
        <v>0</v>
      </c>
      <c r="BK147" s="34">
        <f t="shared" ca="1" si="91"/>
        <v>0</v>
      </c>
      <c r="BL147" s="34">
        <f t="shared" ca="1" si="92"/>
        <v>0</v>
      </c>
      <c r="BM147" s="34">
        <f t="shared" ca="1" si="92"/>
        <v>0</v>
      </c>
      <c r="BN147" s="34">
        <f t="shared" ca="1" si="92"/>
        <v>0</v>
      </c>
      <c r="BO147" s="34">
        <f t="shared" ca="1" si="92"/>
        <v>0</v>
      </c>
      <c r="BP147" s="34">
        <f t="shared" ca="1" si="92"/>
        <v>0</v>
      </c>
      <c r="BQ147" s="34">
        <f t="shared" ca="1" si="92"/>
        <v>0</v>
      </c>
      <c r="BR147" s="34">
        <f t="shared" ca="1" si="92"/>
        <v>0</v>
      </c>
      <c r="BS147" s="34">
        <f t="shared" ca="1" si="92"/>
        <v>0</v>
      </c>
      <c r="BT147" s="34">
        <f t="shared" ca="1" si="92"/>
        <v>0</v>
      </c>
      <c r="BU147" s="34">
        <f t="shared" ca="1" si="92"/>
        <v>0</v>
      </c>
      <c r="BV147" s="34">
        <f t="shared" ca="1" si="93"/>
        <v>0</v>
      </c>
      <c r="BW147" s="34">
        <f t="shared" ca="1" si="93"/>
        <v>0</v>
      </c>
      <c r="BX147" s="34">
        <f t="shared" ca="1" si="93"/>
        <v>0</v>
      </c>
      <c r="BY147" s="34">
        <f t="shared" ca="1" si="93"/>
        <v>0</v>
      </c>
      <c r="BZ147" s="34">
        <f t="shared" ca="1" si="93"/>
        <v>0</v>
      </c>
      <c r="CA147" s="34">
        <f t="shared" ca="1" si="93"/>
        <v>0</v>
      </c>
      <c r="CB147" s="34">
        <f t="shared" ca="1" si="93"/>
        <v>0</v>
      </c>
      <c r="CC147" s="34">
        <f t="shared" ca="1" si="93"/>
        <v>0</v>
      </c>
      <c r="CD147" s="34">
        <f t="shared" ca="1" si="93"/>
        <v>0</v>
      </c>
      <c r="CE147" s="34">
        <f t="shared" ca="1" si="93"/>
        <v>0</v>
      </c>
      <c r="CF147" s="34">
        <f t="shared" ca="1" si="94"/>
        <v>0</v>
      </c>
      <c r="CG147" s="34">
        <f t="shared" ca="1" si="94"/>
        <v>0</v>
      </c>
      <c r="CH147" s="34">
        <f t="shared" ca="1" si="94"/>
        <v>0</v>
      </c>
      <c r="CI147" s="34">
        <f t="shared" ca="1" si="94"/>
        <v>0</v>
      </c>
      <c r="CJ147" s="34">
        <f t="shared" ca="1" si="94"/>
        <v>0</v>
      </c>
      <c r="CK147" s="34">
        <f t="shared" ca="1" si="94"/>
        <v>0</v>
      </c>
      <c r="CL147" s="34">
        <f t="shared" ca="1" si="94"/>
        <v>0</v>
      </c>
      <c r="CM147" s="34">
        <f t="shared" ca="1" si="94"/>
        <v>0</v>
      </c>
      <c r="CN147" s="34">
        <f t="shared" ca="1" si="94"/>
        <v>0</v>
      </c>
      <c r="CO147" s="34">
        <f t="shared" ca="1" si="94"/>
        <v>0</v>
      </c>
      <c r="CP147" s="34">
        <f t="shared" ca="1" si="94"/>
        <v>0</v>
      </c>
      <c r="CQ147" s="34">
        <f t="shared" ca="1" si="85"/>
        <v>1427.7326752354431</v>
      </c>
      <c r="CR147" s="363">
        <v>0</v>
      </c>
      <c r="CS147" s="34">
        <f t="shared" ca="1" si="86"/>
        <v>1427.7326752354431</v>
      </c>
      <c r="CT147" s="233"/>
    </row>
    <row r="148" spans="2:98" x14ac:dyDescent="0.3">
      <c r="B148" s="232"/>
      <c r="C148" s="250">
        <f t="shared" si="87"/>
        <v>2032</v>
      </c>
      <c r="D148" s="263">
        <f t="shared" ca="1" si="70"/>
        <v>0</v>
      </c>
      <c r="E148" s="263">
        <f t="shared" ca="1" si="52"/>
        <v>214.15990128531647</v>
      </c>
      <c r="F148" s="263">
        <f t="shared" ca="1" si="53"/>
        <v>0</v>
      </c>
      <c r="G148" s="263">
        <f t="shared" ca="1" si="71"/>
        <v>1284.9594077118988</v>
      </c>
      <c r="H148" s="15"/>
      <c r="I148" s="271">
        <f ca="1">Assumptions!O$68</f>
        <v>4.5</v>
      </c>
      <c r="J148" s="271">
        <f ca="1">Assumptions!P$68</f>
        <v>80</v>
      </c>
      <c r="K148" s="271">
        <f t="shared" ca="1" si="54"/>
        <v>40</v>
      </c>
      <c r="L148" s="15"/>
      <c r="M148" s="35">
        <f t="shared" ca="1" si="72"/>
        <v>4.2299999999999995</v>
      </c>
      <c r="N148" s="35">
        <f t="shared" ca="1" si="55"/>
        <v>64</v>
      </c>
      <c r="O148" s="35">
        <f t="shared" ca="1" si="56"/>
        <v>32</v>
      </c>
      <c r="P148" s="15"/>
      <c r="Q148" s="34">
        <f t="shared" ca="1" si="73"/>
        <v>0</v>
      </c>
      <c r="R148" s="34">
        <f t="shared" ca="1" si="73"/>
        <v>13706.233682260254</v>
      </c>
      <c r="S148" s="34">
        <f t="shared" ca="1" si="73"/>
        <v>0</v>
      </c>
      <c r="T148" s="34">
        <f t="shared" ca="1" si="74"/>
        <v>13706.233682260254</v>
      </c>
      <c r="U148" s="15"/>
      <c r="V148" s="35">
        <f t="shared" si="75"/>
        <v>0.7</v>
      </c>
      <c r="W148" s="34">
        <f t="shared" ca="1" si="88"/>
        <v>1090.2685883616111</v>
      </c>
      <c r="X148" s="35">
        <f t="shared" si="76"/>
        <v>0.222</v>
      </c>
      <c r="Y148" s="34">
        <f t="shared" ca="1" si="77"/>
        <v>345.77089516611096</v>
      </c>
      <c r="Z148" s="35">
        <f t="shared" si="78"/>
        <v>0.34799999999999998</v>
      </c>
      <c r="AA148" s="34">
        <f t="shared" ca="1" si="79"/>
        <v>542.0192410712009</v>
      </c>
      <c r="AB148" s="34">
        <f t="shared" ca="1" si="80"/>
        <v>1978.0587245989229</v>
      </c>
      <c r="AC148" s="15"/>
      <c r="AD148" s="34">
        <f t="shared" ca="1" si="81"/>
        <v>11728.174957661331</v>
      </c>
      <c r="AE148" s="34">
        <f ca="1"/>
        <v>0</v>
      </c>
      <c r="AF148" s="34">
        <f t="shared" ca="1" si="82"/>
        <v>11728.174957661331</v>
      </c>
      <c r="AG148" s="15"/>
      <c r="AH148" s="272">
        <f t="shared" si="89"/>
        <v>48579</v>
      </c>
      <c r="AI148" s="267">
        <f t="shared" si="57"/>
        <v>18.666666666666668</v>
      </c>
      <c r="AJ148" s="267">
        <f t="shared" si="58"/>
        <v>0.16878604764847771</v>
      </c>
      <c r="AK148" s="34">
        <f t="shared" ca="1" si="90"/>
        <v>1979.5522972335084</v>
      </c>
      <c r="AL148" s="233"/>
      <c r="AN148" s="349"/>
      <c r="AO148" s="237">
        <f t="shared" si="83"/>
        <v>19</v>
      </c>
      <c r="AP148" s="34">
        <f t="shared" ca="1" si="59"/>
        <v>0</v>
      </c>
      <c r="AQ148" s="34">
        <f t="shared" ca="1" si="60"/>
        <v>1.6261878182390621</v>
      </c>
      <c r="AR148" s="34">
        <f t="shared" ca="1" si="61"/>
        <v>0</v>
      </c>
      <c r="AS148" s="34">
        <f t="shared" ca="1" si="84"/>
        <v>9.7571269094343727</v>
      </c>
      <c r="AT148" s="350">
        <v>-0.1</v>
      </c>
      <c r="AU148" s="34">
        <f ca="1">MIN(AU147*(1+AT148),$AT$126-SUM(AU$129:AU147))</f>
        <v>9.7571269094343727</v>
      </c>
      <c r="AV148" s="369"/>
      <c r="AW148" s="34">
        <f t="shared" ca="1" si="62"/>
        <v>0</v>
      </c>
      <c r="AX148" s="34">
        <f t="shared" ca="1" si="63"/>
        <v>1.3416049500472262</v>
      </c>
      <c r="AY148" s="34">
        <f t="shared" ca="1" si="64"/>
        <v>0</v>
      </c>
      <c r="AZ148" s="34">
        <f t="shared" ca="1" si="65"/>
        <v>8.0496297002833579</v>
      </c>
      <c r="BA148" s="34"/>
      <c r="BB148" s="34">
        <f t="shared" ca="1" si="91"/>
        <v>0</v>
      </c>
      <c r="BC148" s="34">
        <f t="shared" ca="1" si="91"/>
        <v>420.36955101479754</v>
      </c>
      <c r="BD148" s="34">
        <f t="shared" ca="1" si="91"/>
        <v>467.07727890533062</v>
      </c>
      <c r="BE148" s="34">
        <f t="shared" ca="1" si="91"/>
        <v>397.5125777917707</v>
      </c>
      <c r="BF148" s="34">
        <f t="shared" ca="1" si="91"/>
        <v>0</v>
      </c>
      <c r="BG148" s="34">
        <f t="shared" ca="1" si="91"/>
        <v>0</v>
      </c>
      <c r="BH148" s="34">
        <f t="shared" ca="1" si="91"/>
        <v>0</v>
      </c>
      <c r="BI148" s="34">
        <f t="shared" ca="1" si="91"/>
        <v>0</v>
      </c>
      <c r="BJ148" s="34">
        <f t="shared" ca="1" si="91"/>
        <v>0</v>
      </c>
      <c r="BK148" s="34">
        <f t="shared" ca="1" si="91"/>
        <v>0</v>
      </c>
      <c r="BL148" s="34">
        <f t="shared" ca="1" si="92"/>
        <v>0</v>
      </c>
      <c r="BM148" s="34">
        <f t="shared" ca="1" si="92"/>
        <v>0</v>
      </c>
      <c r="BN148" s="34">
        <f t="shared" ca="1" si="92"/>
        <v>0</v>
      </c>
      <c r="BO148" s="34">
        <f t="shared" ca="1" si="92"/>
        <v>0</v>
      </c>
      <c r="BP148" s="34">
        <f t="shared" ca="1" si="92"/>
        <v>0</v>
      </c>
      <c r="BQ148" s="34">
        <f t="shared" ca="1" si="92"/>
        <v>0</v>
      </c>
      <c r="BR148" s="34">
        <f t="shared" ca="1" si="92"/>
        <v>0</v>
      </c>
      <c r="BS148" s="34">
        <f t="shared" ca="1" si="92"/>
        <v>0</v>
      </c>
      <c r="BT148" s="34">
        <f t="shared" ca="1" si="92"/>
        <v>0</v>
      </c>
      <c r="BU148" s="34">
        <f t="shared" ca="1" si="92"/>
        <v>0</v>
      </c>
      <c r="BV148" s="34">
        <f t="shared" ca="1" si="93"/>
        <v>0</v>
      </c>
      <c r="BW148" s="34">
        <f t="shared" ca="1" si="93"/>
        <v>0</v>
      </c>
      <c r="BX148" s="34">
        <f t="shared" ca="1" si="93"/>
        <v>0</v>
      </c>
      <c r="BY148" s="34">
        <f t="shared" ca="1" si="93"/>
        <v>0</v>
      </c>
      <c r="BZ148" s="34">
        <f t="shared" ca="1" si="93"/>
        <v>0</v>
      </c>
      <c r="CA148" s="34">
        <f t="shared" ca="1" si="93"/>
        <v>0</v>
      </c>
      <c r="CB148" s="34">
        <f t="shared" ca="1" si="93"/>
        <v>0</v>
      </c>
      <c r="CC148" s="34">
        <f t="shared" ca="1" si="93"/>
        <v>0</v>
      </c>
      <c r="CD148" s="34">
        <f t="shared" ca="1" si="93"/>
        <v>0</v>
      </c>
      <c r="CE148" s="34">
        <f t="shared" ca="1" si="93"/>
        <v>0</v>
      </c>
      <c r="CF148" s="34">
        <f t="shared" ca="1" si="94"/>
        <v>0</v>
      </c>
      <c r="CG148" s="34">
        <f t="shared" ca="1" si="94"/>
        <v>0</v>
      </c>
      <c r="CH148" s="34">
        <f t="shared" ca="1" si="94"/>
        <v>0</v>
      </c>
      <c r="CI148" s="34">
        <f t="shared" ca="1" si="94"/>
        <v>0</v>
      </c>
      <c r="CJ148" s="34">
        <f t="shared" ca="1" si="94"/>
        <v>0</v>
      </c>
      <c r="CK148" s="34">
        <f t="shared" ca="1" si="94"/>
        <v>0</v>
      </c>
      <c r="CL148" s="34">
        <f t="shared" ca="1" si="94"/>
        <v>0</v>
      </c>
      <c r="CM148" s="34">
        <f t="shared" ca="1" si="94"/>
        <v>0</v>
      </c>
      <c r="CN148" s="34">
        <f t="shared" ca="1" si="94"/>
        <v>0</v>
      </c>
      <c r="CO148" s="34">
        <f t="shared" ca="1" si="94"/>
        <v>0</v>
      </c>
      <c r="CP148" s="34">
        <f t="shared" ca="1" si="94"/>
        <v>0</v>
      </c>
      <c r="CQ148" s="34">
        <f t="shared" ca="1" si="85"/>
        <v>1284.9594077118988</v>
      </c>
      <c r="CR148" s="363">
        <v>0</v>
      </c>
      <c r="CS148" s="34">
        <f t="shared" ca="1" si="86"/>
        <v>1284.9594077118988</v>
      </c>
      <c r="CT148" s="233"/>
    </row>
    <row r="149" spans="2:98" x14ac:dyDescent="0.3">
      <c r="B149" s="232"/>
      <c r="C149" s="250">
        <f t="shared" si="87"/>
        <v>2033</v>
      </c>
      <c r="D149" s="263">
        <f t="shared" ca="1" si="70"/>
        <v>0</v>
      </c>
      <c r="E149" s="263">
        <f t="shared" ca="1" si="52"/>
        <v>192.74391115678483</v>
      </c>
      <c r="F149" s="263">
        <f t="shared" ca="1" si="53"/>
        <v>0</v>
      </c>
      <c r="G149" s="263">
        <f t="shared" ca="1" si="71"/>
        <v>1156.4634669407089</v>
      </c>
      <c r="H149" s="15"/>
      <c r="I149" s="271">
        <f ca="1">Assumptions!O$68</f>
        <v>4.5</v>
      </c>
      <c r="J149" s="271">
        <f ca="1">Assumptions!P$68</f>
        <v>80</v>
      </c>
      <c r="K149" s="271">
        <f t="shared" ca="1" si="54"/>
        <v>40</v>
      </c>
      <c r="L149" s="15"/>
      <c r="M149" s="35">
        <f t="shared" ca="1" si="72"/>
        <v>4.2299999999999995</v>
      </c>
      <c r="N149" s="35">
        <f t="shared" ca="1" si="55"/>
        <v>64</v>
      </c>
      <c r="O149" s="35">
        <f t="shared" ca="1" si="56"/>
        <v>32</v>
      </c>
      <c r="P149" s="15"/>
      <c r="Q149" s="34">
        <f t="shared" ca="1" si="73"/>
        <v>0</v>
      </c>
      <c r="R149" s="34">
        <f t="shared" ca="1" si="73"/>
        <v>12335.610314034229</v>
      </c>
      <c r="S149" s="34">
        <f t="shared" ca="1" si="73"/>
        <v>0</v>
      </c>
      <c r="T149" s="34">
        <f t="shared" ca="1" si="74"/>
        <v>12335.610314034229</v>
      </c>
      <c r="U149" s="15"/>
      <c r="V149" s="35">
        <f t="shared" si="75"/>
        <v>0.7</v>
      </c>
      <c r="W149" s="34">
        <f t="shared" ca="1" si="88"/>
        <v>981.24172952544995</v>
      </c>
      <c r="X149" s="35">
        <f t="shared" si="76"/>
        <v>0.222</v>
      </c>
      <c r="Y149" s="34">
        <f t="shared" ca="1" si="77"/>
        <v>311.19380564949989</v>
      </c>
      <c r="Z149" s="35">
        <f t="shared" si="78"/>
        <v>0.34799999999999998</v>
      </c>
      <c r="AA149" s="34">
        <f t="shared" ca="1" si="79"/>
        <v>487.81731696408082</v>
      </c>
      <c r="AB149" s="34">
        <f t="shared" ca="1" si="80"/>
        <v>1780.2528521390307</v>
      </c>
      <c r="AC149" s="15"/>
      <c r="AD149" s="34">
        <f t="shared" ca="1" si="81"/>
        <v>10555.357461895199</v>
      </c>
      <c r="AE149" s="34">
        <f ca="1"/>
        <v>0</v>
      </c>
      <c r="AF149" s="34">
        <f t="shared" ca="1" si="82"/>
        <v>10555.357461895199</v>
      </c>
      <c r="AG149" s="15"/>
      <c r="AH149" s="272">
        <f t="shared" si="89"/>
        <v>48944</v>
      </c>
      <c r="AI149" s="267">
        <f t="shared" si="57"/>
        <v>19.666666666666668</v>
      </c>
      <c r="AJ149" s="267">
        <f t="shared" si="58"/>
        <v>0.15344186149861608</v>
      </c>
      <c r="AK149" s="34">
        <f t="shared" ca="1" si="90"/>
        <v>1619.6336977365067</v>
      </c>
      <c r="AL149" s="233"/>
      <c r="AN149" s="349"/>
      <c r="AO149" s="237">
        <f t="shared" si="83"/>
        <v>20</v>
      </c>
      <c r="AP149" s="34">
        <f t="shared" ca="1" si="59"/>
        <v>0</v>
      </c>
      <c r="AQ149" s="34">
        <f t="shared" ca="1" si="60"/>
        <v>1.4635690364151559</v>
      </c>
      <c r="AR149" s="34">
        <f t="shared" ca="1" si="61"/>
        <v>0</v>
      </c>
      <c r="AS149" s="34">
        <f t="shared" ca="1" si="84"/>
        <v>8.7814142184909354</v>
      </c>
      <c r="AT149" s="350">
        <v>-0.1</v>
      </c>
      <c r="AU149" s="34">
        <f ca="1">MIN(AU148*(1+AT149),$AT$126-SUM(AU$129:AU148))</f>
        <v>8.7814142184909354</v>
      </c>
      <c r="AV149" s="369"/>
      <c r="AW149" s="34">
        <f t="shared" ca="1" si="62"/>
        <v>0</v>
      </c>
      <c r="AX149" s="34">
        <f t="shared" ca="1" si="63"/>
        <v>1.2074444550425036</v>
      </c>
      <c r="AY149" s="34">
        <f t="shared" ca="1" si="64"/>
        <v>0</v>
      </c>
      <c r="AZ149" s="34">
        <f t="shared" ca="1" si="65"/>
        <v>7.2446667302550214</v>
      </c>
      <c r="BA149" s="34"/>
      <c r="BB149" s="34">
        <f t="shared" ref="BB149:BK158" ca="1" si="95">IF($AO149&lt;BB$128,0,OFFSET($AZ$128,$AO149-BB$128+1,0)*BB$126)</f>
        <v>0</v>
      </c>
      <c r="BC149" s="34">
        <f t="shared" ca="1" si="95"/>
        <v>378.33259591331785</v>
      </c>
      <c r="BD149" s="34">
        <f t="shared" ca="1" si="95"/>
        <v>420.36955101479754</v>
      </c>
      <c r="BE149" s="34">
        <f t="shared" ca="1" si="95"/>
        <v>357.76132001259367</v>
      </c>
      <c r="BF149" s="34">
        <f t="shared" ca="1" si="95"/>
        <v>0</v>
      </c>
      <c r="BG149" s="34">
        <f t="shared" ca="1" si="95"/>
        <v>0</v>
      </c>
      <c r="BH149" s="34">
        <f t="shared" ca="1" si="95"/>
        <v>0</v>
      </c>
      <c r="BI149" s="34">
        <f t="shared" ca="1" si="95"/>
        <v>0</v>
      </c>
      <c r="BJ149" s="34">
        <f t="shared" ca="1" si="95"/>
        <v>0</v>
      </c>
      <c r="BK149" s="34">
        <f t="shared" ca="1" si="95"/>
        <v>0</v>
      </c>
      <c r="BL149" s="34">
        <f t="shared" ref="BL149:BU158" ca="1" si="96">IF($AO149&lt;BL$128,0,OFFSET($AZ$128,$AO149-BL$128+1,0)*BL$126)</f>
        <v>0</v>
      </c>
      <c r="BM149" s="34">
        <f t="shared" ca="1" si="96"/>
        <v>0</v>
      </c>
      <c r="BN149" s="34">
        <f t="shared" ca="1" si="96"/>
        <v>0</v>
      </c>
      <c r="BO149" s="34">
        <f t="shared" ca="1" si="96"/>
        <v>0</v>
      </c>
      <c r="BP149" s="34">
        <f t="shared" ca="1" si="96"/>
        <v>0</v>
      </c>
      <c r="BQ149" s="34">
        <f t="shared" ca="1" si="96"/>
        <v>0</v>
      </c>
      <c r="BR149" s="34">
        <f t="shared" ca="1" si="96"/>
        <v>0</v>
      </c>
      <c r="BS149" s="34">
        <f t="shared" ca="1" si="96"/>
        <v>0</v>
      </c>
      <c r="BT149" s="34">
        <f t="shared" ca="1" si="96"/>
        <v>0</v>
      </c>
      <c r="BU149" s="34">
        <f t="shared" ca="1" si="96"/>
        <v>0</v>
      </c>
      <c r="BV149" s="34">
        <f t="shared" ref="BV149:CE158" ca="1" si="97">IF($AO149&lt;BV$128,0,OFFSET($AZ$128,$AO149-BV$128+1,0)*BV$126)</f>
        <v>0</v>
      </c>
      <c r="BW149" s="34">
        <f t="shared" ca="1" si="97"/>
        <v>0</v>
      </c>
      <c r="BX149" s="34">
        <f t="shared" ca="1" si="97"/>
        <v>0</v>
      </c>
      <c r="BY149" s="34">
        <f t="shared" ca="1" si="97"/>
        <v>0</v>
      </c>
      <c r="BZ149" s="34">
        <f t="shared" ca="1" si="97"/>
        <v>0</v>
      </c>
      <c r="CA149" s="34">
        <f t="shared" ca="1" si="97"/>
        <v>0</v>
      </c>
      <c r="CB149" s="34">
        <f t="shared" ca="1" si="97"/>
        <v>0</v>
      </c>
      <c r="CC149" s="34">
        <f t="shared" ca="1" si="97"/>
        <v>0</v>
      </c>
      <c r="CD149" s="34">
        <f t="shared" ca="1" si="97"/>
        <v>0</v>
      </c>
      <c r="CE149" s="34">
        <f t="shared" ca="1" si="97"/>
        <v>0</v>
      </c>
      <c r="CF149" s="34">
        <f t="shared" ref="CF149:CP158" ca="1" si="98">IF($AO149&lt;CF$128,0,OFFSET($AZ$128,$AO149-CF$128+1,0)*CF$126)</f>
        <v>0</v>
      </c>
      <c r="CG149" s="34">
        <f t="shared" ca="1" si="98"/>
        <v>0</v>
      </c>
      <c r="CH149" s="34">
        <f t="shared" ca="1" si="98"/>
        <v>0</v>
      </c>
      <c r="CI149" s="34">
        <f t="shared" ca="1" si="98"/>
        <v>0</v>
      </c>
      <c r="CJ149" s="34">
        <f t="shared" ca="1" si="98"/>
        <v>0</v>
      </c>
      <c r="CK149" s="34">
        <f t="shared" ca="1" si="98"/>
        <v>0</v>
      </c>
      <c r="CL149" s="34">
        <f t="shared" ca="1" si="98"/>
        <v>0</v>
      </c>
      <c r="CM149" s="34">
        <f t="shared" ca="1" si="98"/>
        <v>0</v>
      </c>
      <c r="CN149" s="34">
        <f t="shared" ca="1" si="98"/>
        <v>0</v>
      </c>
      <c r="CO149" s="34">
        <f t="shared" ca="1" si="98"/>
        <v>0</v>
      </c>
      <c r="CP149" s="34">
        <f t="shared" ca="1" si="98"/>
        <v>0</v>
      </c>
      <c r="CQ149" s="34">
        <f t="shared" ca="1" si="85"/>
        <v>1156.4634669407089</v>
      </c>
      <c r="CR149" s="363">
        <v>0</v>
      </c>
      <c r="CS149" s="34">
        <f t="shared" ca="1" si="86"/>
        <v>1156.4634669407089</v>
      </c>
      <c r="CT149" s="233"/>
    </row>
    <row r="150" spans="2:98" x14ac:dyDescent="0.3">
      <c r="B150" s="232"/>
      <c r="C150" s="250">
        <f t="shared" si="87"/>
        <v>2034</v>
      </c>
      <c r="D150" s="263">
        <f t="shared" ca="1" si="70"/>
        <v>0</v>
      </c>
      <c r="E150" s="263">
        <f t="shared" ca="1" si="52"/>
        <v>173.46952004110634</v>
      </c>
      <c r="F150" s="263">
        <f t="shared" ca="1" si="53"/>
        <v>0</v>
      </c>
      <c r="G150" s="263">
        <f t="shared" ca="1" si="71"/>
        <v>1040.8171202466381</v>
      </c>
      <c r="H150" s="15"/>
      <c r="I150" s="271">
        <f ca="1">Assumptions!O$68</f>
        <v>4.5</v>
      </c>
      <c r="J150" s="271">
        <f ca="1">Assumptions!P$68</f>
        <v>80</v>
      </c>
      <c r="K150" s="271">
        <f t="shared" ca="1" si="54"/>
        <v>40</v>
      </c>
      <c r="L150" s="15"/>
      <c r="M150" s="35">
        <f t="shared" ca="1" si="72"/>
        <v>4.2299999999999995</v>
      </c>
      <c r="N150" s="35">
        <f t="shared" ca="1" si="55"/>
        <v>64</v>
      </c>
      <c r="O150" s="35">
        <f t="shared" ca="1" si="56"/>
        <v>32</v>
      </c>
      <c r="P150" s="15"/>
      <c r="Q150" s="34">
        <f t="shared" ca="1" si="73"/>
        <v>0</v>
      </c>
      <c r="R150" s="34">
        <f t="shared" ca="1" si="73"/>
        <v>11102.049282630805</v>
      </c>
      <c r="S150" s="34">
        <f t="shared" ca="1" si="73"/>
        <v>0</v>
      </c>
      <c r="T150" s="34">
        <f t="shared" ca="1" si="74"/>
        <v>11102.049282630805</v>
      </c>
      <c r="U150" s="15"/>
      <c r="V150" s="35">
        <f t="shared" si="75"/>
        <v>0.7</v>
      </c>
      <c r="W150" s="34">
        <f t="shared" ca="1" si="88"/>
        <v>883.11755657290496</v>
      </c>
      <c r="X150" s="35">
        <f t="shared" si="76"/>
        <v>0.222</v>
      </c>
      <c r="Y150" s="34">
        <f t="shared" ca="1" si="77"/>
        <v>280.07442508454989</v>
      </c>
      <c r="Z150" s="35">
        <f t="shared" si="78"/>
        <v>0.34799999999999998</v>
      </c>
      <c r="AA150" s="34">
        <f t="shared" ca="1" si="79"/>
        <v>439.03558526767279</v>
      </c>
      <c r="AB150" s="34">
        <f t="shared" ca="1" si="80"/>
        <v>1602.2275669251276</v>
      </c>
      <c r="AC150" s="15"/>
      <c r="AD150" s="34">
        <f t="shared" ca="1" si="81"/>
        <v>9499.8217157056788</v>
      </c>
      <c r="AE150" s="34">
        <f ca="1"/>
        <v>0</v>
      </c>
      <c r="AF150" s="34">
        <f t="shared" ca="1" si="82"/>
        <v>9499.8217157056788</v>
      </c>
      <c r="AG150" s="15"/>
      <c r="AH150" s="272">
        <f t="shared" si="89"/>
        <v>49309</v>
      </c>
      <c r="AI150" s="267">
        <f t="shared" si="57"/>
        <v>20.666666666666668</v>
      </c>
      <c r="AJ150" s="267">
        <f t="shared" si="58"/>
        <v>0.13949260136237826</v>
      </c>
      <c r="AK150" s="34">
        <f t="shared" ca="1" si="90"/>
        <v>1325.1548436025967</v>
      </c>
      <c r="AL150" s="233"/>
      <c r="AN150" s="349"/>
      <c r="AO150" s="237">
        <f t="shared" si="83"/>
        <v>21</v>
      </c>
      <c r="AP150" s="34">
        <f t="shared" ca="1" si="59"/>
        <v>0</v>
      </c>
      <c r="AQ150" s="34">
        <f t="shared" ca="1" si="60"/>
        <v>1.3172121327736404</v>
      </c>
      <c r="AR150" s="34">
        <f t="shared" ca="1" si="61"/>
        <v>0</v>
      </c>
      <c r="AS150" s="34">
        <f t="shared" ca="1" si="84"/>
        <v>7.9032727966418417</v>
      </c>
      <c r="AT150" s="350">
        <v>-0.1</v>
      </c>
      <c r="AU150" s="34">
        <f ca="1">MIN(AU149*(1+AT150),$AT$126-SUM(AU$129:AU149))</f>
        <v>7.9032727966418417</v>
      </c>
      <c r="AV150" s="369"/>
      <c r="AW150" s="34">
        <f t="shared" ca="1" si="62"/>
        <v>0</v>
      </c>
      <c r="AX150" s="34">
        <f t="shared" ca="1" si="63"/>
        <v>1.0867000095382533</v>
      </c>
      <c r="AY150" s="34">
        <f t="shared" ca="1" si="64"/>
        <v>0</v>
      </c>
      <c r="AZ150" s="34">
        <f t="shared" ca="1" si="65"/>
        <v>6.5202000572295189</v>
      </c>
      <c r="BA150" s="34"/>
      <c r="BB150" s="34">
        <f t="shared" ca="1" si="95"/>
        <v>0</v>
      </c>
      <c r="BC150" s="34">
        <f t="shared" ca="1" si="95"/>
        <v>340.49933632198599</v>
      </c>
      <c r="BD150" s="34">
        <f t="shared" ca="1" si="95"/>
        <v>378.33259591331785</v>
      </c>
      <c r="BE150" s="34">
        <f t="shared" ca="1" si="95"/>
        <v>321.98518801133429</v>
      </c>
      <c r="BF150" s="34">
        <f t="shared" ca="1" si="95"/>
        <v>0</v>
      </c>
      <c r="BG150" s="34">
        <f t="shared" ca="1" si="95"/>
        <v>0</v>
      </c>
      <c r="BH150" s="34">
        <f t="shared" ca="1" si="95"/>
        <v>0</v>
      </c>
      <c r="BI150" s="34">
        <f t="shared" ca="1" si="95"/>
        <v>0</v>
      </c>
      <c r="BJ150" s="34">
        <f t="shared" ca="1" si="95"/>
        <v>0</v>
      </c>
      <c r="BK150" s="34">
        <f t="shared" ca="1" si="95"/>
        <v>0</v>
      </c>
      <c r="BL150" s="34">
        <f t="shared" ca="1" si="96"/>
        <v>0</v>
      </c>
      <c r="BM150" s="34">
        <f t="shared" ca="1" si="96"/>
        <v>0</v>
      </c>
      <c r="BN150" s="34">
        <f t="shared" ca="1" si="96"/>
        <v>0</v>
      </c>
      <c r="BO150" s="34">
        <f t="shared" ca="1" si="96"/>
        <v>0</v>
      </c>
      <c r="BP150" s="34">
        <f t="shared" ca="1" si="96"/>
        <v>0</v>
      </c>
      <c r="BQ150" s="34">
        <f t="shared" ca="1" si="96"/>
        <v>0</v>
      </c>
      <c r="BR150" s="34">
        <f t="shared" ca="1" si="96"/>
        <v>0</v>
      </c>
      <c r="BS150" s="34">
        <f t="shared" ca="1" si="96"/>
        <v>0</v>
      </c>
      <c r="BT150" s="34">
        <f t="shared" ca="1" si="96"/>
        <v>0</v>
      </c>
      <c r="BU150" s="34">
        <f t="shared" ca="1" si="96"/>
        <v>0</v>
      </c>
      <c r="BV150" s="34">
        <f t="shared" ca="1" si="97"/>
        <v>0</v>
      </c>
      <c r="BW150" s="34">
        <f t="shared" ca="1" si="97"/>
        <v>0</v>
      </c>
      <c r="BX150" s="34">
        <f t="shared" ca="1" si="97"/>
        <v>0</v>
      </c>
      <c r="BY150" s="34">
        <f t="shared" ca="1" si="97"/>
        <v>0</v>
      </c>
      <c r="BZ150" s="34">
        <f t="shared" ca="1" si="97"/>
        <v>0</v>
      </c>
      <c r="CA150" s="34">
        <f t="shared" ca="1" si="97"/>
        <v>0</v>
      </c>
      <c r="CB150" s="34">
        <f t="shared" ca="1" si="97"/>
        <v>0</v>
      </c>
      <c r="CC150" s="34">
        <f t="shared" ca="1" si="97"/>
        <v>0</v>
      </c>
      <c r="CD150" s="34">
        <f t="shared" ca="1" si="97"/>
        <v>0</v>
      </c>
      <c r="CE150" s="34">
        <f t="shared" ca="1" si="97"/>
        <v>0</v>
      </c>
      <c r="CF150" s="34">
        <f t="shared" ca="1" si="98"/>
        <v>0</v>
      </c>
      <c r="CG150" s="34">
        <f t="shared" ca="1" si="98"/>
        <v>0</v>
      </c>
      <c r="CH150" s="34">
        <f t="shared" ca="1" si="98"/>
        <v>0</v>
      </c>
      <c r="CI150" s="34">
        <f t="shared" ca="1" si="98"/>
        <v>0</v>
      </c>
      <c r="CJ150" s="34">
        <f t="shared" ca="1" si="98"/>
        <v>0</v>
      </c>
      <c r="CK150" s="34">
        <f t="shared" ca="1" si="98"/>
        <v>0</v>
      </c>
      <c r="CL150" s="34">
        <f t="shared" ca="1" si="98"/>
        <v>0</v>
      </c>
      <c r="CM150" s="34">
        <f t="shared" ca="1" si="98"/>
        <v>0</v>
      </c>
      <c r="CN150" s="34">
        <f t="shared" ca="1" si="98"/>
        <v>0</v>
      </c>
      <c r="CO150" s="34">
        <f t="shared" ca="1" si="98"/>
        <v>0</v>
      </c>
      <c r="CP150" s="34">
        <f t="shared" ca="1" si="98"/>
        <v>0</v>
      </c>
      <c r="CQ150" s="34">
        <f t="shared" ca="1" si="85"/>
        <v>1040.8171202466381</v>
      </c>
      <c r="CR150" s="363">
        <v>0</v>
      </c>
      <c r="CS150" s="34">
        <f t="shared" ca="1" si="86"/>
        <v>1040.8171202466381</v>
      </c>
      <c r="CT150" s="233"/>
    </row>
    <row r="151" spans="2:98" x14ac:dyDescent="0.3">
      <c r="B151" s="232"/>
      <c r="C151" s="250">
        <f t="shared" si="87"/>
        <v>2035</v>
      </c>
      <c r="D151" s="263">
        <f t="shared" ca="1" si="70"/>
        <v>0</v>
      </c>
      <c r="E151" s="263">
        <f t="shared" ca="1" si="52"/>
        <v>156.12256803699572</v>
      </c>
      <c r="F151" s="263">
        <f t="shared" ca="1" si="53"/>
        <v>0</v>
      </c>
      <c r="G151" s="263">
        <f t="shared" ca="1" si="71"/>
        <v>936.73540822197424</v>
      </c>
      <c r="H151" s="15"/>
      <c r="I151" s="271">
        <f ca="1">Assumptions!O$68</f>
        <v>4.5</v>
      </c>
      <c r="J151" s="271">
        <f ca="1">Assumptions!P$68</f>
        <v>80</v>
      </c>
      <c r="K151" s="271">
        <f t="shared" ca="1" si="54"/>
        <v>40</v>
      </c>
      <c r="L151" s="15"/>
      <c r="M151" s="35">
        <f t="shared" ca="1" si="72"/>
        <v>4.2299999999999995</v>
      </c>
      <c r="N151" s="35">
        <f t="shared" ca="1" si="55"/>
        <v>64</v>
      </c>
      <c r="O151" s="35">
        <f t="shared" ca="1" si="56"/>
        <v>32</v>
      </c>
      <c r="P151" s="15"/>
      <c r="Q151" s="34">
        <f t="shared" ca="1" si="73"/>
        <v>0</v>
      </c>
      <c r="R151" s="34">
        <f t="shared" ca="1" si="73"/>
        <v>9991.8443543677258</v>
      </c>
      <c r="S151" s="34">
        <f t="shared" ca="1" si="73"/>
        <v>0</v>
      </c>
      <c r="T151" s="34">
        <f t="shared" ca="1" si="74"/>
        <v>9991.8443543677258</v>
      </c>
      <c r="U151" s="15"/>
      <c r="V151" s="35">
        <f t="shared" si="75"/>
        <v>0.7</v>
      </c>
      <c r="W151" s="34">
        <f t="shared" ca="1" si="88"/>
        <v>794.80580091561455</v>
      </c>
      <c r="X151" s="35">
        <f t="shared" si="76"/>
        <v>0.222</v>
      </c>
      <c r="Y151" s="34">
        <f t="shared" ca="1" si="77"/>
        <v>252.06698257609489</v>
      </c>
      <c r="Z151" s="35">
        <f t="shared" si="78"/>
        <v>0.34799999999999998</v>
      </c>
      <c r="AA151" s="34">
        <f t="shared" ca="1" si="79"/>
        <v>395.13202674090553</v>
      </c>
      <c r="AB151" s="34">
        <f t="shared" ca="1" si="80"/>
        <v>1442.004810232615</v>
      </c>
      <c r="AC151" s="15"/>
      <c r="AD151" s="34">
        <f t="shared" ca="1" si="81"/>
        <v>8549.8395441351113</v>
      </c>
      <c r="AE151" s="34">
        <f ca="1"/>
        <v>0</v>
      </c>
      <c r="AF151" s="34">
        <f t="shared" ca="1" si="82"/>
        <v>8549.8395441351113</v>
      </c>
      <c r="AG151" s="15"/>
      <c r="AH151" s="272">
        <f t="shared" si="89"/>
        <v>49674</v>
      </c>
      <c r="AI151" s="267">
        <f t="shared" si="57"/>
        <v>21.666666666666668</v>
      </c>
      <c r="AJ151" s="267">
        <f t="shared" si="58"/>
        <v>0.12681145578398023</v>
      </c>
      <c r="AK151" s="34">
        <f t="shared" ca="1" si="90"/>
        <v>1084.2175993112153</v>
      </c>
      <c r="AL151" s="233"/>
      <c r="AN151" s="349"/>
      <c r="AO151" s="237">
        <f t="shared" si="83"/>
        <v>22</v>
      </c>
      <c r="AP151" s="34">
        <f t="shared" ca="1" si="59"/>
        <v>0</v>
      </c>
      <c r="AQ151" s="34">
        <f t="shared" ca="1" si="60"/>
        <v>1.1854909194962764</v>
      </c>
      <c r="AR151" s="34">
        <f t="shared" ca="1" si="61"/>
        <v>0</v>
      </c>
      <c r="AS151" s="34">
        <f t="shared" ca="1" si="84"/>
        <v>7.1129455169776579</v>
      </c>
      <c r="AT151" s="350">
        <v>-0.1</v>
      </c>
      <c r="AU151" s="34">
        <f ca="1">MIN(AU150*(1+AT151),$AT$126-SUM(AU$129:AU150))</f>
        <v>7.1129455169776579</v>
      </c>
      <c r="AV151" s="369"/>
      <c r="AW151" s="34">
        <f t="shared" ca="1" si="62"/>
        <v>0</v>
      </c>
      <c r="AX151" s="34">
        <f t="shared" ca="1" si="63"/>
        <v>0.97803000858442801</v>
      </c>
      <c r="AY151" s="34">
        <f t="shared" ca="1" si="64"/>
        <v>0</v>
      </c>
      <c r="AZ151" s="34">
        <f t="shared" ca="1" si="65"/>
        <v>5.8681800515065676</v>
      </c>
      <c r="BA151" s="34"/>
      <c r="BB151" s="34">
        <f t="shared" ca="1" si="95"/>
        <v>0</v>
      </c>
      <c r="BC151" s="34">
        <f t="shared" ca="1" si="95"/>
        <v>306.44940268978741</v>
      </c>
      <c r="BD151" s="34">
        <f t="shared" ca="1" si="95"/>
        <v>340.49933632198599</v>
      </c>
      <c r="BE151" s="34">
        <f t="shared" ca="1" si="95"/>
        <v>289.7866692102009</v>
      </c>
      <c r="BF151" s="34">
        <f t="shared" ca="1" si="95"/>
        <v>0</v>
      </c>
      <c r="BG151" s="34">
        <f t="shared" ca="1" si="95"/>
        <v>0</v>
      </c>
      <c r="BH151" s="34">
        <f t="shared" ca="1" si="95"/>
        <v>0</v>
      </c>
      <c r="BI151" s="34">
        <f t="shared" ca="1" si="95"/>
        <v>0</v>
      </c>
      <c r="BJ151" s="34">
        <f t="shared" ca="1" si="95"/>
        <v>0</v>
      </c>
      <c r="BK151" s="34">
        <f t="shared" ca="1" si="95"/>
        <v>0</v>
      </c>
      <c r="BL151" s="34">
        <f t="shared" ca="1" si="96"/>
        <v>0</v>
      </c>
      <c r="BM151" s="34">
        <f t="shared" ca="1" si="96"/>
        <v>0</v>
      </c>
      <c r="BN151" s="34">
        <f t="shared" ca="1" si="96"/>
        <v>0</v>
      </c>
      <c r="BO151" s="34">
        <f t="shared" ca="1" si="96"/>
        <v>0</v>
      </c>
      <c r="BP151" s="34">
        <f t="shared" ca="1" si="96"/>
        <v>0</v>
      </c>
      <c r="BQ151" s="34">
        <f t="shared" ca="1" si="96"/>
        <v>0</v>
      </c>
      <c r="BR151" s="34">
        <f t="shared" ca="1" si="96"/>
        <v>0</v>
      </c>
      <c r="BS151" s="34">
        <f t="shared" ca="1" si="96"/>
        <v>0</v>
      </c>
      <c r="BT151" s="34">
        <f t="shared" ca="1" si="96"/>
        <v>0</v>
      </c>
      <c r="BU151" s="34">
        <f t="shared" ca="1" si="96"/>
        <v>0</v>
      </c>
      <c r="BV151" s="34">
        <f t="shared" ca="1" si="97"/>
        <v>0</v>
      </c>
      <c r="BW151" s="34">
        <f t="shared" ca="1" si="97"/>
        <v>0</v>
      </c>
      <c r="BX151" s="34">
        <f t="shared" ca="1" si="97"/>
        <v>0</v>
      </c>
      <c r="BY151" s="34">
        <f t="shared" ca="1" si="97"/>
        <v>0</v>
      </c>
      <c r="BZ151" s="34">
        <f t="shared" ca="1" si="97"/>
        <v>0</v>
      </c>
      <c r="CA151" s="34">
        <f t="shared" ca="1" si="97"/>
        <v>0</v>
      </c>
      <c r="CB151" s="34">
        <f t="shared" ca="1" si="97"/>
        <v>0</v>
      </c>
      <c r="CC151" s="34">
        <f t="shared" ca="1" si="97"/>
        <v>0</v>
      </c>
      <c r="CD151" s="34">
        <f t="shared" ca="1" si="97"/>
        <v>0</v>
      </c>
      <c r="CE151" s="34">
        <f t="shared" ca="1" si="97"/>
        <v>0</v>
      </c>
      <c r="CF151" s="34">
        <f t="shared" ca="1" si="98"/>
        <v>0</v>
      </c>
      <c r="CG151" s="34">
        <f t="shared" ca="1" si="98"/>
        <v>0</v>
      </c>
      <c r="CH151" s="34">
        <f t="shared" ca="1" si="98"/>
        <v>0</v>
      </c>
      <c r="CI151" s="34">
        <f t="shared" ca="1" si="98"/>
        <v>0</v>
      </c>
      <c r="CJ151" s="34">
        <f t="shared" ca="1" si="98"/>
        <v>0</v>
      </c>
      <c r="CK151" s="34">
        <f t="shared" ca="1" si="98"/>
        <v>0</v>
      </c>
      <c r="CL151" s="34">
        <f t="shared" ca="1" si="98"/>
        <v>0</v>
      </c>
      <c r="CM151" s="34">
        <f t="shared" ca="1" si="98"/>
        <v>0</v>
      </c>
      <c r="CN151" s="34">
        <f t="shared" ca="1" si="98"/>
        <v>0</v>
      </c>
      <c r="CO151" s="34">
        <f t="shared" ca="1" si="98"/>
        <v>0</v>
      </c>
      <c r="CP151" s="34">
        <f t="shared" ca="1" si="98"/>
        <v>0</v>
      </c>
      <c r="CQ151" s="34">
        <f t="shared" ca="1" si="85"/>
        <v>936.73540822197424</v>
      </c>
      <c r="CR151" s="363">
        <v>0</v>
      </c>
      <c r="CS151" s="34">
        <f t="shared" ca="1" si="86"/>
        <v>936.73540822197424</v>
      </c>
      <c r="CT151" s="233"/>
    </row>
    <row r="152" spans="2:98" x14ac:dyDescent="0.3">
      <c r="B152" s="232"/>
      <c r="C152" s="250">
        <f t="shared" si="87"/>
        <v>2036</v>
      </c>
      <c r="D152" s="263">
        <f t="shared" ca="1" si="70"/>
        <v>0</v>
      </c>
      <c r="E152" s="263">
        <f t="shared" ca="1" si="52"/>
        <v>140.51031123329614</v>
      </c>
      <c r="F152" s="263">
        <f t="shared" ca="1" si="53"/>
        <v>0</v>
      </c>
      <c r="G152" s="263">
        <f t="shared" ca="1" si="71"/>
        <v>843.06186739977682</v>
      </c>
      <c r="H152" s="15"/>
      <c r="I152" s="271">
        <f ca="1">Assumptions!O$68</f>
        <v>4.5</v>
      </c>
      <c r="J152" s="271">
        <f ca="1">Assumptions!P$68</f>
        <v>80</v>
      </c>
      <c r="K152" s="271">
        <f t="shared" ca="1" si="54"/>
        <v>40</v>
      </c>
      <c r="L152" s="15"/>
      <c r="M152" s="35">
        <f t="shared" ca="1" si="72"/>
        <v>4.2299999999999995</v>
      </c>
      <c r="N152" s="35">
        <f t="shared" ca="1" si="55"/>
        <v>64</v>
      </c>
      <c r="O152" s="35">
        <f t="shared" ca="1" si="56"/>
        <v>32</v>
      </c>
      <c r="P152" s="15"/>
      <c r="Q152" s="34">
        <f t="shared" ca="1" si="73"/>
        <v>0</v>
      </c>
      <c r="R152" s="34">
        <f t="shared" ca="1" si="73"/>
        <v>8992.6599189309527</v>
      </c>
      <c r="S152" s="34">
        <f t="shared" ca="1" si="73"/>
        <v>0</v>
      </c>
      <c r="T152" s="34">
        <f t="shared" ca="1" si="74"/>
        <v>8992.6599189309527</v>
      </c>
      <c r="U152" s="15"/>
      <c r="V152" s="35">
        <f t="shared" si="75"/>
        <v>0.7</v>
      </c>
      <c r="W152" s="34">
        <f t="shared" ca="1" si="88"/>
        <v>715.32522082405308</v>
      </c>
      <c r="X152" s="35">
        <f t="shared" si="76"/>
        <v>0.222</v>
      </c>
      <c r="Y152" s="34">
        <f t="shared" ca="1" si="77"/>
        <v>226.86028431848541</v>
      </c>
      <c r="Z152" s="35">
        <f t="shared" si="78"/>
        <v>0.34799999999999998</v>
      </c>
      <c r="AA152" s="34">
        <f t="shared" ca="1" si="79"/>
        <v>355.61882406681491</v>
      </c>
      <c r="AB152" s="34">
        <f t="shared" ca="1" si="80"/>
        <v>1297.8043292093535</v>
      </c>
      <c r="AC152" s="15"/>
      <c r="AD152" s="34">
        <f t="shared" ca="1" si="81"/>
        <v>7694.8555897215992</v>
      </c>
      <c r="AE152" s="34">
        <f ca="1"/>
        <v>0</v>
      </c>
      <c r="AF152" s="34">
        <f t="shared" ca="1" si="82"/>
        <v>7694.8555897215992</v>
      </c>
      <c r="AG152" s="15"/>
      <c r="AH152" s="272">
        <f t="shared" si="89"/>
        <v>50040</v>
      </c>
      <c r="AI152" s="267">
        <f t="shared" si="57"/>
        <v>22.666666666666668</v>
      </c>
      <c r="AJ152" s="267">
        <f t="shared" si="58"/>
        <v>0.11528314162180023</v>
      </c>
      <c r="AK152" s="34">
        <f t="shared" ca="1" si="90"/>
        <v>887.08712670917623</v>
      </c>
      <c r="AL152" s="233"/>
      <c r="AN152" s="349"/>
      <c r="AO152" s="237">
        <f t="shared" si="83"/>
        <v>23</v>
      </c>
      <c r="AP152" s="34">
        <f t="shared" ca="1" si="59"/>
        <v>0</v>
      </c>
      <c r="AQ152" s="34">
        <f t="shared" ca="1" si="60"/>
        <v>1.0669418275466487</v>
      </c>
      <c r="AR152" s="34">
        <f t="shared" ca="1" si="61"/>
        <v>0</v>
      </c>
      <c r="AS152" s="34">
        <f t="shared" ca="1" si="84"/>
        <v>6.4016509652798925</v>
      </c>
      <c r="AT152" s="350">
        <v>-0.1</v>
      </c>
      <c r="AU152" s="34">
        <f ca="1">MIN(AU151*(1+AT152),$AT$126-SUM(AU$129:AU151))</f>
        <v>6.4016509652798925</v>
      </c>
      <c r="AV152" s="369"/>
      <c r="AW152" s="34">
        <f t="shared" ca="1" si="62"/>
        <v>0</v>
      </c>
      <c r="AX152" s="34">
        <f t="shared" ca="1" si="63"/>
        <v>0.88022700772598517</v>
      </c>
      <c r="AY152" s="34">
        <f t="shared" ca="1" si="64"/>
        <v>0</v>
      </c>
      <c r="AZ152" s="34">
        <f t="shared" ca="1" si="65"/>
        <v>5.2813620463559108</v>
      </c>
      <c r="BA152" s="34"/>
      <c r="BB152" s="34">
        <f t="shared" ca="1" si="95"/>
        <v>0</v>
      </c>
      <c r="BC152" s="34">
        <f t="shared" ca="1" si="95"/>
        <v>275.8044624208087</v>
      </c>
      <c r="BD152" s="34">
        <f t="shared" ca="1" si="95"/>
        <v>306.44940268978741</v>
      </c>
      <c r="BE152" s="34">
        <f t="shared" ca="1" si="95"/>
        <v>260.80800228918076</v>
      </c>
      <c r="BF152" s="34">
        <f t="shared" ca="1" si="95"/>
        <v>0</v>
      </c>
      <c r="BG152" s="34">
        <f t="shared" ca="1" si="95"/>
        <v>0</v>
      </c>
      <c r="BH152" s="34">
        <f t="shared" ca="1" si="95"/>
        <v>0</v>
      </c>
      <c r="BI152" s="34">
        <f t="shared" ca="1" si="95"/>
        <v>0</v>
      </c>
      <c r="BJ152" s="34">
        <f t="shared" ca="1" si="95"/>
        <v>0</v>
      </c>
      <c r="BK152" s="34">
        <f t="shared" ca="1" si="95"/>
        <v>0</v>
      </c>
      <c r="BL152" s="34">
        <f t="shared" ca="1" si="96"/>
        <v>0</v>
      </c>
      <c r="BM152" s="34">
        <f t="shared" ca="1" si="96"/>
        <v>0</v>
      </c>
      <c r="BN152" s="34">
        <f t="shared" ca="1" si="96"/>
        <v>0</v>
      </c>
      <c r="BO152" s="34">
        <f t="shared" ca="1" si="96"/>
        <v>0</v>
      </c>
      <c r="BP152" s="34">
        <f t="shared" ca="1" si="96"/>
        <v>0</v>
      </c>
      <c r="BQ152" s="34">
        <f t="shared" ca="1" si="96"/>
        <v>0</v>
      </c>
      <c r="BR152" s="34">
        <f t="shared" ca="1" si="96"/>
        <v>0</v>
      </c>
      <c r="BS152" s="34">
        <f t="shared" ca="1" si="96"/>
        <v>0</v>
      </c>
      <c r="BT152" s="34">
        <f t="shared" ca="1" si="96"/>
        <v>0</v>
      </c>
      <c r="BU152" s="34">
        <f t="shared" ca="1" si="96"/>
        <v>0</v>
      </c>
      <c r="BV152" s="34">
        <f t="shared" ca="1" si="97"/>
        <v>0</v>
      </c>
      <c r="BW152" s="34">
        <f t="shared" ca="1" si="97"/>
        <v>0</v>
      </c>
      <c r="BX152" s="34">
        <f t="shared" ca="1" si="97"/>
        <v>0</v>
      </c>
      <c r="BY152" s="34">
        <f t="shared" ca="1" si="97"/>
        <v>0</v>
      </c>
      <c r="BZ152" s="34">
        <f t="shared" ca="1" si="97"/>
        <v>0</v>
      </c>
      <c r="CA152" s="34">
        <f t="shared" ca="1" si="97"/>
        <v>0</v>
      </c>
      <c r="CB152" s="34">
        <f t="shared" ca="1" si="97"/>
        <v>0</v>
      </c>
      <c r="CC152" s="34">
        <f t="shared" ca="1" si="97"/>
        <v>0</v>
      </c>
      <c r="CD152" s="34">
        <f t="shared" ca="1" si="97"/>
        <v>0</v>
      </c>
      <c r="CE152" s="34">
        <f t="shared" ca="1" si="97"/>
        <v>0</v>
      </c>
      <c r="CF152" s="34">
        <f t="shared" ca="1" si="98"/>
        <v>0</v>
      </c>
      <c r="CG152" s="34">
        <f t="shared" ca="1" si="98"/>
        <v>0</v>
      </c>
      <c r="CH152" s="34">
        <f t="shared" ca="1" si="98"/>
        <v>0</v>
      </c>
      <c r="CI152" s="34">
        <f t="shared" ca="1" si="98"/>
        <v>0</v>
      </c>
      <c r="CJ152" s="34">
        <f t="shared" ca="1" si="98"/>
        <v>0</v>
      </c>
      <c r="CK152" s="34">
        <f t="shared" ca="1" si="98"/>
        <v>0</v>
      </c>
      <c r="CL152" s="34">
        <f t="shared" ca="1" si="98"/>
        <v>0</v>
      </c>
      <c r="CM152" s="34">
        <f t="shared" ca="1" si="98"/>
        <v>0</v>
      </c>
      <c r="CN152" s="34">
        <f t="shared" ca="1" si="98"/>
        <v>0</v>
      </c>
      <c r="CO152" s="34">
        <f t="shared" ca="1" si="98"/>
        <v>0</v>
      </c>
      <c r="CP152" s="34">
        <f t="shared" ca="1" si="98"/>
        <v>0</v>
      </c>
      <c r="CQ152" s="34">
        <f t="shared" ca="1" si="85"/>
        <v>843.06186739977682</v>
      </c>
      <c r="CR152" s="363">
        <v>0</v>
      </c>
      <c r="CS152" s="34">
        <f t="shared" ca="1" si="86"/>
        <v>843.06186739977682</v>
      </c>
      <c r="CT152" s="233"/>
    </row>
    <row r="153" spans="2:98" x14ac:dyDescent="0.3">
      <c r="B153" s="232"/>
      <c r="C153" s="250">
        <f t="shared" si="87"/>
        <v>2037</v>
      </c>
      <c r="D153" s="263">
        <f t="shared" ca="1" si="70"/>
        <v>0</v>
      </c>
      <c r="E153" s="263">
        <f t="shared" ca="1" si="52"/>
        <v>126.45928010996653</v>
      </c>
      <c r="F153" s="263">
        <f t="shared" ca="1" si="53"/>
        <v>0</v>
      </c>
      <c r="G153" s="263">
        <f t="shared" ca="1" si="71"/>
        <v>758.75568065979917</v>
      </c>
      <c r="H153" s="15"/>
      <c r="I153" s="271">
        <f ca="1">Assumptions!O$68</f>
        <v>4.5</v>
      </c>
      <c r="J153" s="271">
        <f ca="1">Assumptions!P$68</f>
        <v>80</v>
      </c>
      <c r="K153" s="271">
        <f t="shared" ca="1" si="54"/>
        <v>40</v>
      </c>
      <c r="L153" s="15"/>
      <c r="M153" s="35">
        <f t="shared" ca="1" si="72"/>
        <v>4.2299999999999995</v>
      </c>
      <c r="N153" s="35">
        <f t="shared" ca="1" si="55"/>
        <v>64</v>
      </c>
      <c r="O153" s="35">
        <f t="shared" ca="1" si="56"/>
        <v>32</v>
      </c>
      <c r="P153" s="15"/>
      <c r="Q153" s="34">
        <f t="shared" ca="1" si="73"/>
        <v>0</v>
      </c>
      <c r="R153" s="34">
        <f t="shared" ca="1" si="73"/>
        <v>8093.3939270378578</v>
      </c>
      <c r="S153" s="34">
        <f t="shared" ca="1" si="73"/>
        <v>0</v>
      </c>
      <c r="T153" s="34">
        <f t="shared" ca="1" si="74"/>
        <v>8093.3939270378578</v>
      </c>
      <c r="U153" s="15"/>
      <c r="V153" s="35">
        <f t="shared" si="75"/>
        <v>0.7</v>
      </c>
      <c r="W153" s="34">
        <f t="shared" ca="1" si="88"/>
        <v>643.79269874164777</v>
      </c>
      <c r="X153" s="35">
        <f t="shared" si="76"/>
        <v>0.222</v>
      </c>
      <c r="Y153" s="34">
        <f t="shared" ca="1" si="77"/>
        <v>204.17425588663687</v>
      </c>
      <c r="Z153" s="35">
        <f t="shared" si="78"/>
        <v>0.34799999999999998</v>
      </c>
      <c r="AA153" s="34">
        <f t="shared" ca="1" si="79"/>
        <v>320.05694166013348</v>
      </c>
      <c r="AB153" s="34">
        <f t="shared" ca="1" si="80"/>
        <v>1168.0238962884182</v>
      </c>
      <c r="AC153" s="15"/>
      <c r="AD153" s="34">
        <f t="shared" ca="1" si="81"/>
        <v>6925.37003074944</v>
      </c>
      <c r="AE153" s="34">
        <f ca="1"/>
        <v>0</v>
      </c>
      <c r="AF153" s="34">
        <f t="shared" ca="1" si="82"/>
        <v>6925.37003074944</v>
      </c>
      <c r="AG153" s="15"/>
      <c r="AH153" s="272">
        <f t="shared" si="89"/>
        <v>50405</v>
      </c>
      <c r="AI153" s="267">
        <f t="shared" si="57"/>
        <v>23.666666666666668</v>
      </c>
      <c r="AJ153" s="267">
        <f t="shared" si="58"/>
        <v>0.10480285601981834</v>
      </c>
      <c r="AK153" s="34">
        <f t="shared" ca="1" si="90"/>
        <v>725.79855821659851</v>
      </c>
      <c r="AL153" s="233"/>
      <c r="AN153" s="349"/>
      <c r="AO153" s="237">
        <f t="shared" si="83"/>
        <v>24</v>
      </c>
      <c r="AP153" s="34">
        <f t="shared" ca="1" si="59"/>
        <v>0</v>
      </c>
      <c r="AQ153" s="34">
        <f t="shared" ca="1" si="60"/>
        <v>0.96024764479198399</v>
      </c>
      <c r="AR153" s="34">
        <f t="shared" ca="1" si="61"/>
        <v>0</v>
      </c>
      <c r="AS153" s="34">
        <f t="shared" ca="1" si="84"/>
        <v>5.7614858687519037</v>
      </c>
      <c r="AT153" s="350">
        <v>-0.1</v>
      </c>
      <c r="AU153" s="34">
        <f ca="1">MIN(AU152*(1+AT153),$AT$126-SUM(AU$129:AU152))</f>
        <v>5.7614858687519037</v>
      </c>
      <c r="AV153" s="369"/>
      <c r="AW153" s="34">
        <f t="shared" ca="1" si="62"/>
        <v>0</v>
      </c>
      <c r="AX153" s="34">
        <f t="shared" ca="1" si="63"/>
        <v>0.79220430695338673</v>
      </c>
      <c r="AY153" s="34">
        <f t="shared" ca="1" si="64"/>
        <v>0</v>
      </c>
      <c r="AZ153" s="34">
        <f t="shared" ca="1" si="65"/>
        <v>4.7532258417203206</v>
      </c>
      <c r="BA153" s="34"/>
      <c r="BB153" s="34">
        <f t="shared" ca="1" si="95"/>
        <v>0</v>
      </c>
      <c r="BC153" s="34">
        <f t="shared" ca="1" si="95"/>
        <v>248.22401617872779</v>
      </c>
      <c r="BD153" s="34">
        <f t="shared" ca="1" si="95"/>
        <v>275.8044624208087</v>
      </c>
      <c r="BE153" s="34">
        <f t="shared" ca="1" si="95"/>
        <v>234.72720206026267</v>
      </c>
      <c r="BF153" s="34">
        <f t="shared" ca="1" si="95"/>
        <v>0</v>
      </c>
      <c r="BG153" s="34">
        <f t="shared" ca="1" si="95"/>
        <v>0</v>
      </c>
      <c r="BH153" s="34">
        <f t="shared" ca="1" si="95"/>
        <v>0</v>
      </c>
      <c r="BI153" s="34">
        <f t="shared" ca="1" si="95"/>
        <v>0</v>
      </c>
      <c r="BJ153" s="34">
        <f t="shared" ca="1" si="95"/>
        <v>0</v>
      </c>
      <c r="BK153" s="34">
        <f t="shared" ca="1" si="95"/>
        <v>0</v>
      </c>
      <c r="BL153" s="34">
        <f t="shared" ca="1" si="96"/>
        <v>0</v>
      </c>
      <c r="BM153" s="34">
        <f t="shared" ca="1" si="96"/>
        <v>0</v>
      </c>
      <c r="BN153" s="34">
        <f t="shared" ca="1" si="96"/>
        <v>0</v>
      </c>
      <c r="BO153" s="34">
        <f t="shared" ca="1" si="96"/>
        <v>0</v>
      </c>
      <c r="BP153" s="34">
        <f t="shared" ca="1" si="96"/>
        <v>0</v>
      </c>
      <c r="BQ153" s="34">
        <f t="shared" ca="1" si="96"/>
        <v>0</v>
      </c>
      <c r="BR153" s="34">
        <f t="shared" ca="1" si="96"/>
        <v>0</v>
      </c>
      <c r="BS153" s="34">
        <f t="shared" ca="1" si="96"/>
        <v>0</v>
      </c>
      <c r="BT153" s="34">
        <f t="shared" ca="1" si="96"/>
        <v>0</v>
      </c>
      <c r="BU153" s="34">
        <f t="shared" ca="1" si="96"/>
        <v>0</v>
      </c>
      <c r="BV153" s="34">
        <f t="shared" ca="1" si="97"/>
        <v>0</v>
      </c>
      <c r="BW153" s="34">
        <f t="shared" ca="1" si="97"/>
        <v>0</v>
      </c>
      <c r="BX153" s="34">
        <f t="shared" ca="1" si="97"/>
        <v>0</v>
      </c>
      <c r="BY153" s="34">
        <f t="shared" ca="1" si="97"/>
        <v>0</v>
      </c>
      <c r="BZ153" s="34">
        <f t="shared" ca="1" si="97"/>
        <v>0</v>
      </c>
      <c r="CA153" s="34">
        <f t="shared" ca="1" si="97"/>
        <v>0</v>
      </c>
      <c r="CB153" s="34">
        <f t="shared" ca="1" si="97"/>
        <v>0</v>
      </c>
      <c r="CC153" s="34">
        <f t="shared" ca="1" si="97"/>
        <v>0</v>
      </c>
      <c r="CD153" s="34">
        <f t="shared" ca="1" si="97"/>
        <v>0</v>
      </c>
      <c r="CE153" s="34">
        <f t="shared" ca="1" si="97"/>
        <v>0</v>
      </c>
      <c r="CF153" s="34">
        <f t="shared" ca="1" si="98"/>
        <v>0</v>
      </c>
      <c r="CG153" s="34">
        <f t="shared" ca="1" si="98"/>
        <v>0</v>
      </c>
      <c r="CH153" s="34">
        <f t="shared" ca="1" si="98"/>
        <v>0</v>
      </c>
      <c r="CI153" s="34">
        <f t="shared" ca="1" si="98"/>
        <v>0</v>
      </c>
      <c r="CJ153" s="34">
        <f t="shared" ca="1" si="98"/>
        <v>0</v>
      </c>
      <c r="CK153" s="34">
        <f t="shared" ca="1" si="98"/>
        <v>0</v>
      </c>
      <c r="CL153" s="34">
        <f t="shared" ca="1" si="98"/>
        <v>0</v>
      </c>
      <c r="CM153" s="34">
        <f t="shared" ca="1" si="98"/>
        <v>0</v>
      </c>
      <c r="CN153" s="34">
        <f t="shared" ca="1" si="98"/>
        <v>0</v>
      </c>
      <c r="CO153" s="34">
        <f t="shared" ca="1" si="98"/>
        <v>0</v>
      </c>
      <c r="CP153" s="34">
        <f t="shared" ca="1" si="98"/>
        <v>0</v>
      </c>
      <c r="CQ153" s="34">
        <f t="shared" ca="1" si="85"/>
        <v>758.75568065979917</v>
      </c>
      <c r="CR153" s="363">
        <v>0</v>
      </c>
      <c r="CS153" s="34">
        <f t="shared" ca="1" si="86"/>
        <v>758.75568065979917</v>
      </c>
      <c r="CT153" s="233"/>
    </row>
    <row r="154" spans="2:98" x14ac:dyDescent="0.3">
      <c r="B154" s="232"/>
      <c r="C154" s="250">
        <f t="shared" si="87"/>
        <v>2038</v>
      </c>
      <c r="D154" s="263">
        <f t="shared" ca="1" si="70"/>
        <v>0</v>
      </c>
      <c r="E154" s="263">
        <f t="shared" ca="1" si="52"/>
        <v>113.8133520989699</v>
      </c>
      <c r="F154" s="263">
        <f t="shared" ca="1" si="53"/>
        <v>0</v>
      </c>
      <c r="G154" s="263">
        <f t="shared" ca="1" si="71"/>
        <v>682.88011259381938</v>
      </c>
      <c r="H154" s="15"/>
      <c r="I154" s="271">
        <f ca="1">Assumptions!O$68</f>
        <v>4.5</v>
      </c>
      <c r="J154" s="271">
        <f ca="1">Assumptions!P$68</f>
        <v>80</v>
      </c>
      <c r="K154" s="271">
        <f t="shared" ca="1" si="54"/>
        <v>40</v>
      </c>
      <c r="L154" s="15"/>
      <c r="M154" s="35">
        <f t="shared" ca="1" si="72"/>
        <v>4.2299999999999995</v>
      </c>
      <c r="N154" s="35">
        <f t="shared" ca="1" si="55"/>
        <v>64</v>
      </c>
      <c r="O154" s="35">
        <f t="shared" ca="1" si="56"/>
        <v>32</v>
      </c>
      <c r="P154" s="15"/>
      <c r="Q154" s="34">
        <f t="shared" ca="1" si="73"/>
        <v>0</v>
      </c>
      <c r="R154" s="34">
        <f t="shared" ca="1" si="73"/>
        <v>7284.0545343340737</v>
      </c>
      <c r="S154" s="34">
        <f t="shared" ca="1" si="73"/>
        <v>0</v>
      </c>
      <c r="T154" s="34">
        <f t="shared" ca="1" si="74"/>
        <v>7284.0545343340737</v>
      </c>
      <c r="U154" s="15"/>
      <c r="V154" s="35">
        <f t="shared" si="75"/>
        <v>0.7</v>
      </c>
      <c r="W154" s="34">
        <f t="shared" ca="1" si="88"/>
        <v>579.41342886748316</v>
      </c>
      <c r="X154" s="35">
        <f t="shared" si="76"/>
        <v>0.222</v>
      </c>
      <c r="Y154" s="34">
        <f t="shared" ca="1" si="77"/>
        <v>183.75683029797324</v>
      </c>
      <c r="Z154" s="35">
        <f t="shared" si="78"/>
        <v>0.34799999999999998</v>
      </c>
      <c r="AA154" s="34">
        <f t="shared" ca="1" si="79"/>
        <v>288.05124749412016</v>
      </c>
      <c r="AB154" s="34">
        <f t="shared" ca="1" si="80"/>
        <v>1051.2215066595766</v>
      </c>
      <c r="AC154" s="15"/>
      <c r="AD154" s="34">
        <f t="shared" ca="1" si="81"/>
        <v>6232.8330276744973</v>
      </c>
      <c r="AE154" s="34">
        <f ca="1"/>
        <v>0</v>
      </c>
      <c r="AF154" s="34">
        <f t="shared" ca="1" si="82"/>
        <v>6232.8330276744973</v>
      </c>
      <c r="AG154" s="15"/>
      <c r="AH154" s="272">
        <f t="shared" si="89"/>
        <v>50770</v>
      </c>
      <c r="AI154" s="267">
        <f t="shared" si="57"/>
        <v>24.666666666666668</v>
      </c>
      <c r="AJ154" s="267">
        <f t="shared" si="58"/>
        <v>9.5275323654380323E-2</v>
      </c>
      <c r="AK154" s="34">
        <f t="shared" ca="1" si="90"/>
        <v>593.83518399539901</v>
      </c>
      <c r="AL154" s="233"/>
      <c r="AN154" s="349"/>
      <c r="AO154" s="237">
        <f t="shared" si="83"/>
        <v>25</v>
      </c>
      <c r="AP154" s="34">
        <f t="shared" ca="1" si="59"/>
        <v>0</v>
      </c>
      <c r="AQ154" s="34">
        <f t="shared" ca="1" si="60"/>
        <v>0.8642228803127856</v>
      </c>
      <c r="AR154" s="34">
        <f t="shared" ca="1" si="61"/>
        <v>0</v>
      </c>
      <c r="AS154" s="34">
        <f t="shared" ca="1" si="84"/>
        <v>5.1853372818767136</v>
      </c>
      <c r="AT154" s="350">
        <v>-0.1</v>
      </c>
      <c r="AU154" s="34">
        <f ca="1">MIN(AU153*(1+AT154),$AT$126-SUM(AU$129:AU153))</f>
        <v>5.1853372818767136</v>
      </c>
      <c r="AV154" s="369"/>
      <c r="AW154" s="34">
        <f t="shared" ca="1" si="62"/>
        <v>0</v>
      </c>
      <c r="AX154" s="34">
        <f t="shared" ca="1" si="63"/>
        <v>0.71298387625804804</v>
      </c>
      <c r="AY154" s="34">
        <f t="shared" ca="1" si="64"/>
        <v>0</v>
      </c>
      <c r="AZ154" s="34">
        <f t="shared" ca="1" si="65"/>
        <v>4.2779032575482887</v>
      </c>
      <c r="BA154" s="34"/>
      <c r="BB154" s="34">
        <f t="shared" ca="1" si="95"/>
        <v>0</v>
      </c>
      <c r="BC154" s="34">
        <f t="shared" ca="1" si="95"/>
        <v>223.40161456085508</v>
      </c>
      <c r="BD154" s="34">
        <f t="shared" ca="1" si="95"/>
        <v>248.22401617872779</v>
      </c>
      <c r="BE154" s="34">
        <f t="shared" ca="1" si="95"/>
        <v>211.25448185423645</v>
      </c>
      <c r="BF154" s="34">
        <f t="shared" ca="1" si="95"/>
        <v>0</v>
      </c>
      <c r="BG154" s="34">
        <f t="shared" ca="1" si="95"/>
        <v>0</v>
      </c>
      <c r="BH154" s="34">
        <f t="shared" ca="1" si="95"/>
        <v>0</v>
      </c>
      <c r="BI154" s="34">
        <f t="shared" ca="1" si="95"/>
        <v>0</v>
      </c>
      <c r="BJ154" s="34">
        <f t="shared" ca="1" si="95"/>
        <v>0</v>
      </c>
      <c r="BK154" s="34">
        <f t="shared" ca="1" si="95"/>
        <v>0</v>
      </c>
      <c r="BL154" s="34">
        <f t="shared" ca="1" si="96"/>
        <v>0</v>
      </c>
      <c r="BM154" s="34">
        <f t="shared" ca="1" si="96"/>
        <v>0</v>
      </c>
      <c r="BN154" s="34">
        <f t="shared" ca="1" si="96"/>
        <v>0</v>
      </c>
      <c r="BO154" s="34">
        <f t="shared" ca="1" si="96"/>
        <v>0</v>
      </c>
      <c r="BP154" s="34">
        <f t="shared" ca="1" si="96"/>
        <v>0</v>
      </c>
      <c r="BQ154" s="34">
        <f t="shared" ca="1" si="96"/>
        <v>0</v>
      </c>
      <c r="BR154" s="34">
        <f t="shared" ca="1" si="96"/>
        <v>0</v>
      </c>
      <c r="BS154" s="34">
        <f t="shared" ca="1" si="96"/>
        <v>0</v>
      </c>
      <c r="BT154" s="34">
        <f t="shared" ca="1" si="96"/>
        <v>0</v>
      </c>
      <c r="BU154" s="34">
        <f t="shared" ca="1" si="96"/>
        <v>0</v>
      </c>
      <c r="BV154" s="34">
        <f t="shared" ca="1" si="97"/>
        <v>0</v>
      </c>
      <c r="BW154" s="34">
        <f t="shared" ca="1" si="97"/>
        <v>0</v>
      </c>
      <c r="BX154" s="34">
        <f t="shared" ca="1" si="97"/>
        <v>0</v>
      </c>
      <c r="BY154" s="34">
        <f t="shared" ca="1" si="97"/>
        <v>0</v>
      </c>
      <c r="BZ154" s="34">
        <f t="shared" ca="1" si="97"/>
        <v>0</v>
      </c>
      <c r="CA154" s="34">
        <f t="shared" ca="1" si="97"/>
        <v>0</v>
      </c>
      <c r="CB154" s="34">
        <f t="shared" ca="1" si="97"/>
        <v>0</v>
      </c>
      <c r="CC154" s="34">
        <f t="shared" ca="1" si="97"/>
        <v>0</v>
      </c>
      <c r="CD154" s="34">
        <f t="shared" ca="1" si="97"/>
        <v>0</v>
      </c>
      <c r="CE154" s="34">
        <f t="shared" ca="1" si="97"/>
        <v>0</v>
      </c>
      <c r="CF154" s="34">
        <f t="shared" ca="1" si="98"/>
        <v>0</v>
      </c>
      <c r="CG154" s="34">
        <f t="shared" ca="1" si="98"/>
        <v>0</v>
      </c>
      <c r="CH154" s="34">
        <f t="shared" ca="1" si="98"/>
        <v>0</v>
      </c>
      <c r="CI154" s="34">
        <f t="shared" ca="1" si="98"/>
        <v>0</v>
      </c>
      <c r="CJ154" s="34">
        <f t="shared" ca="1" si="98"/>
        <v>0</v>
      </c>
      <c r="CK154" s="34">
        <f t="shared" ca="1" si="98"/>
        <v>0</v>
      </c>
      <c r="CL154" s="34">
        <f t="shared" ca="1" si="98"/>
        <v>0</v>
      </c>
      <c r="CM154" s="34">
        <f t="shared" ca="1" si="98"/>
        <v>0</v>
      </c>
      <c r="CN154" s="34">
        <f t="shared" ca="1" si="98"/>
        <v>0</v>
      </c>
      <c r="CO154" s="34">
        <f t="shared" ca="1" si="98"/>
        <v>0</v>
      </c>
      <c r="CP154" s="34">
        <f t="shared" ca="1" si="98"/>
        <v>0</v>
      </c>
      <c r="CQ154" s="34">
        <f t="shared" ca="1" si="85"/>
        <v>682.88011259381938</v>
      </c>
      <c r="CR154" s="363">
        <v>0</v>
      </c>
      <c r="CS154" s="34">
        <f t="shared" ca="1" si="86"/>
        <v>682.88011259381938</v>
      </c>
      <c r="CT154" s="233"/>
    </row>
    <row r="155" spans="2:98" x14ac:dyDescent="0.3">
      <c r="B155" s="232"/>
      <c r="C155" s="250">
        <f t="shared" si="87"/>
        <v>2039</v>
      </c>
      <c r="D155" s="263">
        <f t="shared" ca="1" si="70"/>
        <v>0</v>
      </c>
      <c r="E155" s="263">
        <f t="shared" ca="1" si="52"/>
        <v>102.4320168890729</v>
      </c>
      <c r="F155" s="263">
        <f t="shared" ca="1" si="53"/>
        <v>0</v>
      </c>
      <c r="G155" s="263">
        <f t="shared" ca="1" si="71"/>
        <v>614.59210133443742</v>
      </c>
      <c r="H155" s="15"/>
      <c r="I155" s="271">
        <f ca="1">Assumptions!O$68</f>
        <v>4.5</v>
      </c>
      <c r="J155" s="271">
        <f ca="1">Assumptions!P$68</f>
        <v>80</v>
      </c>
      <c r="K155" s="271">
        <f t="shared" ca="1" si="54"/>
        <v>40</v>
      </c>
      <c r="L155" s="15"/>
      <c r="M155" s="35">
        <f t="shared" ca="1" si="72"/>
        <v>4.2299999999999995</v>
      </c>
      <c r="N155" s="35">
        <f t="shared" ca="1" si="55"/>
        <v>64</v>
      </c>
      <c r="O155" s="35">
        <f t="shared" ca="1" si="56"/>
        <v>32</v>
      </c>
      <c r="P155" s="15"/>
      <c r="Q155" s="34">
        <f t="shared" ca="1" si="73"/>
        <v>0</v>
      </c>
      <c r="R155" s="34">
        <f t="shared" ca="1" si="73"/>
        <v>6555.6490809006655</v>
      </c>
      <c r="S155" s="34">
        <f t="shared" ca="1" si="73"/>
        <v>0</v>
      </c>
      <c r="T155" s="34">
        <f t="shared" ca="1" si="74"/>
        <v>6555.6490809006655</v>
      </c>
      <c r="U155" s="15"/>
      <c r="V155" s="35">
        <f t="shared" si="75"/>
        <v>0.7</v>
      </c>
      <c r="W155" s="34">
        <f t="shared" ca="1" si="88"/>
        <v>521.47208598073473</v>
      </c>
      <c r="X155" s="35">
        <f t="shared" si="76"/>
        <v>0.222</v>
      </c>
      <c r="Y155" s="34">
        <f t="shared" ca="1" si="77"/>
        <v>165.38114726817588</v>
      </c>
      <c r="Z155" s="35">
        <f t="shared" si="78"/>
        <v>0.34799999999999998</v>
      </c>
      <c r="AA155" s="34">
        <f t="shared" ca="1" si="79"/>
        <v>259.24612274470815</v>
      </c>
      <c r="AB155" s="34">
        <f t="shared" ca="1" si="80"/>
        <v>946.0993559936187</v>
      </c>
      <c r="AC155" s="15"/>
      <c r="AD155" s="34">
        <f t="shared" ca="1" si="81"/>
        <v>5609.5497249070468</v>
      </c>
      <c r="AE155" s="34">
        <f ca="1"/>
        <v>0</v>
      </c>
      <c r="AF155" s="34">
        <f t="shared" ca="1" si="82"/>
        <v>5609.5497249070468</v>
      </c>
      <c r="AG155" s="15"/>
      <c r="AH155" s="272">
        <f t="shared" si="89"/>
        <v>51135</v>
      </c>
      <c r="AI155" s="267">
        <f t="shared" si="57"/>
        <v>25.666666666666668</v>
      </c>
      <c r="AJ155" s="267">
        <f t="shared" si="58"/>
        <v>8.661393059489117E-2</v>
      </c>
      <c r="AK155" s="34">
        <f t="shared" ca="1" si="90"/>
        <v>485.86515054168979</v>
      </c>
      <c r="AL155" s="233"/>
      <c r="AN155" s="349"/>
      <c r="AO155" s="237">
        <f t="shared" si="83"/>
        <v>26</v>
      </c>
      <c r="AP155" s="34">
        <f t="shared" ca="1" si="59"/>
        <v>0</v>
      </c>
      <c r="AQ155" s="34">
        <f t="shared" ca="1" si="60"/>
        <v>0.777800592281507</v>
      </c>
      <c r="AR155" s="34">
        <f t="shared" ca="1" si="61"/>
        <v>0</v>
      </c>
      <c r="AS155" s="34">
        <f t="shared" ca="1" si="84"/>
        <v>4.666803553689042</v>
      </c>
      <c r="AT155" s="350">
        <v>-0.1</v>
      </c>
      <c r="AU155" s="34">
        <f ca="1">MIN(AU154*(1+AT155),$AT$126-SUM(AU$129:AU154))</f>
        <v>4.666803553689042</v>
      </c>
      <c r="AV155" s="369"/>
      <c r="AW155" s="34">
        <f t="shared" ca="1" si="62"/>
        <v>0</v>
      </c>
      <c r="AX155" s="34">
        <f t="shared" ca="1" si="63"/>
        <v>0.64168548863224328</v>
      </c>
      <c r="AY155" s="34">
        <f t="shared" ca="1" si="64"/>
        <v>0</v>
      </c>
      <c r="AZ155" s="34">
        <f t="shared" ca="1" si="65"/>
        <v>3.8501129317934595</v>
      </c>
      <c r="BA155" s="34"/>
      <c r="BB155" s="34">
        <f t="shared" ca="1" si="95"/>
        <v>0</v>
      </c>
      <c r="BC155" s="34">
        <f t="shared" ca="1" si="95"/>
        <v>201.06145310476956</v>
      </c>
      <c r="BD155" s="34">
        <f t="shared" ca="1" si="95"/>
        <v>223.40161456085508</v>
      </c>
      <c r="BE155" s="34">
        <f t="shared" ca="1" si="95"/>
        <v>190.12903366881278</v>
      </c>
      <c r="BF155" s="34">
        <f t="shared" ca="1" si="95"/>
        <v>0</v>
      </c>
      <c r="BG155" s="34">
        <f t="shared" ca="1" si="95"/>
        <v>0</v>
      </c>
      <c r="BH155" s="34">
        <f t="shared" ca="1" si="95"/>
        <v>0</v>
      </c>
      <c r="BI155" s="34">
        <f t="shared" ca="1" si="95"/>
        <v>0</v>
      </c>
      <c r="BJ155" s="34">
        <f t="shared" ca="1" si="95"/>
        <v>0</v>
      </c>
      <c r="BK155" s="34">
        <f t="shared" ca="1" si="95"/>
        <v>0</v>
      </c>
      <c r="BL155" s="34">
        <f t="shared" ca="1" si="96"/>
        <v>0</v>
      </c>
      <c r="BM155" s="34">
        <f t="shared" ca="1" si="96"/>
        <v>0</v>
      </c>
      <c r="BN155" s="34">
        <f t="shared" ca="1" si="96"/>
        <v>0</v>
      </c>
      <c r="BO155" s="34">
        <f t="shared" ca="1" si="96"/>
        <v>0</v>
      </c>
      <c r="BP155" s="34">
        <f t="shared" ca="1" si="96"/>
        <v>0</v>
      </c>
      <c r="BQ155" s="34">
        <f t="shared" ca="1" si="96"/>
        <v>0</v>
      </c>
      <c r="BR155" s="34">
        <f t="shared" ca="1" si="96"/>
        <v>0</v>
      </c>
      <c r="BS155" s="34">
        <f t="shared" ca="1" si="96"/>
        <v>0</v>
      </c>
      <c r="BT155" s="34">
        <f t="shared" ca="1" si="96"/>
        <v>0</v>
      </c>
      <c r="BU155" s="34">
        <f t="shared" ca="1" si="96"/>
        <v>0</v>
      </c>
      <c r="BV155" s="34">
        <f t="shared" ca="1" si="97"/>
        <v>0</v>
      </c>
      <c r="BW155" s="34">
        <f t="shared" ca="1" si="97"/>
        <v>0</v>
      </c>
      <c r="BX155" s="34">
        <f t="shared" ca="1" si="97"/>
        <v>0</v>
      </c>
      <c r="BY155" s="34">
        <f t="shared" ca="1" si="97"/>
        <v>0</v>
      </c>
      <c r="BZ155" s="34">
        <f t="shared" ca="1" si="97"/>
        <v>0</v>
      </c>
      <c r="CA155" s="34">
        <f t="shared" ca="1" si="97"/>
        <v>0</v>
      </c>
      <c r="CB155" s="34">
        <f t="shared" ca="1" si="97"/>
        <v>0</v>
      </c>
      <c r="CC155" s="34">
        <f t="shared" ca="1" si="97"/>
        <v>0</v>
      </c>
      <c r="CD155" s="34">
        <f t="shared" ca="1" si="97"/>
        <v>0</v>
      </c>
      <c r="CE155" s="34">
        <f t="shared" ca="1" si="97"/>
        <v>0</v>
      </c>
      <c r="CF155" s="34">
        <f t="shared" ca="1" si="98"/>
        <v>0</v>
      </c>
      <c r="CG155" s="34">
        <f t="shared" ca="1" si="98"/>
        <v>0</v>
      </c>
      <c r="CH155" s="34">
        <f t="shared" ca="1" si="98"/>
        <v>0</v>
      </c>
      <c r="CI155" s="34">
        <f t="shared" ca="1" si="98"/>
        <v>0</v>
      </c>
      <c r="CJ155" s="34">
        <f t="shared" ca="1" si="98"/>
        <v>0</v>
      </c>
      <c r="CK155" s="34">
        <f t="shared" ca="1" si="98"/>
        <v>0</v>
      </c>
      <c r="CL155" s="34">
        <f t="shared" ca="1" si="98"/>
        <v>0</v>
      </c>
      <c r="CM155" s="34">
        <f t="shared" ca="1" si="98"/>
        <v>0</v>
      </c>
      <c r="CN155" s="34">
        <f t="shared" ca="1" si="98"/>
        <v>0</v>
      </c>
      <c r="CO155" s="34">
        <f t="shared" ca="1" si="98"/>
        <v>0</v>
      </c>
      <c r="CP155" s="34">
        <f t="shared" ca="1" si="98"/>
        <v>0</v>
      </c>
      <c r="CQ155" s="34">
        <f t="shared" ca="1" si="85"/>
        <v>614.59210133443742</v>
      </c>
      <c r="CR155" s="363">
        <v>0</v>
      </c>
      <c r="CS155" s="34">
        <f t="shared" ca="1" si="86"/>
        <v>614.59210133443742</v>
      </c>
      <c r="CT155" s="233"/>
    </row>
    <row r="156" spans="2:98" x14ac:dyDescent="0.3">
      <c r="B156" s="232"/>
      <c r="C156" s="250">
        <f t="shared" si="87"/>
        <v>2040</v>
      </c>
      <c r="D156" s="263">
        <f t="shared" ca="1" si="70"/>
        <v>0</v>
      </c>
      <c r="E156" s="263">
        <f t="shared" ca="1" si="52"/>
        <v>92.188815200165621</v>
      </c>
      <c r="F156" s="263">
        <f t="shared" ca="1" si="53"/>
        <v>0</v>
      </c>
      <c r="G156" s="263">
        <f t="shared" ca="1" si="71"/>
        <v>553.13289120099375</v>
      </c>
      <c r="H156" s="15"/>
      <c r="I156" s="271">
        <f ca="1">Assumptions!O$68</f>
        <v>4.5</v>
      </c>
      <c r="J156" s="271">
        <f ca="1">Assumptions!P$68</f>
        <v>80</v>
      </c>
      <c r="K156" s="271">
        <f t="shared" ca="1" si="54"/>
        <v>40</v>
      </c>
      <c r="L156" s="15"/>
      <c r="M156" s="35">
        <f t="shared" ca="1" si="72"/>
        <v>4.2299999999999995</v>
      </c>
      <c r="N156" s="35">
        <f t="shared" ca="1" si="55"/>
        <v>64</v>
      </c>
      <c r="O156" s="35">
        <f t="shared" ca="1" si="56"/>
        <v>32</v>
      </c>
      <c r="P156" s="15"/>
      <c r="Q156" s="34">
        <f t="shared" ca="1" si="73"/>
        <v>0</v>
      </c>
      <c r="R156" s="34">
        <f t="shared" ca="1" si="73"/>
        <v>5900.0841728105997</v>
      </c>
      <c r="S156" s="34">
        <f t="shared" ca="1" si="73"/>
        <v>0</v>
      </c>
      <c r="T156" s="34">
        <f t="shared" ca="1" si="74"/>
        <v>5900.0841728105997</v>
      </c>
      <c r="U156" s="15"/>
      <c r="V156" s="35">
        <f t="shared" si="75"/>
        <v>0.7</v>
      </c>
      <c r="W156" s="34">
        <f t="shared" ca="1" si="88"/>
        <v>469.32487738266138</v>
      </c>
      <c r="X156" s="35">
        <f t="shared" si="76"/>
        <v>0.222</v>
      </c>
      <c r="Y156" s="34">
        <f t="shared" ca="1" si="77"/>
        <v>148.84303254135833</v>
      </c>
      <c r="Z156" s="35">
        <f t="shared" si="78"/>
        <v>0.34799999999999998</v>
      </c>
      <c r="AA156" s="34">
        <f t="shared" ca="1" si="79"/>
        <v>233.32151047023734</v>
      </c>
      <c r="AB156" s="34">
        <f t="shared" ca="1" si="80"/>
        <v>851.48942039425697</v>
      </c>
      <c r="AC156" s="15"/>
      <c r="AD156" s="34">
        <f t="shared" ca="1" si="81"/>
        <v>5048.594752416343</v>
      </c>
      <c r="AE156" s="34">
        <f ca="1"/>
        <v>0</v>
      </c>
      <c r="AF156" s="34">
        <f t="shared" ca="1" si="82"/>
        <v>5048.594752416343</v>
      </c>
      <c r="AG156" s="15"/>
      <c r="AH156" s="272">
        <f t="shared" si="89"/>
        <v>51501</v>
      </c>
      <c r="AI156" s="267">
        <f t="shared" si="57"/>
        <v>26.666666666666668</v>
      </c>
      <c r="AJ156" s="267">
        <f t="shared" si="58"/>
        <v>7.8739936904446528E-2</v>
      </c>
      <c r="AK156" s="34">
        <f t="shared" ca="1" si="90"/>
        <v>397.52603226138268</v>
      </c>
      <c r="AL156" s="233"/>
      <c r="AN156" s="349"/>
      <c r="AO156" s="237">
        <f t="shared" si="83"/>
        <v>27</v>
      </c>
      <c r="AP156" s="34">
        <f t="shared" ca="1" si="59"/>
        <v>0</v>
      </c>
      <c r="AQ156" s="34">
        <f t="shared" ca="1" si="60"/>
        <v>0.70002053305335632</v>
      </c>
      <c r="AR156" s="34">
        <f t="shared" ca="1" si="61"/>
        <v>0</v>
      </c>
      <c r="AS156" s="34">
        <f t="shared" ca="1" si="84"/>
        <v>4.2001231983201377</v>
      </c>
      <c r="AT156" s="350">
        <v>-0.1</v>
      </c>
      <c r="AU156" s="34">
        <f ca="1">MIN(AU155*(1+AT156),$AT$126-SUM(AU$129:AU155))</f>
        <v>4.2001231983201377</v>
      </c>
      <c r="AV156" s="369"/>
      <c r="AW156" s="34">
        <f t="shared" ca="1" si="62"/>
        <v>0</v>
      </c>
      <c r="AX156" s="34">
        <f t="shared" ca="1" si="63"/>
        <v>0.57751693976901897</v>
      </c>
      <c r="AY156" s="34">
        <f t="shared" ca="1" si="64"/>
        <v>0</v>
      </c>
      <c r="AZ156" s="34">
        <f t="shared" ca="1" si="65"/>
        <v>3.4651016386141134</v>
      </c>
      <c r="BA156" s="34"/>
      <c r="BB156" s="34">
        <f t="shared" ca="1" si="95"/>
        <v>0</v>
      </c>
      <c r="BC156" s="34">
        <f t="shared" ca="1" si="95"/>
        <v>180.95530779429259</v>
      </c>
      <c r="BD156" s="34">
        <f t="shared" ca="1" si="95"/>
        <v>201.06145310476956</v>
      </c>
      <c r="BE156" s="34">
        <f t="shared" ca="1" si="95"/>
        <v>171.11613030193155</v>
      </c>
      <c r="BF156" s="34">
        <f t="shared" ca="1" si="95"/>
        <v>0</v>
      </c>
      <c r="BG156" s="34">
        <f t="shared" ca="1" si="95"/>
        <v>0</v>
      </c>
      <c r="BH156" s="34">
        <f t="shared" ca="1" si="95"/>
        <v>0</v>
      </c>
      <c r="BI156" s="34">
        <f t="shared" ca="1" si="95"/>
        <v>0</v>
      </c>
      <c r="BJ156" s="34">
        <f t="shared" ca="1" si="95"/>
        <v>0</v>
      </c>
      <c r="BK156" s="34">
        <f t="shared" ca="1" si="95"/>
        <v>0</v>
      </c>
      <c r="BL156" s="34">
        <f t="shared" ca="1" si="96"/>
        <v>0</v>
      </c>
      <c r="BM156" s="34">
        <f t="shared" ca="1" si="96"/>
        <v>0</v>
      </c>
      <c r="BN156" s="34">
        <f t="shared" ca="1" si="96"/>
        <v>0</v>
      </c>
      <c r="BO156" s="34">
        <f t="shared" ca="1" si="96"/>
        <v>0</v>
      </c>
      <c r="BP156" s="34">
        <f t="shared" ca="1" si="96"/>
        <v>0</v>
      </c>
      <c r="BQ156" s="34">
        <f t="shared" ca="1" si="96"/>
        <v>0</v>
      </c>
      <c r="BR156" s="34">
        <f t="shared" ca="1" si="96"/>
        <v>0</v>
      </c>
      <c r="BS156" s="34">
        <f t="shared" ca="1" si="96"/>
        <v>0</v>
      </c>
      <c r="BT156" s="34">
        <f t="shared" ca="1" si="96"/>
        <v>0</v>
      </c>
      <c r="BU156" s="34">
        <f t="shared" ca="1" si="96"/>
        <v>0</v>
      </c>
      <c r="BV156" s="34">
        <f t="shared" ca="1" si="97"/>
        <v>0</v>
      </c>
      <c r="BW156" s="34">
        <f t="shared" ca="1" si="97"/>
        <v>0</v>
      </c>
      <c r="BX156" s="34">
        <f t="shared" ca="1" si="97"/>
        <v>0</v>
      </c>
      <c r="BY156" s="34">
        <f t="shared" ca="1" si="97"/>
        <v>0</v>
      </c>
      <c r="BZ156" s="34">
        <f t="shared" ca="1" si="97"/>
        <v>0</v>
      </c>
      <c r="CA156" s="34">
        <f t="shared" ca="1" si="97"/>
        <v>0</v>
      </c>
      <c r="CB156" s="34">
        <f t="shared" ca="1" si="97"/>
        <v>0</v>
      </c>
      <c r="CC156" s="34">
        <f t="shared" ca="1" si="97"/>
        <v>0</v>
      </c>
      <c r="CD156" s="34">
        <f t="shared" ca="1" si="97"/>
        <v>0</v>
      </c>
      <c r="CE156" s="34">
        <f t="shared" ca="1" si="97"/>
        <v>0</v>
      </c>
      <c r="CF156" s="34">
        <f t="shared" ca="1" si="98"/>
        <v>0</v>
      </c>
      <c r="CG156" s="34">
        <f t="shared" ca="1" si="98"/>
        <v>0</v>
      </c>
      <c r="CH156" s="34">
        <f t="shared" ca="1" si="98"/>
        <v>0</v>
      </c>
      <c r="CI156" s="34">
        <f t="shared" ca="1" si="98"/>
        <v>0</v>
      </c>
      <c r="CJ156" s="34">
        <f t="shared" ca="1" si="98"/>
        <v>0</v>
      </c>
      <c r="CK156" s="34">
        <f t="shared" ca="1" si="98"/>
        <v>0</v>
      </c>
      <c r="CL156" s="34">
        <f t="shared" ca="1" si="98"/>
        <v>0</v>
      </c>
      <c r="CM156" s="34">
        <f t="shared" ca="1" si="98"/>
        <v>0</v>
      </c>
      <c r="CN156" s="34">
        <f t="shared" ca="1" si="98"/>
        <v>0</v>
      </c>
      <c r="CO156" s="34">
        <f t="shared" ca="1" si="98"/>
        <v>0</v>
      </c>
      <c r="CP156" s="34">
        <f t="shared" ca="1" si="98"/>
        <v>0</v>
      </c>
      <c r="CQ156" s="34">
        <f t="shared" ca="1" si="85"/>
        <v>553.13289120099375</v>
      </c>
      <c r="CR156" s="363">
        <v>0</v>
      </c>
      <c r="CS156" s="34">
        <f t="shared" ca="1" si="86"/>
        <v>553.13289120099375</v>
      </c>
      <c r="CT156" s="233"/>
    </row>
    <row r="157" spans="2:98" x14ac:dyDescent="0.3">
      <c r="B157" s="232"/>
      <c r="C157" s="250">
        <f t="shared" si="87"/>
        <v>2041</v>
      </c>
      <c r="D157" s="263">
        <f t="shared" ca="1" si="70"/>
        <v>0</v>
      </c>
      <c r="E157" s="263">
        <f t="shared" ca="1" si="52"/>
        <v>82.969933680149055</v>
      </c>
      <c r="F157" s="263">
        <f t="shared" ca="1" si="53"/>
        <v>0</v>
      </c>
      <c r="G157" s="263">
        <f t="shared" ca="1" si="71"/>
        <v>497.8196020808943</v>
      </c>
      <c r="H157" s="15"/>
      <c r="I157" s="271">
        <f ca="1">Assumptions!O$68</f>
        <v>4.5</v>
      </c>
      <c r="J157" s="271">
        <f ca="1">Assumptions!P$68</f>
        <v>80</v>
      </c>
      <c r="K157" s="271">
        <f t="shared" ca="1" si="54"/>
        <v>40</v>
      </c>
      <c r="L157" s="15"/>
      <c r="M157" s="35">
        <f t="shared" ca="1" si="72"/>
        <v>4.2299999999999995</v>
      </c>
      <c r="N157" s="35">
        <f t="shared" ca="1" si="55"/>
        <v>64</v>
      </c>
      <c r="O157" s="35">
        <f t="shared" ca="1" si="56"/>
        <v>32</v>
      </c>
      <c r="P157" s="15"/>
      <c r="Q157" s="34">
        <f t="shared" ca="1" si="73"/>
        <v>0</v>
      </c>
      <c r="R157" s="34">
        <f t="shared" ca="1" si="73"/>
        <v>5310.0757555295395</v>
      </c>
      <c r="S157" s="34">
        <f t="shared" ca="1" si="73"/>
        <v>0</v>
      </c>
      <c r="T157" s="34">
        <f t="shared" ca="1" si="74"/>
        <v>5310.0757555295395</v>
      </c>
      <c r="U157" s="15"/>
      <c r="V157" s="35">
        <f t="shared" si="75"/>
        <v>0.7</v>
      </c>
      <c r="W157" s="34">
        <f t="shared" ca="1" si="88"/>
        <v>422.39238964439517</v>
      </c>
      <c r="X157" s="35">
        <f t="shared" si="76"/>
        <v>0.222</v>
      </c>
      <c r="Y157" s="34">
        <f t="shared" ca="1" si="77"/>
        <v>133.95872928722247</v>
      </c>
      <c r="Z157" s="35">
        <f t="shared" si="78"/>
        <v>0.34799999999999998</v>
      </c>
      <c r="AA157" s="34">
        <f t="shared" ca="1" si="79"/>
        <v>209.98935942321359</v>
      </c>
      <c r="AB157" s="34">
        <f t="shared" ca="1" si="80"/>
        <v>766.34047835483125</v>
      </c>
      <c r="AC157" s="15"/>
      <c r="AD157" s="34">
        <f t="shared" ca="1" si="81"/>
        <v>4543.7352771747082</v>
      </c>
      <c r="AE157" s="34">
        <f ca="1"/>
        <v>0</v>
      </c>
      <c r="AF157" s="34">
        <f t="shared" ca="1" si="82"/>
        <v>4543.7352771747082</v>
      </c>
      <c r="AG157" s="15"/>
      <c r="AH157" s="272">
        <f t="shared" si="89"/>
        <v>51866</v>
      </c>
      <c r="AI157" s="267">
        <f t="shared" si="57"/>
        <v>27.666666666666668</v>
      </c>
      <c r="AJ157" s="267">
        <f t="shared" si="58"/>
        <v>7.1581760822224116E-2</v>
      </c>
      <c r="AK157" s="34">
        <f t="shared" ca="1" si="90"/>
        <v>325.24857185022216</v>
      </c>
      <c r="AL157" s="233"/>
      <c r="AN157" s="349"/>
      <c r="AO157" s="237">
        <f t="shared" si="83"/>
        <v>28</v>
      </c>
      <c r="AP157" s="34">
        <f t="shared" ca="1" si="59"/>
        <v>0</v>
      </c>
      <c r="AQ157" s="34">
        <f t="shared" ca="1" si="60"/>
        <v>0.63001847974802072</v>
      </c>
      <c r="AR157" s="34">
        <f t="shared" ca="1" si="61"/>
        <v>0</v>
      </c>
      <c r="AS157" s="34">
        <f t="shared" ca="1" si="84"/>
        <v>3.7801108784881241</v>
      </c>
      <c r="AT157" s="350">
        <v>-0.1</v>
      </c>
      <c r="AU157" s="34">
        <f ca="1">MIN(AU156*(1+AT157),$AT$126-SUM(AU$129:AU156))</f>
        <v>3.7801108784881241</v>
      </c>
      <c r="AV157" s="369"/>
      <c r="AW157" s="34">
        <f t="shared" ca="1" si="62"/>
        <v>0</v>
      </c>
      <c r="AX157" s="34">
        <f t="shared" ca="1" si="63"/>
        <v>0.51976524579211703</v>
      </c>
      <c r="AY157" s="34">
        <f t="shared" ca="1" si="64"/>
        <v>0</v>
      </c>
      <c r="AZ157" s="34">
        <f t="shared" ca="1" si="65"/>
        <v>3.1185914747527024</v>
      </c>
      <c r="BA157" s="34"/>
      <c r="BB157" s="34">
        <f t="shared" ca="1" si="95"/>
        <v>0</v>
      </c>
      <c r="BC157" s="34">
        <f t="shared" ca="1" si="95"/>
        <v>162.85977701486334</v>
      </c>
      <c r="BD157" s="34">
        <f t="shared" ca="1" si="95"/>
        <v>180.95530779429259</v>
      </c>
      <c r="BE157" s="34">
        <f t="shared" ca="1" si="95"/>
        <v>154.00451727173839</v>
      </c>
      <c r="BF157" s="34">
        <f t="shared" ca="1" si="95"/>
        <v>0</v>
      </c>
      <c r="BG157" s="34">
        <f t="shared" ca="1" si="95"/>
        <v>0</v>
      </c>
      <c r="BH157" s="34">
        <f t="shared" ca="1" si="95"/>
        <v>0</v>
      </c>
      <c r="BI157" s="34">
        <f t="shared" ca="1" si="95"/>
        <v>0</v>
      </c>
      <c r="BJ157" s="34">
        <f t="shared" ca="1" si="95"/>
        <v>0</v>
      </c>
      <c r="BK157" s="34">
        <f t="shared" ca="1" si="95"/>
        <v>0</v>
      </c>
      <c r="BL157" s="34">
        <f t="shared" ca="1" si="96"/>
        <v>0</v>
      </c>
      <c r="BM157" s="34">
        <f t="shared" ca="1" si="96"/>
        <v>0</v>
      </c>
      <c r="BN157" s="34">
        <f t="shared" ca="1" si="96"/>
        <v>0</v>
      </c>
      <c r="BO157" s="34">
        <f t="shared" ca="1" si="96"/>
        <v>0</v>
      </c>
      <c r="BP157" s="34">
        <f t="shared" ca="1" si="96"/>
        <v>0</v>
      </c>
      <c r="BQ157" s="34">
        <f t="shared" ca="1" si="96"/>
        <v>0</v>
      </c>
      <c r="BR157" s="34">
        <f t="shared" ca="1" si="96"/>
        <v>0</v>
      </c>
      <c r="BS157" s="34">
        <f t="shared" ca="1" si="96"/>
        <v>0</v>
      </c>
      <c r="BT157" s="34">
        <f t="shared" ca="1" si="96"/>
        <v>0</v>
      </c>
      <c r="BU157" s="34">
        <f t="shared" ca="1" si="96"/>
        <v>0</v>
      </c>
      <c r="BV157" s="34">
        <f t="shared" ca="1" si="97"/>
        <v>0</v>
      </c>
      <c r="BW157" s="34">
        <f t="shared" ca="1" si="97"/>
        <v>0</v>
      </c>
      <c r="BX157" s="34">
        <f t="shared" ca="1" si="97"/>
        <v>0</v>
      </c>
      <c r="BY157" s="34">
        <f t="shared" ca="1" si="97"/>
        <v>0</v>
      </c>
      <c r="BZ157" s="34">
        <f t="shared" ca="1" si="97"/>
        <v>0</v>
      </c>
      <c r="CA157" s="34">
        <f t="shared" ca="1" si="97"/>
        <v>0</v>
      </c>
      <c r="CB157" s="34">
        <f t="shared" ca="1" si="97"/>
        <v>0</v>
      </c>
      <c r="CC157" s="34">
        <f t="shared" ca="1" si="97"/>
        <v>0</v>
      </c>
      <c r="CD157" s="34">
        <f t="shared" ca="1" si="97"/>
        <v>0</v>
      </c>
      <c r="CE157" s="34">
        <f t="shared" ca="1" si="97"/>
        <v>0</v>
      </c>
      <c r="CF157" s="34">
        <f t="shared" ca="1" si="98"/>
        <v>0</v>
      </c>
      <c r="CG157" s="34">
        <f t="shared" ca="1" si="98"/>
        <v>0</v>
      </c>
      <c r="CH157" s="34">
        <f t="shared" ca="1" si="98"/>
        <v>0</v>
      </c>
      <c r="CI157" s="34">
        <f t="shared" ca="1" si="98"/>
        <v>0</v>
      </c>
      <c r="CJ157" s="34">
        <f t="shared" ca="1" si="98"/>
        <v>0</v>
      </c>
      <c r="CK157" s="34">
        <f t="shared" ca="1" si="98"/>
        <v>0</v>
      </c>
      <c r="CL157" s="34">
        <f t="shared" ca="1" si="98"/>
        <v>0</v>
      </c>
      <c r="CM157" s="34">
        <f t="shared" ca="1" si="98"/>
        <v>0</v>
      </c>
      <c r="CN157" s="34">
        <f t="shared" ca="1" si="98"/>
        <v>0</v>
      </c>
      <c r="CO157" s="34">
        <f t="shared" ca="1" si="98"/>
        <v>0</v>
      </c>
      <c r="CP157" s="34">
        <f t="shared" ca="1" si="98"/>
        <v>0</v>
      </c>
      <c r="CQ157" s="34">
        <f t="shared" ca="1" si="85"/>
        <v>497.8196020808943</v>
      </c>
      <c r="CR157" s="363">
        <v>0</v>
      </c>
      <c r="CS157" s="34">
        <f t="shared" ca="1" si="86"/>
        <v>497.8196020808943</v>
      </c>
      <c r="CT157" s="233"/>
    </row>
    <row r="158" spans="2:98" x14ac:dyDescent="0.3">
      <c r="B158" s="232"/>
      <c r="C158" s="250">
        <f t="shared" si="87"/>
        <v>2042</v>
      </c>
      <c r="D158" s="263">
        <f t="shared" ca="1" si="70"/>
        <v>0</v>
      </c>
      <c r="E158" s="263">
        <f t="shared" ca="1" si="52"/>
        <v>74.672940312134145</v>
      </c>
      <c r="F158" s="263">
        <f t="shared" ca="1" si="53"/>
        <v>0</v>
      </c>
      <c r="G158" s="263">
        <f t="shared" ca="1" si="71"/>
        <v>448.0376418728049</v>
      </c>
      <c r="H158" s="15"/>
      <c r="I158" s="271">
        <f ca="1">Assumptions!O$68</f>
        <v>4.5</v>
      </c>
      <c r="J158" s="271">
        <f ca="1">Assumptions!P$68</f>
        <v>80</v>
      </c>
      <c r="K158" s="271">
        <f t="shared" ca="1" si="54"/>
        <v>40</v>
      </c>
      <c r="L158" s="15"/>
      <c r="M158" s="35">
        <f t="shared" ca="1" si="72"/>
        <v>4.2299999999999995</v>
      </c>
      <c r="N158" s="35">
        <f t="shared" ca="1" si="55"/>
        <v>64</v>
      </c>
      <c r="O158" s="35">
        <f t="shared" ca="1" si="56"/>
        <v>32</v>
      </c>
      <c r="P158" s="15"/>
      <c r="Q158" s="34">
        <f t="shared" ca="1" si="73"/>
        <v>0</v>
      </c>
      <c r="R158" s="34">
        <f t="shared" ca="1" si="73"/>
        <v>4779.0681799765853</v>
      </c>
      <c r="S158" s="34">
        <f t="shared" ca="1" si="73"/>
        <v>0</v>
      </c>
      <c r="T158" s="34">
        <f t="shared" ca="1" si="74"/>
        <v>4779.0681799765853</v>
      </c>
      <c r="U158" s="15"/>
      <c r="V158" s="35">
        <f t="shared" si="75"/>
        <v>0.7</v>
      </c>
      <c r="W158" s="34">
        <f t="shared" ca="1" si="88"/>
        <v>380.15315067995567</v>
      </c>
      <c r="X158" s="35">
        <f t="shared" si="76"/>
        <v>0.222</v>
      </c>
      <c r="Y158" s="34">
        <f t="shared" ca="1" si="77"/>
        <v>120.56285635850023</v>
      </c>
      <c r="Z158" s="35">
        <f t="shared" si="78"/>
        <v>0.34799999999999998</v>
      </c>
      <c r="AA158" s="34">
        <f t="shared" ca="1" si="79"/>
        <v>188.99042348089225</v>
      </c>
      <c r="AB158" s="34">
        <f t="shared" ca="1" si="80"/>
        <v>689.70643051934815</v>
      </c>
      <c r="AC158" s="15"/>
      <c r="AD158" s="34">
        <f t="shared" ca="1" si="81"/>
        <v>4089.3617494572372</v>
      </c>
      <c r="AE158" s="34">
        <f ca="1"/>
        <v>0</v>
      </c>
      <c r="AF158" s="34">
        <f t="shared" ca="1" si="82"/>
        <v>4089.3617494572372</v>
      </c>
      <c r="AG158" s="15"/>
      <c r="AH158" s="272">
        <f t="shared" si="89"/>
        <v>52231</v>
      </c>
      <c r="AI158" s="267">
        <f t="shared" si="57"/>
        <v>28.666666666666668</v>
      </c>
      <c r="AJ158" s="267">
        <f t="shared" si="58"/>
        <v>6.5074328020203728E-2</v>
      </c>
      <c r="AK158" s="34">
        <f t="shared" ca="1" si="90"/>
        <v>266.11246787745443</v>
      </c>
      <c r="AL158" s="233"/>
      <c r="AN158" s="349"/>
      <c r="AO158" s="237">
        <f t="shared" si="83"/>
        <v>29</v>
      </c>
      <c r="AP158" s="34">
        <f t="shared" ca="1" si="59"/>
        <v>0</v>
      </c>
      <c r="AQ158" s="34">
        <f t="shared" ca="1" si="60"/>
        <v>0.56701663177321859</v>
      </c>
      <c r="AR158" s="34">
        <f t="shared" ca="1" si="61"/>
        <v>0</v>
      </c>
      <c r="AS158" s="34">
        <f t="shared" ca="1" si="84"/>
        <v>3.4020997906393116</v>
      </c>
      <c r="AT158" s="350">
        <v>-0.1</v>
      </c>
      <c r="AU158" s="34">
        <f ca="1">MIN(AU157*(1+AT158),$AT$126-SUM(AU$129:AU157))</f>
        <v>3.4020997906393116</v>
      </c>
      <c r="AV158" s="369"/>
      <c r="AW158" s="34">
        <f t="shared" ca="1" si="62"/>
        <v>0</v>
      </c>
      <c r="AX158" s="34">
        <f t="shared" ca="1" si="63"/>
        <v>0.46778872121290532</v>
      </c>
      <c r="AY158" s="34">
        <f t="shared" ca="1" si="64"/>
        <v>0</v>
      </c>
      <c r="AZ158" s="34">
        <f t="shared" ca="1" si="65"/>
        <v>2.806732327277432</v>
      </c>
      <c r="BA158" s="34"/>
      <c r="BB158" s="34">
        <f t="shared" ca="1" si="95"/>
        <v>0</v>
      </c>
      <c r="BC158" s="34">
        <f t="shared" ca="1" si="95"/>
        <v>146.57379931337701</v>
      </c>
      <c r="BD158" s="34">
        <f t="shared" ca="1" si="95"/>
        <v>162.85977701486334</v>
      </c>
      <c r="BE158" s="34">
        <f t="shared" ca="1" si="95"/>
        <v>138.60406554456455</v>
      </c>
      <c r="BF158" s="34">
        <f t="shared" ca="1" si="95"/>
        <v>0</v>
      </c>
      <c r="BG158" s="34">
        <f t="shared" ca="1" si="95"/>
        <v>0</v>
      </c>
      <c r="BH158" s="34">
        <f t="shared" ca="1" si="95"/>
        <v>0</v>
      </c>
      <c r="BI158" s="34">
        <f t="shared" ca="1" si="95"/>
        <v>0</v>
      </c>
      <c r="BJ158" s="34">
        <f t="shared" ca="1" si="95"/>
        <v>0</v>
      </c>
      <c r="BK158" s="34">
        <f t="shared" ca="1" si="95"/>
        <v>0</v>
      </c>
      <c r="BL158" s="34">
        <f t="shared" ca="1" si="96"/>
        <v>0</v>
      </c>
      <c r="BM158" s="34">
        <f t="shared" ca="1" si="96"/>
        <v>0</v>
      </c>
      <c r="BN158" s="34">
        <f t="shared" ca="1" si="96"/>
        <v>0</v>
      </c>
      <c r="BO158" s="34">
        <f t="shared" ca="1" si="96"/>
        <v>0</v>
      </c>
      <c r="BP158" s="34">
        <f t="shared" ca="1" si="96"/>
        <v>0</v>
      </c>
      <c r="BQ158" s="34">
        <f t="shared" ca="1" si="96"/>
        <v>0</v>
      </c>
      <c r="BR158" s="34">
        <f t="shared" ca="1" si="96"/>
        <v>0</v>
      </c>
      <c r="BS158" s="34">
        <f t="shared" ca="1" si="96"/>
        <v>0</v>
      </c>
      <c r="BT158" s="34">
        <f t="shared" ca="1" si="96"/>
        <v>0</v>
      </c>
      <c r="BU158" s="34">
        <f t="shared" ca="1" si="96"/>
        <v>0</v>
      </c>
      <c r="BV158" s="34">
        <f t="shared" ca="1" si="97"/>
        <v>0</v>
      </c>
      <c r="BW158" s="34">
        <f t="shared" ca="1" si="97"/>
        <v>0</v>
      </c>
      <c r="BX158" s="34">
        <f t="shared" ca="1" si="97"/>
        <v>0</v>
      </c>
      <c r="BY158" s="34">
        <f t="shared" ca="1" si="97"/>
        <v>0</v>
      </c>
      <c r="BZ158" s="34">
        <f t="shared" ca="1" si="97"/>
        <v>0</v>
      </c>
      <c r="CA158" s="34">
        <f t="shared" ca="1" si="97"/>
        <v>0</v>
      </c>
      <c r="CB158" s="34">
        <f t="shared" ca="1" si="97"/>
        <v>0</v>
      </c>
      <c r="CC158" s="34">
        <f t="shared" ca="1" si="97"/>
        <v>0</v>
      </c>
      <c r="CD158" s="34">
        <f t="shared" ca="1" si="97"/>
        <v>0</v>
      </c>
      <c r="CE158" s="34">
        <f t="shared" ca="1" si="97"/>
        <v>0</v>
      </c>
      <c r="CF158" s="34">
        <f t="shared" ca="1" si="98"/>
        <v>0</v>
      </c>
      <c r="CG158" s="34">
        <f t="shared" ca="1" si="98"/>
        <v>0</v>
      </c>
      <c r="CH158" s="34">
        <f t="shared" ca="1" si="98"/>
        <v>0</v>
      </c>
      <c r="CI158" s="34">
        <f t="shared" ca="1" si="98"/>
        <v>0</v>
      </c>
      <c r="CJ158" s="34">
        <f t="shared" ca="1" si="98"/>
        <v>0</v>
      </c>
      <c r="CK158" s="34">
        <f t="shared" ca="1" si="98"/>
        <v>0</v>
      </c>
      <c r="CL158" s="34">
        <f t="shared" ca="1" si="98"/>
        <v>0</v>
      </c>
      <c r="CM158" s="34">
        <f t="shared" ca="1" si="98"/>
        <v>0</v>
      </c>
      <c r="CN158" s="34">
        <f t="shared" ca="1" si="98"/>
        <v>0</v>
      </c>
      <c r="CO158" s="34">
        <f t="shared" ca="1" si="98"/>
        <v>0</v>
      </c>
      <c r="CP158" s="34">
        <f t="shared" ca="1" si="98"/>
        <v>0</v>
      </c>
      <c r="CQ158" s="34">
        <f t="shared" ca="1" si="85"/>
        <v>448.0376418728049</v>
      </c>
      <c r="CR158" s="363">
        <v>0</v>
      </c>
      <c r="CS158" s="34">
        <f t="shared" ca="1" si="86"/>
        <v>448.0376418728049</v>
      </c>
      <c r="CT158" s="233"/>
    </row>
    <row r="159" spans="2:98" x14ac:dyDescent="0.3">
      <c r="B159" s="232"/>
      <c r="C159" s="250">
        <f t="shared" si="87"/>
        <v>2043</v>
      </c>
      <c r="D159" s="263">
        <f t="shared" ca="1" si="70"/>
        <v>0</v>
      </c>
      <c r="E159" s="263">
        <f t="shared" ca="1" si="52"/>
        <v>67.205646280920732</v>
      </c>
      <c r="F159" s="263">
        <f t="shared" ca="1" si="53"/>
        <v>0</v>
      </c>
      <c r="G159" s="263">
        <f t="shared" ca="1" si="71"/>
        <v>403.23387768552436</v>
      </c>
      <c r="H159" s="15"/>
      <c r="I159" s="271">
        <f ca="1">Assumptions!O$68</f>
        <v>4.5</v>
      </c>
      <c r="J159" s="271">
        <f ca="1">Assumptions!P$68</f>
        <v>80</v>
      </c>
      <c r="K159" s="271">
        <f t="shared" ca="1" si="54"/>
        <v>40</v>
      </c>
      <c r="L159" s="15"/>
      <c r="M159" s="35">
        <f t="shared" ca="1" si="72"/>
        <v>4.2299999999999995</v>
      </c>
      <c r="N159" s="35">
        <f t="shared" ca="1" si="55"/>
        <v>64</v>
      </c>
      <c r="O159" s="35">
        <f t="shared" ca="1" si="56"/>
        <v>32</v>
      </c>
      <c r="P159" s="15"/>
      <c r="Q159" s="34">
        <f t="shared" ca="1" si="73"/>
        <v>0</v>
      </c>
      <c r="R159" s="34">
        <f t="shared" ca="1" si="73"/>
        <v>4301.1613619789268</v>
      </c>
      <c r="S159" s="34">
        <f t="shared" ca="1" si="73"/>
        <v>0</v>
      </c>
      <c r="T159" s="34">
        <f t="shared" ca="1" si="74"/>
        <v>4301.1613619789268</v>
      </c>
      <c r="U159" s="15"/>
      <c r="V159" s="35">
        <f t="shared" si="75"/>
        <v>0.7</v>
      </c>
      <c r="W159" s="34">
        <f t="shared" ca="1" si="88"/>
        <v>342.1378356119601</v>
      </c>
      <c r="X159" s="35">
        <f t="shared" si="76"/>
        <v>0.222</v>
      </c>
      <c r="Y159" s="34">
        <f t="shared" ca="1" si="77"/>
        <v>108.50657072265021</v>
      </c>
      <c r="Z159" s="35">
        <f t="shared" si="78"/>
        <v>0.34799999999999998</v>
      </c>
      <c r="AA159" s="34">
        <f t="shared" ca="1" si="79"/>
        <v>170.09138113280301</v>
      </c>
      <c r="AB159" s="34">
        <f t="shared" ca="1" si="80"/>
        <v>620.73578746741327</v>
      </c>
      <c r="AC159" s="15"/>
      <c r="AD159" s="34">
        <f t="shared" ca="1" si="81"/>
        <v>3680.4255745115133</v>
      </c>
      <c r="AE159" s="34">
        <f ca="1"/>
        <v>0</v>
      </c>
      <c r="AF159" s="34">
        <f t="shared" ca="1" si="82"/>
        <v>3680.4255745115133</v>
      </c>
      <c r="AG159" s="15"/>
      <c r="AH159" s="272">
        <f t="shared" si="89"/>
        <v>52596</v>
      </c>
      <c r="AI159" s="267">
        <f t="shared" si="57"/>
        <v>29.666666666666668</v>
      </c>
      <c r="AJ159" s="267">
        <f t="shared" si="58"/>
        <v>5.915848001836703E-2</v>
      </c>
      <c r="AK159" s="34">
        <f t="shared" ca="1" si="90"/>
        <v>217.72838280882635</v>
      </c>
      <c r="AL159" s="233"/>
      <c r="AN159" s="349"/>
      <c r="AO159" s="237">
        <f t="shared" si="83"/>
        <v>30</v>
      </c>
      <c r="AP159" s="34">
        <f t="shared" ca="1" si="59"/>
        <v>0</v>
      </c>
      <c r="AQ159" s="34">
        <f t="shared" ca="1" si="60"/>
        <v>0.51031496859589676</v>
      </c>
      <c r="AR159" s="34">
        <f t="shared" ca="1" si="61"/>
        <v>0</v>
      </c>
      <c r="AS159" s="34">
        <f t="shared" ca="1" si="84"/>
        <v>3.0618898115753805</v>
      </c>
      <c r="AT159" s="350">
        <v>-0.1</v>
      </c>
      <c r="AU159" s="34">
        <f ca="1">MIN(AU158*(1+AT159),$AT$126-SUM(AU$129:AU158))</f>
        <v>3.0618898115753805</v>
      </c>
      <c r="AV159" s="369"/>
      <c r="AW159" s="34">
        <f t="shared" ca="1" si="62"/>
        <v>0</v>
      </c>
      <c r="AX159" s="34">
        <f t="shared" ca="1" si="63"/>
        <v>0.42100984909161482</v>
      </c>
      <c r="AY159" s="34">
        <f t="shared" ca="1" si="64"/>
        <v>0</v>
      </c>
      <c r="AZ159" s="34">
        <f t="shared" ca="1" si="65"/>
        <v>2.526059094549689</v>
      </c>
      <c r="BA159" s="34"/>
      <c r="BB159" s="34">
        <f t="shared" ref="BB159:BK169" ca="1" si="99">IF($AO159&lt;BB$128,0,OFFSET($AZ$128,$AO159-BB$128+1,0)*BB$126)</f>
        <v>0</v>
      </c>
      <c r="BC159" s="34">
        <f t="shared" ca="1" si="99"/>
        <v>131.91641938203929</v>
      </c>
      <c r="BD159" s="34">
        <f t="shared" ca="1" si="99"/>
        <v>146.57379931337701</v>
      </c>
      <c r="BE159" s="34">
        <f t="shared" ca="1" si="99"/>
        <v>124.74365899010809</v>
      </c>
      <c r="BF159" s="34">
        <f t="shared" ca="1" si="99"/>
        <v>0</v>
      </c>
      <c r="BG159" s="34">
        <f t="shared" ca="1" si="99"/>
        <v>0</v>
      </c>
      <c r="BH159" s="34">
        <f t="shared" ca="1" si="99"/>
        <v>0</v>
      </c>
      <c r="BI159" s="34">
        <f t="shared" ca="1" si="99"/>
        <v>0</v>
      </c>
      <c r="BJ159" s="34">
        <f t="shared" ca="1" si="99"/>
        <v>0</v>
      </c>
      <c r="BK159" s="34">
        <f t="shared" ca="1" si="99"/>
        <v>0</v>
      </c>
      <c r="BL159" s="34">
        <f t="shared" ref="BL159:BU169" ca="1" si="100">IF($AO159&lt;BL$128,0,OFFSET($AZ$128,$AO159-BL$128+1,0)*BL$126)</f>
        <v>0</v>
      </c>
      <c r="BM159" s="34">
        <f t="shared" ca="1" si="100"/>
        <v>0</v>
      </c>
      <c r="BN159" s="34">
        <f t="shared" ca="1" si="100"/>
        <v>0</v>
      </c>
      <c r="BO159" s="34">
        <f t="shared" ca="1" si="100"/>
        <v>0</v>
      </c>
      <c r="BP159" s="34">
        <f t="shared" ca="1" si="100"/>
        <v>0</v>
      </c>
      <c r="BQ159" s="34">
        <f t="shared" ca="1" si="100"/>
        <v>0</v>
      </c>
      <c r="BR159" s="34">
        <f t="shared" ca="1" si="100"/>
        <v>0</v>
      </c>
      <c r="BS159" s="34">
        <f t="shared" ca="1" si="100"/>
        <v>0</v>
      </c>
      <c r="BT159" s="34">
        <f t="shared" ca="1" si="100"/>
        <v>0</v>
      </c>
      <c r="BU159" s="34">
        <f t="shared" ca="1" si="100"/>
        <v>0</v>
      </c>
      <c r="BV159" s="34">
        <f t="shared" ref="BV159:CE169" ca="1" si="101">IF($AO159&lt;BV$128,0,OFFSET($AZ$128,$AO159-BV$128+1,0)*BV$126)</f>
        <v>0</v>
      </c>
      <c r="BW159" s="34">
        <f t="shared" ca="1" si="101"/>
        <v>0</v>
      </c>
      <c r="BX159" s="34">
        <f t="shared" ca="1" si="101"/>
        <v>0</v>
      </c>
      <c r="BY159" s="34">
        <f t="shared" ca="1" si="101"/>
        <v>0</v>
      </c>
      <c r="BZ159" s="34">
        <f t="shared" ca="1" si="101"/>
        <v>0</v>
      </c>
      <c r="CA159" s="34">
        <f t="shared" ca="1" si="101"/>
        <v>0</v>
      </c>
      <c r="CB159" s="34">
        <f t="shared" ca="1" si="101"/>
        <v>0</v>
      </c>
      <c r="CC159" s="34">
        <f t="shared" ca="1" si="101"/>
        <v>0</v>
      </c>
      <c r="CD159" s="34">
        <f t="shared" ca="1" si="101"/>
        <v>0</v>
      </c>
      <c r="CE159" s="34">
        <f t="shared" ca="1" si="101"/>
        <v>0</v>
      </c>
      <c r="CF159" s="34">
        <f t="shared" ref="CF159:CP169" ca="1" si="102">IF($AO159&lt;CF$128,0,OFFSET($AZ$128,$AO159-CF$128+1,0)*CF$126)</f>
        <v>0</v>
      </c>
      <c r="CG159" s="34">
        <f t="shared" ca="1" si="102"/>
        <v>0</v>
      </c>
      <c r="CH159" s="34">
        <f t="shared" ca="1" si="102"/>
        <v>0</v>
      </c>
      <c r="CI159" s="34">
        <f t="shared" ca="1" si="102"/>
        <v>0</v>
      </c>
      <c r="CJ159" s="34">
        <f t="shared" ca="1" si="102"/>
        <v>0</v>
      </c>
      <c r="CK159" s="34">
        <f t="shared" ca="1" si="102"/>
        <v>0</v>
      </c>
      <c r="CL159" s="34">
        <f t="shared" ca="1" si="102"/>
        <v>0</v>
      </c>
      <c r="CM159" s="34">
        <f t="shared" ca="1" si="102"/>
        <v>0</v>
      </c>
      <c r="CN159" s="34">
        <f t="shared" ca="1" si="102"/>
        <v>0</v>
      </c>
      <c r="CO159" s="34">
        <f t="shared" ca="1" si="102"/>
        <v>0</v>
      </c>
      <c r="CP159" s="34">
        <f t="shared" ca="1" si="102"/>
        <v>0</v>
      </c>
      <c r="CQ159" s="34">
        <f t="shared" ca="1" si="85"/>
        <v>403.23387768552436</v>
      </c>
      <c r="CR159" s="363">
        <v>0</v>
      </c>
      <c r="CS159" s="34">
        <f t="shared" ca="1" si="86"/>
        <v>403.23387768552436</v>
      </c>
      <c r="CT159" s="233"/>
    </row>
    <row r="160" spans="2:98" x14ac:dyDescent="0.3">
      <c r="B160" s="232"/>
      <c r="C160" s="250">
        <f t="shared" si="87"/>
        <v>2044</v>
      </c>
      <c r="D160" s="263">
        <f t="shared" ca="1" si="70"/>
        <v>0</v>
      </c>
      <c r="E160" s="263">
        <f t="shared" ca="1" si="52"/>
        <v>60.485081652828654</v>
      </c>
      <c r="F160" s="263">
        <f t="shared" ca="1" si="53"/>
        <v>0</v>
      </c>
      <c r="G160" s="263">
        <f t="shared" ca="1" si="71"/>
        <v>362.91048991697193</v>
      </c>
      <c r="H160" s="15"/>
      <c r="I160" s="271">
        <f ca="1">Assumptions!O$68</f>
        <v>4.5</v>
      </c>
      <c r="J160" s="271">
        <f ca="1">Assumptions!P$68</f>
        <v>80</v>
      </c>
      <c r="K160" s="271">
        <f t="shared" ca="1" si="54"/>
        <v>40</v>
      </c>
      <c r="L160" s="15"/>
      <c r="M160" s="35">
        <f t="shared" ca="1" si="72"/>
        <v>4.2299999999999995</v>
      </c>
      <c r="N160" s="35">
        <f t="shared" ca="1" si="55"/>
        <v>64</v>
      </c>
      <c r="O160" s="35">
        <f t="shared" ca="1" si="56"/>
        <v>32</v>
      </c>
      <c r="P160" s="15"/>
      <c r="Q160" s="34">
        <f t="shared" ca="1" si="73"/>
        <v>0</v>
      </c>
      <c r="R160" s="34">
        <f t="shared" ca="1" si="73"/>
        <v>3871.0452257810339</v>
      </c>
      <c r="S160" s="34">
        <f t="shared" ca="1" si="73"/>
        <v>0</v>
      </c>
      <c r="T160" s="34">
        <f t="shared" ca="1" si="74"/>
        <v>3871.0452257810339</v>
      </c>
      <c r="U160" s="15"/>
      <c r="V160" s="35">
        <f t="shared" si="75"/>
        <v>0.7</v>
      </c>
      <c r="W160" s="34">
        <f t="shared" ca="1" si="88"/>
        <v>307.92405205076403</v>
      </c>
      <c r="X160" s="35">
        <f t="shared" si="76"/>
        <v>0.222</v>
      </c>
      <c r="Y160" s="34">
        <f t="shared" ca="1" si="77"/>
        <v>97.655913650385173</v>
      </c>
      <c r="Z160" s="35">
        <f t="shared" si="78"/>
        <v>0.34799999999999998</v>
      </c>
      <c r="AA160" s="34">
        <f t="shared" ca="1" si="79"/>
        <v>153.08224301952271</v>
      </c>
      <c r="AB160" s="34">
        <f t="shared" ca="1" si="80"/>
        <v>558.66220872067197</v>
      </c>
      <c r="AC160" s="15"/>
      <c r="AD160" s="34">
        <f t="shared" ca="1" si="81"/>
        <v>3312.3830170603619</v>
      </c>
      <c r="AE160" s="34">
        <f ca="1"/>
        <v>0</v>
      </c>
      <c r="AF160" s="34">
        <f t="shared" ca="1" si="82"/>
        <v>3312.3830170603619</v>
      </c>
      <c r="AG160" s="15"/>
      <c r="AH160" s="272">
        <f t="shared" si="89"/>
        <v>52962</v>
      </c>
      <c r="AI160" s="267">
        <f t="shared" si="57"/>
        <v>30.666666666666668</v>
      </c>
      <c r="AJ160" s="267">
        <f t="shared" si="58"/>
        <v>5.3780436380333668E-2</v>
      </c>
      <c r="AK160" s="34">
        <f t="shared" ca="1" si="90"/>
        <v>178.14140411631249</v>
      </c>
      <c r="AL160" s="233"/>
      <c r="AN160" s="349"/>
      <c r="AO160" s="237">
        <f t="shared" si="83"/>
        <v>31</v>
      </c>
      <c r="AP160" s="34">
        <f t="shared" ca="1" si="59"/>
        <v>0</v>
      </c>
      <c r="AQ160" s="34">
        <f t="shared" ca="1" si="60"/>
        <v>0.45928347173630707</v>
      </c>
      <c r="AR160" s="34">
        <f t="shared" ca="1" si="61"/>
        <v>0</v>
      </c>
      <c r="AS160" s="34">
        <f t="shared" ca="1" si="84"/>
        <v>2.7557008304178425</v>
      </c>
      <c r="AT160" s="350">
        <v>-0.1</v>
      </c>
      <c r="AU160" s="34">
        <f ca="1">MIN(AU159*(1+AT160),$AT$126-SUM(AU$129:AU159))</f>
        <v>2.7557008304178425</v>
      </c>
      <c r="AV160" s="369"/>
      <c r="AW160" s="34">
        <f t="shared" ca="1" si="62"/>
        <v>0</v>
      </c>
      <c r="AX160" s="34">
        <f t="shared" ca="1" si="63"/>
        <v>0.37890886418245329</v>
      </c>
      <c r="AY160" s="34">
        <f t="shared" ca="1" si="64"/>
        <v>0</v>
      </c>
      <c r="AZ160" s="34">
        <f t="shared" ca="1" si="65"/>
        <v>2.2734531850947199</v>
      </c>
      <c r="BA160" s="34"/>
      <c r="BB160" s="34">
        <f t="shared" ca="1" si="99"/>
        <v>0</v>
      </c>
      <c r="BC160" s="34">
        <f t="shared" ca="1" si="99"/>
        <v>118.72477744383538</v>
      </c>
      <c r="BD160" s="34">
        <f t="shared" ca="1" si="99"/>
        <v>131.91641938203929</v>
      </c>
      <c r="BE160" s="34">
        <f t="shared" ca="1" si="99"/>
        <v>112.26929309109728</v>
      </c>
      <c r="BF160" s="34">
        <f t="shared" ca="1" si="99"/>
        <v>0</v>
      </c>
      <c r="BG160" s="34">
        <f t="shared" ca="1" si="99"/>
        <v>0</v>
      </c>
      <c r="BH160" s="34">
        <f t="shared" ca="1" si="99"/>
        <v>0</v>
      </c>
      <c r="BI160" s="34">
        <f t="shared" ca="1" si="99"/>
        <v>0</v>
      </c>
      <c r="BJ160" s="34">
        <f t="shared" ca="1" si="99"/>
        <v>0</v>
      </c>
      <c r="BK160" s="34">
        <f t="shared" ca="1" si="99"/>
        <v>0</v>
      </c>
      <c r="BL160" s="34">
        <f t="shared" ca="1" si="100"/>
        <v>0</v>
      </c>
      <c r="BM160" s="34">
        <f t="shared" ca="1" si="100"/>
        <v>0</v>
      </c>
      <c r="BN160" s="34">
        <f t="shared" ca="1" si="100"/>
        <v>0</v>
      </c>
      <c r="BO160" s="34">
        <f t="shared" ca="1" si="100"/>
        <v>0</v>
      </c>
      <c r="BP160" s="34">
        <f t="shared" ca="1" si="100"/>
        <v>0</v>
      </c>
      <c r="BQ160" s="34">
        <f t="shared" ca="1" si="100"/>
        <v>0</v>
      </c>
      <c r="BR160" s="34">
        <f t="shared" ca="1" si="100"/>
        <v>0</v>
      </c>
      <c r="BS160" s="34">
        <f t="shared" ca="1" si="100"/>
        <v>0</v>
      </c>
      <c r="BT160" s="34">
        <f t="shared" ca="1" si="100"/>
        <v>0</v>
      </c>
      <c r="BU160" s="34">
        <f t="shared" ca="1" si="100"/>
        <v>0</v>
      </c>
      <c r="BV160" s="34">
        <f t="shared" ca="1" si="101"/>
        <v>0</v>
      </c>
      <c r="BW160" s="34">
        <f t="shared" ca="1" si="101"/>
        <v>0</v>
      </c>
      <c r="BX160" s="34">
        <f t="shared" ca="1" si="101"/>
        <v>0</v>
      </c>
      <c r="BY160" s="34">
        <f t="shared" ca="1" si="101"/>
        <v>0</v>
      </c>
      <c r="BZ160" s="34">
        <f t="shared" ca="1" si="101"/>
        <v>0</v>
      </c>
      <c r="CA160" s="34">
        <f t="shared" ca="1" si="101"/>
        <v>0</v>
      </c>
      <c r="CB160" s="34">
        <f t="shared" ca="1" si="101"/>
        <v>0</v>
      </c>
      <c r="CC160" s="34">
        <f t="shared" ca="1" si="101"/>
        <v>0</v>
      </c>
      <c r="CD160" s="34">
        <f t="shared" ca="1" si="101"/>
        <v>0</v>
      </c>
      <c r="CE160" s="34">
        <f t="shared" ca="1" si="101"/>
        <v>0</v>
      </c>
      <c r="CF160" s="34">
        <f t="shared" ca="1" si="102"/>
        <v>0</v>
      </c>
      <c r="CG160" s="34">
        <f t="shared" ca="1" si="102"/>
        <v>0</v>
      </c>
      <c r="CH160" s="34">
        <f t="shared" ca="1" si="102"/>
        <v>0</v>
      </c>
      <c r="CI160" s="34">
        <f t="shared" ca="1" si="102"/>
        <v>0</v>
      </c>
      <c r="CJ160" s="34">
        <f t="shared" ca="1" si="102"/>
        <v>0</v>
      </c>
      <c r="CK160" s="34">
        <f t="shared" ca="1" si="102"/>
        <v>0</v>
      </c>
      <c r="CL160" s="34">
        <f t="shared" ca="1" si="102"/>
        <v>0</v>
      </c>
      <c r="CM160" s="34">
        <f t="shared" ca="1" si="102"/>
        <v>0</v>
      </c>
      <c r="CN160" s="34">
        <f t="shared" ca="1" si="102"/>
        <v>0</v>
      </c>
      <c r="CO160" s="34">
        <f t="shared" ca="1" si="102"/>
        <v>0</v>
      </c>
      <c r="CP160" s="34">
        <f t="shared" ca="1" si="102"/>
        <v>0</v>
      </c>
      <c r="CQ160" s="34">
        <f t="shared" ca="1" si="85"/>
        <v>362.91048991697193</v>
      </c>
      <c r="CR160" s="363">
        <v>0</v>
      </c>
      <c r="CS160" s="34">
        <f t="shared" ca="1" si="86"/>
        <v>362.91048991697193</v>
      </c>
      <c r="CT160" s="233"/>
    </row>
    <row r="161" spans="2:98" x14ac:dyDescent="0.3">
      <c r="B161" s="232"/>
      <c r="C161" s="250">
        <f t="shared" si="87"/>
        <v>2045</v>
      </c>
      <c r="D161" s="263">
        <f t="shared" ca="1" si="70"/>
        <v>0</v>
      </c>
      <c r="E161" s="263">
        <f t="shared" ca="1" si="52"/>
        <v>54.436573487545793</v>
      </c>
      <c r="F161" s="263">
        <f t="shared" ca="1" si="53"/>
        <v>0</v>
      </c>
      <c r="G161" s="263">
        <f t="shared" ca="1" si="71"/>
        <v>326.61944092527477</v>
      </c>
      <c r="H161" s="15"/>
      <c r="I161" s="271">
        <f ca="1">Assumptions!O$68</f>
        <v>4.5</v>
      </c>
      <c r="J161" s="271">
        <f ca="1">Assumptions!P$68</f>
        <v>80</v>
      </c>
      <c r="K161" s="271">
        <f t="shared" ca="1" si="54"/>
        <v>40</v>
      </c>
      <c r="L161" s="15"/>
      <c r="M161" s="35">
        <f t="shared" ca="1" si="72"/>
        <v>4.2299999999999995</v>
      </c>
      <c r="N161" s="35">
        <f t="shared" ca="1" si="55"/>
        <v>64</v>
      </c>
      <c r="O161" s="35">
        <f t="shared" ca="1" si="56"/>
        <v>32</v>
      </c>
      <c r="P161" s="15"/>
      <c r="Q161" s="34">
        <f t="shared" ca="1" si="73"/>
        <v>0</v>
      </c>
      <c r="R161" s="34">
        <f t="shared" ca="1" si="73"/>
        <v>3483.9407032029308</v>
      </c>
      <c r="S161" s="34">
        <f t="shared" ca="1" si="73"/>
        <v>0</v>
      </c>
      <c r="T161" s="34">
        <f t="shared" ca="1" si="74"/>
        <v>3483.9407032029308</v>
      </c>
      <c r="U161" s="15"/>
      <c r="V161" s="35">
        <f t="shared" si="75"/>
        <v>0.7</v>
      </c>
      <c r="W161" s="34">
        <f t="shared" ca="1" si="88"/>
        <v>277.13164684568767</v>
      </c>
      <c r="X161" s="35">
        <f t="shared" si="76"/>
        <v>0.222</v>
      </c>
      <c r="Y161" s="34">
        <f t="shared" ca="1" si="77"/>
        <v>87.890322285346684</v>
      </c>
      <c r="Z161" s="35">
        <f t="shared" si="78"/>
        <v>0.34799999999999998</v>
      </c>
      <c r="AA161" s="34">
        <f t="shared" ca="1" si="79"/>
        <v>137.77401871757044</v>
      </c>
      <c r="AB161" s="34">
        <f t="shared" ca="1" si="80"/>
        <v>502.7959878486048</v>
      </c>
      <c r="AC161" s="15"/>
      <c r="AD161" s="34">
        <f t="shared" ca="1" si="81"/>
        <v>2981.1447153543259</v>
      </c>
      <c r="AE161" s="34">
        <f ca="1"/>
        <v>0</v>
      </c>
      <c r="AF161" s="34">
        <f t="shared" ca="1" si="82"/>
        <v>2981.1447153543259</v>
      </c>
      <c r="AG161" s="15"/>
      <c r="AH161" s="272">
        <f t="shared" si="89"/>
        <v>53327</v>
      </c>
      <c r="AI161" s="267">
        <f t="shared" si="57"/>
        <v>31.666666666666664</v>
      </c>
      <c r="AJ161" s="267">
        <f t="shared" si="58"/>
        <v>4.889130580030334E-2</v>
      </c>
      <c r="AK161" s="34">
        <f t="shared" ca="1" si="90"/>
        <v>145.75205791334659</v>
      </c>
      <c r="AL161" s="233"/>
      <c r="AN161" s="349"/>
      <c r="AO161" s="237">
        <f t="shared" si="83"/>
        <v>32</v>
      </c>
      <c r="AP161" s="34">
        <f t="shared" ca="1" si="59"/>
        <v>0</v>
      </c>
      <c r="AQ161" s="34">
        <f t="shared" ca="1" si="60"/>
        <v>0.41335512456267637</v>
      </c>
      <c r="AR161" s="34">
        <f t="shared" ca="1" si="61"/>
        <v>0</v>
      </c>
      <c r="AS161" s="34">
        <f t="shared" ca="1" si="84"/>
        <v>2.4801307473760583</v>
      </c>
      <c r="AT161" s="350">
        <v>-0.1</v>
      </c>
      <c r="AU161" s="34">
        <f ca="1">MIN(AU160*(1+AT161),$AT$126-SUM(AU$129:AU160))</f>
        <v>2.4801307473760583</v>
      </c>
      <c r="AV161" s="369"/>
      <c r="AW161" s="34">
        <f t="shared" ca="1" si="62"/>
        <v>0</v>
      </c>
      <c r="AX161" s="34">
        <f t="shared" ca="1" si="63"/>
        <v>0.341017977764208</v>
      </c>
      <c r="AY161" s="34">
        <f t="shared" ca="1" si="64"/>
        <v>0</v>
      </c>
      <c r="AZ161" s="34">
        <f t="shared" ca="1" si="65"/>
        <v>2.0461078665852481</v>
      </c>
      <c r="BA161" s="34"/>
      <c r="BB161" s="34">
        <f t="shared" ca="1" si="99"/>
        <v>0</v>
      </c>
      <c r="BC161" s="34">
        <f t="shared" ca="1" si="99"/>
        <v>106.85229969945183</v>
      </c>
      <c r="BD161" s="34">
        <f t="shared" ca="1" si="99"/>
        <v>118.72477744383538</v>
      </c>
      <c r="BE161" s="34">
        <f t="shared" ca="1" si="99"/>
        <v>101.04236378198755</v>
      </c>
      <c r="BF161" s="34">
        <f t="shared" ca="1" si="99"/>
        <v>0</v>
      </c>
      <c r="BG161" s="34">
        <f t="shared" ca="1" si="99"/>
        <v>0</v>
      </c>
      <c r="BH161" s="34">
        <f t="shared" ca="1" si="99"/>
        <v>0</v>
      </c>
      <c r="BI161" s="34">
        <f t="shared" ca="1" si="99"/>
        <v>0</v>
      </c>
      <c r="BJ161" s="34">
        <f t="shared" ca="1" si="99"/>
        <v>0</v>
      </c>
      <c r="BK161" s="34">
        <f t="shared" ca="1" si="99"/>
        <v>0</v>
      </c>
      <c r="BL161" s="34">
        <f t="shared" ca="1" si="100"/>
        <v>0</v>
      </c>
      <c r="BM161" s="34">
        <f t="shared" ca="1" si="100"/>
        <v>0</v>
      </c>
      <c r="BN161" s="34">
        <f t="shared" ca="1" si="100"/>
        <v>0</v>
      </c>
      <c r="BO161" s="34">
        <f t="shared" ca="1" si="100"/>
        <v>0</v>
      </c>
      <c r="BP161" s="34">
        <f t="shared" ca="1" si="100"/>
        <v>0</v>
      </c>
      <c r="BQ161" s="34">
        <f t="shared" ca="1" si="100"/>
        <v>0</v>
      </c>
      <c r="BR161" s="34">
        <f t="shared" ca="1" si="100"/>
        <v>0</v>
      </c>
      <c r="BS161" s="34">
        <f t="shared" ca="1" si="100"/>
        <v>0</v>
      </c>
      <c r="BT161" s="34">
        <f t="shared" ca="1" si="100"/>
        <v>0</v>
      </c>
      <c r="BU161" s="34">
        <f t="shared" ca="1" si="100"/>
        <v>0</v>
      </c>
      <c r="BV161" s="34">
        <f t="shared" ca="1" si="101"/>
        <v>0</v>
      </c>
      <c r="BW161" s="34">
        <f t="shared" ca="1" si="101"/>
        <v>0</v>
      </c>
      <c r="BX161" s="34">
        <f t="shared" ca="1" si="101"/>
        <v>0</v>
      </c>
      <c r="BY161" s="34">
        <f t="shared" ca="1" si="101"/>
        <v>0</v>
      </c>
      <c r="BZ161" s="34">
        <f t="shared" ca="1" si="101"/>
        <v>0</v>
      </c>
      <c r="CA161" s="34">
        <f t="shared" ca="1" si="101"/>
        <v>0</v>
      </c>
      <c r="CB161" s="34">
        <f t="shared" ca="1" si="101"/>
        <v>0</v>
      </c>
      <c r="CC161" s="34">
        <f t="shared" ca="1" si="101"/>
        <v>0</v>
      </c>
      <c r="CD161" s="34">
        <f t="shared" ca="1" si="101"/>
        <v>0</v>
      </c>
      <c r="CE161" s="34">
        <f t="shared" ca="1" si="101"/>
        <v>0</v>
      </c>
      <c r="CF161" s="34">
        <f t="shared" ca="1" si="102"/>
        <v>0</v>
      </c>
      <c r="CG161" s="34">
        <f t="shared" ca="1" si="102"/>
        <v>0</v>
      </c>
      <c r="CH161" s="34">
        <f t="shared" ca="1" si="102"/>
        <v>0</v>
      </c>
      <c r="CI161" s="34">
        <f t="shared" ca="1" si="102"/>
        <v>0</v>
      </c>
      <c r="CJ161" s="34">
        <f t="shared" ca="1" si="102"/>
        <v>0</v>
      </c>
      <c r="CK161" s="34">
        <f t="shared" ca="1" si="102"/>
        <v>0</v>
      </c>
      <c r="CL161" s="34">
        <f t="shared" ca="1" si="102"/>
        <v>0</v>
      </c>
      <c r="CM161" s="34">
        <f t="shared" ca="1" si="102"/>
        <v>0</v>
      </c>
      <c r="CN161" s="34">
        <f t="shared" ca="1" si="102"/>
        <v>0</v>
      </c>
      <c r="CO161" s="34">
        <f t="shared" ca="1" si="102"/>
        <v>0</v>
      </c>
      <c r="CP161" s="34">
        <f t="shared" ca="1" si="102"/>
        <v>0</v>
      </c>
      <c r="CQ161" s="34">
        <f t="shared" ca="1" si="85"/>
        <v>326.61944092527477</v>
      </c>
      <c r="CR161" s="363">
        <v>0</v>
      </c>
      <c r="CS161" s="34">
        <f t="shared" ca="1" si="86"/>
        <v>326.61944092527477</v>
      </c>
      <c r="CT161" s="233"/>
    </row>
    <row r="162" spans="2:98" x14ac:dyDescent="0.3">
      <c r="B162" s="232"/>
      <c r="C162" s="250">
        <f t="shared" si="87"/>
        <v>2046</v>
      </c>
      <c r="D162" s="263">
        <f t="shared" ca="1" si="70"/>
        <v>0</v>
      </c>
      <c r="E162" s="263">
        <f t="shared" ca="1" si="52"/>
        <v>48.992916138791223</v>
      </c>
      <c r="F162" s="263">
        <f t="shared" ca="1" si="53"/>
        <v>0</v>
      </c>
      <c r="G162" s="263">
        <f t="shared" ca="1" si="71"/>
        <v>293.95749683274732</v>
      </c>
      <c r="H162" s="15"/>
      <c r="I162" s="271">
        <f ca="1">Assumptions!O$68</f>
        <v>4.5</v>
      </c>
      <c r="J162" s="271">
        <f ca="1">Assumptions!P$68</f>
        <v>80</v>
      </c>
      <c r="K162" s="271">
        <f t="shared" ca="1" si="54"/>
        <v>40</v>
      </c>
      <c r="L162" s="15"/>
      <c r="M162" s="35">
        <f t="shared" ca="1" si="72"/>
        <v>4.2299999999999995</v>
      </c>
      <c r="N162" s="35">
        <f t="shared" ca="1" si="55"/>
        <v>64</v>
      </c>
      <c r="O162" s="35">
        <f t="shared" ca="1" si="56"/>
        <v>32</v>
      </c>
      <c r="P162" s="15"/>
      <c r="Q162" s="34">
        <f t="shared" ca="1" si="73"/>
        <v>0</v>
      </c>
      <c r="R162" s="34">
        <f t="shared" ca="1" si="73"/>
        <v>3135.5466328826383</v>
      </c>
      <c r="S162" s="34">
        <f t="shared" ca="1" si="73"/>
        <v>0</v>
      </c>
      <c r="T162" s="34">
        <f t="shared" ca="1" si="74"/>
        <v>3135.5466328826383</v>
      </c>
      <c r="U162" s="15"/>
      <c r="V162" s="35">
        <f t="shared" si="75"/>
        <v>0.7</v>
      </c>
      <c r="W162" s="34">
        <f t="shared" ca="1" si="88"/>
        <v>249.41848216111896</v>
      </c>
      <c r="X162" s="35">
        <f t="shared" si="76"/>
        <v>0.222</v>
      </c>
      <c r="Y162" s="34">
        <f t="shared" ca="1" si="77"/>
        <v>79.101290056812019</v>
      </c>
      <c r="Z162" s="35">
        <f t="shared" si="78"/>
        <v>0.34799999999999998</v>
      </c>
      <c r="AA162" s="34">
        <f t="shared" ca="1" si="79"/>
        <v>123.99661684581342</v>
      </c>
      <c r="AB162" s="34">
        <f t="shared" ca="1" si="80"/>
        <v>452.51638906374438</v>
      </c>
      <c r="AC162" s="15"/>
      <c r="AD162" s="34">
        <f t="shared" ca="1" si="81"/>
        <v>2683.0302438188937</v>
      </c>
      <c r="AE162" s="34">
        <f ca="1"/>
        <v>0</v>
      </c>
      <c r="AF162" s="34">
        <f t="shared" ca="1" si="82"/>
        <v>2683.0302438188937</v>
      </c>
      <c r="AG162" s="15"/>
      <c r="AH162" s="272">
        <f t="shared" si="89"/>
        <v>53692</v>
      </c>
      <c r="AI162" s="267">
        <f t="shared" si="57"/>
        <v>32.666666666666664</v>
      </c>
      <c r="AJ162" s="267">
        <f t="shared" si="58"/>
        <v>4.4446641636639403E-2</v>
      </c>
      <c r="AK162" s="34">
        <f t="shared" ca="1" si="90"/>
        <v>119.25168374728361</v>
      </c>
      <c r="AL162" s="233"/>
      <c r="AN162" s="349"/>
      <c r="AO162" s="237">
        <f t="shared" si="83"/>
        <v>33</v>
      </c>
      <c r="AP162" s="34">
        <f t="shared" ca="1" si="59"/>
        <v>0</v>
      </c>
      <c r="AQ162" s="34">
        <f t="shared" ca="1" si="60"/>
        <v>0.37201961210640877</v>
      </c>
      <c r="AR162" s="34">
        <f t="shared" ca="1" si="61"/>
        <v>0</v>
      </c>
      <c r="AS162" s="34">
        <f t="shared" ca="1" si="84"/>
        <v>2.2321176726384526</v>
      </c>
      <c r="AT162" s="350">
        <v>-0.1</v>
      </c>
      <c r="AU162" s="34">
        <f ca="1">MIN(AU161*(1+AT162),$AT$126-SUM(AU$129:AU161))</f>
        <v>2.2321176726384526</v>
      </c>
      <c r="AV162" s="369"/>
      <c r="AW162" s="34">
        <f t="shared" ca="1" si="62"/>
        <v>0</v>
      </c>
      <c r="AX162" s="34">
        <f t="shared" ca="1" si="63"/>
        <v>0.3069161799877872</v>
      </c>
      <c r="AY162" s="34">
        <f t="shared" ca="1" si="64"/>
        <v>0</v>
      </c>
      <c r="AZ162" s="34">
        <f t="shared" ca="1" si="65"/>
        <v>1.8414970799267234</v>
      </c>
      <c r="BA162" s="34"/>
      <c r="BB162" s="34">
        <f t="shared" ca="1" si="99"/>
        <v>0</v>
      </c>
      <c r="BC162" s="34">
        <f t="shared" ca="1" si="99"/>
        <v>96.167069729506665</v>
      </c>
      <c r="BD162" s="34">
        <f t="shared" ca="1" si="99"/>
        <v>106.85229969945183</v>
      </c>
      <c r="BE162" s="34">
        <f t="shared" ca="1" si="99"/>
        <v>90.938127403788798</v>
      </c>
      <c r="BF162" s="34">
        <f t="shared" ca="1" si="99"/>
        <v>0</v>
      </c>
      <c r="BG162" s="34">
        <f t="shared" ca="1" si="99"/>
        <v>0</v>
      </c>
      <c r="BH162" s="34">
        <f t="shared" ca="1" si="99"/>
        <v>0</v>
      </c>
      <c r="BI162" s="34">
        <f t="shared" ca="1" si="99"/>
        <v>0</v>
      </c>
      <c r="BJ162" s="34">
        <f t="shared" ca="1" si="99"/>
        <v>0</v>
      </c>
      <c r="BK162" s="34">
        <f t="shared" ca="1" si="99"/>
        <v>0</v>
      </c>
      <c r="BL162" s="34">
        <f t="shared" ca="1" si="100"/>
        <v>0</v>
      </c>
      <c r="BM162" s="34">
        <f t="shared" ca="1" si="100"/>
        <v>0</v>
      </c>
      <c r="BN162" s="34">
        <f t="shared" ca="1" si="100"/>
        <v>0</v>
      </c>
      <c r="BO162" s="34">
        <f t="shared" ca="1" si="100"/>
        <v>0</v>
      </c>
      <c r="BP162" s="34">
        <f t="shared" ca="1" si="100"/>
        <v>0</v>
      </c>
      <c r="BQ162" s="34">
        <f t="shared" ca="1" si="100"/>
        <v>0</v>
      </c>
      <c r="BR162" s="34">
        <f t="shared" ca="1" si="100"/>
        <v>0</v>
      </c>
      <c r="BS162" s="34">
        <f t="shared" ca="1" si="100"/>
        <v>0</v>
      </c>
      <c r="BT162" s="34">
        <f t="shared" ca="1" si="100"/>
        <v>0</v>
      </c>
      <c r="BU162" s="34">
        <f t="shared" ca="1" si="100"/>
        <v>0</v>
      </c>
      <c r="BV162" s="34">
        <f t="shared" ca="1" si="101"/>
        <v>0</v>
      </c>
      <c r="BW162" s="34">
        <f t="shared" ca="1" si="101"/>
        <v>0</v>
      </c>
      <c r="BX162" s="34">
        <f t="shared" ca="1" si="101"/>
        <v>0</v>
      </c>
      <c r="BY162" s="34">
        <f t="shared" ca="1" si="101"/>
        <v>0</v>
      </c>
      <c r="BZ162" s="34">
        <f t="shared" ca="1" si="101"/>
        <v>0</v>
      </c>
      <c r="CA162" s="34">
        <f t="shared" ca="1" si="101"/>
        <v>0</v>
      </c>
      <c r="CB162" s="34">
        <f t="shared" ca="1" si="101"/>
        <v>0</v>
      </c>
      <c r="CC162" s="34">
        <f t="shared" ca="1" si="101"/>
        <v>0</v>
      </c>
      <c r="CD162" s="34">
        <f t="shared" ca="1" si="101"/>
        <v>0</v>
      </c>
      <c r="CE162" s="34">
        <f t="shared" ca="1" si="101"/>
        <v>0</v>
      </c>
      <c r="CF162" s="34">
        <f t="shared" ca="1" si="102"/>
        <v>0</v>
      </c>
      <c r="CG162" s="34">
        <f t="shared" ca="1" si="102"/>
        <v>0</v>
      </c>
      <c r="CH162" s="34">
        <f t="shared" ca="1" si="102"/>
        <v>0</v>
      </c>
      <c r="CI162" s="34">
        <f t="shared" ca="1" si="102"/>
        <v>0</v>
      </c>
      <c r="CJ162" s="34">
        <f t="shared" ca="1" si="102"/>
        <v>0</v>
      </c>
      <c r="CK162" s="34">
        <f t="shared" ca="1" si="102"/>
        <v>0</v>
      </c>
      <c r="CL162" s="34">
        <f t="shared" ca="1" si="102"/>
        <v>0</v>
      </c>
      <c r="CM162" s="34">
        <f t="shared" ca="1" si="102"/>
        <v>0</v>
      </c>
      <c r="CN162" s="34">
        <f t="shared" ca="1" si="102"/>
        <v>0</v>
      </c>
      <c r="CO162" s="34">
        <f t="shared" ca="1" si="102"/>
        <v>0</v>
      </c>
      <c r="CP162" s="34">
        <f t="shared" ca="1" si="102"/>
        <v>0</v>
      </c>
      <c r="CQ162" s="34">
        <f t="shared" ca="1" si="85"/>
        <v>293.95749683274732</v>
      </c>
      <c r="CR162" s="363">
        <v>0</v>
      </c>
      <c r="CS162" s="34">
        <f t="shared" ca="1" si="86"/>
        <v>293.95749683274732</v>
      </c>
      <c r="CT162" s="233"/>
    </row>
    <row r="163" spans="2:98" x14ac:dyDescent="0.3">
      <c r="B163" s="232"/>
      <c r="C163" s="250">
        <f t="shared" si="87"/>
        <v>2047</v>
      </c>
      <c r="D163" s="263">
        <f t="shared" ca="1" si="70"/>
        <v>0</v>
      </c>
      <c r="E163" s="263">
        <f t="shared" ca="1" si="52"/>
        <v>44.093624524912094</v>
      </c>
      <c r="F163" s="263">
        <f t="shared" ca="1" si="53"/>
        <v>0</v>
      </c>
      <c r="G163" s="263">
        <f t="shared" ca="1" si="71"/>
        <v>264.56174714947258</v>
      </c>
      <c r="H163" s="15"/>
      <c r="I163" s="271">
        <f ca="1">Assumptions!O$68</f>
        <v>4.5</v>
      </c>
      <c r="J163" s="271">
        <f ca="1">Assumptions!P$68</f>
        <v>80</v>
      </c>
      <c r="K163" s="271">
        <f t="shared" ca="1" si="54"/>
        <v>40</v>
      </c>
      <c r="L163" s="15"/>
      <c r="M163" s="35">
        <f t="shared" ca="1" si="72"/>
        <v>4.2299999999999995</v>
      </c>
      <c r="N163" s="35">
        <f t="shared" ca="1" si="55"/>
        <v>64</v>
      </c>
      <c r="O163" s="35">
        <f t="shared" ca="1" si="56"/>
        <v>32</v>
      </c>
      <c r="P163" s="15"/>
      <c r="Q163" s="34">
        <f t="shared" ca="1" si="73"/>
        <v>0</v>
      </c>
      <c r="R163" s="34">
        <f t="shared" ca="1" si="73"/>
        <v>2821.991969594374</v>
      </c>
      <c r="S163" s="34">
        <f t="shared" ca="1" si="73"/>
        <v>0</v>
      </c>
      <c r="T163" s="34">
        <f t="shared" ca="1" si="74"/>
        <v>2821.991969594374</v>
      </c>
      <c r="U163" s="15"/>
      <c r="V163" s="35">
        <f t="shared" si="75"/>
        <v>0.7</v>
      </c>
      <c r="W163" s="34">
        <f t="shared" ca="1" si="88"/>
        <v>224.47663394500702</v>
      </c>
      <c r="X163" s="35">
        <f t="shared" si="76"/>
        <v>0.222</v>
      </c>
      <c r="Y163" s="34">
        <f t="shared" ca="1" si="77"/>
        <v>71.191161051130806</v>
      </c>
      <c r="Z163" s="35">
        <f t="shared" si="78"/>
        <v>0.34799999999999998</v>
      </c>
      <c r="AA163" s="34">
        <f t="shared" ca="1" si="79"/>
        <v>111.59695516123207</v>
      </c>
      <c r="AB163" s="34">
        <f t="shared" ca="1" si="80"/>
        <v>407.26475015736992</v>
      </c>
      <c r="AC163" s="15"/>
      <c r="AD163" s="34">
        <f t="shared" ca="1" si="81"/>
        <v>2414.7272194370044</v>
      </c>
      <c r="AE163" s="34">
        <f ca="1"/>
        <v>0</v>
      </c>
      <c r="AF163" s="34">
        <f t="shared" ca="1" si="82"/>
        <v>2414.7272194370044</v>
      </c>
      <c r="AG163" s="15"/>
      <c r="AH163" s="272">
        <f t="shared" si="89"/>
        <v>54057</v>
      </c>
      <c r="AI163" s="267">
        <f t="shared" si="57"/>
        <v>33.666666666666664</v>
      </c>
      <c r="AJ163" s="267">
        <f t="shared" si="58"/>
        <v>4.0406037851490349E-2</v>
      </c>
      <c r="AK163" s="34">
        <f t="shared" ca="1" si="90"/>
        <v>97.569559429595643</v>
      </c>
      <c r="AL163" s="233"/>
      <c r="AN163" s="349"/>
      <c r="AO163" s="237">
        <f t="shared" si="83"/>
        <v>34</v>
      </c>
      <c r="AP163" s="34">
        <f t="shared" ca="1" si="59"/>
        <v>0</v>
      </c>
      <c r="AQ163" s="34">
        <f t="shared" ca="1" si="60"/>
        <v>0.33481765089576787</v>
      </c>
      <c r="AR163" s="34">
        <f t="shared" ca="1" si="61"/>
        <v>0</v>
      </c>
      <c r="AS163" s="34">
        <f t="shared" ca="1" si="84"/>
        <v>2.0089059053746072</v>
      </c>
      <c r="AT163" s="350">
        <v>-0.1</v>
      </c>
      <c r="AU163" s="34">
        <f ca="1">MIN(AU162*(1+AT163),$AT$126-SUM(AU$129:AU162))</f>
        <v>2.0089059053746072</v>
      </c>
      <c r="AV163" s="369"/>
      <c r="AW163" s="34">
        <f t="shared" ca="1" si="62"/>
        <v>0</v>
      </c>
      <c r="AX163" s="34">
        <f t="shared" ca="1" si="63"/>
        <v>0.27622456198900847</v>
      </c>
      <c r="AY163" s="34">
        <f t="shared" ca="1" si="64"/>
        <v>0</v>
      </c>
      <c r="AZ163" s="34">
        <f t="shared" ca="1" si="65"/>
        <v>1.6573473719340508</v>
      </c>
      <c r="BA163" s="34"/>
      <c r="BB163" s="34">
        <f t="shared" ca="1" si="99"/>
        <v>0</v>
      </c>
      <c r="BC163" s="34">
        <f t="shared" ca="1" si="99"/>
        <v>86.550362756555998</v>
      </c>
      <c r="BD163" s="34">
        <f t="shared" ca="1" si="99"/>
        <v>96.167069729506665</v>
      </c>
      <c r="BE163" s="34">
        <f t="shared" ca="1" si="99"/>
        <v>81.844314663409918</v>
      </c>
      <c r="BF163" s="34">
        <f t="shared" ca="1" si="99"/>
        <v>0</v>
      </c>
      <c r="BG163" s="34">
        <f t="shared" ca="1" si="99"/>
        <v>0</v>
      </c>
      <c r="BH163" s="34">
        <f t="shared" ca="1" si="99"/>
        <v>0</v>
      </c>
      <c r="BI163" s="34">
        <f t="shared" ca="1" si="99"/>
        <v>0</v>
      </c>
      <c r="BJ163" s="34">
        <f t="shared" ca="1" si="99"/>
        <v>0</v>
      </c>
      <c r="BK163" s="34">
        <f t="shared" ca="1" si="99"/>
        <v>0</v>
      </c>
      <c r="BL163" s="34">
        <f t="shared" ca="1" si="100"/>
        <v>0</v>
      </c>
      <c r="BM163" s="34">
        <f t="shared" ca="1" si="100"/>
        <v>0</v>
      </c>
      <c r="BN163" s="34">
        <f t="shared" ca="1" si="100"/>
        <v>0</v>
      </c>
      <c r="BO163" s="34">
        <f t="shared" ca="1" si="100"/>
        <v>0</v>
      </c>
      <c r="BP163" s="34">
        <f t="shared" ca="1" si="100"/>
        <v>0</v>
      </c>
      <c r="BQ163" s="34">
        <f t="shared" ca="1" si="100"/>
        <v>0</v>
      </c>
      <c r="BR163" s="34">
        <f t="shared" ca="1" si="100"/>
        <v>0</v>
      </c>
      <c r="BS163" s="34">
        <f t="shared" ca="1" si="100"/>
        <v>0</v>
      </c>
      <c r="BT163" s="34">
        <f t="shared" ca="1" si="100"/>
        <v>0</v>
      </c>
      <c r="BU163" s="34">
        <f t="shared" ca="1" si="100"/>
        <v>0</v>
      </c>
      <c r="BV163" s="34">
        <f t="shared" ca="1" si="101"/>
        <v>0</v>
      </c>
      <c r="BW163" s="34">
        <f t="shared" ca="1" si="101"/>
        <v>0</v>
      </c>
      <c r="BX163" s="34">
        <f t="shared" ca="1" si="101"/>
        <v>0</v>
      </c>
      <c r="BY163" s="34">
        <f t="shared" ca="1" si="101"/>
        <v>0</v>
      </c>
      <c r="BZ163" s="34">
        <f t="shared" ca="1" si="101"/>
        <v>0</v>
      </c>
      <c r="CA163" s="34">
        <f t="shared" ca="1" si="101"/>
        <v>0</v>
      </c>
      <c r="CB163" s="34">
        <f t="shared" ca="1" si="101"/>
        <v>0</v>
      </c>
      <c r="CC163" s="34">
        <f t="shared" ca="1" si="101"/>
        <v>0</v>
      </c>
      <c r="CD163" s="34">
        <f t="shared" ca="1" si="101"/>
        <v>0</v>
      </c>
      <c r="CE163" s="34">
        <f t="shared" ca="1" si="101"/>
        <v>0</v>
      </c>
      <c r="CF163" s="34">
        <f t="shared" ca="1" si="102"/>
        <v>0</v>
      </c>
      <c r="CG163" s="34">
        <f t="shared" ca="1" si="102"/>
        <v>0</v>
      </c>
      <c r="CH163" s="34">
        <f t="shared" ca="1" si="102"/>
        <v>0</v>
      </c>
      <c r="CI163" s="34">
        <f t="shared" ca="1" si="102"/>
        <v>0</v>
      </c>
      <c r="CJ163" s="34">
        <f t="shared" ca="1" si="102"/>
        <v>0</v>
      </c>
      <c r="CK163" s="34">
        <f t="shared" ca="1" si="102"/>
        <v>0</v>
      </c>
      <c r="CL163" s="34">
        <f t="shared" ca="1" si="102"/>
        <v>0</v>
      </c>
      <c r="CM163" s="34">
        <f t="shared" ca="1" si="102"/>
        <v>0</v>
      </c>
      <c r="CN163" s="34">
        <f t="shared" ca="1" si="102"/>
        <v>0</v>
      </c>
      <c r="CO163" s="34">
        <f t="shared" ca="1" si="102"/>
        <v>0</v>
      </c>
      <c r="CP163" s="34">
        <f t="shared" ca="1" si="102"/>
        <v>0</v>
      </c>
      <c r="CQ163" s="34">
        <f t="shared" ca="1" si="85"/>
        <v>264.56174714947258</v>
      </c>
      <c r="CR163" s="363">
        <v>0</v>
      </c>
      <c r="CS163" s="34">
        <f t="shared" ca="1" si="86"/>
        <v>264.56174714947258</v>
      </c>
      <c r="CT163" s="233"/>
    </row>
    <row r="164" spans="2:98" x14ac:dyDescent="0.3">
      <c r="B164" s="232"/>
      <c r="C164" s="250">
        <f t="shared" si="87"/>
        <v>2048</v>
      </c>
      <c r="D164" s="263">
        <f t="shared" ca="1" si="70"/>
        <v>0</v>
      </c>
      <c r="E164" s="263">
        <f t="shared" ca="1" si="52"/>
        <v>39.684262072420893</v>
      </c>
      <c r="F164" s="263">
        <f t="shared" ca="1" si="53"/>
        <v>0</v>
      </c>
      <c r="G164" s="263">
        <f t="shared" ca="1" si="71"/>
        <v>238.10557243452536</v>
      </c>
      <c r="H164" s="15"/>
      <c r="I164" s="271">
        <f ca="1">Assumptions!O$68</f>
        <v>4.5</v>
      </c>
      <c r="J164" s="271">
        <f ca="1">Assumptions!P$68</f>
        <v>80</v>
      </c>
      <c r="K164" s="271">
        <f t="shared" ca="1" si="54"/>
        <v>40</v>
      </c>
      <c r="L164" s="15"/>
      <c r="M164" s="35">
        <f t="shared" ca="1" si="72"/>
        <v>4.2299999999999995</v>
      </c>
      <c r="N164" s="35">
        <f t="shared" ca="1" si="55"/>
        <v>64</v>
      </c>
      <c r="O164" s="35">
        <f t="shared" ca="1" si="56"/>
        <v>32</v>
      </c>
      <c r="P164" s="15"/>
      <c r="Q164" s="34">
        <f t="shared" ca="1" si="73"/>
        <v>0</v>
      </c>
      <c r="R164" s="34">
        <f t="shared" ca="1" si="73"/>
        <v>2539.7927726349371</v>
      </c>
      <c r="S164" s="34">
        <f t="shared" ca="1" si="73"/>
        <v>0</v>
      </c>
      <c r="T164" s="34">
        <f t="shared" ca="1" si="74"/>
        <v>2539.7927726349371</v>
      </c>
      <c r="U164" s="15"/>
      <c r="V164" s="35">
        <f t="shared" si="75"/>
        <v>0.7</v>
      </c>
      <c r="W164" s="34">
        <f t="shared" ca="1" si="88"/>
        <v>202.02897055050639</v>
      </c>
      <c r="X164" s="35">
        <f t="shared" si="76"/>
        <v>0.222</v>
      </c>
      <c r="Y164" s="34">
        <f t="shared" ca="1" si="77"/>
        <v>64.072044946017741</v>
      </c>
      <c r="Z164" s="35">
        <f t="shared" si="78"/>
        <v>0.34799999999999998</v>
      </c>
      <c r="AA164" s="34">
        <f t="shared" ca="1" si="79"/>
        <v>100.43725964510888</v>
      </c>
      <c r="AB164" s="34">
        <f t="shared" ca="1" si="80"/>
        <v>366.53827514163305</v>
      </c>
      <c r="AC164" s="15"/>
      <c r="AD164" s="34">
        <f t="shared" ca="1" si="81"/>
        <v>2173.2544974933039</v>
      </c>
      <c r="AE164" s="34">
        <f ca="1"/>
        <v>0</v>
      </c>
      <c r="AF164" s="34">
        <f t="shared" ca="1" si="82"/>
        <v>2173.2544974933039</v>
      </c>
      <c r="AG164" s="15"/>
      <c r="AH164" s="272">
        <f t="shared" si="89"/>
        <v>54423</v>
      </c>
      <c r="AI164" s="267">
        <f t="shared" si="57"/>
        <v>34.666666666666664</v>
      </c>
      <c r="AJ164" s="267">
        <f t="shared" si="58"/>
        <v>3.6732761683173049E-2</v>
      </c>
      <c r="AK164" s="34">
        <f t="shared" ca="1" si="90"/>
        <v>79.829639533305539</v>
      </c>
      <c r="AL164" s="233"/>
      <c r="AN164" s="349"/>
      <c r="AO164" s="237">
        <f t="shared" si="83"/>
        <v>35</v>
      </c>
      <c r="AP164" s="34">
        <f t="shared" ca="1" si="59"/>
        <v>0</v>
      </c>
      <c r="AQ164" s="34">
        <f t="shared" ca="1" si="60"/>
        <v>0.30133588580619108</v>
      </c>
      <c r="AR164" s="34">
        <f t="shared" ca="1" si="61"/>
        <v>0</v>
      </c>
      <c r="AS164" s="34">
        <f t="shared" ca="1" si="84"/>
        <v>1.8080153148371465</v>
      </c>
      <c r="AT164" s="350">
        <v>-0.1</v>
      </c>
      <c r="AU164" s="34">
        <f ca="1">MIN(AU163*(1+AT164),$AT$126-SUM(AU$129:AU163))</f>
        <v>1.8080153148371465</v>
      </c>
      <c r="AV164" s="369"/>
      <c r="AW164" s="34">
        <f t="shared" ca="1" si="62"/>
        <v>0</v>
      </c>
      <c r="AX164" s="34">
        <f t="shared" ca="1" si="63"/>
        <v>0.24860210579010764</v>
      </c>
      <c r="AY164" s="34">
        <f t="shared" ca="1" si="64"/>
        <v>0</v>
      </c>
      <c r="AZ164" s="34">
        <f t="shared" ca="1" si="65"/>
        <v>1.4916126347406458</v>
      </c>
      <c r="BA164" s="34"/>
      <c r="BB164" s="34">
        <f t="shared" ca="1" si="99"/>
        <v>0</v>
      </c>
      <c r="BC164" s="34">
        <f t="shared" ca="1" si="99"/>
        <v>77.895326480900394</v>
      </c>
      <c r="BD164" s="34">
        <f t="shared" ca="1" si="99"/>
        <v>86.550362756555998</v>
      </c>
      <c r="BE164" s="34">
        <f t="shared" ca="1" si="99"/>
        <v>73.659883197068936</v>
      </c>
      <c r="BF164" s="34">
        <f t="shared" ca="1" si="99"/>
        <v>0</v>
      </c>
      <c r="BG164" s="34">
        <f t="shared" ca="1" si="99"/>
        <v>0</v>
      </c>
      <c r="BH164" s="34">
        <f t="shared" ca="1" si="99"/>
        <v>0</v>
      </c>
      <c r="BI164" s="34">
        <f t="shared" ca="1" si="99"/>
        <v>0</v>
      </c>
      <c r="BJ164" s="34">
        <f t="shared" ca="1" si="99"/>
        <v>0</v>
      </c>
      <c r="BK164" s="34">
        <f t="shared" ca="1" si="99"/>
        <v>0</v>
      </c>
      <c r="BL164" s="34">
        <f t="shared" ca="1" si="100"/>
        <v>0</v>
      </c>
      <c r="BM164" s="34">
        <f t="shared" ca="1" si="100"/>
        <v>0</v>
      </c>
      <c r="BN164" s="34">
        <f t="shared" ca="1" si="100"/>
        <v>0</v>
      </c>
      <c r="BO164" s="34">
        <f t="shared" ca="1" si="100"/>
        <v>0</v>
      </c>
      <c r="BP164" s="34">
        <f t="shared" ca="1" si="100"/>
        <v>0</v>
      </c>
      <c r="BQ164" s="34">
        <f t="shared" ca="1" si="100"/>
        <v>0</v>
      </c>
      <c r="BR164" s="34">
        <f t="shared" ca="1" si="100"/>
        <v>0</v>
      </c>
      <c r="BS164" s="34">
        <f t="shared" ca="1" si="100"/>
        <v>0</v>
      </c>
      <c r="BT164" s="34">
        <f t="shared" ca="1" si="100"/>
        <v>0</v>
      </c>
      <c r="BU164" s="34">
        <f t="shared" ca="1" si="100"/>
        <v>0</v>
      </c>
      <c r="BV164" s="34">
        <f t="shared" ca="1" si="101"/>
        <v>0</v>
      </c>
      <c r="BW164" s="34">
        <f t="shared" ca="1" si="101"/>
        <v>0</v>
      </c>
      <c r="BX164" s="34">
        <f t="shared" ca="1" si="101"/>
        <v>0</v>
      </c>
      <c r="BY164" s="34">
        <f t="shared" ca="1" si="101"/>
        <v>0</v>
      </c>
      <c r="BZ164" s="34">
        <f t="shared" ca="1" si="101"/>
        <v>0</v>
      </c>
      <c r="CA164" s="34">
        <f t="shared" ca="1" si="101"/>
        <v>0</v>
      </c>
      <c r="CB164" s="34">
        <f t="shared" ca="1" si="101"/>
        <v>0</v>
      </c>
      <c r="CC164" s="34">
        <f t="shared" ca="1" si="101"/>
        <v>0</v>
      </c>
      <c r="CD164" s="34">
        <f t="shared" ca="1" si="101"/>
        <v>0</v>
      </c>
      <c r="CE164" s="34">
        <f t="shared" ca="1" si="101"/>
        <v>0</v>
      </c>
      <c r="CF164" s="34">
        <f t="shared" ca="1" si="102"/>
        <v>0</v>
      </c>
      <c r="CG164" s="34">
        <f t="shared" ca="1" si="102"/>
        <v>0</v>
      </c>
      <c r="CH164" s="34">
        <f t="shared" ca="1" si="102"/>
        <v>0</v>
      </c>
      <c r="CI164" s="34">
        <f t="shared" ca="1" si="102"/>
        <v>0</v>
      </c>
      <c r="CJ164" s="34">
        <f t="shared" ca="1" si="102"/>
        <v>0</v>
      </c>
      <c r="CK164" s="34">
        <f t="shared" ca="1" si="102"/>
        <v>0</v>
      </c>
      <c r="CL164" s="34">
        <f t="shared" ca="1" si="102"/>
        <v>0</v>
      </c>
      <c r="CM164" s="34">
        <f t="shared" ca="1" si="102"/>
        <v>0</v>
      </c>
      <c r="CN164" s="34">
        <f t="shared" ca="1" si="102"/>
        <v>0</v>
      </c>
      <c r="CO164" s="34">
        <f t="shared" ca="1" si="102"/>
        <v>0</v>
      </c>
      <c r="CP164" s="34">
        <f t="shared" ca="1" si="102"/>
        <v>0</v>
      </c>
      <c r="CQ164" s="34">
        <f t="shared" ca="1" si="85"/>
        <v>238.10557243452536</v>
      </c>
      <c r="CR164" s="363">
        <v>0</v>
      </c>
      <c r="CS164" s="34">
        <f t="shared" ca="1" si="86"/>
        <v>238.10557243452536</v>
      </c>
      <c r="CT164" s="233"/>
    </row>
    <row r="165" spans="2:98" x14ac:dyDescent="0.3">
      <c r="B165" s="232"/>
      <c r="C165" s="250">
        <f t="shared" si="87"/>
        <v>2049</v>
      </c>
      <c r="D165" s="263">
        <f t="shared" ca="1" si="70"/>
        <v>0</v>
      </c>
      <c r="E165" s="263">
        <f t="shared" ca="1" si="52"/>
        <v>35.715835865178796</v>
      </c>
      <c r="F165" s="263">
        <f t="shared" ca="1" si="53"/>
        <v>0</v>
      </c>
      <c r="G165" s="263">
        <f t="shared" ca="1" si="71"/>
        <v>214.29501519107279</v>
      </c>
      <c r="H165" s="15"/>
      <c r="I165" s="271">
        <f ca="1">Assumptions!O$68</f>
        <v>4.5</v>
      </c>
      <c r="J165" s="271">
        <f ca="1">Assumptions!P$68</f>
        <v>80</v>
      </c>
      <c r="K165" s="271">
        <f t="shared" ca="1" si="54"/>
        <v>40</v>
      </c>
      <c r="L165" s="15"/>
      <c r="M165" s="35">
        <f t="shared" ca="1" si="72"/>
        <v>4.2299999999999995</v>
      </c>
      <c r="N165" s="35">
        <f t="shared" ca="1" si="55"/>
        <v>64</v>
      </c>
      <c r="O165" s="35">
        <f t="shared" ca="1" si="56"/>
        <v>32</v>
      </c>
      <c r="P165" s="15"/>
      <c r="Q165" s="34">
        <f t="shared" ca="1" si="73"/>
        <v>0</v>
      </c>
      <c r="R165" s="34">
        <f t="shared" ca="1" si="73"/>
        <v>2285.813495371443</v>
      </c>
      <c r="S165" s="34">
        <f t="shared" ca="1" si="73"/>
        <v>0</v>
      </c>
      <c r="T165" s="34">
        <f t="shared" ca="1" si="74"/>
        <v>2285.813495371443</v>
      </c>
      <c r="U165" s="15"/>
      <c r="V165" s="35">
        <f t="shared" si="75"/>
        <v>0.7</v>
      </c>
      <c r="W165" s="34">
        <f t="shared" ca="1" si="88"/>
        <v>181.82607349545569</v>
      </c>
      <c r="X165" s="35">
        <f t="shared" si="76"/>
        <v>0.222</v>
      </c>
      <c r="Y165" s="34">
        <f t="shared" ca="1" si="77"/>
        <v>57.664840451415955</v>
      </c>
      <c r="Z165" s="35">
        <f t="shared" si="78"/>
        <v>0.34799999999999998</v>
      </c>
      <c r="AA165" s="34">
        <f t="shared" ca="1" si="79"/>
        <v>90.393533680597983</v>
      </c>
      <c r="AB165" s="34">
        <f t="shared" ca="1" si="80"/>
        <v>329.88444762746963</v>
      </c>
      <c r="AC165" s="15"/>
      <c r="AD165" s="34">
        <f t="shared" ca="1" si="81"/>
        <v>1955.9290477439733</v>
      </c>
      <c r="AE165" s="34">
        <f ca="1"/>
        <v>0</v>
      </c>
      <c r="AF165" s="34">
        <f t="shared" ca="1" si="82"/>
        <v>1955.9290477439733</v>
      </c>
      <c r="AG165" s="15"/>
      <c r="AH165" s="272">
        <f t="shared" si="89"/>
        <v>54788</v>
      </c>
      <c r="AI165" s="267">
        <f t="shared" si="57"/>
        <v>35.666666666666664</v>
      </c>
      <c r="AJ165" s="267">
        <f t="shared" si="58"/>
        <v>3.3393419711975486E-2</v>
      </c>
      <c r="AK165" s="34">
        <f t="shared" ca="1" si="90"/>
        <v>65.315159618159043</v>
      </c>
      <c r="AL165" s="233"/>
      <c r="AN165" s="349"/>
      <c r="AO165" s="237">
        <f t="shared" si="83"/>
        <v>36</v>
      </c>
      <c r="AP165" s="34">
        <f t="shared" ca="1" si="59"/>
        <v>0</v>
      </c>
      <c r="AQ165" s="34">
        <f t="shared" ca="1" si="60"/>
        <v>0.27120229722557199</v>
      </c>
      <c r="AR165" s="34">
        <f t="shared" ca="1" si="61"/>
        <v>0</v>
      </c>
      <c r="AS165" s="34">
        <f t="shared" ca="1" si="84"/>
        <v>1.6272137833534319</v>
      </c>
      <c r="AT165" s="350">
        <v>-0.1</v>
      </c>
      <c r="AU165" s="34">
        <f ca="1">MIN(AU164*(1+AT165),$AT$126-SUM(AU$129:AU164))</f>
        <v>1.6272137833534319</v>
      </c>
      <c r="AV165" s="369"/>
      <c r="AW165" s="34">
        <f t="shared" ca="1" si="62"/>
        <v>0</v>
      </c>
      <c r="AX165" s="34">
        <f t="shared" ca="1" si="63"/>
        <v>0.22374189521109689</v>
      </c>
      <c r="AY165" s="34">
        <f t="shared" ca="1" si="64"/>
        <v>0</v>
      </c>
      <c r="AZ165" s="34">
        <f t="shared" ca="1" si="65"/>
        <v>1.3424513712665813</v>
      </c>
      <c r="BA165" s="34"/>
      <c r="BB165" s="34">
        <f t="shared" ca="1" si="99"/>
        <v>0</v>
      </c>
      <c r="BC165" s="34">
        <f t="shared" ca="1" si="99"/>
        <v>70.105793832810349</v>
      </c>
      <c r="BD165" s="34">
        <f t="shared" ca="1" si="99"/>
        <v>77.895326480900394</v>
      </c>
      <c r="BE165" s="34">
        <f t="shared" ca="1" si="99"/>
        <v>66.29389487736205</v>
      </c>
      <c r="BF165" s="34">
        <f t="shared" ca="1" si="99"/>
        <v>0</v>
      </c>
      <c r="BG165" s="34">
        <f t="shared" ca="1" si="99"/>
        <v>0</v>
      </c>
      <c r="BH165" s="34">
        <f t="shared" ca="1" si="99"/>
        <v>0</v>
      </c>
      <c r="BI165" s="34">
        <f t="shared" ca="1" si="99"/>
        <v>0</v>
      </c>
      <c r="BJ165" s="34">
        <f t="shared" ca="1" si="99"/>
        <v>0</v>
      </c>
      <c r="BK165" s="34">
        <f t="shared" ca="1" si="99"/>
        <v>0</v>
      </c>
      <c r="BL165" s="34">
        <f t="shared" ca="1" si="100"/>
        <v>0</v>
      </c>
      <c r="BM165" s="34">
        <f t="shared" ca="1" si="100"/>
        <v>0</v>
      </c>
      <c r="BN165" s="34">
        <f t="shared" ca="1" si="100"/>
        <v>0</v>
      </c>
      <c r="BO165" s="34">
        <f t="shared" ca="1" si="100"/>
        <v>0</v>
      </c>
      <c r="BP165" s="34">
        <f t="shared" ca="1" si="100"/>
        <v>0</v>
      </c>
      <c r="BQ165" s="34">
        <f t="shared" ca="1" si="100"/>
        <v>0</v>
      </c>
      <c r="BR165" s="34">
        <f t="shared" ca="1" si="100"/>
        <v>0</v>
      </c>
      <c r="BS165" s="34">
        <f t="shared" ca="1" si="100"/>
        <v>0</v>
      </c>
      <c r="BT165" s="34">
        <f t="shared" ca="1" si="100"/>
        <v>0</v>
      </c>
      <c r="BU165" s="34">
        <f t="shared" ca="1" si="100"/>
        <v>0</v>
      </c>
      <c r="BV165" s="34">
        <f t="shared" ca="1" si="101"/>
        <v>0</v>
      </c>
      <c r="BW165" s="34">
        <f t="shared" ca="1" si="101"/>
        <v>0</v>
      </c>
      <c r="BX165" s="34">
        <f t="shared" ca="1" si="101"/>
        <v>0</v>
      </c>
      <c r="BY165" s="34">
        <f t="shared" ca="1" si="101"/>
        <v>0</v>
      </c>
      <c r="BZ165" s="34">
        <f t="shared" ca="1" si="101"/>
        <v>0</v>
      </c>
      <c r="CA165" s="34">
        <f t="shared" ca="1" si="101"/>
        <v>0</v>
      </c>
      <c r="CB165" s="34">
        <f t="shared" ca="1" si="101"/>
        <v>0</v>
      </c>
      <c r="CC165" s="34">
        <f t="shared" ca="1" si="101"/>
        <v>0</v>
      </c>
      <c r="CD165" s="34">
        <f t="shared" ca="1" si="101"/>
        <v>0</v>
      </c>
      <c r="CE165" s="34">
        <f t="shared" ca="1" si="101"/>
        <v>0</v>
      </c>
      <c r="CF165" s="34">
        <f t="shared" ca="1" si="102"/>
        <v>0</v>
      </c>
      <c r="CG165" s="34">
        <f t="shared" ca="1" si="102"/>
        <v>0</v>
      </c>
      <c r="CH165" s="34">
        <f t="shared" ca="1" si="102"/>
        <v>0</v>
      </c>
      <c r="CI165" s="34">
        <f t="shared" ca="1" si="102"/>
        <v>0</v>
      </c>
      <c r="CJ165" s="34">
        <f t="shared" ca="1" si="102"/>
        <v>0</v>
      </c>
      <c r="CK165" s="34">
        <f t="shared" ca="1" si="102"/>
        <v>0</v>
      </c>
      <c r="CL165" s="34">
        <f t="shared" ca="1" si="102"/>
        <v>0</v>
      </c>
      <c r="CM165" s="34">
        <f t="shared" ca="1" si="102"/>
        <v>0</v>
      </c>
      <c r="CN165" s="34">
        <f t="shared" ca="1" si="102"/>
        <v>0</v>
      </c>
      <c r="CO165" s="34">
        <f t="shared" ca="1" si="102"/>
        <v>0</v>
      </c>
      <c r="CP165" s="34">
        <f t="shared" ca="1" si="102"/>
        <v>0</v>
      </c>
      <c r="CQ165" s="34">
        <f t="shared" ca="1" si="85"/>
        <v>214.29501519107279</v>
      </c>
      <c r="CR165" s="363">
        <v>0</v>
      </c>
      <c r="CS165" s="34">
        <f t="shared" ca="1" si="86"/>
        <v>214.29501519107279</v>
      </c>
      <c r="CT165" s="233"/>
    </row>
    <row r="166" spans="2:98" x14ac:dyDescent="0.3">
      <c r="B166" s="232"/>
      <c r="C166" s="250">
        <f t="shared" si="87"/>
        <v>2050</v>
      </c>
      <c r="D166" s="263">
        <f t="shared" ca="1" si="70"/>
        <v>0</v>
      </c>
      <c r="E166" s="263">
        <f t="shared" ca="1" si="52"/>
        <v>32.144252278660922</v>
      </c>
      <c r="F166" s="263">
        <f t="shared" ca="1" si="53"/>
        <v>0</v>
      </c>
      <c r="G166" s="263">
        <f t="shared" ca="1" si="71"/>
        <v>192.86551367196552</v>
      </c>
      <c r="H166" s="15"/>
      <c r="I166" s="271">
        <f ca="1">Assumptions!O$68</f>
        <v>4.5</v>
      </c>
      <c r="J166" s="271">
        <f ca="1">Assumptions!P$68</f>
        <v>80</v>
      </c>
      <c r="K166" s="271">
        <f t="shared" ca="1" si="54"/>
        <v>40</v>
      </c>
      <c r="L166" s="15"/>
      <c r="M166" s="35">
        <f t="shared" ca="1" si="72"/>
        <v>4.2299999999999995</v>
      </c>
      <c r="N166" s="35">
        <f t="shared" ca="1" si="55"/>
        <v>64</v>
      </c>
      <c r="O166" s="35">
        <f t="shared" ca="1" si="56"/>
        <v>32</v>
      </c>
      <c r="P166" s="15"/>
      <c r="Q166" s="34">
        <f t="shared" ca="1" si="73"/>
        <v>0</v>
      </c>
      <c r="R166" s="34">
        <f t="shared" ca="1" si="73"/>
        <v>2057.232145834299</v>
      </c>
      <c r="S166" s="34">
        <f t="shared" ca="1" si="73"/>
        <v>0</v>
      </c>
      <c r="T166" s="34">
        <f t="shared" ca="1" si="74"/>
        <v>2057.232145834299</v>
      </c>
      <c r="U166" s="15"/>
      <c r="V166" s="35">
        <f t="shared" si="75"/>
        <v>0.7</v>
      </c>
      <c r="W166" s="34">
        <f t="shared" ca="1" si="88"/>
        <v>163.64346614591014</v>
      </c>
      <c r="X166" s="35">
        <f t="shared" si="76"/>
        <v>0.222</v>
      </c>
      <c r="Y166" s="34">
        <f t="shared" ca="1" si="77"/>
        <v>51.89835640627436</v>
      </c>
      <c r="Z166" s="35">
        <f t="shared" si="78"/>
        <v>0.34799999999999998</v>
      </c>
      <c r="AA166" s="34">
        <f t="shared" ca="1" si="79"/>
        <v>81.354180312538176</v>
      </c>
      <c r="AB166" s="34">
        <f t="shared" ca="1" si="80"/>
        <v>296.89600286472267</v>
      </c>
      <c r="AC166" s="15"/>
      <c r="AD166" s="34">
        <f t="shared" ca="1" si="81"/>
        <v>1760.3361429695763</v>
      </c>
      <c r="AE166" s="34">
        <f ca="1"/>
        <v>0</v>
      </c>
      <c r="AF166" s="34">
        <f t="shared" ca="1" si="82"/>
        <v>1760.3361429695763</v>
      </c>
      <c r="AG166" s="15"/>
      <c r="AH166" s="272">
        <f t="shared" si="89"/>
        <v>55153</v>
      </c>
      <c r="AI166" s="267">
        <f t="shared" si="57"/>
        <v>36.666666666666664</v>
      </c>
      <c r="AJ166" s="267">
        <f t="shared" si="58"/>
        <v>3.0357654283614078E-2</v>
      </c>
      <c r="AK166" s="34">
        <f t="shared" ca="1" si="90"/>
        <v>53.439676051221042</v>
      </c>
      <c r="AL166" s="233"/>
      <c r="AN166" s="349"/>
      <c r="AO166" s="237">
        <f t="shared" si="83"/>
        <v>37</v>
      </c>
      <c r="AP166" s="34">
        <f t="shared" ca="1" si="59"/>
        <v>0</v>
      </c>
      <c r="AQ166" s="34">
        <f t="shared" ca="1" si="60"/>
        <v>0.24408206750301478</v>
      </c>
      <c r="AR166" s="34">
        <f t="shared" ca="1" si="61"/>
        <v>0</v>
      </c>
      <c r="AS166" s="34">
        <f t="shared" ca="1" si="84"/>
        <v>1.4644924050180887</v>
      </c>
      <c r="AT166" s="350">
        <v>-0.1</v>
      </c>
      <c r="AU166" s="34">
        <f ca="1">MIN(AU165*(1+AT166),$AT$126-SUM(AU$129:AU165))</f>
        <v>1.4644924050180887</v>
      </c>
      <c r="AV166" s="369"/>
      <c r="AW166" s="34">
        <f t="shared" ca="1" si="62"/>
        <v>0</v>
      </c>
      <c r="AX166" s="34">
        <f t="shared" ca="1" si="63"/>
        <v>0.20136770568998719</v>
      </c>
      <c r="AY166" s="34">
        <f t="shared" ca="1" si="64"/>
        <v>0</v>
      </c>
      <c r="AZ166" s="34">
        <f t="shared" ca="1" si="65"/>
        <v>1.2082062341399231</v>
      </c>
      <c r="BA166" s="34"/>
      <c r="BB166" s="34">
        <f t="shared" ca="1" si="99"/>
        <v>0</v>
      </c>
      <c r="BC166" s="34">
        <f t="shared" ca="1" si="99"/>
        <v>63.095214449529323</v>
      </c>
      <c r="BD166" s="34">
        <f t="shared" ca="1" si="99"/>
        <v>70.105793832810349</v>
      </c>
      <c r="BE166" s="34">
        <f t="shared" ca="1" si="99"/>
        <v>59.66450538962583</v>
      </c>
      <c r="BF166" s="34">
        <f t="shared" ca="1" si="99"/>
        <v>0</v>
      </c>
      <c r="BG166" s="34">
        <f t="shared" ca="1" si="99"/>
        <v>0</v>
      </c>
      <c r="BH166" s="34">
        <f t="shared" ca="1" si="99"/>
        <v>0</v>
      </c>
      <c r="BI166" s="34">
        <f t="shared" ca="1" si="99"/>
        <v>0</v>
      </c>
      <c r="BJ166" s="34">
        <f t="shared" ca="1" si="99"/>
        <v>0</v>
      </c>
      <c r="BK166" s="34">
        <f t="shared" ca="1" si="99"/>
        <v>0</v>
      </c>
      <c r="BL166" s="34">
        <f t="shared" ca="1" si="100"/>
        <v>0</v>
      </c>
      <c r="BM166" s="34">
        <f t="shared" ca="1" si="100"/>
        <v>0</v>
      </c>
      <c r="BN166" s="34">
        <f t="shared" ca="1" si="100"/>
        <v>0</v>
      </c>
      <c r="BO166" s="34">
        <f t="shared" ca="1" si="100"/>
        <v>0</v>
      </c>
      <c r="BP166" s="34">
        <f t="shared" ca="1" si="100"/>
        <v>0</v>
      </c>
      <c r="BQ166" s="34">
        <f t="shared" ca="1" si="100"/>
        <v>0</v>
      </c>
      <c r="BR166" s="34">
        <f t="shared" ca="1" si="100"/>
        <v>0</v>
      </c>
      <c r="BS166" s="34">
        <f t="shared" ca="1" si="100"/>
        <v>0</v>
      </c>
      <c r="BT166" s="34">
        <f t="shared" ca="1" si="100"/>
        <v>0</v>
      </c>
      <c r="BU166" s="34">
        <f t="shared" ca="1" si="100"/>
        <v>0</v>
      </c>
      <c r="BV166" s="34">
        <f t="shared" ca="1" si="101"/>
        <v>0</v>
      </c>
      <c r="BW166" s="34">
        <f t="shared" ca="1" si="101"/>
        <v>0</v>
      </c>
      <c r="BX166" s="34">
        <f t="shared" ca="1" si="101"/>
        <v>0</v>
      </c>
      <c r="BY166" s="34">
        <f t="shared" ca="1" si="101"/>
        <v>0</v>
      </c>
      <c r="BZ166" s="34">
        <f t="shared" ca="1" si="101"/>
        <v>0</v>
      </c>
      <c r="CA166" s="34">
        <f t="shared" ca="1" si="101"/>
        <v>0</v>
      </c>
      <c r="CB166" s="34">
        <f t="shared" ca="1" si="101"/>
        <v>0</v>
      </c>
      <c r="CC166" s="34">
        <f t="shared" ca="1" si="101"/>
        <v>0</v>
      </c>
      <c r="CD166" s="34">
        <f t="shared" ca="1" si="101"/>
        <v>0</v>
      </c>
      <c r="CE166" s="34">
        <f t="shared" ca="1" si="101"/>
        <v>0</v>
      </c>
      <c r="CF166" s="34">
        <f t="shared" ca="1" si="102"/>
        <v>0</v>
      </c>
      <c r="CG166" s="34">
        <f t="shared" ca="1" si="102"/>
        <v>0</v>
      </c>
      <c r="CH166" s="34">
        <f t="shared" ca="1" si="102"/>
        <v>0</v>
      </c>
      <c r="CI166" s="34">
        <f t="shared" ca="1" si="102"/>
        <v>0</v>
      </c>
      <c r="CJ166" s="34">
        <f t="shared" ca="1" si="102"/>
        <v>0</v>
      </c>
      <c r="CK166" s="34">
        <f t="shared" ca="1" si="102"/>
        <v>0</v>
      </c>
      <c r="CL166" s="34">
        <f t="shared" ca="1" si="102"/>
        <v>0</v>
      </c>
      <c r="CM166" s="34">
        <f t="shared" ca="1" si="102"/>
        <v>0</v>
      </c>
      <c r="CN166" s="34">
        <f t="shared" ca="1" si="102"/>
        <v>0</v>
      </c>
      <c r="CO166" s="34">
        <f t="shared" ca="1" si="102"/>
        <v>0</v>
      </c>
      <c r="CP166" s="34">
        <f t="shared" ca="1" si="102"/>
        <v>0</v>
      </c>
      <c r="CQ166" s="34">
        <f t="shared" ca="1" si="85"/>
        <v>192.86551367196552</v>
      </c>
      <c r="CR166" s="363">
        <v>0</v>
      </c>
      <c r="CS166" s="34">
        <f t="shared" ca="1" si="86"/>
        <v>192.86551367196552</v>
      </c>
      <c r="CT166" s="233"/>
    </row>
    <row r="167" spans="2:98" x14ac:dyDescent="0.3">
      <c r="B167" s="232"/>
      <c r="C167" s="250">
        <f t="shared" si="87"/>
        <v>2051</v>
      </c>
      <c r="D167" s="263">
        <f t="shared" ca="1" si="70"/>
        <v>0</v>
      </c>
      <c r="E167" s="263">
        <f t="shared" ca="1" si="52"/>
        <v>28.929827050794827</v>
      </c>
      <c r="F167" s="263">
        <f t="shared" ca="1" si="53"/>
        <v>0</v>
      </c>
      <c r="G167" s="263">
        <f t="shared" ca="1" si="71"/>
        <v>173.57896230476896</v>
      </c>
      <c r="H167" s="15"/>
      <c r="I167" s="271">
        <f ca="1">Assumptions!O$68</f>
        <v>4.5</v>
      </c>
      <c r="J167" s="271">
        <f ca="1">Assumptions!P$68</f>
        <v>80</v>
      </c>
      <c r="K167" s="271">
        <f t="shared" ca="1" si="54"/>
        <v>40</v>
      </c>
      <c r="L167" s="15"/>
      <c r="M167" s="35">
        <f t="shared" ca="1" si="72"/>
        <v>4.2299999999999995</v>
      </c>
      <c r="N167" s="35">
        <f t="shared" ca="1" si="55"/>
        <v>64</v>
      </c>
      <c r="O167" s="35">
        <f t="shared" ca="1" si="56"/>
        <v>32</v>
      </c>
      <c r="P167" s="15"/>
      <c r="Q167" s="34">
        <f t="shared" ca="1" si="73"/>
        <v>0</v>
      </c>
      <c r="R167" s="34">
        <f t="shared" ca="1" si="73"/>
        <v>1851.508931250869</v>
      </c>
      <c r="S167" s="34">
        <f t="shared" ca="1" si="73"/>
        <v>0</v>
      </c>
      <c r="T167" s="34">
        <f t="shared" ca="1" si="74"/>
        <v>1851.508931250869</v>
      </c>
      <c r="U167" s="15"/>
      <c r="V167" s="35">
        <f t="shared" si="75"/>
        <v>0.7</v>
      </c>
      <c r="W167" s="34">
        <f t="shared" ca="1" si="88"/>
        <v>147.27911953131911</v>
      </c>
      <c r="X167" s="35">
        <f t="shared" si="76"/>
        <v>0.222</v>
      </c>
      <c r="Y167" s="34">
        <f t="shared" ca="1" si="77"/>
        <v>46.708520765646931</v>
      </c>
      <c r="Z167" s="35">
        <f t="shared" si="78"/>
        <v>0.34799999999999998</v>
      </c>
      <c r="AA167" s="34">
        <f t="shared" ca="1" si="79"/>
        <v>73.21876228128437</v>
      </c>
      <c r="AB167" s="34">
        <f t="shared" ca="1" si="80"/>
        <v>267.20640257825039</v>
      </c>
      <c r="AC167" s="15"/>
      <c r="AD167" s="34">
        <f t="shared" ca="1" si="81"/>
        <v>1584.3025286726186</v>
      </c>
      <c r="AE167" s="34">
        <f ca="1"/>
        <v>0</v>
      </c>
      <c r="AF167" s="34">
        <f t="shared" ca="1" si="82"/>
        <v>1584.3025286726186</v>
      </c>
      <c r="AG167" s="15"/>
      <c r="AH167" s="272">
        <f t="shared" si="89"/>
        <v>55518</v>
      </c>
      <c r="AI167" s="267">
        <f t="shared" si="57"/>
        <v>37.666666666666664</v>
      </c>
      <c r="AJ167" s="267">
        <f t="shared" si="58"/>
        <v>2.7597867530558259E-2</v>
      </c>
      <c r="AK167" s="34">
        <f t="shared" ca="1" si="90"/>
        <v>43.723371314635408</v>
      </c>
      <c r="AL167" s="233"/>
      <c r="AN167" s="349"/>
      <c r="AO167" s="250">
        <f t="shared" si="83"/>
        <v>38</v>
      </c>
      <c r="AP167" s="34">
        <f t="shared" ca="1" si="59"/>
        <v>0</v>
      </c>
      <c r="AQ167" s="34">
        <f t="shared" ca="1" si="60"/>
        <v>0.21967386075271333</v>
      </c>
      <c r="AR167" s="34">
        <f t="shared" ca="1" si="61"/>
        <v>0</v>
      </c>
      <c r="AS167" s="34">
        <f t="shared" ca="1" si="84"/>
        <v>1.31804316451628</v>
      </c>
      <c r="AT167" s="350">
        <v>-0.1</v>
      </c>
      <c r="AU167" s="34">
        <f ca="1">MIN(AU166*(1+AT167),$AT$126-SUM(AU$129:AU166))</f>
        <v>1.31804316451628</v>
      </c>
      <c r="AV167" s="369"/>
      <c r="AW167" s="34">
        <f t="shared" ca="1" si="62"/>
        <v>0</v>
      </c>
      <c r="AX167" s="34">
        <f t="shared" ca="1" si="63"/>
        <v>0.18123093512098848</v>
      </c>
      <c r="AY167" s="34">
        <f t="shared" ca="1" si="64"/>
        <v>0</v>
      </c>
      <c r="AZ167" s="34">
        <f t="shared" ca="1" si="65"/>
        <v>1.087385610725931</v>
      </c>
      <c r="BA167" s="34"/>
      <c r="BB167" s="34">
        <f t="shared" ca="1" si="99"/>
        <v>0</v>
      </c>
      <c r="BC167" s="34">
        <f t="shared" ca="1" si="99"/>
        <v>56.785693004576387</v>
      </c>
      <c r="BD167" s="34">
        <f t="shared" ca="1" si="99"/>
        <v>63.095214449529323</v>
      </c>
      <c r="BE167" s="34">
        <f t="shared" ca="1" si="99"/>
        <v>53.698054850663247</v>
      </c>
      <c r="BF167" s="34">
        <f t="shared" ca="1" si="99"/>
        <v>0</v>
      </c>
      <c r="BG167" s="34">
        <f t="shared" ca="1" si="99"/>
        <v>0</v>
      </c>
      <c r="BH167" s="34">
        <f t="shared" ca="1" si="99"/>
        <v>0</v>
      </c>
      <c r="BI167" s="34">
        <f t="shared" ca="1" si="99"/>
        <v>0</v>
      </c>
      <c r="BJ167" s="34">
        <f t="shared" ca="1" si="99"/>
        <v>0</v>
      </c>
      <c r="BK167" s="34">
        <f t="shared" ca="1" si="99"/>
        <v>0</v>
      </c>
      <c r="BL167" s="34">
        <f t="shared" ca="1" si="100"/>
        <v>0</v>
      </c>
      <c r="BM167" s="34">
        <f t="shared" ca="1" si="100"/>
        <v>0</v>
      </c>
      <c r="BN167" s="34">
        <f t="shared" ca="1" si="100"/>
        <v>0</v>
      </c>
      <c r="BO167" s="34">
        <f t="shared" ca="1" si="100"/>
        <v>0</v>
      </c>
      <c r="BP167" s="34">
        <f t="shared" ca="1" si="100"/>
        <v>0</v>
      </c>
      <c r="BQ167" s="34">
        <f t="shared" ca="1" si="100"/>
        <v>0</v>
      </c>
      <c r="BR167" s="34">
        <f t="shared" ca="1" si="100"/>
        <v>0</v>
      </c>
      <c r="BS167" s="34">
        <f t="shared" ca="1" si="100"/>
        <v>0</v>
      </c>
      <c r="BT167" s="34">
        <f t="shared" ca="1" si="100"/>
        <v>0</v>
      </c>
      <c r="BU167" s="34">
        <f t="shared" ca="1" si="100"/>
        <v>0</v>
      </c>
      <c r="BV167" s="34">
        <f t="shared" ca="1" si="101"/>
        <v>0</v>
      </c>
      <c r="BW167" s="34">
        <f t="shared" ca="1" si="101"/>
        <v>0</v>
      </c>
      <c r="BX167" s="34">
        <f t="shared" ca="1" si="101"/>
        <v>0</v>
      </c>
      <c r="BY167" s="34">
        <f t="shared" ca="1" si="101"/>
        <v>0</v>
      </c>
      <c r="BZ167" s="34">
        <f t="shared" ca="1" si="101"/>
        <v>0</v>
      </c>
      <c r="CA167" s="34">
        <f t="shared" ca="1" si="101"/>
        <v>0</v>
      </c>
      <c r="CB167" s="34">
        <f t="shared" ca="1" si="101"/>
        <v>0</v>
      </c>
      <c r="CC167" s="34">
        <f t="shared" ca="1" si="101"/>
        <v>0</v>
      </c>
      <c r="CD167" s="34">
        <f t="shared" ca="1" si="101"/>
        <v>0</v>
      </c>
      <c r="CE167" s="34">
        <f t="shared" ca="1" si="101"/>
        <v>0</v>
      </c>
      <c r="CF167" s="34">
        <f t="shared" ca="1" si="102"/>
        <v>0</v>
      </c>
      <c r="CG167" s="34">
        <f t="shared" ca="1" si="102"/>
        <v>0</v>
      </c>
      <c r="CH167" s="34">
        <f t="shared" ca="1" si="102"/>
        <v>0</v>
      </c>
      <c r="CI167" s="34">
        <f t="shared" ca="1" si="102"/>
        <v>0</v>
      </c>
      <c r="CJ167" s="34">
        <f t="shared" ca="1" si="102"/>
        <v>0</v>
      </c>
      <c r="CK167" s="34">
        <f t="shared" ca="1" si="102"/>
        <v>0</v>
      </c>
      <c r="CL167" s="34">
        <f t="shared" ca="1" si="102"/>
        <v>0</v>
      </c>
      <c r="CM167" s="34">
        <f t="shared" ca="1" si="102"/>
        <v>0</v>
      </c>
      <c r="CN167" s="34">
        <f t="shared" ca="1" si="102"/>
        <v>0</v>
      </c>
      <c r="CO167" s="34">
        <f t="shared" ca="1" si="102"/>
        <v>0</v>
      </c>
      <c r="CP167" s="34">
        <f t="shared" ca="1" si="102"/>
        <v>0</v>
      </c>
      <c r="CQ167" s="34">
        <f t="shared" ca="1" si="85"/>
        <v>173.57896230476896</v>
      </c>
      <c r="CR167" s="363">
        <v>0</v>
      </c>
      <c r="CS167" s="34">
        <f t="shared" ca="1" si="86"/>
        <v>173.57896230476896</v>
      </c>
      <c r="CT167" s="233"/>
    </row>
    <row r="168" spans="2:98" x14ac:dyDescent="0.3">
      <c r="B168" s="232"/>
      <c r="C168" s="250">
        <f t="shared" si="87"/>
        <v>2052</v>
      </c>
      <c r="D168" s="263">
        <f t="shared" ca="1" si="70"/>
        <v>0</v>
      </c>
      <c r="E168" s="263">
        <f t="shared" ca="1" si="52"/>
        <v>26.036844345715341</v>
      </c>
      <c r="F168" s="263">
        <f t="shared" ca="1" si="53"/>
        <v>0</v>
      </c>
      <c r="G168" s="263">
        <f t="shared" ca="1" si="71"/>
        <v>156.22106607429205</v>
      </c>
      <c r="H168" s="15"/>
      <c r="I168" s="271">
        <f ca="1">Assumptions!O$68</f>
        <v>4.5</v>
      </c>
      <c r="J168" s="271">
        <f ca="1">Assumptions!P$68</f>
        <v>80</v>
      </c>
      <c r="K168" s="271">
        <f t="shared" ca="1" si="54"/>
        <v>40</v>
      </c>
      <c r="L168" s="15"/>
      <c r="M168" s="35">
        <f t="shared" ca="1" si="72"/>
        <v>4.2299999999999995</v>
      </c>
      <c r="N168" s="35">
        <f t="shared" ca="1" si="55"/>
        <v>64</v>
      </c>
      <c r="O168" s="35">
        <f t="shared" ca="1" si="56"/>
        <v>32</v>
      </c>
      <c r="P168" s="15"/>
      <c r="Q168" s="34">
        <f t="shared" ca="1" si="73"/>
        <v>0</v>
      </c>
      <c r="R168" s="34">
        <f t="shared" ca="1" si="73"/>
        <v>1666.3580381257818</v>
      </c>
      <c r="S168" s="34">
        <f t="shared" ca="1" si="73"/>
        <v>0</v>
      </c>
      <c r="T168" s="34">
        <f t="shared" ca="1" si="74"/>
        <v>1666.3580381257818</v>
      </c>
      <c r="U168" s="15"/>
      <c r="V168" s="35">
        <f t="shared" si="75"/>
        <v>0.7</v>
      </c>
      <c r="W168" s="34">
        <f ca="1">V168*$G168/(1-$M$6)</f>
        <v>132.55120757818719</v>
      </c>
      <c r="X168" s="35">
        <f t="shared" si="76"/>
        <v>0.222</v>
      </c>
      <c r="Y168" s="34">
        <f t="shared" ca="1" si="77"/>
        <v>42.037668689082224</v>
      </c>
      <c r="Z168" s="35">
        <f t="shared" si="78"/>
        <v>0.34799999999999998</v>
      </c>
      <c r="AA168" s="34">
        <f t="shared" ca="1" si="79"/>
        <v>65.896886053155924</v>
      </c>
      <c r="AB168" s="34">
        <f t="shared" ca="1" si="80"/>
        <v>240.48576232042535</v>
      </c>
      <c r="AC168" s="15"/>
      <c r="AD168" s="34">
        <f t="shared" ca="1" si="81"/>
        <v>1425.8722758053564</v>
      </c>
      <c r="AE168" s="34">
        <f ca="1"/>
        <v>0</v>
      </c>
      <c r="AF168" s="34">
        <f t="shared" ca="1" si="82"/>
        <v>1425.8722758053564</v>
      </c>
      <c r="AG168" s="15"/>
      <c r="AH168" s="272">
        <f t="shared" si="89"/>
        <v>55884</v>
      </c>
      <c r="AI168" s="267">
        <f t="shared" si="57"/>
        <v>38.666666666666664</v>
      </c>
      <c r="AJ168" s="267">
        <f t="shared" si="58"/>
        <v>2.5088970482325681E-2</v>
      </c>
      <c r="AK168" s="34">
        <f t="shared" ca="1" si="90"/>
        <v>35.773667439247127</v>
      </c>
      <c r="AL168" s="233"/>
      <c r="AN168" s="349"/>
      <c r="AO168" s="250">
        <f t="shared" si="83"/>
        <v>39</v>
      </c>
      <c r="AP168" s="34">
        <f t="shared" ca="1" si="59"/>
        <v>0</v>
      </c>
      <c r="AQ168" s="34">
        <f t="shared" ca="1" si="60"/>
        <v>0.19770647467744198</v>
      </c>
      <c r="AR168" s="34">
        <f t="shared" ca="1" si="61"/>
        <v>0</v>
      </c>
      <c r="AS168" s="34">
        <f t="shared" ca="1" si="84"/>
        <v>1.186238848064652</v>
      </c>
      <c r="AT168" s="350">
        <v>-0.1</v>
      </c>
      <c r="AU168" s="34">
        <f ca="1">MIN(AU167*(1+AT168),$AT$126-SUM(AU$129:AU167))</f>
        <v>1.186238848064652</v>
      </c>
      <c r="AV168" s="369"/>
      <c r="AW168" s="34">
        <f t="shared" ca="1" si="62"/>
        <v>0</v>
      </c>
      <c r="AX168" s="34">
        <f t="shared" ca="1" si="63"/>
        <v>0.16310784160888964</v>
      </c>
      <c r="AY168" s="34">
        <f t="shared" ca="1" si="64"/>
        <v>0</v>
      </c>
      <c r="AZ168" s="34">
        <f t="shared" ca="1" si="65"/>
        <v>0.97864704965333782</v>
      </c>
      <c r="BA168" s="34"/>
      <c r="BB168" s="34">
        <f t="shared" ca="1" si="99"/>
        <v>0</v>
      </c>
      <c r="BC168" s="34">
        <f t="shared" ca="1" si="99"/>
        <v>51.107123704118756</v>
      </c>
      <c r="BD168" s="34">
        <f t="shared" ca="1" si="99"/>
        <v>56.785693004576387</v>
      </c>
      <c r="BE168" s="34">
        <f t="shared" ca="1" si="99"/>
        <v>48.328249365596925</v>
      </c>
      <c r="BF168" s="34">
        <f t="shared" ca="1" si="99"/>
        <v>0</v>
      </c>
      <c r="BG168" s="34">
        <f t="shared" ca="1" si="99"/>
        <v>0</v>
      </c>
      <c r="BH168" s="34">
        <f t="shared" ca="1" si="99"/>
        <v>0</v>
      </c>
      <c r="BI168" s="34">
        <f t="shared" ca="1" si="99"/>
        <v>0</v>
      </c>
      <c r="BJ168" s="34">
        <f t="shared" ca="1" si="99"/>
        <v>0</v>
      </c>
      <c r="BK168" s="34">
        <f t="shared" ca="1" si="99"/>
        <v>0</v>
      </c>
      <c r="BL168" s="34">
        <f t="shared" ca="1" si="100"/>
        <v>0</v>
      </c>
      <c r="BM168" s="34">
        <f t="shared" ca="1" si="100"/>
        <v>0</v>
      </c>
      <c r="BN168" s="34">
        <f t="shared" ca="1" si="100"/>
        <v>0</v>
      </c>
      <c r="BO168" s="34">
        <f t="shared" ca="1" si="100"/>
        <v>0</v>
      </c>
      <c r="BP168" s="34">
        <f t="shared" ca="1" si="100"/>
        <v>0</v>
      </c>
      <c r="BQ168" s="34">
        <f t="shared" ca="1" si="100"/>
        <v>0</v>
      </c>
      <c r="BR168" s="34">
        <f t="shared" ca="1" si="100"/>
        <v>0</v>
      </c>
      <c r="BS168" s="34">
        <f t="shared" ca="1" si="100"/>
        <v>0</v>
      </c>
      <c r="BT168" s="34">
        <f t="shared" ca="1" si="100"/>
        <v>0</v>
      </c>
      <c r="BU168" s="34">
        <f t="shared" ca="1" si="100"/>
        <v>0</v>
      </c>
      <c r="BV168" s="34">
        <f t="shared" ca="1" si="101"/>
        <v>0</v>
      </c>
      <c r="BW168" s="34">
        <f t="shared" ca="1" si="101"/>
        <v>0</v>
      </c>
      <c r="BX168" s="34">
        <f t="shared" ca="1" si="101"/>
        <v>0</v>
      </c>
      <c r="BY168" s="34">
        <f t="shared" ca="1" si="101"/>
        <v>0</v>
      </c>
      <c r="BZ168" s="34">
        <f t="shared" ca="1" si="101"/>
        <v>0</v>
      </c>
      <c r="CA168" s="34">
        <f t="shared" ca="1" si="101"/>
        <v>0</v>
      </c>
      <c r="CB168" s="34">
        <f t="shared" ca="1" si="101"/>
        <v>0</v>
      </c>
      <c r="CC168" s="34">
        <f t="shared" ca="1" si="101"/>
        <v>0</v>
      </c>
      <c r="CD168" s="34">
        <f t="shared" ca="1" si="101"/>
        <v>0</v>
      </c>
      <c r="CE168" s="34">
        <f t="shared" ca="1" si="101"/>
        <v>0</v>
      </c>
      <c r="CF168" s="34">
        <f t="shared" ca="1" si="102"/>
        <v>0</v>
      </c>
      <c r="CG168" s="34">
        <f t="shared" ca="1" si="102"/>
        <v>0</v>
      </c>
      <c r="CH168" s="34">
        <f t="shared" ca="1" si="102"/>
        <v>0</v>
      </c>
      <c r="CI168" s="34">
        <f t="shared" ca="1" si="102"/>
        <v>0</v>
      </c>
      <c r="CJ168" s="34">
        <f t="shared" ca="1" si="102"/>
        <v>0</v>
      </c>
      <c r="CK168" s="34">
        <f t="shared" ca="1" si="102"/>
        <v>0</v>
      </c>
      <c r="CL168" s="34">
        <f t="shared" ca="1" si="102"/>
        <v>0</v>
      </c>
      <c r="CM168" s="34">
        <f t="shared" ca="1" si="102"/>
        <v>0</v>
      </c>
      <c r="CN168" s="34">
        <f t="shared" ca="1" si="102"/>
        <v>0</v>
      </c>
      <c r="CO168" s="34">
        <f t="shared" ca="1" si="102"/>
        <v>0</v>
      </c>
      <c r="CP168" s="34">
        <f t="shared" ca="1" si="102"/>
        <v>0</v>
      </c>
      <c r="CQ168" s="34">
        <f t="shared" ca="1" si="85"/>
        <v>156.22106607429205</v>
      </c>
      <c r="CR168" s="363">
        <v>0</v>
      </c>
      <c r="CS168" s="34">
        <f t="shared" ca="1" si="86"/>
        <v>156.22106607429205</v>
      </c>
      <c r="CT168" s="233"/>
    </row>
    <row r="169" spans="2:98" x14ac:dyDescent="0.3">
      <c r="B169" s="232"/>
      <c r="C169" s="250">
        <f t="shared" si="87"/>
        <v>2053</v>
      </c>
      <c r="D169" s="263">
        <f t="shared" ca="1" si="70"/>
        <v>0</v>
      </c>
      <c r="E169" s="263">
        <f t="shared" ca="1" si="52"/>
        <v>23.433159911143814</v>
      </c>
      <c r="F169" s="263">
        <f t="shared" ca="1" si="53"/>
        <v>0</v>
      </c>
      <c r="G169" s="263">
        <f t="shared" ca="1" si="71"/>
        <v>140.59895946686288</v>
      </c>
      <c r="H169" s="15"/>
      <c r="I169" s="271">
        <f ca="1">Assumptions!O$68</f>
        <v>4.5</v>
      </c>
      <c r="J169" s="271">
        <f ca="1">Assumptions!P$68</f>
        <v>80</v>
      </c>
      <c r="K169" s="271">
        <f t="shared" ca="1" si="54"/>
        <v>40</v>
      </c>
      <c r="L169" s="15"/>
      <c r="M169" s="35">
        <f t="shared" ca="1" si="72"/>
        <v>4.2299999999999995</v>
      </c>
      <c r="N169" s="35">
        <f t="shared" ca="1" si="55"/>
        <v>64</v>
      </c>
      <c r="O169" s="35">
        <f t="shared" ca="1" si="56"/>
        <v>32</v>
      </c>
      <c r="P169" s="15"/>
      <c r="Q169" s="34">
        <f t="shared" ca="1" si="73"/>
        <v>0</v>
      </c>
      <c r="R169" s="34">
        <f t="shared" ca="1" si="73"/>
        <v>1499.7222343132041</v>
      </c>
      <c r="S169" s="34">
        <f t="shared" ca="1" si="73"/>
        <v>0</v>
      </c>
      <c r="T169" s="34">
        <f t="shared" ca="1" si="74"/>
        <v>1499.7222343132041</v>
      </c>
      <c r="U169" s="15"/>
      <c r="V169" s="35">
        <f t="shared" si="75"/>
        <v>0.7</v>
      </c>
      <c r="W169" s="34">
        <f t="shared" ca="1" si="88"/>
        <v>119.2960868203685</v>
      </c>
      <c r="X169" s="35">
        <f t="shared" si="76"/>
        <v>0.222</v>
      </c>
      <c r="Y169" s="34">
        <f t="shared" ca="1" si="77"/>
        <v>37.833901820174013</v>
      </c>
      <c r="Z169" s="35">
        <f t="shared" si="78"/>
        <v>0.34799999999999998</v>
      </c>
      <c r="AA169" s="34">
        <f t="shared" ca="1" si="79"/>
        <v>59.307197447840345</v>
      </c>
      <c r="AB169" s="34">
        <f t="shared" ca="1" si="80"/>
        <v>216.43718608838284</v>
      </c>
      <c r="AC169" s="15"/>
      <c r="AD169" s="34">
        <f t="shared" ca="1" si="81"/>
        <v>1283.2850482248214</v>
      </c>
      <c r="AE169" s="34">
        <f ca="1"/>
        <v>0</v>
      </c>
      <c r="AF169" s="34">
        <f t="shared" ca="1" si="82"/>
        <v>1283.2850482248214</v>
      </c>
      <c r="AG169" s="15"/>
      <c r="AH169" s="272">
        <f t="shared" si="89"/>
        <v>56249</v>
      </c>
      <c r="AI169" s="267">
        <f t="shared" si="57"/>
        <v>39.666666666666664</v>
      </c>
      <c r="AJ169" s="267">
        <f t="shared" si="58"/>
        <v>2.280815498393244E-2</v>
      </c>
      <c r="AK169" s="34">
        <f t="shared" ca="1" si="90"/>
        <v>29.269364268474941</v>
      </c>
      <c r="AL169" s="233"/>
      <c r="AN169" s="232"/>
      <c r="AO169" s="250">
        <f t="shared" si="83"/>
        <v>40</v>
      </c>
      <c r="AP169" s="34">
        <f t="shared" ca="1" si="59"/>
        <v>0</v>
      </c>
      <c r="AQ169" s="34">
        <f t="shared" ca="1" si="60"/>
        <v>0.17793582720969781</v>
      </c>
      <c r="AR169" s="34">
        <f t="shared" ca="1" si="61"/>
        <v>0</v>
      </c>
      <c r="AS169" s="34">
        <f t="shared" ca="1" si="84"/>
        <v>1.0676149632581868</v>
      </c>
      <c r="AT169" s="351">
        <v>-0.1</v>
      </c>
      <c r="AU169" s="34">
        <f ca="1">MIN(AU168*(1+AT169),$AT$126-SUM(AU$129:AU168))</f>
        <v>1.0676149632581868</v>
      </c>
      <c r="AV169" s="369"/>
      <c r="AW169" s="34">
        <f t="shared" ca="1" si="62"/>
        <v>0</v>
      </c>
      <c r="AX169" s="34">
        <f t="shared" ca="1" si="63"/>
        <v>0.14679705744800067</v>
      </c>
      <c r="AY169" s="34">
        <f t="shared" ca="1" si="64"/>
        <v>0</v>
      </c>
      <c r="AZ169" s="34">
        <f t="shared" ca="1" si="65"/>
        <v>0.88078234468800409</v>
      </c>
      <c r="BA169" s="34"/>
      <c r="BB169" s="34">
        <f t="shared" ca="1" si="99"/>
        <v>0</v>
      </c>
      <c r="BC169" s="34">
        <f t="shared" ca="1" si="99"/>
        <v>45.996411333706881</v>
      </c>
      <c r="BD169" s="34">
        <f t="shared" ca="1" si="99"/>
        <v>51.107123704118756</v>
      </c>
      <c r="BE169" s="34">
        <f t="shared" ca="1" si="99"/>
        <v>43.495424429037229</v>
      </c>
      <c r="BF169" s="34">
        <f t="shared" ca="1" si="99"/>
        <v>0</v>
      </c>
      <c r="BG169" s="34">
        <f t="shared" ca="1" si="99"/>
        <v>0</v>
      </c>
      <c r="BH169" s="34">
        <f t="shared" ca="1" si="99"/>
        <v>0</v>
      </c>
      <c r="BI169" s="34">
        <f t="shared" ca="1" si="99"/>
        <v>0</v>
      </c>
      <c r="BJ169" s="34">
        <f t="shared" ca="1" si="99"/>
        <v>0</v>
      </c>
      <c r="BK169" s="34">
        <f t="shared" ca="1" si="99"/>
        <v>0</v>
      </c>
      <c r="BL169" s="34">
        <f t="shared" ca="1" si="100"/>
        <v>0</v>
      </c>
      <c r="BM169" s="34">
        <f t="shared" ca="1" si="100"/>
        <v>0</v>
      </c>
      <c r="BN169" s="34">
        <f t="shared" ca="1" si="100"/>
        <v>0</v>
      </c>
      <c r="BO169" s="34">
        <f t="shared" ca="1" si="100"/>
        <v>0</v>
      </c>
      <c r="BP169" s="34">
        <f t="shared" ca="1" si="100"/>
        <v>0</v>
      </c>
      <c r="BQ169" s="34">
        <f t="shared" ca="1" si="100"/>
        <v>0</v>
      </c>
      <c r="BR169" s="34">
        <f t="shared" ca="1" si="100"/>
        <v>0</v>
      </c>
      <c r="BS169" s="34">
        <f t="shared" ca="1" si="100"/>
        <v>0</v>
      </c>
      <c r="BT169" s="34">
        <f t="shared" ca="1" si="100"/>
        <v>0</v>
      </c>
      <c r="BU169" s="34">
        <f t="shared" ca="1" si="100"/>
        <v>0</v>
      </c>
      <c r="BV169" s="34">
        <f t="shared" ca="1" si="101"/>
        <v>0</v>
      </c>
      <c r="BW169" s="34">
        <f t="shared" ca="1" si="101"/>
        <v>0</v>
      </c>
      <c r="BX169" s="34">
        <f t="shared" ca="1" si="101"/>
        <v>0</v>
      </c>
      <c r="BY169" s="34">
        <f t="shared" ca="1" si="101"/>
        <v>0</v>
      </c>
      <c r="BZ169" s="34">
        <f t="shared" ca="1" si="101"/>
        <v>0</v>
      </c>
      <c r="CA169" s="34">
        <f t="shared" ca="1" si="101"/>
        <v>0</v>
      </c>
      <c r="CB169" s="34">
        <f t="shared" ca="1" si="101"/>
        <v>0</v>
      </c>
      <c r="CC169" s="34">
        <f t="shared" ca="1" si="101"/>
        <v>0</v>
      </c>
      <c r="CD169" s="34">
        <f t="shared" ca="1" si="101"/>
        <v>0</v>
      </c>
      <c r="CE169" s="34">
        <f t="shared" ca="1" si="101"/>
        <v>0</v>
      </c>
      <c r="CF169" s="34">
        <f t="shared" ca="1" si="102"/>
        <v>0</v>
      </c>
      <c r="CG169" s="34">
        <f t="shared" ca="1" si="102"/>
        <v>0</v>
      </c>
      <c r="CH169" s="34">
        <f t="shared" ca="1" si="102"/>
        <v>0</v>
      </c>
      <c r="CI169" s="34">
        <f t="shared" ca="1" si="102"/>
        <v>0</v>
      </c>
      <c r="CJ169" s="34">
        <f t="shared" ca="1" si="102"/>
        <v>0</v>
      </c>
      <c r="CK169" s="34">
        <f t="shared" ca="1" si="102"/>
        <v>0</v>
      </c>
      <c r="CL169" s="34">
        <f t="shared" ca="1" si="102"/>
        <v>0</v>
      </c>
      <c r="CM169" s="34">
        <f t="shared" ca="1" si="102"/>
        <v>0</v>
      </c>
      <c r="CN169" s="34">
        <f t="shared" ca="1" si="102"/>
        <v>0</v>
      </c>
      <c r="CO169" s="34">
        <f t="shared" ca="1" si="102"/>
        <v>0</v>
      </c>
      <c r="CP169" s="34">
        <f t="shared" ca="1" si="102"/>
        <v>0</v>
      </c>
      <c r="CQ169" s="34">
        <f t="shared" ca="1" si="85"/>
        <v>140.59895946686288</v>
      </c>
      <c r="CR169" s="363">
        <v>0</v>
      </c>
      <c r="CS169" s="34">
        <f t="shared" ref="CS169" ca="1" si="103">SUM(CQ169:CR169)</f>
        <v>140.59895946686288</v>
      </c>
      <c r="CT169" s="233"/>
    </row>
    <row r="170" spans="2:98" x14ac:dyDescent="0.3">
      <c r="B170" s="232"/>
      <c r="C170" s="274" t="s">
        <v>302</v>
      </c>
      <c r="D170" s="39">
        <f ca="1">SUM(D129:D169)</f>
        <v>0</v>
      </c>
      <c r="E170" s="39">
        <f t="shared" ref="E170:F170" ca="1" si="104">SUM(E129:E169)</f>
        <v>15073.754873299707</v>
      </c>
      <c r="F170" s="39">
        <f t="shared" ca="1" si="104"/>
        <v>0</v>
      </c>
      <c r="G170" s="39">
        <f ca="1">SUM(G129:G169)</f>
        <v>90442.529239798241</v>
      </c>
      <c r="H170" s="15"/>
      <c r="I170" s="15"/>
      <c r="J170" s="15"/>
      <c r="K170" s="15"/>
      <c r="L170" s="15"/>
      <c r="M170" s="35"/>
      <c r="N170" s="35"/>
      <c r="O170" s="35"/>
      <c r="P170" s="15"/>
      <c r="Q170" s="8">
        <f ca="1">SUM(Q129:Q169)</f>
        <v>0</v>
      </c>
      <c r="R170" s="8">
        <f ca="1">SUM(R129:R169)</f>
        <v>994841.99475828127</v>
      </c>
      <c r="S170" s="8">
        <f ca="1">SUM(S129:S169)</f>
        <v>0</v>
      </c>
      <c r="T170" s="8">
        <f t="shared" ca="1" si="74"/>
        <v>994841.99475828127</v>
      </c>
      <c r="U170" s="15"/>
      <c r="V170" s="275"/>
      <c r="W170" s="276">
        <f ca="1">SUM(W129:W169)</f>
        <v>76739.115718616638</v>
      </c>
      <c r="X170" s="275"/>
      <c r="Y170" s="276">
        <f ca="1">SUM(Y129:Y169)</f>
        <v>24337.262413618431</v>
      </c>
      <c r="Z170" s="275"/>
      <c r="AA170" s="276">
        <f ca="1">SUM(AA129:AA169)</f>
        <v>38150.303242969436</v>
      </c>
      <c r="AB170" s="276">
        <f ca="1">SUM(AB129:AB169)</f>
        <v>139226.68137520456</v>
      </c>
      <c r="AC170" s="15"/>
      <c r="AD170" s="276">
        <f ca="1">SUM(AD129:AD169)</f>
        <v>855615.31338307646</v>
      </c>
      <c r="AE170" s="276">
        <f ca="1">SUM(AE129:AE169)</f>
        <v>173431.30434782605</v>
      </c>
      <c r="AF170" s="276">
        <f ca="1">SUM(AF129:AF169)</f>
        <v>682184.0090352504</v>
      </c>
      <c r="AG170" s="15"/>
      <c r="AH170" s="277"/>
      <c r="AI170" s="278"/>
      <c r="AJ170" s="278"/>
      <c r="AK170" s="279">
        <f ca="1">SUM(AK129:AK169)</f>
        <v>321801.13299748354</v>
      </c>
      <c r="AL170" s="233"/>
      <c r="AN170" s="232"/>
      <c r="AO170" s="274" t="s">
        <v>302</v>
      </c>
      <c r="AP170" s="8">
        <f ca="1">SUM(AP129:AP169)</f>
        <v>0</v>
      </c>
      <c r="AQ170" s="8">
        <f ca="1">SUM(AQ129:AQ169)</f>
        <v>140.91282755511276</v>
      </c>
      <c r="AR170" s="8">
        <f ca="1">SUM(AR129:AR169)</f>
        <v>0</v>
      </c>
      <c r="AS170" s="8">
        <f ca="1">SUM(AS129:AS169)</f>
        <v>845.47696533067642</v>
      </c>
      <c r="AT170" s="15"/>
      <c r="AU170" s="8">
        <f ca="1">SUM(AU129:AU169)</f>
        <v>845.47696533067642</v>
      </c>
      <c r="AW170" s="8">
        <f t="shared" ref="AW170:AZ170" ca="1" si="105">SUM(AW129:AW169)</f>
        <v>0</v>
      </c>
      <c r="AX170" s="8">
        <f t="shared" ca="1" si="105"/>
        <v>116.25308273296797</v>
      </c>
      <c r="AY170" s="8">
        <f t="shared" ca="1" si="105"/>
        <v>0</v>
      </c>
      <c r="AZ170" s="8">
        <f t="shared" ca="1" si="105"/>
        <v>697.51849639780789</v>
      </c>
      <c r="BB170" s="8">
        <f t="shared" ref="BB170:CS170" ca="1" si="106">SUM(BB129:BB169)</f>
        <v>0</v>
      </c>
      <c r="BC170" s="8">
        <f t="shared" ca="1" si="106"/>
        <v>32741.972560496626</v>
      </c>
      <c r="BD170" s="8">
        <f t="shared" ca="1" si="106"/>
        <v>32695.976149162918</v>
      </c>
      <c r="BE170" s="8">
        <f t="shared" ca="1" si="106"/>
        <v>25004.580530138661</v>
      </c>
      <c r="BF170" s="8">
        <f t="shared" ca="1" si="106"/>
        <v>0</v>
      </c>
      <c r="BG170" s="8">
        <f t="shared" ca="1" si="106"/>
        <v>0</v>
      </c>
      <c r="BH170" s="8">
        <f t="shared" ca="1" si="106"/>
        <v>0</v>
      </c>
      <c r="BI170" s="8">
        <f t="shared" ca="1" si="106"/>
        <v>0</v>
      </c>
      <c r="BJ170" s="8">
        <f t="shared" ca="1" si="106"/>
        <v>0</v>
      </c>
      <c r="BK170" s="8">
        <f t="shared" ca="1" si="106"/>
        <v>0</v>
      </c>
      <c r="BL170" s="8">
        <f t="shared" ca="1" si="106"/>
        <v>0</v>
      </c>
      <c r="BM170" s="8">
        <f t="shared" ca="1" si="106"/>
        <v>0</v>
      </c>
      <c r="BN170" s="8">
        <f t="shared" ca="1" si="106"/>
        <v>0</v>
      </c>
      <c r="BO170" s="8">
        <f t="shared" ca="1" si="106"/>
        <v>0</v>
      </c>
      <c r="BP170" s="8">
        <f t="shared" ca="1" si="106"/>
        <v>0</v>
      </c>
      <c r="BQ170" s="8">
        <f t="shared" ca="1" si="106"/>
        <v>0</v>
      </c>
      <c r="BR170" s="8">
        <f t="shared" ca="1" si="106"/>
        <v>0</v>
      </c>
      <c r="BS170" s="8">
        <f t="shared" ca="1" si="106"/>
        <v>0</v>
      </c>
      <c r="BT170" s="8">
        <f t="shared" ca="1" si="106"/>
        <v>0</v>
      </c>
      <c r="BU170" s="8">
        <f t="shared" ca="1" si="106"/>
        <v>0</v>
      </c>
      <c r="BV170" s="8">
        <f t="shared" ca="1" si="106"/>
        <v>0</v>
      </c>
      <c r="BW170" s="8">
        <f t="shared" ca="1" si="106"/>
        <v>0</v>
      </c>
      <c r="BX170" s="8">
        <f t="shared" ca="1" si="106"/>
        <v>0</v>
      </c>
      <c r="BY170" s="8">
        <f t="shared" ca="1" si="106"/>
        <v>0</v>
      </c>
      <c r="BZ170" s="8">
        <f t="shared" ca="1" si="106"/>
        <v>0</v>
      </c>
      <c r="CA170" s="8">
        <f t="shared" ca="1" si="106"/>
        <v>0</v>
      </c>
      <c r="CB170" s="8">
        <f t="shared" ca="1" si="106"/>
        <v>0</v>
      </c>
      <c r="CC170" s="8">
        <f t="shared" ca="1" si="106"/>
        <v>0</v>
      </c>
      <c r="CD170" s="8">
        <f t="shared" ca="1" si="106"/>
        <v>0</v>
      </c>
      <c r="CE170" s="8">
        <f t="shared" ca="1" si="106"/>
        <v>0</v>
      </c>
      <c r="CF170" s="8">
        <f t="shared" ca="1" si="106"/>
        <v>0</v>
      </c>
      <c r="CG170" s="8">
        <f t="shared" ca="1" si="106"/>
        <v>0</v>
      </c>
      <c r="CH170" s="8">
        <f t="shared" ca="1" si="106"/>
        <v>0</v>
      </c>
      <c r="CI170" s="8">
        <f t="shared" ca="1" si="106"/>
        <v>0</v>
      </c>
      <c r="CJ170" s="8">
        <f t="shared" ca="1" si="106"/>
        <v>0</v>
      </c>
      <c r="CK170" s="8">
        <f t="shared" ca="1" si="106"/>
        <v>0</v>
      </c>
      <c r="CL170" s="8">
        <f t="shared" ca="1" si="106"/>
        <v>0</v>
      </c>
      <c r="CM170" s="8">
        <f t="shared" ca="1" si="106"/>
        <v>0</v>
      </c>
      <c r="CN170" s="8">
        <f t="shared" ca="1" si="106"/>
        <v>0</v>
      </c>
      <c r="CO170" s="8">
        <f t="shared" ca="1" si="106"/>
        <v>0</v>
      </c>
      <c r="CP170" s="8">
        <f t="shared" ca="1" si="106"/>
        <v>0</v>
      </c>
      <c r="CQ170" s="8">
        <f t="shared" ca="1" si="106"/>
        <v>90442.529239798241</v>
      </c>
      <c r="CR170" s="8">
        <f t="shared" si="106"/>
        <v>0</v>
      </c>
      <c r="CS170" s="8">
        <f t="shared" ca="1" si="106"/>
        <v>90442.529239798241</v>
      </c>
      <c r="CT170" s="233"/>
    </row>
    <row r="171" spans="2:98" x14ac:dyDescent="0.3">
      <c r="B171" s="232"/>
      <c r="C171" s="283" t="s">
        <v>303</v>
      </c>
      <c r="D171" s="263">
        <f t="shared" ref="D171:F171" ca="1" si="107">D172-D170</f>
        <v>0</v>
      </c>
      <c r="E171" s="263">
        <f t="shared" ca="1" si="107"/>
        <v>751.73372604882206</v>
      </c>
      <c r="F171" s="263">
        <f t="shared" ca="1" si="107"/>
        <v>0</v>
      </c>
      <c r="G171" s="263">
        <f ca="1">G172-G170</f>
        <v>4510.402356292936</v>
      </c>
      <c r="H171" s="15"/>
      <c r="I171" s="35">
        <f ca="1">I169</f>
        <v>4.5</v>
      </c>
      <c r="J171" s="35">
        <f t="shared" ref="J171:K171" ca="1" si="108">J169</f>
        <v>80</v>
      </c>
      <c r="K171" s="35">
        <f t="shared" ca="1" si="108"/>
        <v>40</v>
      </c>
      <c r="L171" s="15"/>
      <c r="M171" s="35">
        <f ca="1">M169</f>
        <v>4.2299999999999995</v>
      </c>
      <c r="N171" s="35">
        <f t="shared" ref="N171:O171" ca="1" si="109">N169</f>
        <v>64</v>
      </c>
      <c r="O171" s="35">
        <f t="shared" ca="1" si="109"/>
        <v>32</v>
      </c>
      <c r="P171" s="15"/>
      <c r="Q171" s="34">
        <f t="shared" ref="Q171:S171" ca="1" si="110">D171*M171</f>
        <v>0</v>
      </c>
      <c r="R171" s="34">
        <f t="shared" ca="1" si="110"/>
        <v>48110.958467124612</v>
      </c>
      <c r="S171" s="34">
        <f t="shared" ca="1" si="110"/>
        <v>0</v>
      </c>
      <c r="T171" s="34">
        <f t="shared" ref="T171" ca="1" si="111">SUM(Q171:S171)</f>
        <v>48110.958467124612</v>
      </c>
      <c r="U171" s="15"/>
      <c r="V171" s="35">
        <f>V169</f>
        <v>0.7</v>
      </c>
      <c r="W171" s="34">
        <f ca="1">V171*$G171/(1-$M$6)</f>
        <v>3827.0080598849154</v>
      </c>
      <c r="X171" s="35">
        <f>X169</f>
        <v>0.222</v>
      </c>
      <c r="Y171" s="34">
        <f ca="1">X171*$G171/(1-$M$6)</f>
        <v>1213.7082704206446</v>
      </c>
      <c r="Z171" s="35">
        <f>Z169</f>
        <v>0.34799999999999998</v>
      </c>
      <c r="AA171" s="34">
        <f ca="1">Z171*$G171/(1-$M$6)</f>
        <v>1902.5697211999295</v>
      </c>
      <c r="AB171" s="34">
        <f ca="1">W171+Y171+AA171</f>
        <v>6943.2860515054899</v>
      </c>
      <c r="AC171" s="15"/>
      <c r="AD171" s="34">
        <f ca="1">T171-AB171</f>
        <v>41167.672415619119</v>
      </c>
      <c r="AE171" s="62">
        <f ca="1">CR126*$M$9*$AQ$9*Units</f>
        <v>0</v>
      </c>
      <c r="AF171" s="34">
        <f ca="1">AD171-AE171</f>
        <v>41167.672415619119</v>
      </c>
      <c r="AG171" s="15"/>
      <c r="AH171" s="266">
        <f>Remainder_Date</f>
        <v>56249</v>
      </c>
      <c r="AI171" s="267">
        <f t="shared" ref="AI171" si="112">DAYS360(Valuation_Date,AH171)/360-MIN(0.5,0.5*DAYS360(Valuation_Date,AH171)/360)</f>
        <v>39.666666666666664</v>
      </c>
      <c r="AJ171" s="267">
        <f t="shared" ref="AJ171" si="113">1/((1+Discount_Rate)^AI171)</f>
        <v>2.280815498393244E-2</v>
      </c>
      <c r="AK171" s="34">
        <f t="shared" ca="1" si="90"/>
        <v>938.95865278320127</v>
      </c>
      <c r="AL171" s="233"/>
      <c r="AN171" s="232"/>
      <c r="AO171" s="352" t="s">
        <v>303</v>
      </c>
      <c r="AP171" s="34">
        <f ca="1">AP172-AP170</f>
        <v>0</v>
      </c>
      <c r="AQ171" s="34">
        <f t="shared" ref="AQ171:AS171" ca="1" si="114">AQ172-AQ170</f>
        <v>6.6441757022162165</v>
      </c>
      <c r="AR171" s="34">
        <f t="shared" ca="1" si="114"/>
        <v>0</v>
      </c>
      <c r="AS171" s="34">
        <f t="shared" ca="1" si="114"/>
        <v>39.865054213297412</v>
      </c>
      <c r="AT171" s="348"/>
      <c r="AU171" s="34">
        <f ca="1">AU172-AU170</f>
        <v>39.865054213297412</v>
      </c>
      <c r="AW171" s="34">
        <f ca="1">AW172-AW170</f>
        <v>0</v>
      </c>
      <c r="AX171" s="34">
        <f t="shared" ref="AX171:AZ171" ca="1" si="115">AX172-AX170</f>
        <v>5.481444954328424</v>
      </c>
      <c r="AY171" s="34">
        <f t="shared" ca="1" si="115"/>
        <v>0</v>
      </c>
      <c r="AZ171" s="34">
        <f t="shared" ca="1" si="115"/>
        <v>32.888669725970431</v>
      </c>
      <c r="BB171" s="180">
        <f ca="1">BB172-BB170</f>
        <v>0</v>
      </c>
      <c r="BC171" s="180">
        <f t="shared" ref="BC171:CP171" ca="1" si="116">BC172-BC170</f>
        <v>1587.164247320954</v>
      </c>
      <c r="BD171" s="180">
        <f t="shared" ca="1" si="116"/>
        <v>1633.1606586546623</v>
      </c>
      <c r="BE171" s="180">
        <f t="shared" ca="1" si="116"/>
        <v>1290.0774503173598</v>
      </c>
      <c r="BF171" s="180">
        <f t="shared" ca="1" si="116"/>
        <v>0</v>
      </c>
      <c r="BG171" s="180">
        <f t="shared" ca="1" si="116"/>
        <v>0</v>
      </c>
      <c r="BH171" s="180">
        <f t="shared" ca="1" si="116"/>
        <v>0</v>
      </c>
      <c r="BI171" s="180">
        <f t="shared" ca="1" si="116"/>
        <v>0</v>
      </c>
      <c r="BJ171" s="180">
        <f t="shared" ca="1" si="116"/>
        <v>0</v>
      </c>
      <c r="BK171" s="180">
        <f t="shared" ca="1" si="116"/>
        <v>0</v>
      </c>
      <c r="BL171" s="180">
        <f t="shared" ca="1" si="116"/>
        <v>0</v>
      </c>
      <c r="BM171" s="180">
        <f t="shared" ca="1" si="116"/>
        <v>0</v>
      </c>
      <c r="BN171" s="180">
        <f t="shared" ca="1" si="116"/>
        <v>0</v>
      </c>
      <c r="BO171" s="180">
        <f t="shared" ca="1" si="116"/>
        <v>0</v>
      </c>
      <c r="BP171" s="180">
        <f t="shared" ca="1" si="116"/>
        <v>0</v>
      </c>
      <c r="BQ171" s="180">
        <f t="shared" ca="1" si="116"/>
        <v>0</v>
      </c>
      <c r="BR171" s="180">
        <f t="shared" ca="1" si="116"/>
        <v>0</v>
      </c>
      <c r="BS171" s="180">
        <f t="shared" ca="1" si="116"/>
        <v>0</v>
      </c>
      <c r="BT171" s="180">
        <f t="shared" ca="1" si="116"/>
        <v>0</v>
      </c>
      <c r="BU171" s="180">
        <f t="shared" ca="1" si="116"/>
        <v>0</v>
      </c>
      <c r="BV171" s="180">
        <f t="shared" ca="1" si="116"/>
        <v>0</v>
      </c>
      <c r="BW171" s="180">
        <f t="shared" ca="1" si="116"/>
        <v>0</v>
      </c>
      <c r="BX171" s="180">
        <f t="shared" ca="1" si="116"/>
        <v>0</v>
      </c>
      <c r="BY171" s="180">
        <f t="shared" ca="1" si="116"/>
        <v>0</v>
      </c>
      <c r="BZ171" s="180">
        <f t="shared" ca="1" si="116"/>
        <v>0</v>
      </c>
      <c r="CA171" s="180">
        <f t="shared" ca="1" si="116"/>
        <v>0</v>
      </c>
      <c r="CB171" s="180">
        <f t="shared" ca="1" si="116"/>
        <v>0</v>
      </c>
      <c r="CC171" s="180">
        <f t="shared" ca="1" si="116"/>
        <v>0</v>
      </c>
      <c r="CD171" s="180">
        <f t="shared" ca="1" si="116"/>
        <v>0</v>
      </c>
      <c r="CE171" s="180">
        <f t="shared" ca="1" si="116"/>
        <v>0</v>
      </c>
      <c r="CF171" s="180">
        <f t="shared" ca="1" si="116"/>
        <v>0</v>
      </c>
      <c r="CG171" s="180">
        <f t="shared" ca="1" si="116"/>
        <v>0</v>
      </c>
      <c r="CH171" s="180">
        <f t="shared" ca="1" si="116"/>
        <v>0</v>
      </c>
      <c r="CI171" s="180">
        <f t="shared" ca="1" si="116"/>
        <v>0</v>
      </c>
      <c r="CJ171" s="180">
        <f t="shared" ca="1" si="116"/>
        <v>0</v>
      </c>
      <c r="CK171" s="180">
        <f t="shared" ca="1" si="116"/>
        <v>0</v>
      </c>
      <c r="CL171" s="180">
        <f t="shared" ca="1" si="116"/>
        <v>0</v>
      </c>
      <c r="CM171" s="180">
        <f t="shared" ca="1" si="116"/>
        <v>0</v>
      </c>
      <c r="CN171" s="180">
        <f t="shared" ca="1" si="116"/>
        <v>0</v>
      </c>
      <c r="CO171" s="180">
        <f t="shared" ca="1" si="116"/>
        <v>0</v>
      </c>
      <c r="CP171" s="180">
        <f t="shared" ca="1" si="116"/>
        <v>0</v>
      </c>
      <c r="CQ171" s="34">
        <f ca="1">SUM(BB171:CP171)</f>
        <v>4510.402356292976</v>
      </c>
      <c r="CR171" s="180">
        <f ca="1">CR172-CR170</f>
        <v>0</v>
      </c>
      <c r="CS171" s="180">
        <f ca="1">SUM(CQ171:CR171)</f>
        <v>4510.402356292976</v>
      </c>
      <c r="CT171" s="233"/>
    </row>
    <row r="172" spans="2:98" x14ac:dyDescent="0.3">
      <c r="B172" s="232"/>
      <c r="C172" s="60" t="s">
        <v>26</v>
      </c>
      <c r="D172" s="39">
        <f t="shared" ca="1" si="70"/>
        <v>0</v>
      </c>
      <c r="E172" s="39">
        <f ca="1">$G172*$M$14/Bbl_to_Mcfe</f>
        <v>15825.48859934853</v>
      </c>
      <c r="F172" s="39">
        <f ca="1">$G172*$M$13/Bbl_to_Mcfe</f>
        <v>0</v>
      </c>
      <c r="G172" s="39">
        <f t="shared" ref="G172" ca="1" si="117">CS172*$AQ$9</f>
        <v>94952.931596091177</v>
      </c>
      <c r="H172" s="15"/>
      <c r="I172" s="15"/>
      <c r="J172" s="15"/>
      <c r="K172" s="15"/>
      <c r="L172" s="15"/>
      <c r="M172" s="15"/>
      <c r="N172" s="15"/>
      <c r="O172" s="15"/>
      <c r="P172" s="15"/>
      <c r="Q172" s="8">
        <f ca="1">Q171+Q170</f>
        <v>0</v>
      </c>
      <c r="R172" s="8">
        <f t="shared" ref="R172:T172" ca="1" si="118">R171+R170</f>
        <v>1042952.9532254059</v>
      </c>
      <c r="S172" s="8">
        <f t="shared" ca="1" si="118"/>
        <v>0</v>
      </c>
      <c r="T172" s="8">
        <f t="shared" ca="1" si="118"/>
        <v>1042952.9532254059</v>
      </c>
      <c r="U172" s="15"/>
      <c r="V172" s="9"/>
      <c r="W172" s="8">
        <f ca="1">W171+W170</f>
        <v>80566.123778501555</v>
      </c>
      <c r="X172" s="9"/>
      <c r="Y172" s="8">
        <f ca="1">Y171+Y170</f>
        <v>25550.970684039075</v>
      </c>
      <c r="Z172" s="9"/>
      <c r="AA172" s="8">
        <f ca="1">AA171+AA170</f>
        <v>40052.872964169364</v>
      </c>
      <c r="AB172" s="8">
        <f ca="1">AB171+AB170</f>
        <v>146169.96742671003</v>
      </c>
      <c r="AC172" s="15"/>
      <c r="AD172" s="8">
        <f ca="1">AD171+AD170</f>
        <v>896782.98579869559</v>
      </c>
      <c r="AE172" s="8">
        <f ca="1">AE171+AE170</f>
        <v>173431.30434782605</v>
      </c>
      <c r="AF172" s="8">
        <f ca="1">AF171+AF170</f>
        <v>723351.68145086954</v>
      </c>
      <c r="AG172" s="15"/>
      <c r="AH172" s="9"/>
      <c r="AI172" s="9"/>
      <c r="AJ172" s="9"/>
      <c r="AK172" s="65">
        <f ca="1">SUM(AK170:AK171)</f>
        <v>322740.09165026672</v>
      </c>
      <c r="AL172" s="233"/>
      <c r="AN172" s="232"/>
      <c r="AO172" s="249" t="s">
        <v>26</v>
      </c>
      <c r="AP172" s="8">
        <f ca="1">$AS172*$M$12</f>
        <v>0</v>
      </c>
      <c r="AQ172" s="8">
        <f ca="1">$AS172*$M$14/Bbl_to_Mcfe</f>
        <v>147.55700325732897</v>
      </c>
      <c r="AR172" s="8">
        <f ca="1">$AS172*$M$13/Bbl_to_Mcfe</f>
        <v>0</v>
      </c>
      <c r="AS172" s="8">
        <f ca="1">$M$7</f>
        <v>885.34201954397383</v>
      </c>
      <c r="AT172" s="15"/>
      <c r="AU172" s="8">
        <f>$AT$126</f>
        <v>885.34201954397383</v>
      </c>
      <c r="AW172" s="8">
        <f ca="1">AP172*(1-$M$6)</f>
        <v>0</v>
      </c>
      <c r="AX172" s="8">
        <f ca="1">AQ172*(1-$M$6)</f>
        <v>121.73452768729639</v>
      </c>
      <c r="AY172" s="8">
        <f ca="1">AR172*(1-$M$6)</f>
        <v>0</v>
      </c>
      <c r="AZ172" s="8">
        <f ca="1">AS172*(1-$M$6)</f>
        <v>730.40716612377832</v>
      </c>
      <c r="BB172" s="364">
        <f t="shared" ref="BB172:CS172" ca="1" si="119">$AZ172*BB126</f>
        <v>0</v>
      </c>
      <c r="BC172" s="364">
        <f t="shared" ca="1" si="119"/>
        <v>34329.13680781758</v>
      </c>
      <c r="BD172" s="364">
        <f t="shared" ca="1" si="119"/>
        <v>34329.13680781758</v>
      </c>
      <c r="BE172" s="364">
        <f t="shared" ca="1" si="119"/>
        <v>26294.657980456021</v>
      </c>
      <c r="BF172" s="364">
        <f t="shared" ca="1" si="119"/>
        <v>0</v>
      </c>
      <c r="BG172" s="364">
        <f t="shared" ca="1" si="119"/>
        <v>0</v>
      </c>
      <c r="BH172" s="364">
        <f t="shared" ca="1" si="119"/>
        <v>0</v>
      </c>
      <c r="BI172" s="364">
        <f t="shared" ca="1" si="119"/>
        <v>0</v>
      </c>
      <c r="BJ172" s="364">
        <f t="shared" ca="1" si="119"/>
        <v>0</v>
      </c>
      <c r="BK172" s="364">
        <f t="shared" ca="1" si="119"/>
        <v>0</v>
      </c>
      <c r="BL172" s="364">
        <f t="shared" ca="1" si="119"/>
        <v>0</v>
      </c>
      <c r="BM172" s="364">
        <f t="shared" ca="1" si="119"/>
        <v>0</v>
      </c>
      <c r="BN172" s="364">
        <f t="shared" ca="1" si="119"/>
        <v>0</v>
      </c>
      <c r="BO172" s="364">
        <f t="shared" ca="1" si="119"/>
        <v>0</v>
      </c>
      <c r="BP172" s="364">
        <f t="shared" ca="1" si="119"/>
        <v>0</v>
      </c>
      <c r="BQ172" s="364">
        <f t="shared" ca="1" si="119"/>
        <v>0</v>
      </c>
      <c r="BR172" s="364">
        <f t="shared" ca="1" si="119"/>
        <v>0</v>
      </c>
      <c r="BS172" s="364">
        <f t="shared" ca="1" si="119"/>
        <v>0</v>
      </c>
      <c r="BT172" s="364">
        <f t="shared" ca="1" si="119"/>
        <v>0</v>
      </c>
      <c r="BU172" s="364">
        <f t="shared" ca="1" si="119"/>
        <v>0</v>
      </c>
      <c r="BV172" s="364">
        <f t="shared" ca="1" si="119"/>
        <v>0</v>
      </c>
      <c r="BW172" s="364">
        <f t="shared" ca="1" si="119"/>
        <v>0</v>
      </c>
      <c r="BX172" s="364">
        <f t="shared" ca="1" si="119"/>
        <v>0</v>
      </c>
      <c r="BY172" s="364">
        <f t="shared" ca="1" si="119"/>
        <v>0</v>
      </c>
      <c r="BZ172" s="364">
        <f t="shared" ca="1" si="119"/>
        <v>0</v>
      </c>
      <c r="CA172" s="364">
        <f t="shared" ca="1" si="119"/>
        <v>0</v>
      </c>
      <c r="CB172" s="364">
        <f t="shared" ca="1" si="119"/>
        <v>0</v>
      </c>
      <c r="CC172" s="364">
        <f t="shared" ca="1" si="119"/>
        <v>0</v>
      </c>
      <c r="CD172" s="364">
        <f t="shared" ca="1" si="119"/>
        <v>0</v>
      </c>
      <c r="CE172" s="364">
        <f t="shared" ca="1" si="119"/>
        <v>0</v>
      </c>
      <c r="CF172" s="364">
        <f t="shared" ca="1" si="119"/>
        <v>0</v>
      </c>
      <c r="CG172" s="364">
        <f t="shared" ca="1" si="119"/>
        <v>0</v>
      </c>
      <c r="CH172" s="364">
        <f t="shared" ca="1" si="119"/>
        <v>0</v>
      </c>
      <c r="CI172" s="364">
        <f t="shared" ca="1" si="119"/>
        <v>0</v>
      </c>
      <c r="CJ172" s="364">
        <f t="shared" ca="1" si="119"/>
        <v>0</v>
      </c>
      <c r="CK172" s="364">
        <f t="shared" ca="1" si="119"/>
        <v>0</v>
      </c>
      <c r="CL172" s="364">
        <f t="shared" ca="1" si="119"/>
        <v>0</v>
      </c>
      <c r="CM172" s="364">
        <f t="shared" ca="1" si="119"/>
        <v>0</v>
      </c>
      <c r="CN172" s="364">
        <f t="shared" ca="1" si="119"/>
        <v>0</v>
      </c>
      <c r="CO172" s="364">
        <f t="shared" ca="1" si="119"/>
        <v>0</v>
      </c>
      <c r="CP172" s="364">
        <f t="shared" ca="1" si="119"/>
        <v>0</v>
      </c>
      <c r="CQ172" s="8">
        <f t="shared" ca="1" si="119"/>
        <v>94952.931596091177</v>
      </c>
      <c r="CR172" s="364">
        <f t="shared" ca="1" si="119"/>
        <v>0</v>
      </c>
      <c r="CS172" s="364">
        <f t="shared" ca="1" si="119"/>
        <v>94952.931596091177</v>
      </c>
      <c r="CT172" s="233"/>
    </row>
    <row r="173" spans="2:98" x14ac:dyDescent="0.3">
      <c r="B173" s="232"/>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233"/>
      <c r="AN173" s="232"/>
      <c r="AO173" s="15"/>
      <c r="AP173" s="15"/>
      <c r="AQ173" s="15"/>
      <c r="AR173" s="15"/>
      <c r="AS173" s="15"/>
      <c r="AT173" s="15"/>
      <c r="AW173" s="15"/>
      <c r="AX173" s="15"/>
      <c r="AY173" s="15"/>
      <c r="AZ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233"/>
    </row>
    <row r="174" spans="2:98" x14ac:dyDescent="0.3">
      <c r="B174" s="285" t="s">
        <v>30</v>
      </c>
      <c r="C174" s="286"/>
      <c r="D174" s="287"/>
      <c r="E174" s="287"/>
      <c r="F174" s="287"/>
      <c r="G174" s="287"/>
      <c r="H174" s="287"/>
      <c r="I174" s="287"/>
      <c r="J174" s="287"/>
      <c r="K174" s="287"/>
      <c r="L174" s="287"/>
      <c r="M174" s="287"/>
      <c r="N174" s="287"/>
      <c r="O174" s="287"/>
      <c r="P174" s="287"/>
      <c r="Q174" s="286" t="str">
        <f>B174</f>
        <v>PROB</v>
      </c>
      <c r="R174" s="287"/>
      <c r="S174" s="287"/>
      <c r="T174" s="287"/>
      <c r="U174" s="287"/>
      <c r="V174" s="287"/>
      <c r="W174" s="287"/>
      <c r="X174" s="287"/>
      <c r="Y174" s="287"/>
      <c r="Z174" s="287"/>
      <c r="AA174" s="287"/>
      <c r="AB174" s="287"/>
      <c r="AC174" s="287"/>
      <c r="AD174" s="286" t="str">
        <f>Q174</f>
        <v>PROB</v>
      </c>
      <c r="AE174" s="287"/>
      <c r="AF174" s="287"/>
      <c r="AG174" s="287"/>
      <c r="AH174" s="287"/>
      <c r="AI174" s="287"/>
      <c r="AJ174" s="287"/>
      <c r="AK174" s="287"/>
      <c r="AL174" s="288"/>
      <c r="AN174" s="285" t="str">
        <f>B174&amp;" - Total Production (Net) (Mmcfe)"</f>
        <v>PROB - Total Production (Net) (Mmcfe)</v>
      </c>
      <c r="AO174" s="286"/>
      <c r="AP174" s="287"/>
      <c r="AQ174" s="287"/>
      <c r="AR174" s="287"/>
      <c r="AS174" s="287"/>
      <c r="AT174" s="287"/>
      <c r="AU174" s="286"/>
      <c r="AV174" s="286"/>
      <c r="AW174" s="286"/>
      <c r="AX174" s="287"/>
      <c r="AY174" s="287"/>
      <c r="AZ174" s="287"/>
      <c r="BA174" s="287"/>
      <c r="BB174" s="287"/>
      <c r="BC174" s="287"/>
      <c r="BD174" s="286"/>
      <c r="BE174" s="287"/>
      <c r="BF174" s="287"/>
      <c r="BG174" s="287"/>
      <c r="BH174" s="287"/>
      <c r="BI174" s="286"/>
      <c r="BJ174" s="287"/>
      <c r="BK174" s="287"/>
      <c r="BL174" s="287"/>
      <c r="BM174" s="287"/>
      <c r="BN174" s="287"/>
      <c r="BO174" s="287"/>
      <c r="BP174" s="287"/>
      <c r="BQ174" s="287"/>
      <c r="BR174" s="287"/>
      <c r="BS174" s="287"/>
      <c r="BT174" s="287"/>
      <c r="BU174" s="287"/>
      <c r="BV174" s="287"/>
      <c r="BW174" s="287"/>
      <c r="BX174" s="287"/>
      <c r="BY174" s="287"/>
      <c r="BZ174" s="287"/>
      <c r="CA174" s="287"/>
      <c r="CB174" s="287"/>
      <c r="CC174" s="287"/>
      <c r="CD174" s="287"/>
      <c r="CE174" s="287"/>
      <c r="CF174" s="287"/>
      <c r="CG174" s="287"/>
      <c r="CH174" s="287"/>
      <c r="CI174" s="287"/>
      <c r="CJ174" s="287"/>
      <c r="CK174" s="287"/>
      <c r="CL174" s="287"/>
      <c r="CM174" s="287"/>
      <c r="CN174" s="287"/>
      <c r="CO174" s="287"/>
      <c r="CP174" s="287"/>
      <c r="CQ174" s="287"/>
      <c r="CR174" s="287"/>
      <c r="CS174" s="287"/>
      <c r="CT174" s="288"/>
    </row>
    <row r="175" spans="2:98" x14ac:dyDescent="0.3">
      <c r="B175" s="232"/>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233"/>
      <c r="AN175" s="232"/>
      <c r="AQ175" s="289"/>
      <c r="AR175" s="15"/>
      <c r="AS175" s="15"/>
      <c r="AT175" s="15"/>
      <c r="AW175" s="15"/>
      <c r="AX175" s="15"/>
      <c r="AY175" s="15"/>
      <c r="AZ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233"/>
    </row>
    <row r="176" spans="2:98" x14ac:dyDescent="0.3">
      <c r="B176" s="232"/>
      <c r="C176" s="37" t="s">
        <v>277</v>
      </c>
      <c r="D176" s="23"/>
      <c r="E176" s="23"/>
      <c r="F176" s="23"/>
      <c r="G176" s="23"/>
      <c r="H176" s="261"/>
      <c r="I176" s="37" t="s">
        <v>15</v>
      </c>
      <c r="J176" s="23"/>
      <c r="K176" s="23"/>
      <c r="L176" s="15"/>
      <c r="M176" s="37" t="s">
        <v>278</v>
      </c>
      <c r="N176" s="23"/>
      <c r="O176" s="23"/>
      <c r="P176" s="15"/>
      <c r="Q176" s="37" t="s">
        <v>279</v>
      </c>
      <c r="R176" s="23"/>
      <c r="S176" s="23"/>
      <c r="T176" s="23"/>
      <c r="U176" s="15"/>
      <c r="V176" s="37" t="s">
        <v>280</v>
      </c>
      <c r="W176" s="23"/>
      <c r="X176" s="23"/>
      <c r="Y176" s="23"/>
      <c r="Z176" s="23"/>
      <c r="AA176" s="23"/>
      <c r="AB176" s="4"/>
      <c r="AC176" s="15"/>
      <c r="AD176" s="37" t="s">
        <v>281</v>
      </c>
      <c r="AE176" s="23"/>
      <c r="AF176" s="23"/>
      <c r="AG176" s="15"/>
      <c r="AH176" s="37" t="s">
        <v>282</v>
      </c>
      <c r="AI176" s="23"/>
      <c r="AJ176" s="23"/>
      <c r="AK176" s="23"/>
      <c r="AL176" s="233"/>
      <c r="AN176" s="232"/>
      <c r="AO176" s="15"/>
      <c r="AP176" s="15"/>
      <c r="AQ176" s="15"/>
      <c r="AR176" s="15"/>
      <c r="AS176" s="15"/>
      <c r="AT176" s="15"/>
      <c r="AW176" s="15"/>
      <c r="AX176" s="15"/>
      <c r="AY176" s="15"/>
      <c r="AZ176" s="338" t="s">
        <v>343</v>
      </c>
      <c r="BB176" s="339">
        <f t="array" aca="1" ref="BB176:CR176" ca="1">TRANSPOSE(AW29:AW71)*$AR$10</f>
        <v>0</v>
      </c>
      <c r="BC176" s="339">
        <f ca="1"/>
        <v>0</v>
      </c>
      <c r="BD176" s="339">
        <f ca="1"/>
        <v>0</v>
      </c>
      <c r="BE176" s="339">
        <f ca="1"/>
        <v>11</v>
      </c>
      <c r="BF176" s="339">
        <f ca="1"/>
        <v>47</v>
      </c>
      <c r="BG176" s="339">
        <f ca="1"/>
        <v>47</v>
      </c>
      <c r="BH176" s="339">
        <f ca="1"/>
        <v>47</v>
      </c>
      <c r="BI176" s="339">
        <f ca="1"/>
        <v>4</v>
      </c>
      <c r="BJ176" s="339">
        <f ca="1"/>
        <v>0</v>
      </c>
      <c r="BK176" s="339">
        <f ca="1"/>
        <v>0</v>
      </c>
      <c r="BL176" s="339">
        <f ca="1"/>
        <v>0</v>
      </c>
      <c r="BM176" s="339">
        <f ca="1"/>
        <v>0</v>
      </c>
      <c r="BN176" s="339">
        <f ca="1"/>
        <v>0</v>
      </c>
      <c r="BO176" s="339">
        <f ca="1"/>
        <v>0</v>
      </c>
      <c r="BP176" s="339">
        <f ca="1"/>
        <v>0</v>
      </c>
      <c r="BQ176" s="339">
        <f ca="1"/>
        <v>0</v>
      </c>
      <c r="BR176" s="339">
        <f ca="1"/>
        <v>0</v>
      </c>
      <c r="BS176" s="339">
        <f ca="1"/>
        <v>0</v>
      </c>
      <c r="BT176" s="339">
        <f ca="1"/>
        <v>0</v>
      </c>
      <c r="BU176" s="339">
        <f ca="1"/>
        <v>0</v>
      </c>
      <c r="BV176" s="339">
        <f ca="1"/>
        <v>0</v>
      </c>
      <c r="BW176" s="339">
        <f ca="1"/>
        <v>0</v>
      </c>
      <c r="BX176" s="339">
        <f ca="1"/>
        <v>0</v>
      </c>
      <c r="BY176" s="339">
        <f ca="1"/>
        <v>0</v>
      </c>
      <c r="BZ176" s="339">
        <f ca="1"/>
        <v>0</v>
      </c>
      <c r="CA176" s="339">
        <f ca="1"/>
        <v>0</v>
      </c>
      <c r="CB176" s="339">
        <f ca="1"/>
        <v>0</v>
      </c>
      <c r="CC176" s="339">
        <f ca="1"/>
        <v>0</v>
      </c>
      <c r="CD176" s="339">
        <f ca="1"/>
        <v>0</v>
      </c>
      <c r="CE176" s="339">
        <f ca="1"/>
        <v>0</v>
      </c>
      <c r="CF176" s="339">
        <f ca="1"/>
        <v>0</v>
      </c>
      <c r="CG176" s="339">
        <f ca="1"/>
        <v>0</v>
      </c>
      <c r="CH176" s="339">
        <f ca="1"/>
        <v>0</v>
      </c>
      <c r="CI176" s="339">
        <f ca="1"/>
        <v>0</v>
      </c>
      <c r="CJ176" s="339">
        <f ca="1"/>
        <v>0</v>
      </c>
      <c r="CK176" s="339">
        <f ca="1"/>
        <v>0</v>
      </c>
      <c r="CL176" s="339">
        <f ca="1"/>
        <v>0</v>
      </c>
      <c r="CM176" s="339">
        <f ca="1"/>
        <v>0</v>
      </c>
      <c r="CN176" s="339">
        <f ca="1"/>
        <v>0</v>
      </c>
      <c r="CO176" s="339">
        <f ca="1"/>
        <v>0</v>
      </c>
      <c r="CP176" s="339">
        <f ca="1"/>
        <v>0</v>
      </c>
      <c r="CQ176" s="339">
        <f ca="1"/>
        <v>156</v>
      </c>
      <c r="CR176" s="340">
        <f ca="1"/>
        <v>0</v>
      </c>
      <c r="CS176" s="340">
        <f ca="1">SUM(CQ176:CR176)</f>
        <v>156</v>
      </c>
      <c r="CT176" s="233"/>
    </row>
    <row r="177" spans="2:98" x14ac:dyDescent="0.3">
      <c r="B177" s="232"/>
      <c r="C177" s="250"/>
      <c r="D177" s="250" t="s">
        <v>10</v>
      </c>
      <c r="E177" s="250" t="s">
        <v>11</v>
      </c>
      <c r="F177" s="250" t="s">
        <v>245</v>
      </c>
      <c r="G177" s="250" t="s">
        <v>12</v>
      </c>
      <c r="H177" s="261"/>
      <c r="I177" s="262" t="s">
        <v>10</v>
      </c>
      <c r="J177" s="262" t="s">
        <v>11</v>
      </c>
      <c r="K177" s="262" t="s">
        <v>245</v>
      </c>
      <c r="L177" s="15"/>
      <c r="M177" s="262" t="s">
        <v>10</v>
      </c>
      <c r="N177" s="262" t="s">
        <v>11</v>
      </c>
      <c r="O177" s="262" t="s">
        <v>245</v>
      </c>
      <c r="P177" s="15"/>
      <c r="Q177" s="262" t="s">
        <v>10</v>
      </c>
      <c r="R177" s="262" t="s">
        <v>11</v>
      </c>
      <c r="S177" s="262" t="s">
        <v>245</v>
      </c>
      <c r="T177" s="262" t="s">
        <v>12</v>
      </c>
      <c r="U177" s="15"/>
      <c r="V177" s="262" t="s">
        <v>283</v>
      </c>
      <c r="W177" s="262" t="s">
        <v>283</v>
      </c>
      <c r="X177" s="262" t="s">
        <v>284</v>
      </c>
      <c r="Y177" s="262" t="s">
        <v>284</v>
      </c>
      <c r="Z177" s="262" t="s">
        <v>285</v>
      </c>
      <c r="AA177" s="262" t="s">
        <v>285</v>
      </c>
      <c r="AB177" s="262" t="s">
        <v>12</v>
      </c>
      <c r="AC177" s="15"/>
      <c r="AD177" s="262" t="s">
        <v>286</v>
      </c>
      <c r="AE177" s="262" t="s">
        <v>287</v>
      </c>
      <c r="AF177" s="262" t="s">
        <v>281</v>
      </c>
      <c r="AG177" s="15"/>
      <c r="AH177" s="262"/>
      <c r="AI177" s="262" t="s">
        <v>288</v>
      </c>
      <c r="AJ177" s="262" t="s">
        <v>288</v>
      </c>
      <c r="AK177" s="262" t="s">
        <v>289</v>
      </c>
      <c r="AL177" s="233"/>
      <c r="AN177" s="232"/>
      <c r="AO177" s="18"/>
      <c r="AP177" s="37" t="s">
        <v>344</v>
      </c>
      <c r="AQ177" s="331"/>
      <c r="AR177" s="331"/>
      <c r="AS177" s="11" t="s">
        <v>12</v>
      </c>
      <c r="AT177" s="15"/>
      <c r="AW177" s="37" t="s">
        <v>346</v>
      </c>
      <c r="AX177" s="331"/>
      <c r="AY177" s="331"/>
      <c r="AZ177" s="11" t="s">
        <v>12</v>
      </c>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233"/>
    </row>
    <row r="178" spans="2:98" x14ac:dyDescent="0.3">
      <c r="B178" s="232"/>
      <c r="C178" s="13" t="s">
        <v>9</v>
      </c>
      <c r="D178" s="13" t="s">
        <v>307</v>
      </c>
      <c r="E178" s="13" t="s">
        <v>308</v>
      </c>
      <c r="F178" s="13" t="s">
        <v>308</v>
      </c>
      <c r="G178" s="13" t="s">
        <v>248</v>
      </c>
      <c r="H178" s="4"/>
      <c r="I178" s="13" t="s">
        <v>24</v>
      </c>
      <c r="J178" s="13" t="s">
        <v>25</v>
      </c>
      <c r="K178" s="13" t="s">
        <v>25</v>
      </c>
      <c r="L178" s="4"/>
      <c r="M178" s="13" t="s">
        <v>24</v>
      </c>
      <c r="N178" s="13" t="s">
        <v>25</v>
      </c>
      <c r="O178" s="13" t="s">
        <v>25</v>
      </c>
      <c r="P178" s="4"/>
      <c r="Q178" s="13" t="s">
        <v>293</v>
      </c>
      <c r="R178" s="13" t="s">
        <v>293</v>
      </c>
      <c r="S178" s="13" t="s">
        <v>293</v>
      </c>
      <c r="T178" s="13" t="s">
        <v>293</v>
      </c>
      <c r="U178" s="4"/>
      <c r="V178" s="13" t="s">
        <v>294</v>
      </c>
      <c r="W178" s="13" t="s">
        <v>293</v>
      </c>
      <c r="X178" s="13" t="s">
        <v>294</v>
      </c>
      <c r="Y178" s="13" t="s">
        <v>293</v>
      </c>
      <c r="Z178" s="13" t="s">
        <v>294</v>
      </c>
      <c r="AA178" s="13" t="s">
        <v>293</v>
      </c>
      <c r="AB178" s="13" t="s">
        <v>293</v>
      </c>
      <c r="AC178" s="4"/>
      <c r="AD178" s="13" t="s">
        <v>293</v>
      </c>
      <c r="AE178" s="13" t="s">
        <v>293</v>
      </c>
      <c r="AF178" s="13" t="s">
        <v>293</v>
      </c>
      <c r="AG178" s="4"/>
      <c r="AH178" s="13" t="s">
        <v>295</v>
      </c>
      <c r="AI178" s="13" t="s">
        <v>296</v>
      </c>
      <c r="AJ178" s="13" t="s">
        <v>297</v>
      </c>
      <c r="AK178" s="13" t="s">
        <v>293</v>
      </c>
      <c r="AL178" s="233"/>
      <c r="AN178" s="232"/>
      <c r="AO178" s="24" t="s">
        <v>296</v>
      </c>
      <c r="AP178" s="24" t="s">
        <v>347</v>
      </c>
      <c r="AQ178" s="24" t="s">
        <v>351</v>
      </c>
      <c r="AR178" s="24" t="s">
        <v>352</v>
      </c>
      <c r="AS178" s="343" t="s">
        <v>169</v>
      </c>
      <c r="AT178" s="15"/>
      <c r="AW178" s="24" t="s">
        <v>347</v>
      </c>
      <c r="AX178" s="24" t="s">
        <v>351</v>
      </c>
      <c r="AY178" s="24" t="s">
        <v>352</v>
      </c>
      <c r="AZ178" s="343" t="s">
        <v>169</v>
      </c>
      <c r="BB178" s="353">
        <f>BB128</f>
        <v>0</v>
      </c>
      <c r="BC178" s="13">
        <f t="shared" ref="BC178:CS178" si="120">BC128</f>
        <v>1</v>
      </c>
      <c r="BD178" s="13">
        <f t="shared" si="120"/>
        <v>2</v>
      </c>
      <c r="BE178" s="13">
        <f t="shared" si="120"/>
        <v>3</v>
      </c>
      <c r="BF178" s="13">
        <f t="shared" si="120"/>
        <v>4</v>
      </c>
      <c r="BG178" s="13">
        <f t="shared" si="120"/>
        <v>5</v>
      </c>
      <c r="BH178" s="13">
        <f t="shared" si="120"/>
        <v>6</v>
      </c>
      <c r="BI178" s="13">
        <f t="shared" si="120"/>
        <v>7</v>
      </c>
      <c r="BJ178" s="13">
        <f t="shared" si="120"/>
        <v>8</v>
      </c>
      <c r="BK178" s="13">
        <f t="shared" si="120"/>
        <v>9</v>
      </c>
      <c r="BL178" s="13">
        <f t="shared" si="120"/>
        <v>10</v>
      </c>
      <c r="BM178" s="13">
        <f t="shared" si="120"/>
        <v>11</v>
      </c>
      <c r="BN178" s="13">
        <f t="shared" si="120"/>
        <v>12</v>
      </c>
      <c r="BO178" s="13">
        <f t="shared" si="120"/>
        <v>13</v>
      </c>
      <c r="BP178" s="13">
        <f t="shared" si="120"/>
        <v>14</v>
      </c>
      <c r="BQ178" s="13">
        <f t="shared" si="120"/>
        <v>15</v>
      </c>
      <c r="BR178" s="13">
        <f t="shared" si="120"/>
        <v>16</v>
      </c>
      <c r="BS178" s="13">
        <f t="shared" si="120"/>
        <v>17</v>
      </c>
      <c r="BT178" s="13">
        <f t="shared" si="120"/>
        <v>18</v>
      </c>
      <c r="BU178" s="13">
        <f t="shared" si="120"/>
        <v>19</v>
      </c>
      <c r="BV178" s="13">
        <f t="shared" si="120"/>
        <v>20</v>
      </c>
      <c r="BW178" s="13">
        <f t="shared" si="120"/>
        <v>21</v>
      </c>
      <c r="BX178" s="13">
        <f t="shared" si="120"/>
        <v>22</v>
      </c>
      <c r="BY178" s="13">
        <f t="shared" si="120"/>
        <v>23</v>
      </c>
      <c r="BZ178" s="13">
        <f t="shared" si="120"/>
        <v>24</v>
      </c>
      <c r="CA178" s="13">
        <f t="shared" si="120"/>
        <v>25</v>
      </c>
      <c r="CB178" s="13">
        <f t="shared" si="120"/>
        <v>26</v>
      </c>
      <c r="CC178" s="13">
        <f t="shared" si="120"/>
        <v>27</v>
      </c>
      <c r="CD178" s="13">
        <f t="shared" si="120"/>
        <v>28</v>
      </c>
      <c r="CE178" s="13">
        <f t="shared" si="120"/>
        <v>29</v>
      </c>
      <c r="CF178" s="13">
        <f t="shared" si="120"/>
        <v>30</v>
      </c>
      <c r="CG178" s="13">
        <f t="shared" si="120"/>
        <v>31</v>
      </c>
      <c r="CH178" s="13">
        <f t="shared" si="120"/>
        <v>32</v>
      </c>
      <c r="CI178" s="13">
        <f t="shared" si="120"/>
        <v>33</v>
      </c>
      <c r="CJ178" s="13">
        <f t="shared" si="120"/>
        <v>34</v>
      </c>
      <c r="CK178" s="13">
        <f t="shared" si="120"/>
        <v>35</v>
      </c>
      <c r="CL178" s="13">
        <f t="shared" si="120"/>
        <v>36</v>
      </c>
      <c r="CM178" s="13">
        <f t="shared" si="120"/>
        <v>37</v>
      </c>
      <c r="CN178" s="13">
        <f t="shared" si="120"/>
        <v>38</v>
      </c>
      <c r="CO178" s="13">
        <f t="shared" si="120"/>
        <v>39</v>
      </c>
      <c r="CP178" s="13">
        <f t="shared" si="120"/>
        <v>40</v>
      </c>
      <c r="CQ178" s="11" t="str">
        <f t="shared" si="120"/>
        <v>Subtotal</v>
      </c>
      <c r="CR178" s="11" t="str">
        <f t="shared" si="120"/>
        <v>Remainder</v>
      </c>
      <c r="CS178" s="11" t="str">
        <f t="shared" si="120"/>
        <v>Total</v>
      </c>
      <c r="CT178" s="233"/>
    </row>
    <row r="179" spans="2:98" x14ac:dyDescent="0.3">
      <c r="B179" s="232"/>
      <c r="C179" s="250">
        <f>YEAR(FY_Date)</f>
        <v>2013</v>
      </c>
      <c r="D179" s="263">
        <f ca="1">$G179*$M$12</f>
        <v>0</v>
      </c>
      <c r="E179" s="263">
        <f t="shared" ref="E179:E219" ca="1" si="121">$G179*$M$14/Bbl_to_Mcfe</f>
        <v>0</v>
      </c>
      <c r="F179" s="263">
        <f t="shared" ref="F179:F219" ca="1" si="122">$G179*$M$13/Bbl_to_Mcfe</f>
        <v>0</v>
      </c>
      <c r="G179" s="263">
        <f ca="1">CS179*$AQ$10</f>
        <v>0</v>
      </c>
      <c r="H179" s="15"/>
      <c r="I179" s="264">
        <f ca="1">Assumptions!O$63</f>
        <v>3.7</v>
      </c>
      <c r="J179" s="264">
        <f ca="1">Assumptions!P$63</f>
        <v>101</v>
      </c>
      <c r="K179" s="264">
        <f t="shared" ref="K179:K219" ca="1" si="123">J179*$R$7</f>
        <v>50.5</v>
      </c>
      <c r="L179" s="15"/>
      <c r="M179" s="51">
        <f ca="1">I179*$R$5</f>
        <v>3.4779999999999998</v>
      </c>
      <c r="N179" s="51">
        <f t="shared" ref="N179:N219" ca="1" si="124">J179*$R$6</f>
        <v>80.800000000000011</v>
      </c>
      <c r="O179" s="51">
        <f t="shared" ref="O179:O219" ca="1" si="125">N179*$R$7</f>
        <v>40.400000000000006</v>
      </c>
      <c r="P179" s="15"/>
      <c r="Q179" s="265">
        <f ca="1">D179*M179</f>
        <v>0</v>
      </c>
      <c r="R179" s="265">
        <f ca="1">E179*N179</f>
        <v>0</v>
      </c>
      <c r="S179" s="265">
        <f ca="1">F179*O179</f>
        <v>0</v>
      </c>
      <c r="T179" s="265">
        <f ca="1">SUM(Q179:S179)</f>
        <v>0</v>
      </c>
      <c r="U179" s="15"/>
      <c r="V179" s="51">
        <f>$M$18</f>
        <v>0.7</v>
      </c>
      <c r="W179" s="265">
        <f ca="1">V179*$G179/(1-$M$6)</f>
        <v>0</v>
      </c>
      <c r="X179" s="51">
        <f>$M$17</f>
        <v>0.222</v>
      </c>
      <c r="Y179" s="265">
        <f ca="1">X179*$G179/(1-$M$6)</f>
        <v>0</v>
      </c>
      <c r="Z179" s="51">
        <f>$M$19</f>
        <v>0.34799999999999998</v>
      </c>
      <c r="AA179" s="265">
        <f ca="1">Z179*$G179/(1-$M$6)</f>
        <v>0</v>
      </c>
      <c r="AB179" s="265">
        <f ca="1">W179+Y179+AA179</f>
        <v>0</v>
      </c>
      <c r="AC179" s="15"/>
      <c r="AD179" s="265">
        <f ca="1">T179-AB179</f>
        <v>0</v>
      </c>
      <c r="AE179" s="265">
        <f t="array" aca="1" ref="AE179:AE219" ca="1">TRANSPOSE(BB176:CP176)*$M$9*$AQ$10*Units</f>
        <v>0</v>
      </c>
      <c r="AF179" s="265">
        <f ca="1">AD179-AE179</f>
        <v>0</v>
      </c>
      <c r="AG179" s="15"/>
      <c r="AH179" s="272">
        <f>FY_Date</f>
        <v>41639</v>
      </c>
      <c r="AI179" s="267">
        <f t="shared" ref="AI179:AI219" si="126">DAYS360(Valuation_Date,AH179)/360-MIN(0.5,0.5*DAYS360(Valuation_Date,AH179)/360)</f>
        <v>8.3333333333333329E-2</v>
      </c>
      <c r="AJ179" s="267">
        <f t="shared" ref="AJ179:AJ219" si="127">1/((1+Discount_Rate)^AI179)</f>
        <v>0.99208894344699095</v>
      </c>
      <c r="AK179" s="265">
        <f ca="1">AJ179*AF179*Stub_Per_Adj</f>
        <v>0</v>
      </c>
      <c r="AL179" s="233"/>
      <c r="AN179" s="232"/>
      <c r="AO179" s="290">
        <f>AO129</f>
        <v>0</v>
      </c>
      <c r="AP179" s="34">
        <f t="shared" ref="AP179:AS179" ca="1" si="128">AP129</f>
        <v>0</v>
      </c>
      <c r="AQ179" s="34">
        <f t="shared" ca="1" si="128"/>
        <v>30.002999999999997</v>
      </c>
      <c r="AR179" s="34">
        <f t="shared" ca="1" si="128"/>
        <v>0</v>
      </c>
      <c r="AS179" s="34">
        <f t="shared" ca="1" si="128"/>
        <v>180.01799999999997</v>
      </c>
      <c r="AT179" s="15"/>
      <c r="AW179" s="34">
        <f t="shared" ref="AW179:AW219" ca="1" si="129">AP179*(1-$M$6)</f>
        <v>0</v>
      </c>
      <c r="AX179" s="34">
        <f t="shared" ref="AX179:AX219" ca="1" si="130">AQ179*(1-$M$6)</f>
        <v>24.752474999999997</v>
      </c>
      <c r="AY179" s="34">
        <f t="shared" ref="AY179:AY219" ca="1" si="131">AR179*(1-$M$6)</f>
        <v>0</v>
      </c>
      <c r="AZ179" s="34">
        <f t="shared" ref="AZ179:AZ219" ca="1" si="132">AS179*(1-$M$6)</f>
        <v>148.51484999999997</v>
      </c>
      <c r="BB179" s="34">
        <f t="shared" ref="BB179:BK188" ca="1" si="133">IF($AO179&lt;BB$178,0,OFFSET($AZ$178,$AO179-BB$178+1,0)*BB$176)</f>
        <v>0</v>
      </c>
      <c r="BC179" s="34">
        <f t="shared" ca="1" si="133"/>
        <v>0</v>
      </c>
      <c r="BD179" s="34">
        <f t="shared" ca="1" si="133"/>
        <v>0</v>
      </c>
      <c r="BE179" s="34">
        <f t="shared" ca="1" si="133"/>
        <v>0</v>
      </c>
      <c r="BF179" s="34">
        <f t="shared" ca="1" si="133"/>
        <v>0</v>
      </c>
      <c r="BG179" s="34">
        <f t="shared" ca="1" si="133"/>
        <v>0</v>
      </c>
      <c r="BH179" s="34">
        <f t="shared" ca="1" si="133"/>
        <v>0</v>
      </c>
      <c r="BI179" s="34">
        <f t="shared" ca="1" si="133"/>
        <v>0</v>
      </c>
      <c r="BJ179" s="34">
        <f t="shared" ca="1" si="133"/>
        <v>0</v>
      </c>
      <c r="BK179" s="34">
        <f t="shared" ca="1" si="133"/>
        <v>0</v>
      </c>
      <c r="BL179" s="34">
        <f t="shared" ref="BL179:BU188" ca="1" si="134">IF($AO179&lt;BL$178,0,OFFSET($AZ$178,$AO179-BL$178+1,0)*BL$176)</f>
        <v>0</v>
      </c>
      <c r="BM179" s="34">
        <f t="shared" ca="1" si="134"/>
        <v>0</v>
      </c>
      <c r="BN179" s="34">
        <f t="shared" ca="1" si="134"/>
        <v>0</v>
      </c>
      <c r="BO179" s="34">
        <f t="shared" ca="1" si="134"/>
        <v>0</v>
      </c>
      <c r="BP179" s="34">
        <f t="shared" ca="1" si="134"/>
        <v>0</v>
      </c>
      <c r="BQ179" s="34">
        <f t="shared" ca="1" si="134"/>
        <v>0</v>
      </c>
      <c r="BR179" s="34">
        <f t="shared" ca="1" si="134"/>
        <v>0</v>
      </c>
      <c r="BS179" s="34">
        <f t="shared" ca="1" si="134"/>
        <v>0</v>
      </c>
      <c r="BT179" s="34">
        <f t="shared" ca="1" si="134"/>
        <v>0</v>
      </c>
      <c r="BU179" s="34">
        <f t="shared" ca="1" si="134"/>
        <v>0</v>
      </c>
      <c r="BV179" s="34">
        <f t="shared" ref="BV179:CE188" ca="1" si="135">IF($AO179&lt;BV$178,0,OFFSET($AZ$178,$AO179-BV$178+1,0)*BV$176)</f>
        <v>0</v>
      </c>
      <c r="BW179" s="34">
        <f t="shared" ca="1" si="135"/>
        <v>0</v>
      </c>
      <c r="BX179" s="34">
        <f t="shared" ca="1" si="135"/>
        <v>0</v>
      </c>
      <c r="BY179" s="34">
        <f t="shared" ca="1" si="135"/>
        <v>0</v>
      </c>
      <c r="BZ179" s="34">
        <f t="shared" ca="1" si="135"/>
        <v>0</v>
      </c>
      <c r="CA179" s="34">
        <f t="shared" ca="1" si="135"/>
        <v>0</v>
      </c>
      <c r="CB179" s="34">
        <f t="shared" ca="1" si="135"/>
        <v>0</v>
      </c>
      <c r="CC179" s="34">
        <f t="shared" ca="1" si="135"/>
        <v>0</v>
      </c>
      <c r="CD179" s="34">
        <f t="shared" ca="1" si="135"/>
        <v>0</v>
      </c>
      <c r="CE179" s="34">
        <f t="shared" ca="1" si="135"/>
        <v>0</v>
      </c>
      <c r="CF179" s="34">
        <f t="shared" ref="CF179:CP188" ca="1" si="136">IF($AO179&lt;CF$178,0,OFFSET($AZ$178,$AO179-CF$178+1,0)*CF$176)</f>
        <v>0</v>
      </c>
      <c r="CG179" s="34">
        <f t="shared" ca="1" si="136"/>
        <v>0</v>
      </c>
      <c r="CH179" s="34">
        <f t="shared" ca="1" si="136"/>
        <v>0</v>
      </c>
      <c r="CI179" s="34">
        <f t="shared" ca="1" si="136"/>
        <v>0</v>
      </c>
      <c r="CJ179" s="34">
        <f t="shared" ca="1" si="136"/>
        <v>0</v>
      </c>
      <c r="CK179" s="34">
        <f t="shared" ca="1" si="136"/>
        <v>0</v>
      </c>
      <c r="CL179" s="34">
        <f t="shared" ca="1" si="136"/>
        <v>0</v>
      </c>
      <c r="CM179" s="34">
        <f t="shared" ca="1" si="136"/>
        <v>0</v>
      </c>
      <c r="CN179" s="34">
        <f t="shared" ca="1" si="136"/>
        <v>0</v>
      </c>
      <c r="CO179" s="34">
        <f t="shared" ca="1" si="136"/>
        <v>0</v>
      </c>
      <c r="CP179" s="34">
        <f t="shared" ca="1" si="136"/>
        <v>0</v>
      </c>
      <c r="CQ179" s="34">
        <f ca="1">SUM(BB179:CP179)</f>
        <v>0</v>
      </c>
      <c r="CR179" s="363">
        <v>0</v>
      </c>
      <c r="CS179" s="34">
        <f ca="1">SUM(CQ179:CR179)</f>
        <v>0</v>
      </c>
      <c r="CT179" s="233"/>
    </row>
    <row r="180" spans="2:98" x14ac:dyDescent="0.3">
      <c r="B180" s="232"/>
      <c r="C180" s="270">
        <f>C179+1</f>
        <v>2014</v>
      </c>
      <c r="D180" s="263">
        <f t="shared" ref="D180:D222" ca="1" si="137">$G180*$M$12</f>
        <v>0</v>
      </c>
      <c r="E180" s="263">
        <f t="shared" ca="1" si="121"/>
        <v>0</v>
      </c>
      <c r="F180" s="263">
        <f t="shared" ca="1" si="122"/>
        <v>0</v>
      </c>
      <c r="G180" s="263">
        <f t="shared" ref="G180:G219" ca="1" si="138">CS180*$AQ$10</f>
        <v>0</v>
      </c>
      <c r="H180" s="15"/>
      <c r="I180" s="271">
        <f ca="1">Assumptions!O$64</f>
        <v>3.8</v>
      </c>
      <c r="J180" s="271">
        <f ca="1">Assumptions!P$64</f>
        <v>92</v>
      </c>
      <c r="K180" s="271">
        <f t="shared" ca="1" si="123"/>
        <v>46</v>
      </c>
      <c r="L180" s="15"/>
      <c r="M180" s="35">
        <f t="shared" ref="M180:M219" ca="1" si="139">I180*$R$5</f>
        <v>3.5719999999999996</v>
      </c>
      <c r="N180" s="35">
        <f t="shared" ca="1" si="124"/>
        <v>73.600000000000009</v>
      </c>
      <c r="O180" s="35">
        <f t="shared" ca="1" si="125"/>
        <v>36.800000000000004</v>
      </c>
      <c r="P180" s="15"/>
      <c r="Q180" s="34">
        <f t="shared" ref="Q180:S219" ca="1" si="140">D180*M180</f>
        <v>0</v>
      </c>
      <c r="R180" s="34">
        <f t="shared" ca="1" si="140"/>
        <v>0</v>
      </c>
      <c r="S180" s="34">
        <f t="shared" ca="1" si="140"/>
        <v>0</v>
      </c>
      <c r="T180" s="34">
        <f t="shared" ref="T180:T220" ca="1" si="141">SUM(Q180:S180)</f>
        <v>0</v>
      </c>
      <c r="U180" s="15"/>
      <c r="V180" s="35">
        <f t="shared" ref="V180:V219" si="142">$M$18</f>
        <v>0.7</v>
      </c>
      <c r="W180" s="34">
        <f t="shared" ref="W180:W217" ca="1" si="143">V180*$G180/(1-$M$6)</f>
        <v>0</v>
      </c>
      <c r="X180" s="35">
        <f t="shared" ref="X180:X219" si="144">$M$17</f>
        <v>0.222</v>
      </c>
      <c r="Y180" s="34">
        <f t="shared" ref="Y180:Y219" ca="1" si="145">X180*$G180/(1-$M$6)</f>
        <v>0</v>
      </c>
      <c r="Z180" s="35">
        <f t="shared" ref="Z180:Z219" si="146">$M$19</f>
        <v>0.34799999999999998</v>
      </c>
      <c r="AA180" s="34">
        <f t="shared" ref="AA180:AA219" ca="1" si="147">Z180*$G180/(1-$M$6)</f>
        <v>0</v>
      </c>
      <c r="AB180" s="34">
        <f t="shared" ref="AB180:AB219" ca="1" si="148">W180+Y180+AA180</f>
        <v>0</v>
      </c>
      <c r="AC180" s="15"/>
      <c r="AD180" s="34">
        <f t="shared" ref="AD180:AD219" ca="1" si="149">T180-AB180</f>
        <v>0</v>
      </c>
      <c r="AE180" s="34">
        <f ca="1"/>
        <v>0</v>
      </c>
      <c r="AF180" s="34">
        <f t="shared" ref="AF180:AF219" ca="1" si="150">AD180-AE180</f>
        <v>0</v>
      </c>
      <c r="AG180" s="15"/>
      <c r="AH180" s="272">
        <f>EOMONTH(AH179,12)</f>
        <v>42004</v>
      </c>
      <c r="AI180" s="267">
        <f t="shared" si="126"/>
        <v>0.66666666666666674</v>
      </c>
      <c r="AJ180" s="267">
        <f t="shared" si="127"/>
        <v>0.93843646859669738</v>
      </c>
      <c r="AK180" s="34">
        <f ca="1">AJ180*AF180</f>
        <v>0</v>
      </c>
      <c r="AL180" s="233"/>
      <c r="AN180" s="232"/>
      <c r="AO180" s="237">
        <f t="shared" ref="AO180:AS195" si="151">AO130</f>
        <v>1</v>
      </c>
      <c r="AP180" s="34">
        <f t="shared" ca="1" si="151"/>
        <v>0</v>
      </c>
      <c r="AQ180" s="34">
        <f t="shared" ca="1" si="151"/>
        <v>15.001499999999998</v>
      </c>
      <c r="AR180" s="34">
        <f t="shared" ca="1" si="151"/>
        <v>0</v>
      </c>
      <c r="AS180" s="34">
        <f t="shared" ca="1" si="151"/>
        <v>90.008999999999986</v>
      </c>
      <c r="AT180" s="15"/>
      <c r="AW180" s="34">
        <f t="shared" ca="1" si="129"/>
        <v>0</v>
      </c>
      <c r="AX180" s="34">
        <f t="shared" ca="1" si="130"/>
        <v>12.376237499999998</v>
      </c>
      <c r="AY180" s="34">
        <f t="shared" ca="1" si="131"/>
        <v>0</v>
      </c>
      <c r="AZ180" s="34">
        <f t="shared" ca="1" si="132"/>
        <v>74.257424999999984</v>
      </c>
      <c r="BB180" s="34">
        <f t="shared" ca="1" si="133"/>
        <v>0</v>
      </c>
      <c r="BC180" s="34">
        <f t="shared" ca="1" si="133"/>
        <v>0</v>
      </c>
      <c r="BD180" s="34">
        <f t="shared" ca="1" si="133"/>
        <v>0</v>
      </c>
      <c r="BE180" s="34">
        <f t="shared" ca="1" si="133"/>
        <v>0</v>
      </c>
      <c r="BF180" s="34">
        <f t="shared" ca="1" si="133"/>
        <v>0</v>
      </c>
      <c r="BG180" s="34">
        <f t="shared" ca="1" si="133"/>
        <v>0</v>
      </c>
      <c r="BH180" s="34">
        <f t="shared" ca="1" si="133"/>
        <v>0</v>
      </c>
      <c r="BI180" s="34">
        <f t="shared" ca="1" si="133"/>
        <v>0</v>
      </c>
      <c r="BJ180" s="34">
        <f t="shared" ca="1" si="133"/>
        <v>0</v>
      </c>
      <c r="BK180" s="34">
        <f t="shared" ca="1" si="133"/>
        <v>0</v>
      </c>
      <c r="BL180" s="34">
        <f t="shared" ca="1" si="134"/>
        <v>0</v>
      </c>
      <c r="BM180" s="34">
        <f t="shared" ca="1" si="134"/>
        <v>0</v>
      </c>
      <c r="BN180" s="34">
        <f t="shared" ca="1" si="134"/>
        <v>0</v>
      </c>
      <c r="BO180" s="34">
        <f t="shared" ca="1" si="134"/>
        <v>0</v>
      </c>
      <c r="BP180" s="34">
        <f t="shared" ca="1" si="134"/>
        <v>0</v>
      </c>
      <c r="BQ180" s="34">
        <f t="shared" ca="1" si="134"/>
        <v>0</v>
      </c>
      <c r="BR180" s="34">
        <f t="shared" ca="1" si="134"/>
        <v>0</v>
      </c>
      <c r="BS180" s="34">
        <f t="shared" ca="1" si="134"/>
        <v>0</v>
      </c>
      <c r="BT180" s="34">
        <f t="shared" ca="1" si="134"/>
        <v>0</v>
      </c>
      <c r="BU180" s="34">
        <f t="shared" ca="1" si="134"/>
        <v>0</v>
      </c>
      <c r="BV180" s="34">
        <f t="shared" ca="1" si="135"/>
        <v>0</v>
      </c>
      <c r="BW180" s="34">
        <f t="shared" ca="1" si="135"/>
        <v>0</v>
      </c>
      <c r="BX180" s="34">
        <f t="shared" ca="1" si="135"/>
        <v>0</v>
      </c>
      <c r="BY180" s="34">
        <f t="shared" ca="1" si="135"/>
        <v>0</v>
      </c>
      <c r="BZ180" s="34">
        <f t="shared" ca="1" si="135"/>
        <v>0</v>
      </c>
      <c r="CA180" s="34">
        <f t="shared" ca="1" si="135"/>
        <v>0</v>
      </c>
      <c r="CB180" s="34">
        <f t="shared" ca="1" si="135"/>
        <v>0</v>
      </c>
      <c r="CC180" s="34">
        <f t="shared" ca="1" si="135"/>
        <v>0</v>
      </c>
      <c r="CD180" s="34">
        <f t="shared" ca="1" si="135"/>
        <v>0</v>
      </c>
      <c r="CE180" s="34">
        <f t="shared" ca="1" si="135"/>
        <v>0</v>
      </c>
      <c r="CF180" s="34">
        <f t="shared" ca="1" si="136"/>
        <v>0</v>
      </c>
      <c r="CG180" s="34">
        <f t="shared" ca="1" si="136"/>
        <v>0</v>
      </c>
      <c r="CH180" s="34">
        <f t="shared" ca="1" si="136"/>
        <v>0</v>
      </c>
      <c r="CI180" s="34">
        <f t="shared" ca="1" si="136"/>
        <v>0</v>
      </c>
      <c r="CJ180" s="34">
        <f t="shared" ca="1" si="136"/>
        <v>0</v>
      </c>
      <c r="CK180" s="34">
        <f t="shared" ca="1" si="136"/>
        <v>0</v>
      </c>
      <c r="CL180" s="34">
        <f t="shared" ca="1" si="136"/>
        <v>0</v>
      </c>
      <c r="CM180" s="34">
        <f t="shared" ca="1" si="136"/>
        <v>0</v>
      </c>
      <c r="CN180" s="34">
        <f t="shared" ca="1" si="136"/>
        <v>0</v>
      </c>
      <c r="CO180" s="34">
        <f t="shared" ca="1" si="136"/>
        <v>0</v>
      </c>
      <c r="CP180" s="34">
        <f t="shared" ca="1" si="136"/>
        <v>0</v>
      </c>
      <c r="CQ180" s="34">
        <f t="shared" ref="CQ180:CQ219" ca="1" si="152">SUM(BB180:CP180)</f>
        <v>0</v>
      </c>
      <c r="CR180" s="363">
        <v>0</v>
      </c>
      <c r="CS180" s="34">
        <f t="shared" ref="CS180:CS219" ca="1" si="153">SUM(CQ180:CR180)</f>
        <v>0</v>
      </c>
      <c r="CT180" s="233"/>
    </row>
    <row r="181" spans="2:98" x14ac:dyDescent="0.3">
      <c r="B181" s="232"/>
      <c r="C181" s="250">
        <f t="shared" ref="C181:C219" si="154">C180+1</f>
        <v>2015</v>
      </c>
      <c r="D181" s="263">
        <f t="shared" ca="1" si="137"/>
        <v>0</v>
      </c>
      <c r="E181" s="263">
        <f t="shared" ca="1" si="121"/>
        <v>0</v>
      </c>
      <c r="F181" s="263">
        <f t="shared" ca="1" si="122"/>
        <v>0</v>
      </c>
      <c r="G181" s="263">
        <f t="shared" ca="1" si="138"/>
        <v>0</v>
      </c>
      <c r="H181" s="15"/>
      <c r="I181" s="271">
        <f ca="1">Assumptions!O$65</f>
        <v>4</v>
      </c>
      <c r="J181" s="271">
        <f ca="1">Assumptions!P$65</f>
        <v>88</v>
      </c>
      <c r="K181" s="271">
        <f t="shared" ca="1" si="123"/>
        <v>44</v>
      </c>
      <c r="L181" s="15"/>
      <c r="M181" s="35">
        <f t="shared" ca="1" si="139"/>
        <v>3.76</v>
      </c>
      <c r="N181" s="35">
        <f t="shared" ca="1" si="124"/>
        <v>70.400000000000006</v>
      </c>
      <c r="O181" s="35">
        <f t="shared" ca="1" si="125"/>
        <v>35.200000000000003</v>
      </c>
      <c r="P181" s="15"/>
      <c r="Q181" s="34">
        <f t="shared" ca="1" si="140"/>
        <v>0</v>
      </c>
      <c r="R181" s="34">
        <f t="shared" ca="1" si="140"/>
        <v>0</v>
      </c>
      <c r="S181" s="34">
        <f t="shared" ca="1" si="140"/>
        <v>0</v>
      </c>
      <c r="T181" s="34">
        <f t="shared" ca="1" si="141"/>
        <v>0</v>
      </c>
      <c r="U181" s="15"/>
      <c r="V181" s="35">
        <f t="shared" si="142"/>
        <v>0.7</v>
      </c>
      <c r="W181" s="34">
        <f t="shared" ca="1" si="143"/>
        <v>0</v>
      </c>
      <c r="X181" s="35">
        <f t="shared" si="144"/>
        <v>0.222</v>
      </c>
      <c r="Y181" s="34">
        <f t="shared" ca="1" si="145"/>
        <v>0</v>
      </c>
      <c r="Z181" s="35">
        <f t="shared" si="146"/>
        <v>0.34799999999999998</v>
      </c>
      <c r="AA181" s="34">
        <f t="shared" ca="1" si="147"/>
        <v>0</v>
      </c>
      <c r="AB181" s="34">
        <f t="shared" ca="1" si="148"/>
        <v>0</v>
      </c>
      <c r="AC181" s="15"/>
      <c r="AD181" s="34">
        <f t="shared" ca="1" si="149"/>
        <v>0</v>
      </c>
      <c r="AE181" s="34">
        <f ca="1"/>
        <v>0</v>
      </c>
      <c r="AF181" s="34">
        <f t="shared" ca="1" si="150"/>
        <v>0</v>
      </c>
      <c r="AG181" s="15"/>
      <c r="AH181" s="272">
        <f t="shared" ref="AH181:AH219" si="155">EOMONTH(AH180,12)</f>
        <v>42369</v>
      </c>
      <c r="AI181" s="267">
        <f t="shared" si="126"/>
        <v>1.6666666666666665</v>
      </c>
      <c r="AJ181" s="267">
        <f t="shared" si="127"/>
        <v>0.85312406236063398</v>
      </c>
      <c r="AK181" s="34">
        <f t="shared" ref="AK181:AK219" ca="1" si="156">AJ181*AF181</f>
        <v>0</v>
      </c>
      <c r="AL181" s="233"/>
      <c r="AN181" s="232"/>
      <c r="AO181" s="237">
        <f t="shared" si="151"/>
        <v>2</v>
      </c>
      <c r="AP181" s="34">
        <f t="shared" ca="1" si="151"/>
        <v>0</v>
      </c>
      <c r="AQ181" s="34">
        <f t="shared" ca="1" si="151"/>
        <v>9.7509749999999986</v>
      </c>
      <c r="AR181" s="34">
        <f t="shared" ca="1" si="151"/>
        <v>0</v>
      </c>
      <c r="AS181" s="34">
        <f t="shared" ca="1" si="151"/>
        <v>58.505849999999995</v>
      </c>
      <c r="AT181" s="15"/>
      <c r="AW181" s="34">
        <f t="shared" ca="1" si="129"/>
        <v>0</v>
      </c>
      <c r="AX181" s="34">
        <f t="shared" ca="1" si="130"/>
        <v>8.0445543749999988</v>
      </c>
      <c r="AY181" s="34">
        <f t="shared" ca="1" si="131"/>
        <v>0</v>
      </c>
      <c r="AZ181" s="34">
        <f t="shared" ca="1" si="132"/>
        <v>48.267326249999996</v>
      </c>
      <c r="BB181" s="34">
        <f t="shared" ca="1" si="133"/>
        <v>0</v>
      </c>
      <c r="BC181" s="34">
        <f t="shared" ca="1" si="133"/>
        <v>0</v>
      </c>
      <c r="BD181" s="34">
        <f t="shared" ca="1" si="133"/>
        <v>0</v>
      </c>
      <c r="BE181" s="34">
        <f t="shared" ca="1" si="133"/>
        <v>0</v>
      </c>
      <c r="BF181" s="34">
        <f t="shared" ca="1" si="133"/>
        <v>0</v>
      </c>
      <c r="BG181" s="34">
        <f t="shared" ca="1" si="133"/>
        <v>0</v>
      </c>
      <c r="BH181" s="34">
        <f t="shared" ca="1" si="133"/>
        <v>0</v>
      </c>
      <c r="BI181" s="34">
        <f t="shared" ca="1" si="133"/>
        <v>0</v>
      </c>
      <c r="BJ181" s="34">
        <f t="shared" ca="1" si="133"/>
        <v>0</v>
      </c>
      <c r="BK181" s="34">
        <f t="shared" ca="1" si="133"/>
        <v>0</v>
      </c>
      <c r="BL181" s="34">
        <f t="shared" ca="1" si="134"/>
        <v>0</v>
      </c>
      <c r="BM181" s="34">
        <f t="shared" ca="1" si="134"/>
        <v>0</v>
      </c>
      <c r="BN181" s="34">
        <f t="shared" ca="1" si="134"/>
        <v>0</v>
      </c>
      <c r="BO181" s="34">
        <f t="shared" ca="1" si="134"/>
        <v>0</v>
      </c>
      <c r="BP181" s="34">
        <f t="shared" ca="1" si="134"/>
        <v>0</v>
      </c>
      <c r="BQ181" s="34">
        <f t="shared" ca="1" si="134"/>
        <v>0</v>
      </c>
      <c r="BR181" s="34">
        <f t="shared" ca="1" si="134"/>
        <v>0</v>
      </c>
      <c r="BS181" s="34">
        <f t="shared" ca="1" si="134"/>
        <v>0</v>
      </c>
      <c r="BT181" s="34">
        <f t="shared" ca="1" si="134"/>
        <v>0</v>
      </c>
      <c r="BU181" s="34">
        <f t="shared" ca="1" si="134"/>
        <v>0</v>
      </c>
      <c r="BV181" s="34">
        <f t="shared" ca="1" si="135"/>
        <v>0</v>
      </c>
      <c r="BW181" s="34">
        <f t="shared" ca="1" si="135"/>
        <v>0</v>
      </c>
      <c r="BX181" s="34">
        <f t="shared" ca="1" si="135"/>
        <v>0</v>
      </c>
      <c r="BY181" s="34">
        <f t="shared" ca="1" si="135"/>
        <v>0</v>
      </c>
      <c r="BZ181" s="34">
        <f t="shared" ca="1" si="135"/>
        <v>0</v>
      </c>
      <c r="CA181" s="34">
        <f t="shared" ca="1" si="135"/>
        <v>0</v>
      </c>
      <c r="CB181" s="34">
        <f t="shared" ca="1" si="135"/>
        <v>0</v>
      </c>
      <c r="CC181" s="34">
        <f t="shared" ca="1" si="135"/>
        <v>0</v>
      </c>
      <c r="CD181" s="34">
        <f t="shared" ca="1" si="135"/>
        <v>0</v>
      </c>
      <c r="CE181" s="34">
        <f t="shared" ca="1" si="135"/>
        <v>0</v>
      </c>
      <c r="CF181" s="34">
        <f t="shared" ca="1" si="136"/>
        <v>0</v>
      </c>
      <c r="CG181" s="34">
        <f t="shared" ca="1" si="136"/>
        <v>0</v>
      </c>
      <c r="CH181" s="34">
        <f t="shared" ca="1" si="136"/>
        <v>0</v>
      </c>
      <c r="CI181" s="34">
        <f t="shared" ca="1" si="136"/>
        <v>0</v>
      </c>
      <c r="CJ181" s="34">
        <f t="shared" ca="1" si="136"/>
        <v>0</v>
      </c>
      <c r="CK181" s="34">
        <f t="shared" ca="1" si="136"/>
        <v>0</v>
      </c>
      <c r="CL181" s="34">
        <f t="shared" ca="1" si="136"/>
        <v>0</v>
      </c>
      <c r="CM181" s="34">
        <f t="shared" ca="1" si="136"/>
        <v>0</v>
      </c>
      <c r="CN181" s="34">
        <f t="shared" ca="1" si="136"/>
        <v>0</v>
      </c>
      <c r="CO181" s="34">
        <f t="shared" ca="1" si="136"/>
        <v>0</v>
      </c>
      <c r="CP181" s="34">
        <f t="shared" ca="1" si="136"/>
        <v>0</v>
      </c>
      <c r="CQ181" s="34">
        <f t="shared" ca="1" si="152"/>
        <v>0</v>
      </c>
      <c r="CR181" s="363">
        <v>0</v>
      </c>
      <c r="CS181" s="34">
        <f t="shared" ca="1" si="153"/>
        <v>0</v>
      </c>
      <c r="CT181" s="233"/>
    </row>
    <row r="182" spans="2:98" x14ac:dyDescent="0.3">
      <c r="B182" s="232"/>
      <c r="C182" s="250">
        <f t="shared" si="154"/>
        <v>2016</v>
      </c>
      <c r="D182" s="263">
        <f t="shared" ca="1" si="137"/>
        <v>0</v>
      </c>
      <c r="E182" s="263">
        <f t="shared" ca="1" si="121"/>
        <v>136.13861249999997</v>
      </c>
      <c r="F182" s="263">
        <f t="shared" ca="1" si="122"/>
        <v>0</v>
      </c>
      <c r="G182" s="263">
        <f t="shared" ca="1" si="138"/>
        <v>816.83167499999979</v>
      </c>
      <c r="H182" s="15"/>
      <c r="I182" s="271">
        <f ca="1">Assumptions!O$66</f>
        <v>4.0999999999999996</v>
      </c>
      <c r="J182" s="271">
        <f ca="1">Assumptions!P$66</f>
        <v>84</v>
      </c>
      <c r="K182" s="271">
        <f t="shared" ca="1" si="123"/>
        <v>42</v>
      </c>
      <c r="L182" s="15"/>
      <c r="M182" s="35">
        <f t="shared" ca="1" si="139"/>
        <v>3.8539999999999996</v>
      </c>
      <c r="N182" s="35">
        <f t="shared" ca="1" si="124"/>
        <v>67.2</v>
      </c>
      <c r="O182" s="35">
        <f t="shared" ca="1" si="125"/>
        <v>33.6</v>
      </c>
      <c r="P182" s="15"/>
      <c r="Q182" s="34">
        <f t="shared" ca="1" si="140"/>
        <v>0</v>
      </c>
      <c r="R182" s="34">
        <f t="shared" ca="1" si="140"/>
        <v>9148.5147599999982</v>
      </c>
      <c r="S182" s="34">
        <f t="shared" ca="1" si="140"/>
        <v>0</v>
      </c>
      <c r="T182" s="34">
        <f t="shared" ca="1" si="141"/>
        <v>9148.5147599999982</v>
      </c>
      <c r="U182" s="15"/>
      <c r="V182" s="35">
        <f t="shared" si="142"/>
        <v>0.7</v>
      </c>
      <c r="W182" s="34">
        <f t="shared" ca="1" si="143"/>
        <v>693.06929999999977</v>
      </c>
      <c r="X182" s="35">
        <f t="shared" si="144"/>
        <v>0.222</v>
      </c>
      <c r="Y182" s="34">
        <f t="shared" ca="1" si="145"/>
        <v>219.80197799999993</v>
      </c>
      <c r="Z182" s="35">
        <f t="shared" si="146"/>
        <v>0.34799999999999998</v>
      </c>
      <c r="AA182" s="34">
        <f t="shared" ca="1" si="147"/>
        <v>344.55445199999986</v>
      </c>
      <c r="AB182" s="34">
        <f t="shared" ca="1" si="148"/>
        <v>1257.4257299999995</v>
      </c>
      <c r="AC182" s="15"/>
      <c r="AD182" s="34">
        <f t="shared" ca="1" si="149"/>
        <v>7891.0890299999992</v>
      </c>
      <c r="AE182" s="34">
        <f ca="1"/>
        <v>7337.478260869565</v>
      </c>
      <c r="AF182" s="34">
        <f t="shared" ca="1" si="150"/>
        <v>553.61076913043416</v>
      </c>
      <c r="AG182" s="15"/>
      <c r="AH182" s="272">
        <f t="shared" si="155"/>
        <v>42735</v>
      </c>
      <c r="AI182" s="267">
        <f t="shared" si="126"/>
        <v>2.6666666666666665</v>
      </c>
      <c r="AJ182" s="267">
        <f t="shared" si="127"/>
        <v>0.77556732941875806</v>
      </c>
      <c r="AK182" s="34">
        <f t="shared" ca="1" si="156"/>
        <v>429.36242575195547</v>
      </c>
      <c r="AL182" s="233"/>
      <c r="AN182" s="232"/>
      <c r="AO182" s="237">
        <f t="shared" si="151"/>
        <v>3</v>
      </c>
      <c r="AP182" s="34">
        <f t="shared" ca="1" si="151"/>
        <v>0</v>
      </c>
      <c r="AQ182" s="34">
        <f t="shared" ca="1" si="151"/>
        <v>8.7758775</v>
      </c>
      <c r="AR182" s="34">
        <f t="shared" ca="1" si="151"/>
        <v>0</v>
      </c>
      <c r="AS182" s="34">
        <f t="shared" ca="1" si="151"/>
        <v>52.655265</v>
      </c>
      <c r="AT182" s="15"/>
      <c r="AW182" s="34">
        <f t="shared" ca="1" si="129"/>
        <v>0</v>
      </c>
      <c r="AX182" s="34">
        <f t="shared" ca="1" si="130"/>
        <v>7.2400989375</v>
      </c>
      <c r="AY182" s="34">
        <f t="shared" ca="1" si="131"/>
        <v>0</v>
      </c>
      <c r="AZ182" s="34">
        <f t="shared" ca="1" si="132"/>
        <v>43.440593624999998</v>
      </c>
      <c r="BB182" s="34">
        <f t="shared" ca="1" si="133"/>
        <v>0</v>
      </c>
      <c r="BC182" s="34">
        <f t="shared" ca="1" si="133"/>
        <v>0</v>
      </c>
      <c r="BD182" s="34">
        <f t="shared" ca="1" si="133"/>
        <v>0</v>
      </c>
      <c r="BE182" s="34">
        <f t="shared" ca="1" si="133"/>
        <v>1633.6633499999996</v>
      </c>
      <c r="BF182" s="34">
        <f t="shared" ca="1" si="133"/>
        <v>0</v>
      </c>
      <c r="BG182" s="34">
        <f t="shared" ca="1" si="133"/>
        <v>0</v>
      </c>
      <c r="BH182" s="34">
        <f t="shared" ca="1" si="133"/>
        <v>0</v>
      </c>
      <c r="BI182" s="34">
        <f t="shared" ca="1" si="133"/>
        <v>0</v>
      </c>
      <c r="BJ182" s="34">
        <f t="shared" ca="1" si="133"/>
        <v>0</v>
      </c>
      <c r="BK182" s="34">
        <f t="shared" ca="1" si="133"/>
        <v>0</v>
      </c>
      <c r="BL182" s="34">
        <f t="shared" ca="1" si="134"/>
        <v>0</v>
      </c>
      <c r="BM182" s="34">
        <f t="shared" ca="1" si="134"/>
        <v>0</v>
      </c>
      <c r="BN182" s="34">
        <f t="shared" ca="1" si="134"/>
        <v>0</v>
      </c>
      <c r="BO182" s="34">
        <f t="shared" ca="1" si="134"/>
        <v>0</v>
      </c>
      <c r="BP182" s="34">
        <f t="shared" ca="1" si="134"/>
        <v>0</v>
      </c>
      <c r="BQ182" s="34">
        <f t="shared" ca="1" si="134"/>
        <v>0</v>
      </c>
      <c r="BR182" s="34">
        <f t="shared" ca="1" si="134"/>
        <v>0</v>
      </c>
      <c r="BS182" s="34">
        <f t="shared" ca="1" si="134"/>
        <v>0</v>
      </c>
      <c r="BT182" s="34">
        <f t="shared" ca="1" si="134"/>
        <v>0</v>
      </c>
      <c r="BU182" s="34">
        <f t="shared" ca="1" si="134"/>
        <v>0</v>
      </c>
      <c r="BV182" s="34">
        <f t="shared" ca="1" si="135"/>
        <v>0</v>
      </c>
      <c r="BW182" s="34">
        <f t="shared" ca="1" si="135"/>
        <v>0</v>
      </c>
      <c r="BX182" s="34">
        <f t="shared" ca="1" si="135"/>
        <v>0</v>
      </c>
      <c r="BY182" s="34">
        <f t="shared" ca="1" si="135"/>
        <v>0</v>
      </c>
      <c r="BZ182" s="34">
        <f t="shared" ca="1" si="135"/>
        <v>0</v>
      </c>
      <c r="CA182" s="34">
        <f t="shared" ca="1" si="135"/>
        <v>0</v>
      </c>
      <c r="CB182" s="34">
        <f t="shared" ca="1" si="135"/>
        <v>0</v>
      </c>
      <c r="CC182" s="34">
        <f t="shared" ca="1" si="135"/>
        <v>0</v>
      </c>
      <c r="CD182" s="34">
        <f t="shared" ca="1" si="135"/>
        <v>0</v>
      </c>
      <c r="CE182" s="34">
        <f t="shared" ca="1" si="135"/>
        <v>0</v>
      </c>
      <c r="CF182" s="34">
        <f t="shared" ca="1" si="136"/>
        <v>0</v>
      </c>
      <c r="CG182" s="34">
        <f t="shared" ca="1" si="136"/>
        <v>0</v>
      </c>
      <c r="CH182" s="34">
        <f t="shared" ca="1" si="136"/>
        <v>0</v>
      </c>
      <c r="CI182" s="34">
        <f t="shared" ca="1" si="136"/>
        <v>0</v>
      </c>
      <c r="CJ182" s="34">
        <f t="shared" ca="1" si="136"/>
        <v>0</v>
      </c>
      <c r="CK182" s="34">
        <f t="shared" ca="1" si="136"/>
        <v>0</v>
      </c>
      <c r="CL182" s="34">
        <f t="shared" ca="1" si="136"/>
        <v>0</v>
      </c>
      <c r="CM182" s="34">
        <f t="shared" ca="1" si="136"/>
        <v>0</v>
      </c>
      <c r="CN182" s="34">
        <f t="shared" ca="1" si="136"/>
        <v>0</v>
      </c>
      <c r="CO182" s="34">
        <f t="shared" ca="1" si="136"/>
        <v>0</v>
      </c>
      <c r="CP182" s="34">
        <f t="shared" ca="1" si="136"/>
        <v>0</v>
      </c>
      <c r="CQ182" s="34">
        <f t="shared" ca="1" si="152"/>
        <v>1633.6633499999996</v>
      </c>
      <c r="CR182" s="363">
        <v>0</v>
      </c>
      <c r="CS182" s="34">
        <f t="shared" ca="1" si="153"/>
        <v>1633.6633499999996</v>
      </c>
      <c r="CT182" s="233"/>
    </row>
    <row r="183" spans="2:98" x14ac:dyDescent="0.3">
      <c r="B183" s="232"/>
      <c r="C183" s="250">
        <f t="shared" si="154"/>
        <v>2017</v>
      </c>
      <c r="D183" s="263">
        <f t="shared" ca="1" si="137"/>
        <v>0</v>
      </c>
      <c r="E183" s="263">
        <f t="shared" ca="1" si="121"/>
        <v>649.75246874999982</v>
      </c>
      <c r="F183" s="263">
        <f t="shared" ca="1" si="122"/>
        <v>0</v>
      </c>
      <c r="G183" s="263">
        <f t="shared" ca="1" si="138"/>
        <v>3898.5148124999992</v>
      </c>
      <c r="H183" s="15"/>
      <c r="I183" s="271">
        <f ca="1">Assumptions!O$67</f>
        <v>4.2</v>
      </c>
      <c r="J183" s="271">
        <f ca="1">Assumptions!P$67</f>
        <v>82</v>
      </c>
      <c r="K183" s="271">
        <f t="shared" ca="1" si="123"/>
        <v>41</v>
      </c>
      <c r="L183" s="15"/>
      <c r="M183" s="35">
        <f t="shared" ca="1" si="139"/>
        <v>3.948</v>
      </c>
      <c r="N183" s="35">
        <f t="shared" ca="1" si="124"/>
        <v>65.600000000000009</v>
      </c>
      <c r="O183" s="35">
        <f t="shared" ca="1" si="125"/>
        <v>32.800000000000004</v>
      </c>
      <c r="P183" s="15"/>
      <c r="Q183" s="34">
        <f t="shared" ca="1" si="140"/>
        <v>0</v>
      </c>
      <c r="R183" s="34">
        <f t="shared" ca="1" si="140"/>
        <v>42623.761949999993</v>
      </c>
      <c r="S183" s="34">
        <f t="shared" ca="1" si="140"/>
        <v>0</v>
      </c>
      <c r="T183" s="34">
        <f t="shared" ca="1" si="141"/>
        <v>42623.761949999993</v>
      </c>
      <c r="U183" s="15"/>
      <c r="V183" s="35">
        <f t="shared" si="142"/>
        <v>0.7</v>
      </c>
      <c r="W183" s="34">
        <f t="shared" ca="1" si="143"/>
        <v>3307.8307499999996</v>
      </c>
      <c r="X183" s="35">
        <f t="shared" si="144"/>
        <v>0.222</v>
      </c>
      <c r="Y183" s="34">
        <f t="shared" ca="1" si="145"/>
        <v>1049.0548949999998</v>
      </c>
      <c r="Z183" s="35">
        <f t="shared" si="146"/>
        <v>0.34799999999999998</v>
      </c>
      <c r="AA183" s="34">
        <f t="shared" ca="1" si="147"/>
        <v>1644.4644299999995</v>
      </c>
      <c r="AB183" s="34">
        <f t="shared" ca="1" si="148"/>
        <v>6001.3500749999985</v>
      </c>
      <c r="AC183" s="15"/>
      <c r="AD183" s="34">
        <f t="shared" ca="1" si="149"/>
        <v>36622.411874999991</v>
      </c>
      <c r="AE183" s="34">
        <f ca="1"/>
        <v>31351.043478260865</v>
      </c>
      <c r="AF183" s="34">
        <f t="shared" ca="1" si="150"/>
        <v>5271.3683967391262</v>
      </c>
      <c r="AG183" s="15"/>
      <c r="AH183" s="272">
        <f t="shared" si="155"/>
        <v>43100</v>
      </c>
      <c r="AI183" s="267">
        <f t="shared" si="126"/>
        <v>3.666666666666667</v>
      </c>
      <c r="AJ183" s="267">
        <f t="shared" si="127"/>
        <v>0.7050612085625072</v>
      </c>
      <c r="AK183" s="34">
        <f t="shared" ca="1" si="156"/>
        <v>3716.6373725830945</v>
      </c>
      <c r="AL183" s="233"/>
      <c r="AN183" s="232"/>
      <c r="AO183" s="237">
        <f t="shared" si="151"/>
        <v>4</v>
      </c>
      <c r="AP183" s="34">
        <f t="shared" ca="1" si="151"/>
        <v>0</v>
      </c>
      <c r="AQ183" s="34">
        <f t="shared" ca="1" si="151"/>
        <v>7.89828975</v>
      </c>
      <c r="AR183" s="34">
        <f t="shared" ca="1" si="151"/>
        <v>0</v>
      </c>
      <c r="AS183" s="34">
        <f t="shared" ca="1" si="151"/>
        <v>47.3897385</v>
      </c>
      <c r="AT183" s="15"/>
      <c r="AW183" s="34">
        <f t="shared" ca="1" si="129"/>
        <v>0</v>
      </c>
      <c r="AX183" s="34">
        <f t="shared" ca="1" si="130"/>
        <v>6.5160890437500001</v>
      </c>
      <c r="AY183" s="34">
        <f t="shared" ca="1" si="131"/>
        <v>0</v>
      </c>
      <c r="AZ183" s="34">
        <f t="shared" ca="1" si="132"/>
        <v>39.096534262500001</v>
      </c>
      <c r="BB183" s="34">
        <f t="shared" ca="1" si="133"/>
        <v>0</v>
      </c>
      <c r="BC183" s="34">
        <f t="shared" ca="1" si="133"/>
        <v>0</v>
      </c>
      <c r="BD183" s="34">
        <f t="shared" ca="1" si="133"/>
        <v>0</v>
      </c>
      <c r="BE183" s="34">
        <f t="shared" ca="1" si="133"/>
        <v>816.83167499999979</v>
      </c>
      <c r="BF183" s="34">
        <f t="shared" ca="1" si="133"/>
        <v>6980.1979499999989</v>
      </c>
      <c r="BG183" s="34">
        <f t="shared" ca="1" si="133"/>
        <v>0</v>
      </c>
      <c r="BH183" s="34">
        <f t="shared" ca="1" si="133"/>
        <v>0</v>
      </c>
      <c r="BI183" s="34">
        <f t="shared" ca="1" si="133"/>
        <v>0</v>
      </c>
      <c r="BJ183" s="34">
        <f t="shared" ca="1" si="133"/>
        <v>0</v>
      </c>
      <c r="BK183" s="34">
        <f t="shared" ca="1" si="133"/>
        <v>0</v>
      </c>
      <c r="BL183" s="34">
        <f t="shared" ca="1" si="134"/>
        <v>0</v>
      </c>
      <c r="BM183" s="34">
        <f t="shared" ca="1" si="134"/>
        <v>0</v>
      </c>
      <c r="BN183" s="34">
        <f t="shared" ca="1" si="134"/>
        <v>0</v>
      </c>
      <c r="BO183" s="34">
        <f t="shared" ca="1" si="134"/>
        <v>0</v>
      </c>
      <c r="BP183" s="34">
        <f t="shared" ca="1" si="134"/>
        <v>0</v>
      </c>
      <c r="BQ183" s="34">
        <f t="shared" ca="1" si="134"/>
        <v>0</v>
      </c>
      <c r="BR183" s="34">
        <f t="shared" ca="1" si="134"/>
        <v>0</v>
      </c>
      <c r="BS183" s="34">
        <f t="shared" ca="1" si="134"/>
        <v>0</v>
      </c>
      <c r="BT183" s="34">
        <f t="shared" ca="1" si="134"/>
        <v>0</v>
      </c>
      <c r="BU183" s="34">
        <f t="shared" ca="1" si="134"/>
        <v>0</v>
      </c>
      <c r="BV183" s="34">
        <f t="shared" ca="1" si="135"/>
        <v>0</v>
      </c>
      <c r="BW183" s="34">
        <f t="shared" ca="1" si="135"/>
        <v>0</v>
      </c>
      <c r="BX183" s="34">
        <f t="shared" ca="1" si="135"/>
        <v>0</v>
      </c>
      <c r="BY183" s="34">
        <f t="shared" ca="1" si="135"/>
        <v>0</v>
      </c>
      <c r="BZ183" s="34">
        <f t="shared" ca="1" si="135"/>
        <v>0</v>
      </c>
      <c r="CA183" s="34">
        <f t="shared" ca="1" si="135"/>
        <v>0</v>
      </c>
      <c r="CB183" s="34">
        <f t="shared" ca="1" si="135"/>
        <v>0</v>
      </c>
      <c r="CC183" s="34">
        <f t="shared" ca="1" si="135"/>
        <v>0</v>
      </c>
      <c r="CD183" s="34">
        <f t="shared" ca="1" si="135"/>
        <v>0</v>
      </c>
      <c r="CE183" s="34">
        <f t="shared" ca="1" si="135"/>
        <v>0</v>
      </c>
      <c r="CF183" s="34">
        <f t="shared" ca="1" si="136"/>
        <v>0</v>
      </c>
      <c r="CG183" s="34">
        <f t="shared" ca="1" si="136"/>
        <v>0</v>
      </c>
      <c r="CH183" s="34">
        <f t="shared" ca="1" si="136"/>
        <v>0</v>
      </c>
      <c r="CI183" s="34">
        <f t="shared" ca="1" si="136"/>
        <v>0</v>
      </c>
      <c r="CJ183" s="34">
        <f t="shared" ca="1" si="136"/>
        <v>0</v>
      </c>
      <c r="CK183" s="34">
        <f t="shared" ca="1" si="136"/>
        <v>0</v>
      </c>
      <c r="CL183" s="34">
        <f t="shared" ca="1" si="136"/>
        <v>0</v>
      </c>
      <c r="CM183" s="34">
        <f t="shared" ca="1" si="136"/>
        <v>0</v>
      </c>
      <c r="CN183" s="34">
        <f t="shared" ca="1" si="136"/>
        <v>0</v>
      </c>
      <c r="CO183" s="34">
        <f t="shared" ca="1" si="136"/>
        <v>0</v>
      </c>
      <c r="CP183" s="34">
        <f t="shared" ca="1" si="136"/>
        <v>0</v>
      </c>
      <c r="CQ183" s="34">
        <f t="shared" ca="1" si="152"/>
        <v>7797.0296249999983</v>
      </c>
      <c r="CR183" s="363">
        <v>0</v>
      </c>
      <c r="CS183" s="34">
        <f t="shared" ca="1" si="153"/>
        <v>7797.0296249999983</v>
      </c>
      <c r="CT183" s="233"/>
    </row>
    <row r="184" spans="2:98" x14ac:dyDescent="0.3">
      <c r="B184" s="232"/>
      <c r="C184" s="250">
        <f t="shared" si="154"/>
        <v>2018</v>
      </c>
      <c r="D184" s="263">
        <f t="shared" ca="1" si="137"/>
        <v>0</v>
      </c>
      <c r="E184" s="263">
        <f t="shared" ca="1" si="121"/>
        <v>916.76979281249987</v>
      </c>
      <c r="F184" s="263">
        <f t="shared" ca="1" si="122"/>
        <v>0</v>
      </c>
      <c r="G184" s="263">
        <f t="shared" ca="1" si="138"/>
        <v>5500.6187568749992</v>
      </c>
      <c r="H184" s="15"/>
      <c r="I184" s="271">
        <f ca="1">Assumptions!O$68</f>
        <v>4.5</v>
      </c>
      <c r="J184" s="271">
        <f ca="1">Assumptions!P$68</f>
        <v>80</v>
      </c>
      <c r="K184" s="271">
        <f t="shared" ca="1" si="123"/>
        <v>40</v>
      </c>
      <c r="L184" s="15"/>
      <c r="M184" s="35">
        <f t="shared" ca="1" si="139"/>
        <v>4.2299999999999995</v>
      </c>
      <c r="N184" s="35">
        <f t="shared" ca="1" si="124"/>
        <v>64</v>
      </c>
      <c r="O184" s="35">
        <f t="shared" ca="1" si="125"/>
        <v>32</v>
      </c>
      <c r="P184" s="15"/>
      <c r="Q184" s="34">
        <f t="shared" ca="1" si="140"/>
        <v>0</v>
      </c>
      <c r="R184" s="34">
        <f t="shared" ca="1" si="140"/>
        <v>58673.266739999992</v>
      </c>
      <c r="S184" s="34">
        <f t="shared" ca="1" si="140"/>
        <v>0</v>
      </c>
      <c r="T184" s="34">
        <f t="shared" ca="1" si="141"/>
        <v>58673.266739999992</v>
      </c>
      <c r="U184" s="15"/>
      <c r="V184" s="35">
        <f t="shared" si="142"/>
        <v>0.7</v>
      </c>
      <c r="W184" s="34">
        <f t="shared" ca="1" si="143"/>
        <v>4667.1916724999992</v>
      </c>
      <c r="X184" s="35">
        <f t="shared" si="144"/>
        <v>0.222</v>
      </c>
      <c r="Y184" s="34">
        <f t="shared" ca="1" si="145"/>
        <v>1480.1665018499998</v>
      </c>
      <c r="Z184" s="35">
        <f t="shared" si="146"/>
        <v>0.34799999999999998</v>
      </c>
      <c r="AA184" s="34">
        <f t="shared" ca="1" si="147"/>
        <v>2320.2610028999998</v>
      </c>
      <c r="AB184" s="34">
        <f t="shared" ca="1" si="148"/>
        <v>8467.6191772499988</v>
      </c>
      <c r="AC184" s="15"/>
      <c r="AD184" s="34">
        <f t="shared" ca="1" si="149"/>
        <v>50205.647562749989</v>
      </c>
      <c r="AE184" s="34">
        <f ca="1"/>
        <v>31351.043478260865</v>
      </c>
      <c r="AF184" s="34">
        <f t="shared" ca="1" si="150"/>
        <v>18854.604084489125</v>
      </c>
      <c r="AG184" s="15"/>
      <c r="AH184" s="272">
        <f t="shared" si="155"/>
        <v>43465</v>
      </c>
      <c r="AI184" s="267">
        <f t="shared" si="126"/>
        <v>4.666666666666667</v>
      </c>
      <c r="AJ184" s="267">
        <f t="shared" si="127"/>
        <v>0.64096473505682472</v>
      </c>
      <c r="AK184" s="34">
        <f t="shared" ca="1" si="156"/>
        <v>12085.136311615897</v>
      </c>
      <c r="AL184" s="233"/>
      <c r="AN184" s="232"/>
      <c r="AO184" s="237">
        <f t="shared" si="151"/>
        <v>5</v>
      </c>
      <c r="AP184" s="34">
        <f t="shared" ca="1" si="151"/>
        <v>0</v>
      </c>
      <c r="AQ184" s="34">
        <f t="shared" ca="1" si="151"/>
        <v>7.1084607750000002</v>
      </c>
      <c r="AR184" s="34">
        <f t="shared" ca="1" si="151"/>
        <v>0</v>
      </c>
      <c r="AS184" s="34">
        <f t="shared" ca="1" si="151"/>
        <v>42.650764649999999</v>
      </c>
      <c r="AT184" s="15"/>
      <c r="AW184" s="34">
        <f t="shared" ca="1" si="129"/>
        <v>0</v>
      </c>
      <c r="AX184" s="34">
        <f t="shared" ca="1" si="130"/>
        <v>5.8644801393749999</v>
      </c>
      <c r="AY184" s="34">
        <f t="shared" ca="1" si="131"/>
        <v>0</v>
      </c>
      <c r="AZ184" s="34">
        <f t="shared" ca="1" si="132"/>
        <v>35.186880836249998</v>
      </c>
      <c r="BB184" s="34">
        <f t="shared" ca="1" si="133"/>
        <v>0</v>
      </c>
      <c r="BC184" s="34">
        <f t="shared" ca="1" si="133"/>
        <v>0</v>
      </c>
      <c r="BD184" s="34">
        <f t="shared" ca="1" si="133"/>
        <v>0</v>
      </c>
      <c r="BE184" s="34">
        <f t="shared" ca="1" si="133"/>
        <v>530.94058874999996</v>
      </c>
      <c r="BF184" s="34">
        <f t="shared" ca="1" si="133"/>
        <v>3490.0989749999994</v>
      </c>
      <c r="BG184" s="34">
        <f t="shared" ca="1" si="133"/>
        <v>6980.1979499999989</v>
      </c>
      <c r="BH184" s="34">
        <f t="shared" ca="1" si="133"/>
        <v>0</v>
      </c>
      <c r="BI184" s="34">
        <f t="shared" ca="1" si="133"/>
        <v>0</v>
      </c>
      <c r="BJ184" s="34">
        <f t="shared" ca="1" si="133"/>
        <v>0</v>
      </c>
      <c r="BK184" s="34">
        <f t="shared" ca="1" si="133"/>
        <v>0</v>
      </c>
      <c r="BL184" s="34">
        <f t="shared" ca="1" si="134"/>
        <v>0</v>
      </c>
      <c r="BM184" s="34">
        <f t="shared" ca="1" si="134"/>
        <v>0</v>
      </c>
      <c r="BN184" s="34">
        <f t="shared" ca="1" si="134"/>
        <v>0</v>
      </c>
      <c r="BO184" s="34">
        <f t="shared" ca="1" si="134"/>
        <v>0</v>
      </c>
      <c r="BP184" s="34">
        <f t="shared" ca="1" si="134"/>
        <v>0</v>
      </c>
      <c r="BQ184" s="34">
        <f t="shared" ca="1" si="134"/>
        <v>0</v>
      </c>
      <c r="BR184" s="34">
        <f t="shared" ca="1" si="134"/>
        <v>0</v>
      </c>
      <c r="BS184" s="34">
        <f t="shared" ca="1" si="134"/>
        <v>0</v>
      </c>
      <c r="BT184" s="34">
        <f t="shared" ca="1" si="134"/>
        <v>0</v>
      </c>
      <c r="BU184" s="34">
        <f t="shared" ca="1" si="134"/>
        <v>0</v>
      </c>
      <c r="BV184" s="34">
        <f t="shared" ca="1" si="135"/>
        <v>0</v>
      </c>
      <c r="BW184" s="34">
        <f t="shared" ca="1" si="135"/>
        <v>0</v>
      </c>
      <c r="BX184" s="34">
        <f t="shared" ca="1" si="135"/>
        <v>0</v>
      </c>
      <c r="BY184" s="34">
        <f t="shared" ca="1" si="135"/>
        <v>0</v>
      </c>
      <c r="BZ184" s="34">
        <f t="shared" ca="1" si="135"/>
        <v>0</v>
      </c>
      <c r="CA184" s="34">
        <f t="shared" ca="1" si="135"/>
        <v>0</v>
      </c>
      <c r="CB184" s="34">
        <f t="shared" ca="1" si="135"/>
        <v>0</v>
      </c>
      <c r="CC184" s="34">
        <f t="shared" ca="1" si="135"/>
        <v>0</v>
      </c>
      <c r="CD184" s="34">
        <f t="shared" ca="1" si="135"/>
        <v>0</v>
      </c>
      <c r="CE184" s="34">
        <f t="shared" ca="1" si="135"/>
        <v>0</v>
      </c>
      <c r="CF184" s="34">
        <f t="shared" ca="1" si="136"/>
        <v>0</v>
      </c>
      <c r="CG184" s="34">
        <f t="shared" ca="1" si="136"/>
        <v>0</v>
      </c>
      <c r="CH184" s="34">
        <f t="shared" ca="1" si="136"/>
        <v>0</v>
      </c>
      <c r="CI184" s="34">
        <f t="shared" ca="1" si="136"/>
        <v>0</v>
      </c>
      <c r="CJ184" s="34">
        <f t="shared" ca="1" si="136"/>
        <v>0</v>
      </c>
      <c r="CK184" s="34">
        <f t="shared" ca="1" si="136"/>
        <v>0</v>
      </c>
      <c r="CL184" s="34">
        <f t="shared" ca="1" si="136"/>
        <v>0</v>
      </c>
      <c r="CM184" s="34">
        <f t="shared" ca="1" si="136"/>
        <v>0</v>
      </c>
      <c r="CN184" s="34">
        <f t="shared" ca="1" si="136"/>
        <v>0</v>
      </c>
      <c r="CO184" s="34">
        <f t="shared" ca="1" si="136"/>
        <v>0</v>
      </c>
      <c r="CP184" s="34">
        <f t="shared" ca="1" si="136"/>
        <v>0</v>
      </c>
      <c r="CQ184" s="34">
        <f t="shared" ca="1" si="152"/>
        <v>11001.237513749998</v>
      </c>
      <c r="CR184" s="363">
        <v>0</v>
      </c>
      <c r="CS184" s="34">
        <f t="shared" ca="1" si="153"/>
        <v>11001.237513749998</v>
      </c>
      <c r="CT184" s="233"/>
    </row>
    <row r="185" spans="2:98" x14ac:dyDescent="0.3">
      <c r="B185" s="232"/>
      <c r="C185" s="250">
        <f t="shared" si="154"/>
        <v>2019</v>
      </c>
      <c r="D185" s="263">
        <f t="shared" ca="1" si="137"/>
        <v>0</v>
      </c>
      <c r="E185" s="263">
        <f t="shared" ca="1" si="121"/>
        <v>1101.3923157187498</v>
      </c>
      <c r="F185" s="263">
        <f t="shared" ca="1" si="122"/>
        <v>0</v>
      </c>
      <c r="G185" s="263">
        <f t="shared" ca="1" si="138"/>
        <v>6608.3538943124986</v>
      </c>
      <c r="H185" s="15"/>
      <c r="I185" s="271">
        <f ca="1">Assumptions!O$68</f>
        <v>4.5</v>
      </c>
      <c r="J185" s="271">
        <f ca="1">Assumptions!P$68</f>
        <v>80</v>
      </c>
      <c r="K185" s="271">
        <f t="shared" ca="1" si="123"/>
        <v>40</v>
      </c>
      <c r="L185" s="15"/>
      <c r="M185" s="35">
        <f t="shared" ca="1" si="139"/>
        <v>4.2299999999999995</v>
      </c>
      <c r="N185" s="35">
        <f t="shared" ca="1" si="124"/>
        <v>64</v>
      </c>
      <c r="O185" s="35">
        <f t="shared" ca="1" si="125"/>
        <v>32</v>
      </c>
      <c r="P185" s="15"/>
      <c r="Q185" s="34">
        <f t="shared" ca="1" si="140"/>
        <v>0</v>
      </c>
      <c r="R185" s="34">
        <f t="shared" ca="1" si="140"/>
        <v>70489.10820599999</v>
      </c>
      <c r="S185" s="34">
        <f t="shared" ca="1" si="140"/>
        <v>0</v>
      </c>
      <c r="T185" s="34">
        <f t="shared" ca="1" si="141"/>
        <v>70489.10820599999</v>
      </c>
      <c r="U185" s="15"/>
      <c r="V185" s="35">
        <f t="shared" si="142"/>
        <v>0.7</v>
      </c>
      <c r="W185" s="34">
        <f t="shared" ca="1" si="143"/>
        <v>5607.0881527499978</v>
      </c>
      <c r="X185" s="35">
        <f t="shared" si="144"/>
        <v>0.222</v>
      </c>
      <c r="Y185" s="34">
        <f t="shared" ca="1" si="145"/>
        <v>1778.2479570149999</v>
      </c>
      <c r="Z185" s="35">
        <f t="shared" si="146"/>
        <v>0.34799999999999998</v>
      </c>
      <c r="AA185" s="34">
        <f t="shared" ca="1" si="147"/>
        <v>2787.5238245099995</v>
      </c>
      <c r="AB185" s="34">
        <f t="shared" ca="1" si="148"/>
        <v>10172.859934274997</v>
      </c>
      <c r="AC185" s="15"/>
      <c r="AD185" s="34">
        <f t="shared" ca="1" si="149"/>
        <v>60316.248271724995</v>
      </c>
      <c r="AE185" s="34">
        <f ca="1"/>
        <v>31351.043478260865</v>
      </c>
      <c r="AF185" s="34">
        <f t="shared" ca="1" si="150"/>
        <v>28965.20479346413</v>
      </c>
      <c r="AG185" s="15"/>
      <c r="AH185" s="272">
        <f t="shared" si="155"/>
        <v>43830</v>
      </c>
      <c r="AI185" s="267">
        <f t="shared" si="126"/>
        <v>5.666666666666667</v>
      </c>
      <c r="AJ185" s="267">
        <f t="shared" si="127"/>
        <v>0.58269521368802246</v>
      </c>
      <c r="AK185" s="34">
        <f t="shared" ca="1" si="156"/>
        <v>16877.886196644915</v>
      </c>
      <c r="AL185" s="233"/>
      <c r="AN185" s="232"/>
      <c r="AO185" s="237">
        <f t="shared" si="151"/>
        <v>6</v>
      </c>
      <c r="AP185" s="34">
        <f t="shared" ca="1" si="151"/>
        <v>0</v>
      </c>
      <c r="AQ185" s="34">
        <f t="shared" ca="1" si="151"/>
        <v>6.3976146974999999</v>
      </c>
      <c r="AR185" s="34">
        <f t="shared" ca="1" si="151"/>
        <v>0</v>
      </c>
      <c r="AS185" s="34">
        <f t="shared" ca="1" si="151"/>
        <v>38.385688184999999</v>
      </c>
      <c r="AT185" s="15"/>
      <c r="AW185" s="34">
        <f t="shared" ca="1" si="129"/>
        <v>0</v>
      </c>
      <c r="AX185" s="34">
        <f t="shared" ca="1" si="130"/>
        <v>5.2780321254375</v>
      </c>
      <c r="AY185" s="34">
        <f t="shared" ca="1" si="131"/>
        <v>0</v>
      </c>
      <c r="AZ185" s="34">
        <f t="shared" ca="1" si="132"/>
        <v>31.668192752624996</v>
      </c>
      <c r="BB185" s="34">
        <f t="shared" ca="1" si="133"/>
        <v>0</v>
      </c>
      <c r="BC185" s="34">
        <f t="shared" ca="1" si="133"/>
        <v>0</v>
      </c>
      <c r="BD185" s="34">
        <f t="shared" ca="1" si="133"/>
        <v>0</v>
      </c>
      <c r="BE185" s="34">
        <f t="shared" ca="1" si="133"/>
        <v>477.84652987499999</v>
      </c>
      <c r="BF185" s="34">
        <f t="shared" ca="1" si="133"/>
        <v>2268.5643337499996</v>
      </c>
      <c r="BG185" s="34">
        <f t="shared" ca="1" si="133"/>
        <v>3490.0989749999994</v>
      </c>
      <c r="BH185" s="34">
        <f t="shared" ca="1" si="133"/>
        <v>6980.1979499999989</v>
      </c>
      <c r="BI185" s="34">
        <f t="shared" ca="1" si="133"/>
        <v>0</v>
      </c>
      <c r="BJ185" s="34">
        <f t="shared" ca="1" si="133"/>
        <v>0</v>
      </c>
      <c r="BK185" s="34">
        <f t="shared" ca="1" si="133"/>
        <v>0</v>
      </c>
      <c r="BL185" s="34">
        <f t="shared" ca="1" si="134"/>
        <v>0</v>
      </c>
      <c r="BM185" s="34">
        <f t="shared" ca="1" si="134"/>
        <v>0</v>
      </c>
      <c r="BN185" s="34">
        <f t="shared" ca="1" si="134"/>
        <v>0</v>
      </c>
      <c r="BO185" s="34">
        <f t="shared" ca="1" si="134"/>
        <v>0</v>
      </c>
      <c r="BP185" s="34">
        <f t="shared" ca="1" si="134"/>
        <v>0</v>
      </c>
      <c r="BQ185" s="34">
        <f t="shared" ca="1" si="134"/>
        <v>0</v>
      </c>
      <c r="BR185" s="34">
        <f t="shared" ca="1" si="134"/>
        <v>0</v>
      </c>
      <c r="BS185" s="34">
        <f t="shared" ca="1" si="134"/>
        <v>0</v>
      </c>
      <c r="BT185" s="34">
        <f t="shared" ca="1" si="134"/>
        <v>0</v>
      </c>
      <c r="BU185" s="34">
        <f t="shared" ca="1" si="134"/>
        <v>0</v>
      </c>
      <c r="BV185" s="34">
        <f t="shared" ca="1" si="135"/>
        <v>0</v>
      </c>
      <c r="BW185" s="34">
        <f t="shared" ca="1" si="135"/>
        <v>0</v>
      </c>
      <c r="BX185" s="34">
        <f t="shared" ca="1" si="135"/>
        <v>0</v>
      </c>
      <c r="BY185" s="34">
        <f t="shared" ca="1" si="135"/>
        <v>0</v>
      </c>
      <c r="BZ185" s="34">
        <f t="shared" ca="1" si="135"/>
        <v>0</v>
      </c>
      <c r="CA185" s="34">
        <f t="shared" ca="1" si="135"/>
        <v>0</v>
      </c>
      <c r="CB185" s="34">
        <f t="shared" ca="1" si="135"/>
        <v>0</v>
      </c>
      <c r="CC185" s="34">
        <f t="shared" ca="1" si="135"/>
        <v>0</v>
      </c>
      <c r="CD185" s="34">
        <f t="shared" ca="1" si="135"/>
        <v>0</v>
      </c>
      <c r="CE185" s="34">
        <f t="shared" ca="1" si="135"/>
        <v>0</v>
      </c>
      <c r="CF185" s="34">
        <f t="shared" ca="1" si="136"/>
        <v>0</v>
      </c>
      <c r="CG185" s="34">
        <f t="shared" ca="1" si="136"/>
        <v>0</v>
      </c>
      <c r="CH185" s="34">
        <f t="shared" ca="1" si="136"/>
        <v>0</v>
      </c>
      <c r="CI185" s="34">
        <f t="shared" ca="1" si="136"/>
        <v>0</v>
      </c>
      <c r="CJ185" s="34">
        <f t="shared" ca="1" si="136"/>
        <v>0</v>
      </c>
      <c r="CK185" s="34">
        <f t="shared" ca="1" si="136"/>
        <v>0</v>
      </c>
      <c r="CL185" s="34">
        <f t="shared" ca="1" si="136"/>
        <v>0</v>
      </c>
      <c r="CM185" s="34">
        <f t="shared" ca="1" si="136"/>
        <v>0</v>
      </c>
      <c r="CN185" s="34">
        <f t="shared" ca="1" si="136"/>
        <v>0</v>
      </c>
      <c r="CO185" s="34">
        <f t="shared" ca="1" si="136"/>
        <v>0</v>
      </c>
      <c r="CP185" s="34">
        <f t="shared" ca="1" si="136"/>
        <v>0</v>
      </c>
      <c r="CQ185" s="34">
        <f t="shared" ca="1" si="152"/>
        <v>13216.707788624997</v>
      </c>
      <c r="CR185" s="363">
        <v>0</v>
      </c>
      <c r="CS185" s="34">
        <f t="shared" ca="1" si="153"/>
        <v>13216.707788624997</v>
      </c>
      <c r="CT185" s="233"/>
    </row>
    <row r="186" spans="2:98" x14ac:dyDescent="0.3">
      <c r="B186" s="232"/>
      <c r="C186" s="250">
        <f t="shared" si="154"/>
        <v>2020</v>
      </c>
      <c r="D186" s="263">
        <f t="shared" ca="1" si="137"/>
        <v>0</v>
      </c>
      <c r="E186" s="263">
        <f t="shared" ca="1" si="121"/>
        <v>735.37437383437498</v>
      </c>
      <c r="F186" s="263">
        <f t="shared" ca="1" si="122"/>
        <v>0</v>
      </c>
      <c r="G186" s="263">
        <f t="shared" ca="1" si="138"/>
        <v>4412.2462430062496</v>
      </c>
      <c r="H186" s="15"/>
      <c r="I186" s="271">
        <f ca="1">Assumptions!O$68</f>
        <v>4.5</v>
      </c>
      <c r="J186" s="271">
        <f ca="1">Assumptions!P$68</f>
        <v>80</v>
      </c>
      <c r="K186" s="271">
        <f t="shared" ca="1" si="123"/>
        <v>40</v>
      </c>
      <c r="L186" s="15"/>
      <c r="M186" s="35">
        <f t="shared" ca="1" si="139"/>
        <v>4.2299999999999995</v>
      </c>
      <c r="N186" s="35">
        <f t="shared" ca="1" si="124"/>
        <v>64</v>
      </c>
      <c r="O186" s="35">
        <f t="shared" ca="1" si="125"/>
        <v>32</v>
      </c>
      <c r="P186" s="15"/>
      <c r="Q186" s="34">
        <f t="shared" ca="1" si="140"/>
        <v>0</v>
      </c>
      <c r="R186" s="34">
        <f t="shared" ca="1" si="140"/>
        <v>47063.959925399999</v>
      </c>
      <c r="S186" s="34">
        <f t="shared" ca="1" si="140"/>
        <v>0</v>
      </c>
      <c r="T186" s="34">
        <f t="shared" ca="1" si="141"/>
        <v>47063.959925399999</v>
      </c>
      <c r="U186" s="15"/>
      <c r="V186" s="35">
        <f t="shared" si="142"/>
        <v>0.7</v>
      </c>
      <c r="W186" s="34">
        <f t="shared" ca="1" si="143"/>
        <v>3743.7240849749996</v>
      </c>
      <c r="X186" s="35">
        <f t="shared" si="144"/>
        <v>0.222</v>
      </c>
      <c r="Y186" s="34">
        <f t="shared" ca="1" si="145"/>
        <v>1187.2953526635001</v>
      </c>
      <c r="Z186" s="35">
        <f t="shared" si="146"/>
        <v>0.34799999999999998</v>
      </c>
      <c r="AA186" s="34">
        <f t="shared" ca="1" si="147"/>
        <v>1861.165687959</v>
      </c>
      <c r="AB186" s="34">
        <f t="shared" ca="1" si="148"/>
        <v>6792.1851255974998</v>
      </c>
      <c r="AC186" s="15"/>
      <c r="AD186" s="34">
        <f t="shared" ca="1" si="149"/>
        <v>40271.774799802501</v>
      </c>
      <c r="AE186" s="34">
        <f ca="1"/>
        <v>2668.173913043478</v>
      </c>
      <c r="AF186" s="34">
        <f t="shared" ca="1" si="150"/>
        <v>37603.600886759021</v>
      </c>
      <c r="AG186" s="15"/>
      <c r="AH186" s="272">
        <f t="shared" si="155"/>
        <v>44196</v>
      </c>
      <c r="AI186" s="267">
        <f t="shared" si="126"/>
        <v>6.666666666666667</v>
      </c>
      <c r="AJ186" s="267">
        <f t="shared" si="127"/>
        <v>0.52972292153456579</v>
      </c>
      <c r="AK186" s="34">
        <f t="shared" ca="1" si="156"/>
        <v>19919.489321953777</v>
      </c>
      <c r="AL186" s="233"/>
      <c r="AN186" s="232"/>
      <c r="AO186" s="237">
        <f t="shared" si="151"/>
        <v>7</v>
      </c>
      <c r="AP186" s="34">
        <f t="shared" ca="1" si="151"/>
        <v>0</v>
      </c>
      <c r="AQ186" s="34">
        <f t="shared" ca="1" si="151"/>
        <v>5.7578532277500001</v>
      </c>
      <c r="AR186" s="34">
        <f t="shared" ca="1" si="151"/>
        <v>0</v>
      </c>
      <c r="AS186" s="34">
        <f t="shared" ca="1" si="151"/>
        <v>34.547119366499999</v>
      </c>
      <c r="AT186" s="15"/>
      <c r="AW186" s="34">
        <f t="shared" ca="1" si="129"/>
        <v>0</v>
      </c>
      <c r="AX186" s="34">
        <f t="shared" ca="1" si="130"/>
        <v>4.7502289128937498</v>
      </c>
      <c r="AY186" s="34">
        <f t="shared" ca="1" si="131"/>
        <v>0</v>
      </c>
      <c r="AZ186" s="34">
        <f t="shared" ca="1" si="132"/>
        <v>28.501373477362499</v>
      </c>
      <c r="BB186" s="34">
        <f t="shared" ca="1" si="133"/>
        <v>0</v>
      </c>
      <c r="BC186" s="34">
        <f t="shared" ca="1" si="133"/>
        <v>0</v>
      </c>
      <c r="BD186" s="34">
        <f t="shared" ca="1" si="133"/>
        <v>0</v>
      </c>
      <c r="BE186" s="34">
        <f t="shared" ca="1" si="133"/>
        <v>430.06187688750003</v>
      </c>
      <c r="BF186" s="34">
        <f t="shared" ca="1" si="133"/>
        <v>2041.707900375</v>
      </c>
      <c r="BG186" s="34">
        <f t="shared" ca="1" si="133"/>
        <v>2268.5643337499996</v>
      </c>
      <c r="BH186" s="34">
        <f t="shared" ca="1" si="133"/>
        <v>3490.0989749999994</v>
      </c>
      <c r="BI186" s="34">
        <f t="shared" ca="1" si="133"/>
        <v>594.05939999999987</v>
      </c>
      <c r="BJ186" s="34">
        <f t="shared" ca="1" si="133"/>
        <v>0</v>
      </c>
      <c r="BK186" s="34">
        <f t="shared" ca="1" si="133"/>
        <v>0</v>
      </c>
      <c r="BL186" s="34">
        <f t="shared" ca="1" si="134"/>
        <v>0</v>
      </c>
      <c r="BM186" s="34">
        <f t="shared" ca="1" si="134"/>
        <v>0</v>
      </c>
      <c r="BN186" s="34">
        <f t="shared" ca="1" si="134"/>
        <v>0</v>
      </c>
      <c r="BO186" s="34">
        <f t="shared" ca="1" si="134"/>
        <v>0</v>
      </c>
      <c r="BP186" s="34">
        <f t="shared" ca="1" si="134"/>
        <v>0</v>
      </c>
      <c r="BQ186" s="34">
        <f t="shared" ca="1" si="134"/>
        <v>0</v>
      </c>
      <c r="BR186" s="34">
        <f t="shared" ca="1" si="134"/>
        <v>0</v>
      </c>
      <c r="BS186" s="34">
        <f t="shared" ca="1" si="134"/>
        <v>0</v>
      </c>
      <c r="BT186" s="34">
        <f t="shared" ca="1" si="134"/>
        <v>0</v>
      </c>
      <c r="BU186" s="34">
        <f t="shared" ca="1" si="134"/>
        <v>0</v>
      </c>
      <c r="BV186" s="34">
        <f t="shared" ca="1" si="135"/>
        <v>0</v>
      </c>
      <c r="BW186" s="34">
        <f t="shared" ca="1" si="135"/>
        <v>0</v>
      </c>
      <c r="BX186" s="34">
        <f t="shared" ca="1" si="135"/>
        <v>0</v>
      </c>
      <c r="BY186" s="34">
        <f t="shared" ca="1" si="135"/>
        <v>0</v>
      </c>
      <c r="BZ186" s="34">
        <f t="shared" ca="1" si="135"/>
        <v>0</v>
      </c>
      <c r="CA186" s="34">
        <f t="shared" ca="1" si="135"/>
        <v>0</v>
      </c>
      <c r="CB186" s="34">
        <f t="shared" ca="1" si="135"/>
        <v>0</v>
      </c>
      <c r="CC186" s="34">
        <f t="shared" ca="1" si="135"/>
        <v>0</v>
      </c>
      <c r="CD186" s="34">
        <f t="shared" ca="1" si="135"/>
        <v>0</v>
      </c>
      <c r="CE186" s="34">
        <f t="shared" ca="1" si="135"/>
        <v>0</v>
      </c>
      <c r="CF186" s="34">
        <f t="shared" ca="1" si="136"/>
        <v>0</v>
      </c>
      <c r="CG186" s="34">
        <f t="shared" ca="1" si="136"/>
        <v>0</v>
      </c>
      <c r="CH186" s="34">
        <f t="shared" ca="1" si="136"/>
        <v>0</v>
      </c>
      <c r="CI186" s="34">
        <f t="shared" ca="1" si="136"/>
        <v>0</v>
      </c>
      <c r="CJ186" s="34">
        <f t="shared" ca="1" si="136"/>
        <v>0</v>
      </c>
      <c r="CK186" s="34">
        <f t="shared" ca="1" si="136"/>
        <v>0</v>
      </c>
      <c r="CL186" s="34">
        <f t="shared" ca="1" si="136"/>
        <v>0</v>
      </c>
      <c r="CM186" s="34">
        <f t="shared" ca="1" si="136"/>
        <v>0</v>
      </c>
      <c r="CN186" s="34">
        <f t="shared" ca="1" si="136"/>
        <v>0</v>
      </c>
      <c r="CO186" s="34">
        <f t="shared" ca="1" si="136"/>
        <v>0</v>
      </c>
      <c r="CP186" s="34">
        <f t="shared" ca="1" si="136"/>
        <v>0</v>
      </c>
      <c r="CQ186" s="34">
        <f t="shared" ca="1" si="152"/>
        <v>8824.4924860124993</v>
      </c>
      <c r="CR186" s="363">
        <v>0</v>
      </c>
      <c r="CS186" s="34">
        <f t="shared" ca="1" si="153"/>
        <v>8824.4924860124993</v>
      </c>
      <c r="CT186" s="233"/>
    </row>
    <row r="187" spans="2:98" x14ac:dyDescent="0.3">
      <c r="B187" s="232"/>
      <c r="C187" s="250">
        <f t="shared" si="154"/>
        <v>2021</v>
      </c>
      <c r="D187" s="263">
        <f t="shared" ca="1" si="137"/>
        <v>0</v>
      </c>
      <c r="E187" s="263">
        <f t="shared" ca="1" si="121"/>
        <v>569.32456113843739</v>
      </c>
      <c r="F187" s="263">
        <f t="shared" ca="1" si="122"/>
        <v>0</v>
      </c>
      <c r="G187" s="263">
        <f t="shared" ca="1" si="138"/>
        <v>3415.9473668306246</v>
      </c>
      <c r="H187" s="15"/>
      <c r="I187" s="271">
        <f ca="1">Assumptions!O$68</f>
        <v>4.5</v>
      </c>
      <c r="J187" s="271">
        <f ca="1">Assumptions!P$68</f>
        <v>80</v>
      </c>
      <c r="K187" s="271">
        <f t="shared" ca="1" si="123"/>
        <v>40</v>
      </c>
      <c r="L187" s="15"/>
      <c r="M187" s="35">
        <f t="shared" ca="1" si="139"/>
        <v>4.2299999999999995</v>
      </c>
      <c r="N187" s="35">
        <f t="shared" ca="1" si="124"/>
        <v>64</v>
      </c>
      <c r="O187" s="35">
        <f t="shared" ca="1" si="125"/>
        <v>32</v>
      </c>
      <c r="P187" s="15"/>
      <c r="Q187" s="34">
        <f t="shared" ca="1" si="140"/>
        <v>0</v>
      </c>
      <c r="R187" s="34">
        <f t="shared" ca="1" si="140"/>
        <v>36436.771912859993</v>
      </c>
      <c r="S187" s="34">
        <f t="shared" ca="1" si="140"/>
        <v>0</v>
      </c>
      <c r="T187" s="34">
        <f t="shared" ca="1" si="141"/>
        <v>36436.771912859993</v>
      </c>
      <c r="U187" s="15"/>
      <c r="V187" s="35">
        <f t="shared" si="142"/>
        <v>0.7</v>
      </c>
      <c r="W187" s="34">
        <f t="shared" ca="1" si="143"/>
        <v>2898.3795839774994</v>
      </c>
      <c r="X187" s="35">
        <f t="shared" si="144"/>
        <v>0.222</v>
      </c>
      <c r="Y187" s="34">
        <f t="shared" ca="1" si="145"/>
        <v>919.20038234714991</v>
      </c>
      <c r="Z187" s="35">
        <f t="shared" si="146"/>
        <v>0.34799999999999998</v>
      </c>
      <c r="AA187" s="34">
        <f t="shared" ca="1" si="147"/>
        <v>1440.9087074630997</v>
      </c>
      <c r="AB187" s="34">
        <f t="shared" ca="1" si="148"/>
        <v>5258.4886737877496</v>
      </c>
      <c r="AC187" s="15"/>
      <c r="AD187" s="34">
        <f t="shared" ca="1" si="149"/>
        <v>31178.283239072243</v>
      </c>
      <c r="AE187" s="34">
        <f ca="1"/>
        <v>0</v>
      </c>
      <c r="AF187" s="34">
        <f t="shared" ca="1" si="150"/>
        <v>31178.283239072243</v>
      </c>
      <c r="AG187" s="15"/>
      <c r="AH187" s="272">
        <f t="shared" si="155"/>
        <v>44561</v>
      </c>
      <c r="AI187" s="267">
        <f t="shared" si="126"/>
        <v>7.6666666666666661</v>
      </c>
      <c r="AJ187" s="267">
        <f t="shared" si="127"/>
        <v>0.48156629230415066</v>
      </c>
      <c r="AK187" s="34">
        <f t="shared" ca="1" si="156"/>
        <v>15014.410259848664</v>
      </c>
      <c r="AL187" s="233"/>
      <c r="AN187" s="232"/>
      <c r="AO187" s="237">
        <f t="shared" si="151"/>
        <v>8</v>
      </c>
      <c r="AP187" s="34">
        <f t="shared" ca="1" si="151"/>
        <v>0</v>
      </c>
      <c r="AQ187" s="34">
        <f t="shared" ca="1" si="151"/>
        <v>5.1820679049749998</v>
      </c>
      <c r="AR187" s="34">
        <f t="shared" ca="1" si="151"/>
        <v>0</v>
      </c>
      <c r="AS187" s="34">
        <f t="shared" ca="1" si="151"/>
        <v>31.092407429849999</v>
      </c>
      <c r="AT187" s="15"/>
      <c r="AW187" s="34">
        <f t="shared" ca="1" si="129"/>
        <v>0</v>
      </c>
      <c r="AX187" s="34">
        <f t="shared" ca="1" si="130"/>
        <v>4.275206021604375</v>
      </c>
      <c r="AY187" s="34">
        <f t="shared" ca="1" si="131"/>
        <v>0</v>
      </c>
      <c r="AZ187" s="34">
        <f t="shared" ca="1" si="132"/>
        <v>25.651236129626248</v>
      </c>
      <c r="BB187" s="34">
        <f t="shared" ca="1" si="133"/>
        <v>0</v>
      </c>
      <c r="BC187" s="34">
        <f t="shared" ca="1" si="133"/>
        <v>0</v>
      </c>
      <c r="BD187" s="34">
        <f t="shared" ca="1" si="133"/>
        <v>0</v>
      </c>
      <c r="BE187" s="34">
        <f t="shared" ca="1" si="133"/>
        <v>387.05568919874997</v>
      </c>
      <c r="BF187" s="34">
        <f t="shared" ca="1" si="133"/>
        <v>1837.5371103375001</v>
      </c>
      <c r="BG187" s="34">
        <f t="shared" ca="1" si="133"/>
        <v>2041.707900375</v>
      </c>
      <c r="BH187" s="34">
        <f t="shared" ca="1" si="133"/>
        <v>2268.5643337499996</v>
      </c>
      <c r="BI187" s="34">
        <f t="shared" ca="1" si="133"/>
        <v>297.02969999999993</v>
      </c>
      <c r="BJ187" s="34">
        <f t="shared" ca="1" si="133"/>
        <v>0</v>
      </c>
      <c r="BK187" s="34">
        <f t="shared" ca="1" si="133"/>
        <v>0</v>
      </c>
      <c r="BL187" s="34">
        <f t="shared" ca="1" si="134"/>
        <v>0</v>
      </c>
      <c r="BM187" s="34">
        <f t="shared" ca="1" si="134"/>
        <v>0</v>
      </c>
      <c r="BN187" s="34">
        <f t="shared" ca="1" si="134"/>
        <v>0</v>
      </c>
      <c r="BO187" s="34">
        <f t="shared" ca="1" si="134"/>
        <v>0</v>
      </c>
      <c r="BP187" s="34">
        <f t="shared" ca="1" si="134"/>
        <v>0</v>
      </c>
      <c r="BQ187" s="34">
        <f t="shared" ca="1" si="134"/>
        <v>0</v>
      </c>
      <c r="BR187" s="34">
        <f t="shared" ca="1" si="134"/>
        <v>0</v>
      </c>
      <c r="BS187" s="34">
        <f t="shared" ca="1" si="134"/>
        <v>0</v>
      </c>
      <c r="BT187" s="34">
        <f t="shared" ca="1" si="134"/>
        <v>0</v>
      </c>
      <c r="BU187" s="34">
        <f t="shared" ca="1" si="134"/>
        <v>0</v>
      </c>
      <c r="BV187" s="34">
        <f t="shared" ca="1" si="135"/>
        <v>0</v>
      </c>
      <c r="BW187" s="34">
        <f t="shared" ca="1" si="135"/>
        <v>0</v>
      </c>
      <c r="BX187" s="34">
        <f t="shared" ca="1" si="135"/>
        <v>0</v>
      </c>
      <c r="BY187" s="34">
        <f t="shared" ca="1" si="135"/>
        <v>0</v>
      </c>
      <c r="BZ187" s="34">
        <f t="shared" ca="1" si="135"/>
        <v>0</v>
      </c>
      <c r="CA187" s="34">
        <f t="shared" ca="1" si="135"/>
        <v>0</v>
      </c>
      <c r="CB187" s="34">
        <f t="shared" ca="1" si="135"/>
        <v>0</v>
      </c>
      <c r="CC187" s="34">
        <f t="shared" ca="1" si="135"/>
        <v>0</v>
      </c>
      <c r="CD187" s="34">
        <f t="shared" ca="1" si="135"/>
        <v>0</v>
      </c>
      <c r="CE187" s="34">
        <f t="shared" ca="1" si="135"/>
        <v>0</v>
      </c>
      <c r="CF187" s="34">
        <f t="shared" ca="1" si="136"/>
        <v>0</v>
      </c>
      <c r="CG187" s="34">
        <f t="shared" ca="1" si="136"/>
        <v>0</v>
      </c>
      <c r="CH187" s="34">
        <f t="shared" ca="1" si="136"/>
        <v>0</v>
      </c>
      <c r="CI187" s="34">
        <f t="shared" ca="1" si="136"/>
        <v>0</v>
      </c>
      <c r="CJ187" s="34">
        <f t="shared" ca="1" si="136"/>
        <v>0</v>
      </c>
      <c r="CK187" s="34">
        <f t="shared" ca="1" si="136"/>
        <v>0</v>
      </c>
      <c r="CL187" s="34">
        <f t="shared" ca="1" si="136"/>
        <v>0</v>
      </c>
      <c r="CM187" s="34">
        <f t="shared" ca="1" si="136"/>
        <v>0</v>
      </c>
      <c r="CN187" s="34">
        <f t="shared" ca="1" si="136"/>
        <v>0</v>
      </c>
      <c r="CO187" s="34">
        <f t="shared" ca="1" si="136"/>
        <v>0</v>
      </c>
      <c r="CP187" s="34">
        <f t="shared" ca="1" si="136"/>
        <v>0</v>
      </c>
      <c r="CQ187" s="34">
        <f t="shared" ca="1" si="152"/>
        <v>6831.8947336612491</v>
      </c>
      <c r="CR187" s="363">
        <v>0</v>
      </c>
      <c r="CS187" s="34">
        <f t="shared" ca="1" si="153"/>
        <v>6831.8947336612491</v>
      </c>
      <c r="CT187" s="233"/>
    </row>
    <row r="188" spans="2:98" x14ac:dyDescent="0.3">
      <c r="B188" s="232"/>
      <c r="C188" s="250">
        <f t="shared" si="154"/>
        <v>2022</v>
      </c>
      <c r="D188" s="263">
        <f t="shared" ca="1" si="137"/>
        <v>0</v>
      </c>
      <c r="E188" s="263">
        <f t="shared" ca="1" si="121"/>
        <v>506.20398627459377</v>
      </c>
      <c r="F188" s="263">
        <f t="shared" ca="1" si="122"/>
        <v>0</v>
      </c>
      <c r="G188" s="263">
        <f t="shared" ca="1" si="138"/>
        <v>3037.2239176475628</v>
      </c>
      <c r="H188" s="15"/>
      <c r="I188" s="271">
        <f ca="1">Assumptions!O$68</f>
        <v>4.5</v>
      </c>
      <c r="J188" s="271">
        <f ca="1">Assumptions!P$68</f>
        <v>80</v>
      </c>
      <c r="K188" s="271">
        <f t="shared" ca="1" si="123"/>
        <v>40</v>
      </c>
      <c r="L188" s="15"/>
      <c r="M188" s="35">
        <f t="shared" ca="1" si="139"/>
        <v>4.2299999999999995</v>
      </c>
      <c r="N188" s="35">
        <f t="shared" ca="1" si="124"/>
        <v>64</v>
      </c>
      <c r="O188" s="35">
        <f t="shared" ca="1" si="125"/>
        <v>32</v>
      </c>
      <c r="P188" s="15"/>
      <c r="Q188" s="34">
        <f t="shared" ca="1" si="140"/>
        <v>0</v>
      </c>
      <c r="R188" s="34">
        <f t="shared" ca="1" si="140"/>
        <v>32397.055121574002</v>
      </c>
      <c r="S188" s="34">
        <f t="shared" ca="1" si="140"/>
        <v>0</v>
      </c>
      <c r="T188" s="34">
        <f t="shared" ca="1" si="141"/>
        <v>32397.055121574002</v>
      </c>
      <c r="U188" s="15"/>
      <c r="V188" s="35">
        <f t="shared" si="142"/>
        <v>0.7</v>
      </c>
      <c r="W188" s="34">
        <f t="shared" ca="1" si="143"/>
        <v>2577.0384755797504</v>
      </c>
      <c r="X188" s="35">
        <f t="shared" si="144"/>
        <v>0.222</v>
      </c>
      <c r="Y188" s="34">
        <f t="shared" ca="1" si="145"/>
        <v>817.28934511243517</v>
      </c>
      <c r="Z188" s="35">
        <f t="shared" si="146"/>
        <v>0.34799999999999998</v>
      </c>
      <c r="AA188" s="34">
        <f t="shared" ca="1" si="147"/>
        <v>1281.1562707167902</v>
      </c>
      <c r="AB188" s="34">
        <f t="shared" ca="1" si="148"/>
        <v>4675.4840914089755</v>
      </c>
      <c r="AC188" s="15"/>
      <c r="AD188" s="34">
        <f t="shared" ca="1" si="149"/>
        <v>27721.571030165025</v>
      </c>
      <c r="AE188" s="34">
        <f ca="1"/>
        <v>0</v>
      </c>
      <c r="AF188" s="34">
        <f t="shared" ca="1" si="150"/>
        <v>27721.571030165025</v>
      </c>
      <c r="AG188" s="15"/>
      <c r="AH188" s="272">
        <f t="shared" si="155"/>
        <v>44926</v>
      </c>
      <c r="AI188" s="267">
        <f t="shared" si="126"/>
        <v>8.6666666666666661</v>
      </c>
      <c r="AJ188" s="267">
        <f t="shared" si="127"/>
        <v>0.4377875384583188</v>
      </c>
      <c r="AK188" s="34">
        <f t="shared" ca="1" si="156"/>
        <v>12136.158343493387</v>
      </c>
      <c r="AL188" s="233"/>
      <c r="AN188" s="232"/>
      <c r="AO188" s="237">
        <f t="shared" si="151"/>
        <v>9</v>
      </c>
      <c r="AP188" s="34">
        <f t="shared" ca="1" si="151"/>
        <v>0</v>
      </c>
      <c r="AQ188" s="34">
        <f t="shared" ca="1" si="151"/>
        <v>4.6638611144775002</v>
      </c>
      <c r="AR188" s="34">
        <f t="shared" ca="1" si="151"/>
        <v>0</v>
      </c>
      <c r="AS188" s="34">
        <f t="shared" ca="1" si="151"/>
        <v>27.983166686865001</v>
      </c>
      <c r="AT188" s="15"/>
      <c r="AW188" s="34">
        <f t="shared" ca="1" si="129"/>
        <v>0</v>
      </c>
      <c r="AX188" s="34">
        <f t="shared" ca="1" si="130"/>
        <v>3.8476854194439376</v>
      </c>
      <c r="AY188" s="34">
        <f t="shared" ca="1" si="131"/>
        <v>0</v>
      </c>
      <c r="AZ188" s="34">
        <f t="shared" ca="1" si="132"/>
        <v>23.086112516663626</v>
      </c>
      <c r="BB188" s="34">
        <f t="shared" ca="1" si="133"/>
        <v>0</v>
      </c>
      <c r="BC188" s="34">
        <f t="shared" ca="1" si="133"/>
        <v>0</v>
      </c>
      <c r="BD188" s="34">
        <f t="shared" ca="1" si="133"/>
        <v>0</v>
      </c>
      <c r="BE188" s="34">
        <f t="shared" ca="1" si="133"/>
        <v>348.35012027887495</v>
      </c>
      <c r="BF188" s="34">
        <f t="shared" ca="1" si="133"/>
        <v>1653.7833993037498</v>
      </c>
      <c r="BG188" s="34">
        <f t="shared" ca="1" si="133"/>
        <v>1837.5371103375001</v>
      </c>
      <c r="BH188" s="34">
        <f t="shared" ca="1" si="133"/>
        <v>2041.707900375</v>
      </c>
      <c r="BI188" s="34">
        <f t="shared" ca="1" si="133"/>
        <v>193.06930499999999</v>
      </c>
      <c r="BJ188" s="34">
        <f t="shared" ca="1" si="133"/>
        <v>0</v>
      </c>
      <c r="BK188" s="34">
        <f t="shared" ca="1" si="133"/>
        <v>0</v>
      </c>
      <c r="BL188" s="34">
        <f t="shared" ca="1" si="134"/>
        <v>0</v>
      </c>
      <c r="BM188" s="34">
        <f t="shared" ca="1" si="134"/>
        <v>0</v>
      </c>
      <c r="BN188" s="34">
        <f t="shared" ca="1" si="134"/>
        <v>0</v>
      </c>
      <c r="BO188" s="34">
        <f t="shared" ca="1" si="134"/>
        <v>0</v>
      </c>
      <c r="BP188" s="34">
        <f t="shared" ca="1" si="134"/>
        <v>0</v>
      </c>
      <c r="BQ188" s="34">
        <f t="shared" ca="1" si="134"/>
        <v>0</v>
      </c>
      <c r="BR188" s="34">
        <f t="shared" ca="1" si="134"/>
        <v>0</v>
      </c>
      <c r="BS188" s="34">
        <f t="shared" ca="1" si="134"/>
        <v>0</v>
      </c>
      <c r="BT188" s="34">
        <f t="shared" ca="1" si="134"/>
        <v>0</v>
      </c>
      <c r="BU188" s="34">
        <f t="shared" ca="1" si="134"/>
        <v>0</v>
      </c>
      <c r="BV188" s="34">
        <f t="shared" ca="1" si="135"/>
        <v>0</v>
      </c>
      <c r="BW188" s="34">
        <f t="shared" ca="1" si="135"/>
        <v>0</v>
      </c>
      <c r="BX188" s="34">
        <f t="shared" ca="1" si="135"/>
        <v>0</v>
      </c>
      <c r="BY188" s="34">
        <f t="shared" ca="1" si="135"/>
        <v>0</v>
      </c>
      <c r="BZ188" s="34">
        <f t="shared" ca="1" si="135"/>
        <v>0</v>
      </c>
      <c r="CA188" s="34">
        <f t="shared" ca="1" si="135"/>
        <v>0</v>
      </c>
      <c r="CB188" s="34">
        <f t="shared" ca="1" si="135"/>
        <v>0</v>
      </c>
      <c r="CC188" s="34">
        <f t="shared" ca="1" si="135"/>
        <v>0</v>
      </c>
      <c r="CD188" s="34">
        <f t="shared" ca="1" si="135"/>
        <v>0</v>
      </c>
      <c r="CE188" s="34">
        <f t="shared" ca="1" si="135"/>
        <v>0</v>
      </c>
      <c r="CF188" s="34">
        <f t="shared" ca="1" si="136"/>
        <v>0</v>
      </c>
      <c r="CG188" s="34">
        <f t="shared" ca="1" si="136"/>
        <v>0</v>
      </c>
      <c r="CH188" s="34">
        <f t="shared" ca="1" si="136"/>
        <v>0</v>
      </c>
      <c r="CI188" s="34">
        <f t="shared" ca="1" si="136"/>
        <v>0</v>
      </c>
      <c r="CJ188" s="34">
        <f t="shared" ca="1" si="136"/>
        <v>0</v>
      </c>
      <c r="CK188" s="34">
        <f t="shared" ca="1" si="136"/>
        <v>0</v>
      </c>
      <c r="CL188" s="34">
        <f t="shared" ca="1" si="136"/>
        <v>0</v>
      </c>
      <c r="CM188" s="34">
        <f t="shared" ca="1" si="136"/>
        <v>0</v>
      </c>
      <c r="CN188" s="34">
        <f t="shared" ca="1" si="136"/>
        <v>0</v>
      </c>
      <c r="CO188" s="34">
        <f t="shared" ca="1" si="136"/>
        <v>0</v>
      </c>
      <c r="CP188" s="34">
        <f t="shared" ca="1" si="136"/>
        <v>0</v>
      </c>
      <c r="CQ188" s="34">
        <f t="shared" ca="1" si="152"/>
        <v>6074.4478352951255</v>
      </c>
      <c r="CR188" s="363">
        <v>0</v>
      </c>
      <c r="CS188" s="34">
        <f t="shared" ca="1" si="153"/>
        <v>6074.4478352951255</v>
      </c>
      <c r="CT188" s="233"/>
    </row>
    <row r="189" spans="2:98" x14ac:dyDescent="0.3">
      <c r="B189" s="232"/>
      <c r="C189" s="250">
        <f t="shared" si="154"/>
        <v>2023</v>
      </c>
      <c r="D189" s="263">
        <f t="shared" ca="1" si="137"/>
        <v>0</v>
      </c>
      <c r="E189" s="263">
        <f t="shared" ca="1" si="121"/>
        <v>455.58358764713438</v>
      </c>
      <c r="F189" s="263">
        <f t="shared" ca="1" si="122"/>
        <v>0</v>
      </c>
      <c r="G189" s="263">
        <f t="shared" ca="1" si="138"/>
        <v>2733.5015258828062</v>
      </c>
      <c r="H189" s="15"/>
      <c r="I189" s="271">
        <f ca="1">Assumptions!O$68</f>
        <v>4.5</v>
      </c>
      <c r="J189" s="271">
        <f ca="1">Assumptions!P$68</f>
        <v>80</v>
      </c>
      <c r="K189" s="271">
        <f t="shared" ca="1" si="123"/>
        <v>40</v>
      </c>
      <c r="L189" s="15"/>
      <c r="M189" s="35">
        <f t="shared" ca="1" si="139"/>
        <v>4.2299999999999995</v>
      </c>
      <c r="N189" s="35">
        <f t="shared" ca="1" si="124"/>
        <v>64</v>
      </c>
      <c r="O189" s="35">
        <f t="shared" ca="1" si="125"/>
        <v>32</v>
      </c>
      <c r="P189" s="15"/>
      <c r="Q189" s="34">
        <f t="shared" ca="1" si="140"/>
        <v>0</v>
      </c>
      <c r="R189" s="34">
        <f t="shared" ca="1" si="140"/>
        <v>29157.3496094166</v>
      </c>
      <c r="S189" s="34">
        <f t="shared" ca="1" si="140"/>
        <v>0</v>
      </c>
      <c r="T189" s="34">
        <f t="shared" ca="1" si="141"/>
        <v>29157.3496094166</v>
      </c>
      <c r="U189" s="15"/>
      <c r="V189" s="35">
        <f t="shared" si="142"/>
        <v>0.7</v>
      </c>
      <c r="W189" s="34">
        <f t="shared" ca="1" si="143"/>
        <v>2319.3346280217752</v>
      </c>
      <c r="X189" s="35">
        <f t="shared" si="144"/>
        <v>0.222</v>
      </c>
      <c r="Y189" s="34">
        <f t="shared" ca="1" si="145"/>
        <v>735.56041060119151</v>
      </c>
      <c r="Z189" s="35">
        <f t="shared" si="146"/>
        <v>0.34799999999999998</v>
      </c>
      <c r="AA189" s="34">
        <f t="shared" ca="1" si="147"/>
        <v>1153.040643645111</v>
      </c>
      <c r="AB189" s="34">
        <f t="shared" ca="1" si="148"/>
        <v>4207.9356822680775</v>
      </c>
      <c r="AC189" s="15"/>
      <c r="AD189" s="34">
        <f t="shared" ca="1" si="149"/>
        <v>24949.413927148522</v>
      </c>
      <c r="AE189" s="34">
        <f ca="1"/>
        <v>0</v>
      </c>
      <c r="AF189" s="34">
        <f t="shared" ca="1" si="150"/>
        <v>24949.413927148522</v>
      </c>
      <c r="AG189" s="15"/>
      <c r="AH189" s="272">
        <f t="shared" si="155"/>
        <v>45291</v>
      </c>
      <c r="AI189" s="267">
        <f t="shared" si="126"/>
        <v>9.6666666666666661</v>
      </c>
      <c r="AJ189" s="267">
        <f t="shared" si="127"/>
        <v>0.39798867132574434</v>
      </c>
      <c r="AK189" s="34">
        <f t="shared" ca="1" si="156"/>
        <v>9929.5840992218618</v>
      </c>
      <c r="AL189" s="233"/>
      <c r="AN189" s="232"/>
      <c r="AO189" s="237">
        <f t="shared" si="151"/>
        <v>10</v>
      </c>
      <c r="AP189" s="34">
        <f t="shared" ca="1" si="151"/>
        <v>0</v>
      </c>
      <c r="AQ189" s="34">
        <f t="shared" ca="1" si="151"/>
        <v>4.1974750030297505</v>
      </c>
      <c r="AR189" s="34">
        <f t="shared" ca="1" si="151"/>
        <v>0</v>
      </c>
      <c r="AS189" s="34">
        <f t="shared" ca="1" si="151"/>
        <v>25.184850018178501</v>
      </c>
      <c r="AT189" s="15"/>
      <c r="AW189" s="34">
        <f t="shared" ca="1" si="129"/>
        <v>0</v>
      </c>
      <c r="AX189" s="34">
        <f t="shared" ca="1" si="130"/>
        <v>3.462916877499544</v>
      </c>
      <c r="AY189" s="34">
        <f t="shared" ca="1" si="131"/>
        <v>0</v>
      </c>
      <c r="AZ189" s="34">
        <f t="shared" ca="1" si="132"/>
        <v>20.777501264997262</v>
      </c>
      <c r="BB189" s="34">
        <f t="shared" ref="BB189:BK198" ca="1" si="157">IF($AO189&lt;BB$178,0,OFFSET($AZ$178,$AO189-BB$178+1,0)*BB$176)</f>
        <v>0</v>
      </c>
      <c r="BC189" s="34">
        <f t="shared" ca="1" si="157"/>
        <v>0</v>
      </c>
      <c r="BD189" s="34">
        <f t="shared" ca="1" si="157"/>
        <v>0</v>
      </c>
      <c r="BE189" s="34">
        <f t="shared" ca="1" si="157"/>
        <v>313.51510825098751</v>
      </c>
      <c r="BF189" s="34">
        <f t="shared" ca="1" si="157"/>
        <v>1488.4050593733748</v>
      </c>
      <c r="BG189" s="34">
        <f t="shared" ca="1" si="157"/>
        <v>1653.7833993037498</v>
      </c>
      <c r="BH189" s="34">
        <f t="shared" ca="1" si="157"/>
        <v>1837.5371103375001</v>
      </c>
      <c r="BI189" s="34">
        <f t="shared" ca="1" si="157"/>
        <v>173.76237449999999</v>
      </c>
      <c r="BJ189" s="34">
        <f t="shared" ca="1" si="157"/>
        <v>0</v>
      </c>
      <c r="BK189" s="34">
        <f t="shared" ca="1" si="157"/>
        <v>0</v>
      </c>
      <c r="BL189" s="34">
        <f t="shared" ref="BL189:BU198" ca="1" si="158">IF($AO189&lt;BL$178,0,OFFSET($AZ$178,$AO189-BL$178+1,0)*BL$176)</f>
        <v>0</v>
      </c>
      <c r="BM189" s="34">
        <f t="shared" ca="1" si="158"/>
        <v>0</v>
      </c>
      <c r="BN189" s="34">
        <f t="shared" ca="1" si="158"/>
        <v>0</v>
      </c>
      <c r="BO189" s="34">
        <f t="shared" ca="1" si="158"/>
        <v>0</v>
      </c>
      <c r="BP189" s="34">
        <f t="shared" ca="1" si="158"/>
        <v>0</v>
      </c>
      <c r="BQ189" s="34">
        <f t="shared" ca="1" si="158"/>
        <v>0</v>
      </c>
      <c r="BR189" s="34">
        <f t="shared" ca="1" si="158"/>
        <v>0</v>
      </c>
      <c r="BS189" s="34">
        <f t="shared" ca="1" si="158"/>
        <v>0</v>
      </c>
      <c r="BT189" s="34">
        <f t="shared" ca="1" si="158"/>
        <v>0</v>
      </c>
      <c r="BU189" s="34">
        <f t="shared" ca="1" si="158"/>
        <v>0</v>
      </c>
      <c r="BV189" s="34">
        <f t="shared" ref="BV189:CE198" ca="1" si="159">IF($AO189&lt;BV$178,0,OFFSET($AZ$178,$AO189-BV$178+1,0)*BV$176)</f>
        <v>0</v>
      </c>
      <c r="BW189" s="34">
        <f t="shared" ca="1" si="159"/>
        <v>0</v>
      </c>
      <c r="BX189" s="34">
        <f t="shared" ca="1" si="159"/>
        <v>0</v>
      </c>
      <c r="BY189" s="34">
        <f t="shared" ca="1" si="159"/>
        <v>0</v>
      </c>
      <c r="BZ189" s="34">
        <f t="shared" ca="1" si="159"/>
        <v>0</v>
      </c>
      <c r="CA189" s="34">
        <f t="shared" ca="1" si="159"/>
        <v>0</v>
      </c>
      <c r="CB189" s="34">
        <f t="shared" ca="1" si="159"/>
        <v>0</v>
      </c>
      <c r="CC189" s="34">
        <f t="shared" ca="1" si="159"/>
        <v>0</v>
      </c>
      <c r="CD189" s="34">
        <f t="shared" ca="1" si="159"/>
        <v>0</v>
      </c>
      <c r="CE189" s="34">
        <f t="shared" ca="1" si="159"/>
        <v>0</v>
      </c>
      <c r="CF189" s="34">
        <f t="shared" ref="CF189:CP198" ca="1" si="160">IF($AO189&lt;CF$178,0,OFFSET($AZ$178,$AO189-CF$178+1,0)*CF$176)</f>
        <v>0</v>
      </c>
      <c r="CG189" s="34">
        <f t="shared" ca="1" si="160"/>
        <v>0</v>
      </c>
      <c r="CH189" s="34">
        <f t="shared" ca="1" si="160"/>
        <v>0</v>
      </c>
      <c r="CI189" s="34">
        <f t="shared" ca="1" si="160"/>
        <v>0</v>
      </c>
      <c r="CJ189" s="34">
        <f t="shared" ca="1" si="160"/>
        <v>0</v>
      </c>
      <c r="CK189" s="34">
        <f t="shared" ca="1" si="160"/>
        <v>0</v>
      </c>
      <c r="CL189" s="34">
        <f t="shared" ca="1" si="160"/>
        <v>0</v>
      </c>
      <c r="CM189" s="34">
        <f t="shared" ca="1" si="160"/>
        <v>0</v>
      </c>
      <c r="CN189" s="34">
        <f t="shared" ca="1" si="160"/>
        <v>0</v>
      </c>
      <c r="CO189" s="34">
        <f t="shared" ca="1" si="160"/>
        <v>0</v>
      </c>
      <c r="CP189" s="34">
        <f t="shared" ca="1" si="160"/>
        <v>0</v>
      </c>
      <c r="CQ189" s="34">
        <f t="shared" ca="1" si="152"/>
        <v>5467.0030517656123</v>
      </c>
      <c r="CR189" s="363">
        <v>0</v>
      </c>
      <c r="CS189" s="34">
        <f t="shared" ca="1" si="153"/>
        <v>5467.0030517656123</v>
      </c>
      <c r="CT189" s="233"/>
    </row>
    <row r="190" spans="2:98" x14ac:dyDescent="0.3">
      <c r="B190" s="232"/>
      <c r="C190" s="250">
        <f t="shared" si="154"/>
        <v>2024</v>
      </c>
      <c r="D190" s="263">
        <f t="shared" ca="1" si="137"/>
        <v>0</v>
      </c>
      <c r="E190" s="263">
        <f t="shared" ca="1" si="121"/>
        <v>410.02522888242083</v>
      </c>
      <c r="F190" s="263">
        <f t="shared" ca="1" si="122"/>
        <v>0</v>
      </c>
      <c r="G190" s="263">
        <f t="shared" ca="1" si="138"/>
        <v>2460.151373294525</v>
      </c>
      <c r="H190" s="15"/>
      <c r="I190" s="271">
        <f ca="1">Assumptions!O$68</f>
        <v>4.5</v>
      </c>
      <c r="J190" s="271">
        <f ca="1">Assumptions!P$68</f>
        <v>80</v>
      </c>
      <c r="K190" s="271">
        <f t="shared" ca="1" si="123"/>
        <v>40</v>
      </c>
      <c r="L190" s="15"/>
      <c r="M190" s="35">
        <f t="shared" ca="1" si="139"/>
        <v>4.2299999999999995</v>
      </c>
      <c r="N190" s="35">
        <f t="shared" ca="1" si="124"/>
        <v>64</v>
      </c>
      <c r="O190" s="35">
        <f t="shared" ca="1" si="125"/>
        <v>32</v>
      </c>
      <c r="P190" s="15"/>
      <c r="Q190" s="34">
        <f t="shared" ca="1" si="140"/>
        <v>0</v>
      </c>
      <c r="R190" s="34">
        <f t="shared" ca="1" si="140"/>
        <v>26241.614648474933</v>
      </c>
      <c r="S190" s="34">
        <f t="shared" ca="1" si="140"/>
        <v>0</v>
      </c>
      <c r="T190" s="34">
        <f t="shared" ca="1" si="141"/>
        <v>26241.614648474933</v>
      </c>
      <c r="U190" s="15"/>
      <c r="V190" s="35">
        <f t="shared" si="142"/>
        <v>0.7</v>
      </c>
      <c r="W190" s="34">
        <f t="shared" ca="1" si="143"/>
        <v>2087.4011652195973</v>
      </c>
      <c r="X190" s="35">
        <f t="shared" si="144"/>
        <v>0.222</v>
      </c>
      <c r="Y190" s="34">
        <f t="shared" ca="1" si="145"/>
        <v>662.00436954107226</v>
      </c>
      <c r="Z190" s="35">
        <f t="shared" si="146"/>
        <v>0.34799999999999998</v>
      </c>
      <c r="AA190" s="34">
        <f t="shared" ca="1" si="147"/>
        <v>1037.7365792805997</v>
      </c>
      <c r="AB190" s="34">
        <f t="shared" ca="1" si="148"/>
        <v>3787.1421140412695</v>
      </c>
      <c r="AC190" s="15"/>
      <c r="AD190" s="34">
        <f t="shared" ca="1" si="149"/>
        <v>22454.472534433662</v>
      </c>
      <c r="AE190" s="34">
        <f ca="1"/>
        <v>0</v>
      </c>
      <c r="AF190" s="34">
        <f t="shared" ca="1" si="150"/>
        <v>22454.472534433662</v>
      </c>
      <c r="AG190" s="15"/>
      <c r="AH190" s="272">
        <f t="shared" si="155"/>
        <v>45657</v>
      </c>
      <c r="AI190" s="267">
        <f t="shared" si="126"/>
        <v>10.666666666666666</v>
      </c>
      <c r="AJ190" s="267">
        <f t="shared" si="127"/>
        <v>0.36180788302340394</v>
      </c>
      <c r="AK190" s="34">
        <f t="shared" ca="1" si="156"/>
        <v>8124.2051720906111</v>
      </c>
      <c r="AL190" s="233"/>
      <c r="AN190" s="232"/>
      <c r="AO190" s="237">
        <f t="shared" si="151"/>
        <v>11</v>
      </c>
      <c r="AP190" s="34">
        <f t="shared" ca="1" si="151"/>
        <v>0</v>
      </c>
      <c r="AQ190" s="34">
        <f t="shared" ca="1" si="151"/>
        <v>3.7777275027267749</v>
      </c>
      <c r="AR190" s="34">
        <f t="shared" ca="1" si="151"/>
        <v>0</v>
      </c>
      <c r="AS190" s="34">
        <f t="shared" ca="1" si="151"/>
        <v>22.66636501636065</v>
      </c>
      <c r="AT190" s="15"/>
      <c r="AW190" s="34">
        <f t="shared" ca="1" si="129"/>
        <v>0</v>
      </c>
      <c r="AX190" s="34">
        <f t="shared" ca="1" si="130"/>
        <v>3.1166251897495894</v>
      </c>
      <c r="AY190" s="34">
        <f t="shared" ca="1" si="131"/>
        <v>0</v>
      </c>
      <c r="AZ190" s="34">
        <f t="shared" ca="1" si="132"/>
        <v>18.699751138497536</v>
      </c>
      <c r="BB190" s="34">
        <f t="shared" ca="1" si="157"/>
        <v>0</v>
      </c>
      <c r="BC190" s="34">
        <f t="shared" ca="1" si="157"/>
        <v>0</v>
      </c>
      <c r="BD190" s="34">
        <f t="shared" ca="1" si="157"/>
        <v>0</v>
      </c>
      <c r="BE190" s="34">
        <f t="shared" ca="1" si="157"/>
        <v>282.16359742588872</v>
      </c>
      <c r="BF190" s="34">
        <f t="shared" ca="1" si="157"/>
        <v>1339.5645534360374</v>
      </c>
      <c r="BG190" s="34">
        <f t="shared" ca="1" si="157"/>
        <v>1488.4050593733748</v>
      </c>
      <c r="BH190" s="34">
        <f t="shared" ca="1" si="157"/>
        <v>1653.7833993037498</v>
      </c>
      <c r="BI190" s="34">
        <f t="shared" ca="1" si="157"/>
        <v>156.38613705</v>
      </c>
      <c r="BJ190" s="34">
        <f t="shared" ca="1" si="157"/>
        <v>0</v>
      </c>
      <c r="BK190" s="34">
        <f t="shared" ca="1" si="157"/>
        <v>0</v>
      </c>
      <c r="BL190" s="34">
        <f t="shared" ca="1" si="158"/>
        <v>0</v>
      </c>
      <c r="BM190" s="34">
        <f t="shared" ca="1" si="158"/>
        <v>0</v>
      </c>
      <c r="BN190" s="34">
        <f t="shared" ca="1" si="158"/>
        <v>0</v>
      </c>
      <c r="BO190" s="34">
        <f t="shared" ca="1" si="158"/>
        <v>0</v>
      </c>
      <c r="BP190" s="34">
        <f t="shared" ca="1" si="158"/>
        <v>0</v>
      </c>
      <c r="BQ190" s="34">
        <f t="shared" ca="1" si="158"/>
        <v>0</v>
      </c>
      <c r="BR190" s="34">
        <f t="shared" ca="1" si="158"/>
        <v>0</v>
      </c>
      <c r="BS190" s="34">
        <f t="shared" ca="1" si="158"/>
        <v>0</v>
      </c>
      <c r="BT190" s="34">
        <f t="shared" ca="1" si="158"/>
        <v>0</v>
      </c>
      <c r="BU190" s="34">
        <f t="shared" ca="1" si="158"/>
        <v>0</v>
      </c>
      <c r="BV190" s="34">
        <f t="shared" ca="1" si="159"/>
        <v>0</v>
      </c>
      <c r="BW190" s="34">
        <f t="shared" ca="1" si="159"/>
        <v>0</v>
      </c>
      <c r="BX190" s="34">
        <f t="shared" ca="1" si="159"/>
        <v>0</v>
      </c>
      <c r="BY190" s="34">
        <f t="shared" ca="1" si="159"/>
        <v>0</v>
      </c>
      <c r="BZ190" s="34">
        <f t="shared" ca="1" si="159"/>
        <v>0</v>
      </c>
      <c r="CA190" s="34">
        <f t="shared" ca="1" si="159"/>
        <v>0</v>
      </c>
      <c r="CB190" s="34">
        <f t="shared" ca="1" si="159"/>
        <v>0</v>
      </c>
      <c r="CC190" s="34">
        <f t="shared" ca="1" si="159"/>
        <v>0</v>
      </c>
      <c r="CD190" s="34">
        <f t="shared" ca="1" si="159"/>
        <v>0</v>
      </c>
      <c r="CE190" s="34">
        <f t="shared" ca="1" si="159"/>
        <v>0</v>
      </c>
      <c r="CF190" s="34">
        <f t="shared" ca="1" si="160"/>
        <v>0</v>
      </c>
      <c r="CG190" s="34">
        <f t="shared" ca="1" si="160"/>
        <v>0</v>
      </c>
      <c r="CH190" s="34">
        <f t="shared" ca="1" si="160"/>
        <v>0</v>
      </c>
      <c r="CI190" s="34">
        <f t="shared" ca="1" si="160"/>
        <v>0</v>
      </c>
      <c r="CJ190" s="34">
        <f t="shared" ca="1" si="160"/>
        <v>0</v>
      </c>
      <c r="CK190" s="34">
        <f t="shared" ca="1" si="160"/>
        <v>0</v>
      </c>
      <c r="CL190" s="34">
        <f t="shared" ca="1" si="160"/>
        <v>0</v>
      </c>
      <c r="CM190" s="34">
        <f t="shared" ca="1" si="160"/>
        <v>0</v>
      </c>
      <c r="CN190" s="34">
        <f t="shared" ca="1" si="160"/>
        <v>0</v>
      </c>
      <c r="CO190" s="34">
        <f t="shared" ca="1" si="160"/>
        <v>0</v>
      </c>
      <c r="CP190" s="34">
        <f t="shared" ca="1" si="160"/>
        <v>0</v>
      </c>
      <c r="CQ190" s="34">
        <f t="shared" ca="1" si="152"/>
        <v>4920.30274658905</v>
      </c>
      <c r="CR190" s="363">
        <v>0</v>
      </c>
      <c r="CS190" s="34">
        <f t="shared" ca="1" si="153"/>
        <v>4920.30274658905</v>
      </c>
      <c r="CT190" s="233"/>
    </row>
    <row r="191" spans="2:98" x14ac:dyDescent="0.3">
      <c r="B191" s="232"/>
      <c r="C191" s="250">
        <f t="shared" si="154"/>
        <v>2025</v>
      </c>
      <c r="D191" s="263">
        <f t="shared" ca="1" si="137"/>
        <v>0</v>
      </c>
      <c r="E191" s="263">
        <f t="shared" ca="1" si="121"/>
        <v>369.02270599417881</v>
      </c>
      <c r="F191" s="263">
        <f t="shared" ca="1" si="122"/>
        <v>0</v>
      </c>
      <c r="G191" s="263">
        <f t="shared" ca="1" si="138"/>
        <v>2214.136235965073</v>
      </c>
      <c r="H191" s="15"/>
      <c r="I191" s="271">
        <f ca="1">Assumptions!O$68</f>
        <v>4.5</v>
      </c>
      <c r="J191" s="271">
        <f ca="1">Assumptions!P$68</f>
        <v>80</v>
      </c>
      <c r="K191" s="271">
        <f t="shared" ca="1" si="123"/>
        <v>40</v>
      </c>
      <c r="L191" s="15"/>
      <c r="M191" s="35">
        <f t="shared" ca="1" si="139"/>
        <v>4.2299999999999995</v>
      </c>
      <c r="N191" s="35">
        <f t="shared" ca="1" si="124"/>
        <v>64</v>
      </c>
      <c r="O191" s="35">
        <f t="shared" ca="1" si="125"/>
        <v>32</v>
      </c>
      <c r="P191" s="15"/>
      <c r="Q191" s="34">
        <f t="shared" ca="1" si="140"/>
        <v>0</v>
      </c>
      <c r="R191" s="34">
        <f t="shared" ca="1" si="140"/>
        <v>23617.453183627444</v>
      </c>
      <c r="S191" s="34">
        <f t="shared" ca="1" si="140"/>
        <v>0</v>
      </c>
      <c r="T191" s="34">
        <f t="shared" ca="1" si="141"/>
        <v>23617.453183627444</v>
      </c>
      <c r="U191" s="15"/>
      <c r="V191" s="35">
        <f t="shared" si="142"/>
        <v>0.7</v>
      </c>
      <c r="W191" s="34">
        <f t="shared" ca="1" si="143"/>
        <v>1878.6610486976376</v>
      </c>
      <c r="X191" s="35">
        <f t="shared" si="144"/>
        <v>0.222</v>
      </c>
      <c r="Y191" s="34">
        <f t="shared" ca="1" si="145"/>
        <v>595.80393258696506</v>
      </c>
      <c r="Z191" s="35">
        <f t="shared" si="146"/>
        <v>0.34799999999999998</v>
      </c>
      <c r="AA191" s="34">
        <f t="shared" ca="1" si="147"/>
        <v>933.96292135253975</v>
      </c>
      <c r="AB191" s="34">
        <f t="shared" ca="1" si="148"/>
        <v>3408.4279026371423</v>
      </c>
      <c r="AC191" s="15"/>
      <c r="AD191" s="34">
        <f t="shared" ca="1" si="149"/>
        <v>20209.025280990303</v>
      </c>
      <c r="AE191" s="34">
        <f ca="1"/>
        <v>0</v>
      </c>
      <c r="AF191" s="34">
        <f t="shared" ca="1" si="150"/>
        <v>20209.025280990303</v>
      </c>
      <c r="AG191" s="15"/>
      <c r="AH191" s="272">
        <f t="shared" si="155"/>
        <v>46022</v>
      </c>
      <c r="AI191" s="267">
        <f t="shared" si="126"/>
        <v>11.666666666666666</v>
      </c>
      <c r="AJ191" s="267">
        <f t="shared" si="127"/>
        <v>0.32891625729400353</v>
      </c>
      <c r="AK191" s="34">
        <f t="shared" ca="1" si="156"/>
        <v>6647.0769589832289</v>
      </c>
      <c r="AL191" s="233"/>
      <c r="AN191" s="232"/>
      <c r="AO191" s="237">
        <f t="shared" si="151"/>
        <v>12</v>
      </c>
      <c r="AP191" s="34">
        <f t="shared" ca="1" si="151"/>
        <v>0</v>
      </c>
      <c r="AQ191" s="34">
        <f t="shared" ca="1" si="151"/>
        <v>3.3999547524540978</v>
      </c>
      <c r="AR191" s="34">
        <f t="shared" ca="1" si="151"/>
        <v>0</v>
      </c>
      <c r="AS191" s="34">
        <f t="shared" ca="1" si="151"/>
        <v>20.399728514724586</v>
      </c>
      <c r="AT191" s="15"/>
      <c r="AW191" s="34">
        <f t="shared" ca="1" si="129"/>
        <v>0</v>
      </c>
      <c r="AX191" s="34">
        <f t="shared" ca="1" si="130"/>
        <v>2.8049626707746307</v>
      </c>
      <c r="AY191" s="34">
        <f t="shared" ca="1" si="131"/>
        <v>0</v>
      </c>
      <c r="AZ191" s="34">
        <f t="shared" ca="1" si="132"/>
        <v>16.829776024647781</v>
      </c>
      <c r="BB191" s="34">
        <f t="shared" ca="1" si="157"/>
        <v>0</v>
      </c>
      <c r="BC191" s="34">
        <f t="shared" ca="1" si="157"/>
        <v>0</v>
      </c>
      <c r="BD191" s="34">
        <f t="shared" ca="1" si="157"/>
        <v>0</v>
      </c>
      <c r="BE191" s="34">
        <f t="shared" ca="1" si="157"/>
        <v>253.94723768329987</v>
      </c>
      <c r="BF191" s="34">
        <f t="shared" ca="1" si="157"/>
        <v>1205.6080980924337</v>
      </c>
      <c r="BG191" s="34">
        <f t="shared" ca="1" si="157"/>
        <v>1339.5645534360374</v>
      </c>
      <c r="BH191" s="34">
        <f t="shared" ca="1" si="157"/>
        <v>1488.4050593733748</v>
      </c>
      <c r="BI191" s="34">
        <f t="shared" ca="1" si="157"/>
        <v>140.74752334499999</v>
      </c>
      <c r="BJ191" s="34">
        <f t="shared" ca="1" si="157"/>
        <v>0</v>
      </c>
      <c r="BK191" s="34">
        <f t="shared" ca="1" si="157"/>
        <v>0</v>
      </c>
      <c r="BL191" s="34">
        <f t="shared" ca="1" si="158"/>
        <v>0</v>
      </c>
      <c r="BM191" s="34">
        <f t="shared" ca="1" si="158"/>
        <v>0</v>
      </c>
      <c r="BN191" s="34">
        <f t="shared" ca="1" si="158"/>
        <v>0</v>
      </c>
      <c r="BO191" s="34">
        <f t="shared" ca="1" si="158"/>
        <v>0</v>
      </c>
      <c r="BP191" s="34">
        <f t="shared" ca="1" si="158"/>
        <v>0</v>
      </c>
      <c r="BQ191" s="34">
        <f t="shared" ca="1" si="158"/>
        <v>0</v>
      </c>
      <c r="BR191" s="34">
        <f t="shared" ca="1" si="158"/>
        <v>0</v>
      </c>
      <c r="BS191" s="34">
        <f t="shared" ca="1" si="158"/>
        <v>0</v>
      </c>
      <c r="BT191" s="34">
        <f t="shared" ca="1" si="158"/>
        <v>0</v>
      </c>
      <c r="BU191" s="34">
        <f t="shared" ca="1" si="158"/>
        <v>0</v>
      </c>
      <c r="BV191" s="34">
        <f t="shared" ca="1" si="159"/>
        <v>0</v>
      </c>
      <c r="BW191" s="34">
        <f t="shared" ca="1" si="159"/>
        <v>0</v>
      </c>
      <c r="BX191" s="34">
        <f t="shared" ca="1" si="159"/>
        <v>0</v>
      </c>
      <c r="BY191" s="34">
        <f t="shared" ca="1" si="159"/>
        <v>0</v>
      </c>
      <c r="BZ191" s="34">
        <f t="shared" ca="1" si="159"/>
        <v>0</v>
      </c>
      <c r="CA191" s="34">
        <f t="shared" ca="1" si="159"/>
        <v>0</v>
      </c>
      <c r="CB191" s="34">
        <f t="shared" ca="1" si="159"/>
        <v>0</v>
      </c>
      <c r="CC191" s="34">
        <f t="shared" ca="1" si="159"/>
        <v>0</v>
      </c>
      <c r="CD191" s="34">
        <f t="shared" ca="1" si="159"/>
        <v>0</v>
      </c>
      <c r="CE191" s="34">
        <f t="shared" ca="1" si="159"/>
        <v>0</v>
      </c>
      <c r="CF191" s="34">
        <f t="shared" ca="1" si="160"/>
        <v>0</v>
      </c>
      <c r="CG191" s="34">
        <f t="shared" ca="1" si="160"/>
        <v>0</v>
      </c>
      <c r="CH191" s="34">
        <f t="shared" ca="1" si="160"/>
        <v>0</v>
      </c>
      <c r="CI191" s="34">
        <f t="shared" ca="1" si="160"/>
        <v>0</v>
      </c>
      <c r="CJ191" s="34">
        <f t="shared" ca="1" si="160"/>
        <v>0</v>
      </c>
      <c r="CK191" s="34">
        <f t="shared" ca="1" si="160"/>
        <v>0</v>
      </c>
      <c r="CL191" s="34">
        <f t="shared" ca="1" si="160"/>
        <v>0</v>
      </c>
      <c r="CM191" s="34">
        <f t="shared" ca="1" si="160"/>
        <v>0</v>
      </c>
      <c r="CN191" s="34">
        <f t="shared" ca="1" si="160"/>
        <v>0</v>
      </c>
      <c r="CO191" s="34">
        <f t="shared" ca="1" si="160"/>
        <v>0</v>
      </c>
      <c r="CP191" s="34">
        <f t="shared" ca="1" si="160"/>
        <v>0</v>
      </c>
      <c r="CQ191" s="34">
        <f t="shared" ca="1" si="152"/>
        <v>4428.2724719301459</v>
      </c>
      <c r="CR191" s="363">
        <v>0</v>
      </c>
      <c r="CS191" s="34">
        <f t="shared" ca="1" si="153"/>
        <v>4428.2724719301459</v>
      </c>
      <c r="CT191" s="233"/>
    </row>
    <row r="192" spans="2:98" x14ac:dyDescent="0.3">
      <c r="B192" s="232"/>
      <c r="C192" s="250">
        <f t="shared" si="154"/>
        <v>2026</v>
      </c>
      <c r="D192" s="263">
        <f t="shared" ca="1" si="137"/>
        <v>0</v>
      </c>
      <c r="E192" s="263">
        <f t="shared" ca="1" si="121"/>
        <v>332.12043539476093</v>
      </c>
      <c r="F192" s="263">
        <f t="shared" ca="1" si="122"/>
        <v>0</v>
      </c>
      <c r="G192" s="263">
        <f t="shared" ca="1" si="138"/>
        <v>1992.7226123685657</v>
      </c>
      <c r="H192" s="15"/>
      <c r="I192" s="271">
        <f ca="1">Assumptions!O$68</f>
        <v>4.5</v>
      </c>
      <c r="J192" s="271">
        <f ca="1">Assumptions!P$68</f>
        <v>80</v>
      </c>
      <c r="K192" s="271">
        <f t="shared" ca="1" si="123"/>
        <v>40</v>
      </c>
      <c r="L192" s="15"/>
      <c r="M192" s="35">
        <f t="shared" ca="1" si="139"/>
        <v>4.2299999999999995</v>
      </c>
      <c r="N192" s="35">
        <f t="shared" ca="1" si="124"/>
        <v>64</v>
      </c>
      <c r="O192" s="35">
        <f t="shared" ca="1" si="125"/>
        <v>32</v>
      </c>
      <c r="P192" s="15"/>
      <c r="Q192" s="34">
        <f t="shared" ca="1" si="140"/>
        <v>0</v>
      </c>
      <c r="R192" s="34">
        <f t="shared" ca="1" si="140"/>
        <v>21255.7078652647</v>
      </c>
      <c r="S192" s="34">
        <f t="shared" ca="1" si="140"/>
        <v>0</v>
      </c>
      <c r="T192" s="34">
        <f t="shared" ca="1" si="141"/>
        <v>21255.7078652647</v>
      </c>
      <c r="U192" s="15"/>
      <c r="V192" s="35">
        <f t="shared" si="142"/>
        <v>0.7</v>
      </c>
      <c r="W192" s="34">
        <f t="shared" ca="1" si="143"/>
        <v>1690.794943827874</v>
      </c>
      <c r="X192" s="35">
        <f t="shared" si="144"/>
        <v>0.222</v>
      </c>
      <c r="Y192" s="34">
        <f t="shared" ca="1" si="145"/>
        <v>536.22353932826866</v>
      </c>
      <c r="Z192" s="35">
        <f t="shared" si="146"/>
        <v>0.34799999999999998</v>
      </c>
      <c r="AA192" s="34">
        <f t="shared" ca="1" si="147"/>
        <v>840.56662921728582</v>
      </c>
      <c r="AB192" s="34">
        <f t="shared" ca="1" si="148"/>
        <v>3067.5851123734287</v>
      </c>
      <c r="AC192" s="15"/>
      <c r="AD192" s="34">
        <f t="shared" ca="1" si="149"/>
        <v>18188.122752891271</v>
      </c>
      <c r="AE192" s="34">
        <f ca="1"/>
        <v>0</v>
      </c>
      <c r="AF192" s="34">
        <f t="shared" ca="1" si="150"/>
        <v>18188.122752891271</v>
      </c>
      <c r="AG192" s="15"/>
      <c r="AH192" s="272">
        <f t="shared" si="155"/>
        <v>46387</v>
      </c>
      <c r="AI192" s="267">
        <f t="shared" si="126"/>
        <v>12.666666666666666</v>
      </c>
      <c r="AJ192" s="267">
        <f t="shared" si="127"/>
        <v>0.29901477935818499</v>
      </c>
      <c r="AK192" s="34">
        <f t="shared" ca="1" si="156"/>
        <v>5438.5175118953675</v>
      </c>
      <c r="AL192" s="233"/>
      <c r="AN192" s="232"/>
      <c r="AO192" s="237">
        <f t="shared" si="151"/>
        <v>13</v>
      </c>
      <c r="AP192" s="34">
        <f t="shared" ca="1" si="151"/>
        <v>0</v>
      </c>
      <c r="AQ192" s="34">
        <f t="shared" ca="1" si="151"/>
        <v>3.0599592772086877</v>
      </c>
      <c r="AR192" s="34">
        <f t="shared" ca="1" si="151"/>
        <v>0</v>
      </c>
      <c r="AS192" s="34">
        <f t="shared" ca="1" si="151"/>
        <v>18.359755663252127</v>
      </c>
      <c r="AT192" s="15"/>
      <c r="AW192" s="34">
        <f t="shared" ca="1" si="129"/>
        <v>0</v>
      </c>
      <c r="AX192" s="34">
        <f t="shared" ca="1" si="130"/>
        <v>2.5244664036971671</v>
      </c>
      <c r="AY192" s="34">
        <f t="shared" ca="1" si="131"/>
        <v>0</v>
      </c>
      <c r="AZ192" s="34">
        <f t="shared" ca="1" si="132"/>
        <v>15.146798422183004</v>
      </c>
      <c r="BB192" s="34">
        <f t="shared" ca="1" si="157"/>
        <v>0</v>
      </c>
      <c r="BC192" s="34">
        <f t="shared" ca="1" si="157"/>
        <v>0</v>
      </c>
      <c r="BD192" s="34">
        <f t="shared" ca="1" si="157"/>
        <v>0</v>
      </c>
      <c r="BE192" s="34">
        <f t="shared" ca="1" si="157"/>
        <v>228.55251391496989</v>
      </c>
      <c r="BF192" s="34">
        <f t="shared" ca="1" si="157"/>
        <v>1085.0472882831905</v>
      </c>
      <c r="BG192" s="34">
        <f t="shared" ca="1" si="157"/>
        <v>1205.6080980924337</v>
      </c>
      <c r="BH192" s="34">
        <f t="shared" ca="1" si="157"/>
        <v>1339.5645534360374</v>
      </c>
      <c r="BI192" s="34">
        <f t="shared" ca="1" si="157"/>
        <v>126.67277101049999</v>
      </c>
      <c r="BJ192" s="34">
        <f t="shared" ca="1" si="157"/>
        <v>0</v>
      </c>
      <c r="BK192" s="34">
        <f t="shared" ca="1" si="157"/>
        <v>0</v>
      </c>
      <c r="BL192" s="34">
        <f t="shared" ca="1" si="158"/>
        <v>0</v>
      </c>
      <c r="BM192" s="34">
        <f t="shared" ca="1" si="158"/>
        <v>0</v>
      </c>
      <c r="BN192" s="34">
        <f t="shared" ca="1" si="158"/>
        <v>0</v>
      </c>
      <c r="BO192" s="34">
        <f t="shared" ca="1" si="158"/>
        <v>0</v>
      </c>
      <c r="BP192" s="34">
        <f t="shared" ca="1" si="158"/>
        <v>0</v>
      </c>
      <c r="BQ192" s="34">
        <f t="shared" ca="1" si="158"/>
        <v>0</v>
      </c>
      <c r="BR192" s="34">
        <f t="shared" ca="1" si="158"/>
        <v>0</v>
      </c>
      <c r="BS192" s="34">
        <f t="shared" ca="1" si="158"/>
        <v>0</v>
      </c>
      <c r="BT192" s="34">
        <f t="shared" ca="1" si="158"/>
        <v>0</v>
      </c>
      <c r="BU192" s="34">
        <f t="shared" ca="1" si="158"/>
        <v>0</v>
      </c>
      <c r="BV192" s="34">
        <f t="shared" ca="1" si="159"/>
        <v>0</v>
      </c>
      <c r="BW192" s="34">
        <f t="shared" ca="1" si="159"/>
        <v>0</v>
      </c>
      <c r="BX192" s="34">
        <f t="shared" ca="1" si="159"/>
        <v>0</v>
      </c>
      <c r="BY192" s="34">
        <f t="shared" ca="1" si="159"/>
        <v>0</v>
      </c>
      <c r="BZ192" s="34">
        <f t="shared" ca="1" si="159"/>
        <v>0</v>
      </c>
      <c r="CA192" s="34">
        <f t="shared" ca="1" si="159"/>
        <v>0</v>
      </c>
      <c r="CB192" s="34">
        <f t="shared" ca="1" si="159"/>
        <v>0</v>
      </c>
      <c r="CC192" s="34">
        <f t="shared" ca="1" si="159"/>
        <v>0</v>
      </c>
      <c r="CD192" s="34">
        <f t="shared" ca="1" si="159"/>
        <v>0</v>
      </c>
      <c r="CE192" s="34">
        <f t="shared" ca="1" si="159"/>
        <v>0</v>
      </c>
      <c r="CF192" s="34">
        <f t="shared" ca="1" si="160"/>
        <v>0</v>
      </c>
      <c r="CG192" s="34">
        <f t="shared" ca="1" si="160"/>
        <v>0</v>
      </c>
      <c r="CH192" s="34">
        <f t="shared" ca="1" si="160"/>
        <v>0</v>
      </c>
      <c r="CI192" s="34">
        <f t="shared" ca="1" si="160"/>
        <v>0</v>
      </c>
      <c r="CJ192" s="34">
        <f t="shared" ca="1" si="160"/>
        <v>0</v>
      </c>
      <c r="CK192" s="34">
        <f t="shared" ca="1" si="160"/>
        <v>0</v>
      </c>
      <c r="CL192" s="34">
        <f t="shared" ca="1" si="160"/>
        <v>0</v>
      </c>
      <c r="CM192" s="34">
        <f t="shared" ca="1" si="160"/>
        <v>0</v>
      </c>
      <c r="CN192" s="34">
        <f t="shared" ca="1" si="160"/>
        <v>0</v>
      </c>
      <c r="CO192" s="34">
        <f t="shared" ca="1" si="160"/>
        <v>0</v>
      </c>
      <c r="CP192" s="34">
        <f t="shared" ca="1" si="160"/>
        <v>0</v>
      </c>
      <c r="CQ192" s="34">
        <f t="shared" ca="1" si="152"/>
        <v>3985.4452247371314</v>
      </c>
      <c r="CR192" s="363">
        <v>0</v>
      </c>
      <c r="CS192" s="34">
        <f t="shared" ca="1" si="153"/>
        <v>3985.4452247371314</v>
      </c>
      <c r="CT192" s="233"/>
    </row>
    <row r="193" spans="2:98" x14ac:dyDescent="0.3">
      <c r="B193" s="232"/>
      <c r="C193" s="250">
        <f t="shared" si="154"/>
        <v>2027</v>
      </c>
      <c r="D193" s="263">
        <f t="shared" ca="1" si="137"/>
        <v>0</v>
      </c>
      <c r="E193" s="263">
        <f t="shared" ca="1" si="121"/>
        <v>298.90839185528483</v>
      </c>
      <c r="F193" s="263">
        <f t="shared" ca="1" si="122"/>
        <v>0</v>
      </c>
      <c r="G193" s="263">
        <f t="shared" ca="1" si="138"/>
        <v>1793.4503511317089</v>
      </c>
      <c r="H193" s="15"/>
      <c r="I193" s="271">
        <f ca="1">Assumptions!O$68</f>
        <v>4.5</v>
      </c>
      <c r="J193" s="271">
        <f ca="1">Assumptions!P$68</f>
        <v>80</v>
      </c>
      <c r="K193" s="271">
        <f t="shared" ca="1" si="123"/>
        <v>40</v>
      </c>
      <c r="L193" s="15"/>
      <c r="M193" s="35">
        <f t="shared" ca="1" si="139"/>
        <v>4.2299999999999995</v>
      </c>
      <c r="N193" s="35">
        <f t="shared" ca="1" si="124"/>
        <v>64</v>
      </c>
      <c r="O193" s="35">
        <f t="shared" ca="1" si="125"/>
        <v>32</v>
      </c>
      <c r="P193" s="15"/>
      <c r="Q193" s="34">
        <f t="shared" ca="1" si="140"/>
        <v>0</v>
      </c>
      <c r="R193" s="34">
        <f t="shared" ca="1" si="140"/>
        <v>19130.137078738229</v>
      </c>
      <c r="S193" s="34">
        <f t="shared" ca="1" si="140"/>
        <v>0</v>
      </c>
      <c r="T193" s="34">
        <f t="shared" ca="1" si="141"/>
        <v>19130.137078738229</v>
      </c>
      <c r="U193" s="15"/>
      <c r="V193" s="35">
        <f t="shared" si="142"/>
        <v>0.7</v>
      </c>
      <c r="W193" s="34">
        <f t="shared" ca="1" si="143"/>
        <v>1521.7154494450863</v>
      </c>
      <c r="X193" s="35">
        <f t="shared" si="144"/>
        <v>0.222</v>
      </c>
      <c r="Y193" s="34">
        <f t="shared" ca="1" si="145"/>
        <v>482.60118539544169</v>
      </c>
      <c r="Z193" s="35">
        <f t="shared" si="146"/>
        <v>0.34799999999999998</v>
      </c>
      <c r="AA193" s="34">
        <f t="shared" ca="1" si="147"/>
        <v>756.50996629555721</v>
      </c>
      <c r="AB193" s="34">
        <f t="shared" ca="1" si="148"/>
        <v>2760.8266011360852</v>
      </c>
      <c r="AC193" s="15"/>
      <c r="AD193" s="34">
        <f t="shared" ca="1" si="149"/>
        <v>16369.310477602145</v>
      </c>
      <c r="AE193" s="34">
        <f ca="1"/>
        <v>0</v>
      </c>
      <c r="AF193" s="34">
        <f t="shared" ca="1" si="150"/>
        <v>16369.310477602145</v>
      </c>
      <c r="AG193" s="15"/>
      <c r="AH193" s="272">
        <f t="shared" si="155"/>
        <v>46752</v>
      </c>
      <c r="AI193" s="267">
        <f t="shared" si="126"/>
        <v>13.666666666666666</v>
      </c>
      <c r="AJ193" s="267">
        <f t="shared" si="127"/>
        <v>0.27183161759835001</v>
      </c>
      <c r="AK193" s="34">
        <f t="shared" ca="1" si="156"/>
        <v>4449.6961460962102</v>
      </c>
      <c r="AL193" s="233"/>
      <c r="AN193" s="232"/>
      <c r="AO193" s="237">
        <f t="shared" si="151"/>
        <v>14</v>
      </c>
      <c r="AP193" s="34">
        <f t="shared" ca="1" si="151"/>
        <v>0</v>
      </c>
      <c r="AQ193" s="34">
        <f t="shared" ca="1" si="151"/>
        <v>2.7539633494878188</v>
      </c>
      <c r="AR193" s="34">
        <f t="shared" ca="1" si="151"/>
        <v>0</v>
      </c>
      <c r="AS193" s="34">
        <f t="shared" ca="1" si="151"/>
        <v>16.523780096926913</v>
      </c>
      <c r="AT193" s="15"/>
      <c r="AW193" s="34">
        <f t="shared" ca="1" si="129"/>
        <v>0</v>
      </c>
      <c r="AX193" s="34">
        <f t="shared" ca="1" si="130"/>
        <v>2.2720197633274504</v>
      </c>
      <c r="AY193" s="34">
        <f t="shared" ca="1" si="131"/>
        <v>0</v>
      </c>
      <c r="AZ193" s="34">
        <f t="shared" ca="1" si="132"/>
        <v>13.632118579964702</v>
      </c>
      <c r="BB193" s="34">
        <f t="shared" ca="1" si="157"/>
        <v>0</v>
      </c>
      <c r="BC193" s="34">
        <f t="shared" ca="1" si="157"/>
        <v>0</v>
      </c>
      <c r="BD193" s="34">
        <f t="shared" ca="1" si="157"/>
        <v>0</v>
      </c>
      <c r="BE193" s="34">
        <f t="shared" ca="1" si="157"/>
        <v>205.69726252347289</v>
      </c>
      <c r="BF193" s="34">
        <f t="shared" ca="1" si="157"/>
        <v>976.54255945487137</v>
      </c>
      <c r="BG193" s="34">
        <f t="shared" ca="1" si="157"/>
        <v>1085.0472882831905</v>
      </c>
      <c r="BH193" s="34">
        <f t="shared" ca="1" si="157"/>
        <v>1205.6080980924337</v>
      </c>
      <c r="BI193" s="34">
        <f t="shared" ca="1" si="157"/>
        <v>114.00549390945</v>
      </c>
      <c r="BJ193" s="34">
        <f t="shared" ca="1" si="157"/>
        <v>0</v>
      </c>
      <c r="BK193" s="34">
        <f t="shared" ca="1" si="157"/>
        <v>0</v>
      </c>
      <c r="BL193" s="34">
        <f t="shared" ca="1" si="158"/>
        <v>0</v>
      </c>
      <c r="BM193" s="34">
        <f t="shared" ca="1" si="158"/>
        <v>0</v>
      </c>
      <c r="BN193" s="34">
        <f t="shared" ca="1" si="158"/>
        <v>0</v>
      </c>
      <c r="BO193" s="34">
        <f t="shared" ca="1" si="158"/>
        <v>0</v>
      </c>
      <c r="BP193" s="34">
        <f t="shared" ca="1" si="158"/>
        <v>0</v>
      </c>
      <c r="BQ193" s="34">
        <f t="shared" ca="1" si="158"/>
        <v>0</v>
      </c>
      <c r="BR193" s="34">
        <f t="shared" ca="1" si="158"/>
        <v>0</v>
      </c>
      <c r="BS193" s="34">
        <f t="shared" ca="1" si="158"/>
        <v>0</v>
      </c>
      <c r="BT193" s="34">
        <f t="shared" ca="1" si="158"/>
        <v>0</v>
      </c>
      <c r="BU193" s="34">
        <f t="shared" ca="1" si="158"/>
        <v>0</v>
      </c>
      <c r="BV193" s="34">
        <f t="shared" ca="1" si="159"/>
        <v>0</v>
      </c>
      <c r="BW193" s="34">
        <f t="shared" ca="1" si="159"/>
        <v>0</v>
      </c>
      <c r="BX193" s="34">
        <f t="shared" ca="1" si="159"/>
        <v>0</v>
      </c>
      <c r="BY193" s="34">
        <f t="shared" ca="1" si="159"/>
        <v>0</v>
      </c>
      <c r="BZ193" s="34">
        <f t="shared" ca="1" si="159"/>
        <v>0</v>
      </c>
      <c r="CA193" s="34">
        <f t="shared" ca="1" si="159"/>
        <v>0</v>
      </c>
      <c r="CB193" s="34">
        <f t="shared" ca="1" si="159"/>
        <v>0</v>
      </c>
      <c r="CC193" s="34">
        <f t="shared" ca="1" si="159"/>
        <v>0</v>
      </c>
      <c r="CD193" s="34">
        <f t="shared" ca="1" si="159"/>
        <v>0</v>
      </c>
      <c r="CE193" s="34">
        <f t="shared" ca="1" si="159"/>
        <v>0</v>
      </c>
      <c r="CF193" s="34">
        <f t="shared" ca="1" si="160"/>
        <v>0</v>
      </c>
      <c r="CG193" s="34">
        <f t="shared" ca="1" si="160"/>
        <v>0</v>
      </c>
      <c r="CH193" s="34">
        <f t="shared" ca="1" si="160"/>
        <v>0</v>
      </c>
      <c r="CI193" s="34">
        <f t="shared" ca="1" si="160"/>
        <v>0</v>
      </c>
      <c r="CJ193" s="34">
        <f t="shared" ca="1" si="160"/>
        <v>0</v>
      </c>
      <c r="CK193" s="34">
        <f t="shared" ca="1" si="160"/>
        <v>0</v>
      </c>
      <c r="CL193" s="34">
        <f t="shared" ca="1" si="160"/>
        <v>0</v>
      </c>
      <c r="CM193" s="34">
        <f t="shared" ca="1" si="160"/>
        <v>0</v>
      </c>
      <c r="CN193" s="34">
        <f t="shared" ca="1" si="160"/>
        <v>0</v>
      </c>
      <c r="CO193" s="34">
        <f t="shared" ca="1" si="160"/>
        <v>0</v>
      </c>
      <c r="CP193" s="34">
        <f t="shared" ca="1" si="160"/>
        <v>0</v>
      </c>
      <c r="CQ193" s="34">
        <f t="shared" ca="1" si="152"/>
        <v>3586.9007022634178</v>
      </c>
      <c r="CR193" s="363">
        <v>0</v>
      </c>
      <c r="CS193" s="34">
        <f t="shared" ca="1" si="153"/>
        <v>3586.9007022634178</v>
      </c>
      <c r="CT193" s="233"/>
    </row>
    <row r="194" spans="2:98" x14ac:dyDescent="0.3">
      <c r="B194" s="232"/>
      <c r="C194" s="250">
        <f t="shared" si="154"/>
        <v>2028</v>
      </c>
      <c r="D194" s="263">
        <f t="shared" ca="1" si="137"/>
        <v>0</v>
      </c>
      <c r="E194" s="263">
        <f t="shared" ca="1" si="121"/>
        <v>269.01755266975641</v>
      </c>
      <c r="F194" s="263">
        <f t="shared" ca="1" si="122"/>
        <v>0</v>
      </c>
      <c r="G194" s="263">
        <f t="shared" ca="1" si="138"/>
        <v>1614.1053160185384</v>
      </c>
      <c r="H194" s="15"/>
      <c r="I194" s="271">
        <f ca="1">Assumptions!O$68</f>
        <v>4.5</v>
      </c>
      <c r="J194" s="271">
        <f ca="1">Assumptions!P$68</f>
        <v>80</v>
      </c>
      <c r="K194" s="271">
        <f t="shared" ca="1" si="123"/>
        <v>40</v>
      </c>
      <c r="L194" s="15"/>
      <c r="M194" s="35">
        <f t="shared" ca="1" si="139"/>
        <v>4.2299999999999995</v>
      </c>
      <c r="N194" s="35">
        <f t="shared" ca="1" si="124"/>
        <v>64</v>
      </c>
      <c r="O194" s="35">
        <f t="shared" ca="1" si="125"/>
        <v>32</v>
      </c>
      <c r="P194" s="15"/>
      <c r="Q194" s="34">
        <f t="shared" ca="1" si="140"/>
        <v>0</v>
      </c>
      <c r="R194" s="34">
        <f t="shared" ca="1" si="140"/>
        <v>17217.12337086441</v>
      </c>
      <c r="S194" s="34">
        <f t="shared" ca="1" si="140"/>
        <v>0</v>
      </c>
      <c r="T194" s="34">
        <f t="shared" ca="1" si="141"/>
        <v>17217.12337086441</v>
      </c>
      <c r="U194" s="15"/>
      <c r="V194" s="35">
        <f t="shared" si="142"/>
        <v>0.7</v>
      </c>
      <c r="W194" s="34">
        <f t="shared" ca="1" si="143"/>
        <v>1369.543904500578</v>
      </c>
      <c r="X194" s="35">
        <f t="shared" si="144"/>
        <v>0.222</v>
      </c>
      <c r="Y194" s="34">
        <f t="shared" ca="1" si="145"/>
        <v>434.34106685589762</v>
      </c>
      <c r="Z194" s="35">
        <f t="shared" si="146"/>
        <v>0.34799999999999998</v>
      </c>
      <c r="AA194" s="34">
        <f t="shared" ca="1" si="147"/>
        <v>680.8589696660016</v>
      </c>
      <c r="AB194" s="34">
        <f t="shared" ca="1" si="148"/>
        <v>2484.7439410224774</v>
      </c>
      <c r="AC194" s="15"/>
      <c r="AD194" s="34">
        <f t="shared" ca="1" si="149"/>
        <v>14732.379429841933</v>
      </c>
      <c r="AE194" s="34">
        <f ca="1"/>
        <v>0</v>
      </c>
      <c r="AF194" s="34">
        <f t="shared" ca="1" si="150"/>
        <v>14732.379429841933</v>
      </c>
      <c r="AG194" s="15"/>
      <c r="AH194" s="272">
        <f t="shared" si="155"/>
        <v>47118</v>
      </c>
      <c r="AI194" s="267">
        <f t="shared" si="126"/>
        <v>14.666666666666666</v>
      </c>
      <c r="AJ194" s="267">
        <f t="shared" si="127"/>
        <v>0.24711965236213634</v>
      </c>
      <c r="AK194" s="34">
        <f t="shared" ca="1" si="156"/>
        <v>3640.6604831696268</v>
      </c>
      <c r="AL194" s="233"/>
      <c r="AN194" s="232"/>
      <c r="AO194" s="237">
        <f t="shared" si="151"/>
        <v>15</v>
      </c>
      <c r="AP194" s="34">
        <f t="shared" ca="1" si="151"/>
        <v>0</v>
      </c>
      <c r="AQ194" s="34">
        <f t="shared" ca="1" si="151"/>
        <v>2.4785670145390371</v>
      </c>
      <c r="AR194" s="34">
        <f t="shared" ca="1" si="151"/>
        <v>0</v>
      </c>
      <c r="AS194" s="34">
        <f t="shared" ca="1" si="151"/>
        <v>14.871402087234221</v>
      </c>
      <c r="AT194" s="15"/>
      <c r="AW194" s="34">
        <f t="shared" ca="1" si="129"/>
        <v>0</v>
      </c>
      <c r="AX194" s="34">
        <f t="shared" ca="1" si="130"/>
        <v>2.0448177869947055</v>
      </c>
      <c r="AY194" s="34">
        <f t="shared" ca="1" si="131"/>
        <v>0</v>
      </c>
      <c r="AZ194" s="34">
        <f t="shared" ca="1" si="132"/>
        <v>12.268906721968232</v>
      </c>
      <c r="BB194" s="34">
        <f t="shared" ca="1" si="157"/>
        <v>0</v>
      </c>
      <c r="BC194" s="34">
        <f t="shared" ca="1" si="157"/>
        <v>0</v>
      </c>
      <c r="BD194" s="34">
        <f t="shared" ca="1" si="157"/>
        <v>0</v>
      </c>
      <c r="BE194" s="34">
        <f t="shared" ca="1" si="157"/>
        <v>185.12753627112559</v>
      </c>
      <c r="BF194" s="34">
        <f t="shared" ca="1" si="157"/>
        <v>878.88830350938417</v>
      </c>
      <c r="BG194" s="34">
        <f t="shared" ca="1" si="157"/>
        <v>976.54255945487137</v>
      </c>
      <c r="BH194" s="34">
        <f t="shared" ca="1" si="157"/>
        <v>1085.0472882831905</v>
      </c>
      <c r="BI194" s="34">
        <f t="shared" ca="1" si="157"/>
        <v>102.60494451850499</v>
      </c>
      <c r="BJ194" s="34">
        <f t="shared" ca="1" si="157"/>
        <v>0</v>
      </c>
      <c r="BK194" s="34">
        <f t="shared" ca="1" si="157"/>
        <v>0</v>
      </c>
      <c r="BL194" s="34">
        <f t="shared" ca="1" si="158"/>
        <v>0</v>
      </c>
      <c r="BM194" s="34">
        <f t="shared" ca="1" si="158"/>
        <v>0</v>
      </c>
      <c r="BN194" s="34">
        <f t="shared" ca="1" si="158"/>
        <v>0</v>
      </c>
      <c r="BO194" s="34">
        <f t="shared" ca="1" si="158"/>
        <v>0</v>
      </c>
      <c r="BP194" s="34">
        <f t="shared" ca="1" si="158"/>
        <v>0</v>
      </c>
      <c r="BQ194" s="34">
        <f t="shared" ca="1" si="158"/>
        <v>0</v>
      </c>
      <c r="BR194" s="34">
        <f t="shared" ca="1" si="158"/>
        <v>0</v>
      </c>
      <c r="BS194" s="34">
        <f t="shared" ca="1" si="158"/>
        <v>0</v>
      </c>
      <c r="BT194" s="34">
        <f t="shared" ca="1" si="158"/>
        <v>0</v>
      </c>
      <c r="BU194" s="34">
        <f t="shared" ca="1" si="158"/>
        <v>0</v>
      </c>
      <c r="BV194" s="34">
        <f t="shared" ca="1" si="159"/>
        <v>0</v>
      </c>
      <c r="BW194" s="34">
        <f t="shared" ca="1" si="159"/>
        <v>0</v>
      </c>
      <c r="BX194" s="34">
        <f t="shared" ca="1" si="159"/>
        <v>0</v>
      </c>
      <c r="BY194" s="34">
        <f t="shared" ca="1" si="159"/>
        <v>0</v>
      </c>
      <c r="BZ194" s="34">
        <f t="shared" ca="1" si="159"/>
        <v>0</v>
      </c>
      <c r="CA194" s="34">
        <f t="shared" ca="1" si="159"/>
        <v>0</v>
      </c>
      <c r="CB194" s="34">
        <f t="shared" ca="1" si="159"/>
        <v>0</v>
      </c>
      <c r="CC194" s="34">
        <f t="shared" ca="1" si="159"/>
        <v>0</v>
      </c>
      <c r="CD194" s="34">
        <f t="shared" ca="1" si="159"/>
        <v>0</v>
      </c>
      <c r="CE194" s="34">
        <f t="shared" ca="1" si="159"/>
        <v>0</v>
      </c>
      <c r="CF194" s="34">
        <f t="shared" ca="1" si="160"/>
        <v>0</v>
      </c>
      <c r="CG194" s="34">
        <f t="shared" ca="1" si="160"/>
        <v>0</v>
      </c>
      <c r="CH194" s="34">
        <f t="shared" ca="1" si="160"/>
        <v>0</v>
      </c>
      <c r="CI194" s="34">
        <f t="shared" ca="1" si="160"/>
        <v>0</v>
      </c>
      <c r="CJ194" s="34">
        <f t="shared" ca="1" si="160"/>
        <v>0</v>
      </c>
      <c r="CK194" s="34">
        <f t="shared" ca="1" si="160"/>
        <v>0</v>
      </c>
      <c r="CL194" s="34">
        <f t="shared" ca="1" si="160"/>
        <v>0</v>
      </c>
      <c r="CM194" s="34">
        <f t="shared" ca="1" si="160"/>
        <v>0</v>
      </c>
      <c r="CN194" s="34">
        <f t="shared" ca="1" si="160"/>
        <v>0</v>
      </c>
      <c r="CO194" s="34">
        <f t="shared" ca="1" si="160"/>
        <v>0</v>
      </c>
      <c r="CP194" s="34">
        <f t="shared" ca="1" si="160"/>
        <v>0</v>
      </c>
      <c r="CQ194" s="34">
        <f t="shared" ca="1" si="152"/>
        <v>3228.2106320370767</v>
      </c>
      <c r="CR194" s="363">
        <v>0</v>
      </c>
      <c r="CS194" s="34">
        <f t="shared" ca="1" si="153"/>
        <v>3228.2106320370767</v>
      </c>
      <c r="CT194" s="233"/>
    </row>
    <row r="195" spans="2:98" x14ac:dyDescent="0.3">
      <c r="B195" s="232"/>
      <c r="C195" s="250">
        <f t="shared" si="154"/>
        <v>2029</v>
      </c>
      <c r="D195" s="263">
        <f t="shared" ca="1" si="137"/>
        <v>0</v>
      </c>
      <c r="E195" s="263">
        <f t="shared" ca="1" si="121"/>
        <v>242.11579740278077</v>
      </c>
      <c r="F195" s="263">
        <f t="shared" ca="1" si="122"/>
        <v>0</v>
      </c>
      <c r="G195" s="263">
        <f t="shared" ca="1" si="138"/>
        <v>1452.6947844166846</v>
      </c>
      <c r="H195" s="15"/>
      <c r="I195" s="271">
        <f ca="1">Assumptions!O$68</f>
        <v>4.5</v>
      </c>
      <c r="J195" s="271">
        <f ca="1">Assumptions!P$68</f>
        <v>80</v>
      </c>
      <c r="K195" s="271">
        <f t="shared" ca="1" si="123"/>
        <v>40</v>
      </c>
      <c r="L195" s="15"/>
      <c r="M195" s="35">
        <f t="shared" ca="1" si="139"/>
        <v>4.2299999999999995</v>
      </c>
      <c r="N195" s="35">
        <f t="shared" ca="1" si="124"/>
        <v>64</v>
      </c>
      <c r="O195" s="35">
        <f t="shared" ca="1" si="125"/>
        <v>32</v>
      </c>
      <c r="P195" s="15"/>
      <c r="Q195" s="34">
        <f t="shared" ca="1" si="140"/>
        <v>0</v>
      </c>
      <c r="R195" s="34">
        <f t="shared" ca="1" si="140"/>
        <v>15495.411033777969</v>
      </c>
      <c r="S195" s="34">
        <f t="shared" ca="1" si="140"/>
        <v>0</v>
      </c>
      <c r="T195" s="34">
        <f t="shared" ca="1" si="141"/>
        <v>15495.411033777969</v>
      </c>
      <c r="U195" s="15"/>
      <c r="V195" s="35">
        <f t="shared" si="142"/>
        <v>0.7</v>
      </c>
      <c r="W195" s="34">
        <f t="shared" ca="1" si="143"/>
        <v>1232.5895140505202</v>
      </c>
      <c r="X195" s="35">
        <f t="shared" si="144"/>
        <v>0.222</v>
      </c>
      <c r="Y195" s="34">
        <f t="shared" ca="1" si="145"/>
        <v>390.90696017030785</v>
      </c>
      <c r="Z195" s="35">
        <f t="shared" si="146"/>
        <v>0.34799999999999998</v>
      </c>
      <c r="AA195" s="34">
        <f t="shared" ca="1" si="147"/>
        <v>612.7730726994015</v>
      </c>
      <c r="AB195" s="34">
        <f t="shared" ca="1" si="148"/>
        <v>2236.2695469202295</v>
      </c>
      <c r="AC195" s="15"/>
      <c r="AD195" s="34">
        <f t="shared" ca="1" si="149"/>
        <v>13259.141486857739</v>
      </c>
      <c r="AE195" s="34">
        <f ca="1"/>
        <v>0</v>
      </c>
      <c r="AF195" s="34">
        <f t="shared" ca="1" si="150"/>
        <v>13259.141486857739</v>
      </c>
      <c r="AG195" s="15"/>
      <c r="AH195" s="272">
        <f t="shared" si="155"/>
        <v>47483</v>
      </c>
      <c r="AI195" s="267">
        <f t="shared" si="126"/>
        <v>15.666666666666668</v>
      </c>
      <c r="AJ195" s="267">
        <f t="shared" si="127"/>
        <v>0.22465422942012386</v>
      </c>
      <c r="AK195" s="34">
        <f t="shared" ca="1" si="156"/>
        <v>2978.7222135024208</v>
      </c>
      <c r="AL195" s="233"/>
      <c r="AN195" s="232"/>
      <c r="AO195" s="237">
        <f t="shared" si="151"/>
        <v>16</v>
      </c>
      <c r="AP195" s="34">
        <f t="shared" ca="1" si="151"/>
        <v>0</v>
      </c>
      <c r="AQ195" s="34">
        <f t="shared" ca="1" si="151"/>
        <v>2.2307103130851331</v>
      </c>
      <c r="AR195" s="34">
        <f t="shared" ca="1" si="151"/>
        <v>0</v>
      </c>
      <c r="AS195" s="34">
        <f t="shared" ca="1" si="151"/>
        <v>13.384261878510799</v>
      </c>
      <c r="AT195" s="15"/>
      <c r="AW195" s="34">
        <f t="shared" ca="1" si="129"/>
        <v>0</v>
      </c>
      <c r="AX195" s="34">
        <f t="shared" ca="1" si="130"/>
        <v>1.8403360082952347</v>
      </c>
      <c r="AY195" s="34">
        <f t="shared" ca="1" si="131"/>
        <v>0</v>
      </c>
      <c r="AZ195" s="34">
        <f t="shared" ca="1" si="132"/>
        <v>11.042016049771409</v>
      </c>
      <c r="BB195" s="34">
        <f t="shared" ca="1" si="157"/>
        <v>0</v>
      </c>
      <c r="BC195" s="34">
        <f t="shared" ca="1" si="157"/>
        <v>0</v>
      </c>
      <c r="BD195" s="34">
        <f t="shared" ca="1" si="157"/>
        <v>0</v>
      </c>
      <c r="BE195" s="34">
        <f t="shared" ca="1" si="157"/>
        <v>166.61478264401305</v>
      </c>
      <c r="BF195" s="34">
        <f t="shared" ca="1" si="157"/>
        <v>790.99947315844577</v>
      </c>
      <c r="BG195" s="34">
        <f t="shared" ca="1" si="157"/>
        <v>878.88830350938417</v>
      </c>
      <c r="BH195" s="34">
        <f t="shared" ca="1" si="157"/>
        <v>976.54255945487137</v>
      </c>
      <c r="BI195" s="34">
        <f t="shared" ca="1" si="157"/>
        <v>92.344450066654503</v>
      </c>
      <c r="BJ195" s="34">
        <f t="shared" ca="1" si="157"/>
        <v>0</v>
      </c>
      <c r="BK195" s="34">
        <f t="shared" ca="1" si="157"/>
        <v>0</v>
      </c>
      <c r="BL195" s="34">
        <f t="shared" ca="1" si="158"/>
        <v>0</v>
      </c>
      <c r="BM195" s="34">
        <f t="shared" ca="1" si="158"/>
        <v>0</v>
      </c>
      <c r="BN195" s="34">
        <f t="shared" ca="1" si="158"/>
        <v>0</v>
      </c>
      <c r="BO195" s="34">
        <f t="shared" ca="1" si="158"/>
        <v>0</v>
      </c>
      <c r="BP195" s="34">
        <f t="shared" ca="1" si="158"/>
        <v>0</v>
      </c>
      <c r="BQ195" s="34">
        <f t="shared" ca="1" si="158"/>
        <v>0</v>
      </c>
      <c r="BR195" s="34">
        <f t="shared" ca="1" si="158"/>
        <v>0</v>
      </c>
      <c r="BS195" s="34">
        <f t="shared" ca="1" si="158"/>
        <v>0</v>
      </c>
      <c r="BT195" s="34">
        <f t="shared" ca="1" si="158"/>
        <v>0</v>
      </c>
      <c r="BU195" s="34">
        <f t="shared" ca="1" si="158"/>
        <v>0</v>
      </c>
      <c r="BV195" s="34">
        <f t="shared" ca="1" si="159"/>
        <v>0</v>
      </c>
      <c r="BW195" s="34">
        <f t="shared" ca="1" si="159"/>
        <v>0</v>
      </c>
      <c r="BX195" s="34">
        <f t="shared" ca="1" si="159"/>
        <v>0</v>
      </c>
      <c r="BY195" s="34">
        <f t="shared" ca="1" si="159"/>
        <v>0</v>
      </c>
      <c r="BZ195" s="34">
        <f t="shared" ca="1" si="159"/>
        <v>0</v>
      </c>
      <c r="CA195" s="34">
        <f t="shared" ca="1" si="159"/>
        <v>0</v>
      </c>
      <c r="CB195" s="34">
        <f t="shared" ca="1" si="159"/>
        <v>0</v>
      </c>
      <c r="CC195" s="34">
        <f t="shared" ca="1" si="159"/>
        <v>0</v>
      </c>
      <c r="CD195" s="34">
        <f t="shared" ca="1" si="159"/>
        <v>0</v>
      </c>
      <c r="CE195" s="34">
        <f t="shared" ca="1" si="159"/>
        <v>0</v>
      </c>
      <c r="CF195" s="34">
        <f t="shared" ca="1" si="160"/>
        <v>0</v>
      </c>
      <c r="CG195" s="34">
        <f t="shared" ca="1" si="160"/>
        <v>0</v>
      </c>
      <c r="CH195" s="34">
        <f t="shared" ca="1" si="160"/>
        <v>0</v>
      </c>
      <c r="CI195" s="34">
        <f t="shared" ca="1" si="160"/>
        <v>0</v>
      </c>
      <c r="CJ195" s="34">
        <f t="shared" ca="1" si="160"/>
        <v>0</v>
      </c>
      <c r="CK195" s="34">
        <f t="shared" ca="1" si="160"/>
        <v>0</v>
      </c>
      <c r="CL195" s="34">
        <f t="shared" ca="1" si="160"/>
        <v>0</v>
      </c>
      <c r="CM195" s="34">
        <f t="shared" ca="1" si="160"/>
        <v>0</v>
      </c>
      <c r="CN195" s="34">
        <f t="shared" ca="1" si="160"/>
        <v>0</v>
      </c>
      <c r="CO195" s="34">
        <f t="shared" ca="1" si="160"/>
        <v>0</v>
      </c>
      <c r="CP195" s="34">
        <f t="shared" ca="1" si="160"/>
        <v>0</v>
      </c>
      <c r="CQ195" s="34">
        <f t="shared" ca="1" si="152"/>
        <v>2905.3895688333691</v>
      </c>
      <c r="CR195" s="363">
        <v>0</v>
      </c>
      <c r="CS195" s="34">
        <f t="shared" ca="1" si="153"/>
        <v>2905.3895688333691</v>
      </c>
      <c r="CT195" s="233"/>
    </row>
    <row r="196" spans="2:98" x14ac:dyDescent="0.3">
      <c r="B196" s="232"/>
      <c r="C196" s="250">
        <f t="shared" si="154"/>
        <v>2030</v>
      </c>
      <c r="D196" s="263">
        <f t="shared" ca="1" si="137"/>
        <v>0</v>
      </c>
      <c r="E196" s="263">
        <f t="shared" ca="1" si="121"/>
        <v>217.90421766250265</v>
      </c>
      <c r="F196" s="263">
        <f t="shared" ca="1" si="122"/>
        <v>0</v>
      </c>
      <c r="G196" s="263">
        <f t="shared" ca="1" si="138"/>
        <v>1307.4253059750158</v>
      </c>
      <c r="H196" s="15"/>
      <c r="I196" s="271">
        <f ca="1">Assumptions!O$68</f>
        <v>4.5</v>
      </c>
      <c r="J196" s="271">
        <f ca="1">Assumptions!P$68</f>
        <v>80</v>
      </c>
      <c r="K196" s="271">
        <f t="shared" ca="1" si="123"/>
        <v>40</v>
      </c>
      <c r="L196" s="15"/>
      <c r="M196" s="35">
        <f t="shared" ca="1" si="139"/>
        <v>4.2299999999999995</v>
      </c>
      <c r="N196" s="35">
        <f t="shared" ca="1" si="124"/>
        <v>64</v>
      </c>
      <c r="O196" s="35">
        <f t="shared" ca="1" si="125"/>
        <v>32</v>
      </c>
      <c r="P196" s="15"/>
      <c r="Q196" s="34">
        <f t="shared" ca="1" si="140"/>
        <v>0</v>
      </c>
      <c r="R196" s="34">
        <f t="shared" ca="1" si="140"/>
        <v>13945.869930400169</v>
      </c>
      <c r="S196" s="34">
        <f t="shared" ca="1" si="140"/>
        <v>0</v>
      </c>
      <c r="T196" s="34">
        <f t="shared" ca="1" si="141"/>
        <v>13945.869930400169</v>
      </c>
      <c r="U196" s="15"/>
      <c r="V196" s="35">
        <f t="shared" si="142"/>
        <v>0.7</v>
      </c>
      <c r="W196" s="34">
        <f t="shared" ca="1" si="143"/>
        <v>1109.330562645468</v>
      </c>
      <c r="X196" s="35">
        <f t="shared" si="144"/>
        <v>0.222</v>
      </c>
      <c r="Y196" s="34">
        <f t="shared" ca="1" si="145"/>
        <v>351.81626415327696</v>
      </c>
      <c r="Z196" s="35">
        <f t="shared" si="146"/>
        <v>0.34799999999999998</v>
      </c>
      <c r="AA196" s="34">
        <f t="shared" ca="1" si="147"/>
        <v>551.49576542946124</v>
      </c>
      <c r="AB196" s="34">
        <f t="shared" ca="1" si="148"/>
        <v>2012.6425922282062</v>
      </c>
      <c r="AC196" s="15"/>
      <c r="AD196" s="34">
        <f t="shared" ca="1" si="149"/>
        <v>11933.227338171962</v>
      </c>
      <c r="AE196" s="34">
        <f ca="1"/>
        <v>0</v>
      </c>
      <c r="AF196" s="34">
        <f t="shared" ca="1" si="150"/>
        <v>11933.227338171962</v>
      </c>
      <c r="AG196" s="15"/>
      <c r="AH196" s="272">
        <f t="shared" si="155"/>
        <v>47848</v>
      </c>
      <c r="AI196" s="267">
        <f t="shared" si="126"/>
        <v>16.666666666666668</v>
      </c>
      <c r="AJ196" s="267">
        <f t="shared" si="127"/>
        <v>0.2042311176546581</v>
      </c>
      <c r="AK196" s="34">
        <f t="shared" ca="1" si="156"/>
        <v>2437.1363565019806</v>
      </c>
      <c r="AL196" s="233"/>
      <c r="AN196" s="232"/>
      <c r="AO196" s="237">
        <f t="shared" ref="AO196:AS211" si="161">AO146</f>
        <v>17</v>
      </c>
      <c r="AP196" s="34">
        <f t="shared" ca="1" si="161"/>
        <v>0</v>
      </c>
      <c r="AQ196" s="34">
        <f t="shared" ca="1" si="161"/>
        <v>2.00763928177662</v>
      </c>
      <c r="AR196" s="34">
        <f t="shared" ca="1" si="161"/>
        <v>0</v>
      </c>
      <c r="AS196" s="34">
        <f t="shared" ca="1" si="161"/>
        <v>12.04583569065972</v>
      </c>
      <c r="AT196" s="15"/>
      <c r="AW196" s="34">
        <f t="shared" ca="1" si="129"/>
        <v>0</v>
      </c>
      <c r="AX196" s="34">
        <f t="shared" ca="1" si="130"/>
        <v>1.6563024074657113</v>
      </c>
      <c r="AY196" s="34">
        <f t="shared" ca="1" si="131"/>
        <v>0</v>
      </c>
      <c r="AZ196" s="34">
        <f t="shared" ca="1" si="132"/>
        <v>9.9378144447942685</v>
      </c>
      <c r="BB196" s="34">
        <f t="shared" ca="1" si="157"/>
        <v>0</v>
      </c>
      <c r="BC196" s="34">
        <f t="shared" ca="1" si="157"/>
        <v>0</v>
      </c>
      <c r="BD196" s="34">
        <f t="shared" ca="1" si="157"/>
        <v>0</v>
      </c>
      <c r="BE196" s="34">
        <f t="shared" ca="1" si="157"/>
        <v>149.95330437961172</v>
      </c>
      <c r="BF196" s="34">
        <f t="shared" ca="1" si="157"/>
        <v>711.89952584260118</v>
      </c>
      <c r="BG196" s="34">
        <f t="shared" ca="1" si="157"/>
        <v>790.99947315844577</v>
      </c>
      <c r="BH196" s="34">
        <f t="shared" ca="1" si="157"/>
        <v>878.88830350938417</v>
      </c>
      <c r="BI196" s="34">
        <f t="shared" ca="1" si="157"/>
        <v>83.110005059989049</v>
      </c>
      <c r="BJ196" s="34">
        <f t="shared" ca="1" si="157"/>
        <v>0</v>
      </c>
      <c r="BK196" s="34">
        <f t="shared" ca="1" si="157"/>
        <v>0</v>
      </c>
      <c r="BL196" s="34">
        <f t="shared" ca="1" si="158"/>
        <v>0</v>
      </c>
      <c r="BM196" s="34">
        <f t="shared" ca="1" si="158"/>
        <v>0</v>
      </c>
      <c r="BN196" s="34">
        <f t="shared" ca="1" si="158"/>
        <v>0</v>
      </c>
      <c r="BO196" s="34">
        <f t="shared" ca="1" si="158"/>
        <v>0</v>
      </c>
      <c r="BP196" s="34">
        <f t="shared" ca="1" si="158"/>
        <v>0</v>
      </c>
      <c r="BQ196" s="34">
        <f t="shared" ca="1" si="158"/>
        <v>0</v>
      </c>
      <c r="BR196" s="34">
        <f t="shared" ca="1" si="158"/>
        <v>0</v>
      </c>
      <c r="BS196" s="34">
        <f t="shared" ca="1" si="158"/>
        <v>0</v>
      </c>
      <c r="BT196" s="34">
        <f t="shared" ca="1" si="158"/>
        <v>0</v>
      </c>
      <c r="BU196" s="34">
        <f t="shared" ca="1" si="158"/>
        <v>0</v>
      </c>
      <c r="BV196" s="34">
        <f t="shared" ca="1" si="159"/>
        <v>0</v>
      </c>
      <c r="BW196" s="34">
        <f t="shared" ca="1" si="159"/>
        <v>0</v>
      </c>
      <c r="BX196" s="34">
        <f t="shared" ca="1" si="159"/>
        <v>0</v>
      </c>
      <c r="BY196" s="34">
        <f t="shared" ca="1" si="159"/>
        <v>0</v>
      </c>
      <c r="BZ196" s="34">
        <f t="shared" ca="1" si="159"/>
        <v>0</v>
      </c>
      <c r="CA196" s="34">
        <f t="shared" ca="1" si="159"/>
        <v>0</v>
      </c>
      <c r="CB196" s="34">
        <f t="shared" ca="1" si="159"/>
        <v>0</v>
      </c>
      <c r="CC196" s="34">
        <f t="shared" ca="1" si="159"/>
        <v>0</v>
      </c>
      <c r="CD196" s="34">
        <f t="shared" ca="1" si="159"/>
        <v>0</v>
      </c>
      <c r="CE196" s="34">
        <f t="shared" ca="1" si="159"/>
        <v>0</v>
      </c>
      <c r="CF196" s="34">
        <f t="shared" ca="1" si="160"/>
        <v>0</v>
      </c>
      <c r="CG196" s="34">
        <f t="shared" ca="1" si="160"/>
        <v>0</v>
      </c>
      <c r="CH196" s="34">
        <f t="shared" ca="1" si="160"/>
        <v>0</v>
      </c>
      <c r="CI196" s="34">
        <f t="shared" ca="1" si="160"/>
        <v>0</v>
      </c>
      <c r="CJ196" s="34">
        <f t="shared" ca="1" si="160"/>
        <v>0</v>
      </c>
      <c r="CK196" s="34">
        <f t="shared" ca="1" si="160"/>
        <v>0</v>
      </c>
      <c r="CL196" s="34">
        <f t="shared" ca="1" si="160"/>
        <v>0</v>
      </c>
      <c r="CM196" s="34">
        <f t="shared" ca="1" si="160"/>
        <v>0</v>
      </c>
      <c r="CN196" s="34">
        <f t="shared" ca="1" si="160"/>
        <v>0</v>
      </c>
      <c r="CO196" s="34">
        <f t="shared" ca="1" si="160"/>
        <v>0</v>
      </c>
      <c r="CP196" s="34">
        <f t="shared" ca="1" si="160"/>
        <v>0</v>
      </c>
      <c r="CQ196" s="34">
        <f t="shared" ca="1" si="152"/>
        <v>2614.8506119500316</v>
      </c>
      <c r="CR196" s="363">
        <v>0</v>
      </c>
      <c r="CS196" s="34">
        <f t="shared" ca="1" si="153"/>
        <v>2614.8506119500316</v>
      </c>
      <c r="CT196" s="233"/>
    </row>
    <row r="197" spans="2:98" x14ac:dyDescent="0.3">
      <c r="B197" s="232"/>
      <c r="C197" s="250">
        <f t="shared" si="154"/>
        <v>2031</v>
      </c>
      <c r="D197" s="263">
        <f t="shared" ca="1" si="137"/>
        <v>0</v>
      </c>
      <c r="E197" s="263">
        <f t="shared" ca="1" si="121"/>
        <v>196.11379589625236</v>
      </c>
      <c r="F197" s="263">
        <f t="shared" ca="1" si="122"/>
        <v>0</v>
      </c>
      <c r="G197" s="263">
        <f t="shared" ca="1" si="138"/>
        <v>1176.6827753775142</v>
      </c>
      <c r="H197" s="15"/>
      <c r="I197" s="271">
        <f ca="1">Assumptions!O$68</f>
        <v>4.5</v>
      </c>
      <c r="J197" s="271">
        <f ca="1">Assumptions!P$68</f>
        <v>80</v>
      </c>
      <c r="K197" s="271">
        <f t="shared" ca="1" si="123"/>
        <v>40</v>
      </c>
      <c r="L197" s="15"/>
      <c r="M197" s="35">
        <f t="shared" ca="1" si="139"/>
        <v>4.2299999999999995</v>
      </c>
      <c r="N197" s="35">
        <f t="shared" ca="1" si="124"/>
        <v>64</v>
      </c>
      <c r="O197" s="35">
        <f t="shared" ca="1" si="125"/>
        <v>32</v>
      </c>
      <c r="P197" s="15"/>
      <c r="Q197" s="34">
        <f t="shared" ca="1" si="140"/>
        <v>0</v>
      </c>
      <c r="R197" s="34">
        <f t="shared" ca="1" si="140"/>
        <v>12551.282937360151</v>
      </c>
      <c r="S197" s="34">
        <f t="shared" ca="1" si="140"/>
        <v>0</v>
      </c>
      <c r="T197" s="34">
        <f t="shared" ca="1" si="141"/>
        <v>12551.282937360151</v>
      </c>
      <c r="U197" s="15"/>
      <c r="V197" s="35">
        <f t="shared" si="142"/>
        <v>0.7</v>
      </c>
      <c r="W197" s="34">
        <f t="shared" ca="1" si="143"/>
        <v>998.39750638092119</v>
      </c>
      <c r="X197" s="35">
        <f t="shared" si="144"/>
        <v>0.222</v>
      </c>
      <c r="Y197" s="34">
        <f t="shared" ca="1" si="145"/>
        <v>316.63463773794928</v>
      </c>
      <c r="Z197" s="35">
        <f t="shared" si="146"/>
        <v>0.34799999999999998</v>
      </c>
      <c r="AA197" s="34">
        <f t="shared" ca="1" si="147"/>
        <v>496.34618888651511</v>
      </c>
      <c r="AB197" s="34">
        <f t="shared" ca="1" si="148"/>
        <v>1811.3783330053857</v>
      </c>
      <c r="AC197" s="15"/>
      <c r="AD197" s="34">
        <f t="shared" ca="1" si="149"/>
        <v>10739.904604354764</v>
      </c>
      <c r="AE197" s="34">
        <f ca="1"/>
        <v>0</v>
      </c>
      <c r="AF197" s="34">
        <f t="shared" ca="1" si="150"/>
        <v>10739.904604354764</v>
      </c>
      <c r="AG197" s="15"/>
      <c r="AH197" s="272">
        <f t="shared" si="155"/>
        <v>48213</v>
      </c>
      <c r="AI197" s="267">
        <f t="shared" si="126"/>
        <v>17.666666666666668</v>
      </c>
      <c r="AJ197" s="267">
        <f t="shared" si="127"/>
        <v>0.1856646524133255</v>
      </c>
      <c r="AK197" s="34">
        <f t="shared" ca="1" si="156"/>
        <v>1994.0206553198013</v>
      </c>
      <c r="AL197" s="233"/>
      <c r="AN197" s="232"/>
      <c r="AO197" s="237">
        <f t="shared" si="161"/>
        <v>18</v>
      </c>
      <c r="AP197" s="34">
        <f t="shared" ca="1" si="161"/>
        <v>0</v>
      </c>
      <c r="AQ197" s="34">
        <f t="shared" ca="1" si="161"/>
        <v>1.8068753535989579</v>
      </c>
      <c r="AR197" s="34">
        <f t="shared" ca="1" si="161"/>
        <v>0</v>
      </c>
      <c r="AS197" s="34">
        <f t="shared" ca="1" si="161"/>
        <v>10.841252121593747</v>
      </c>
      <c r="AT197" s="15"/>
      <c r="AW197" s="34">
        <f t="shared" ca="1" si="129"/>
        <v>0</v>
      </c>
      <c r="AX197" s="34">
        <f t="shared" ca="1" si="130"/>
        <v>1.4906721667191403</v>
      </c>
      <c r="AY197" s="34">
        <f t="shared" ca="1" si="131"/>
        <v>0</v>
      </c>
      <c r="AZ197" s="34">
        <f t="shared" ca="1" si="132"/>
        <v>8.9440330003148407</v>
      </c>
      <c r="BB197" s="34">
        <f t="shared" ca="1" si="157"/>
        <v>0</v>
      </c>
      <c r="BC197" s="34">
        <f t="shared" ca="1" si="157"/>
        <v>0</v>
      </c>
      <c r="BD197" s="34">
        <f t="shared" ca="1" si="157"/>
        <v>0</v>
      </c>
      <c r="BE197" s="34">
        <f t="shared" ca="1" si="157"/>
        <v>134.95797394165055</v>
      </c>
      <c r="BF197" s="34">
        <f t="shared" ca="1" si="157"/>
        <v>640.70957325834104</v>
      </c>
      <c r="BG197" s="34">
        <f t="shared" ca="1" si="157"/>
        <v>711.89952584260118</v>
      </c>
      <c r="BH197" s="34">
        <f t="shared" ca="1" si="157"/>
        <v>790.99947315844577</v>
      </c>
      <c r="BI197" s="34">
        <f t="shared" ca="1" si="157"/>
        <v>74.799004553990144</v>
      </c>
      <c r="BJ197" s="34">
        <f t="shared" ca="1" si="157"/>
        <v>0</v>
      </c>
      <c r="BK197" s="34">
        <f t="shared" ca="1" si="157"/>
        <v>0</v>
      </c>
      <c r="BL197" s="34">
        <f t="shared" ca="1" si="158"/>
        <v>0</v>
      </c>
      <c r="BM197" s="34">
        <f t="shared" ca="1" si="158"/>
        <v>0</v>
      </c>
      <c r="BN197" s="34">
        <f t="shared" ca="1" si="158"/>
        <v>0</v>
      </c>
      <c r="BO197" s="34">
        <f t="shared" ca="1" si="158"/>
        <v>0</v>
      </c>
      <c r="BP197" s="34">
        <f t="shared" ca="1" si="158"/>
        <v>0</v>
      </c>
      <c r="BQ197" s="34">
        <f t="shared" ca="1" si="158"/>
        <v>0</v>
      </c>
      <c r="BR197" s="34">
        <f t="shared" ca="1" si="158"/>
        <v>0</v>
      </c>
      <c r="BS197" s="34">
        <f t="shared" ca="1" si="158"/>
        <v>0</v>
      </c>
      <c r="BT197" s="34">
        <f t="shared" ca="1" si="158"/>
        <v>0</v>
      </c>
      <c r="BU197" s="34">
        <f t="shared" ca="1" si="158"/>
        <v>0</v>
      </c>
      <c r="BV197" s="34">
        <f t="shared" ca="1" si="159"/>
        <v>0</v>
      </c>
      <c r="BW197" s="34">
        <f t="shared" ca="1" si="159"/>
        <v>0</v>
      </c>
      <c r="BX197" s="34">
        <f t="shared" ca="1" si="159"/>
        <v>0</v>
      </c>
      <c r="BY197" s="34">
        <f t="shared" ca="1" si="159"/>
        <v>0</v>
      </c>
      <c r="BZ197" s="34">
        <f t="shared" ca="1" si="159"/>
        <v>0</v>
      </c>
      <c r="CA197" s="34">
        <f t="shared" ca="1" si="159"/>
        <v>0</v>
      </c>
      <c r="CB197" s="34">
        <f t="shared" ca="1" si="159"/>
        <v>0</v>
      </c>
      <c r="CC197" s="34">
        <f t="shared" ca="1" si="159"/>
        <v>0</v>
      </c>
      <c r="CD197" s="34">
        <f t="shared" ca="1" si="159"/>
        <v>0</v>
      </c>
      <c r="CE197" s="34">
        <f t="shared" ca="1" si="159"/>
        <v>0</v>
      </c>
      <c r="CF197" s="34">
        <f t="shared" ca="1" si="160"/>
        <v>0</v>
      </c>
      <c r="CG197" s="34">
        <f t="shared" ca="1" si="160"/>
        <v>0</v>
      </c>
      <c r="CH197" s="34">
        <f t="shared" ca="1" si="160"/>
        <v>0</v>
      </c>
      <c r="CI197" s="34">
        <f t="shared" ca="1" si="160"/>
        <v>0</v>
      </c>
      <c r="CJ197" s="34">
        <f t="shared" ca="1" si="160"/>
        <v>0</v>
      </c>
      <c r="CK197" s="34">
        <f t="shared" ca="1" si="160"/>
        <v>0</v>
      </c>
      <c r="CL197" s="34">
        <f t="shared" ca="1" si="160"/>
        <v>0</v>
      </c>
      <c r="CM197" s="34">
        <f t="shared" ca="1" si="160"/>
        <v>0</v>
      </c>
      <c r="CN197" s="34">
        <f t="shared" ca="1" si="160"/>
        <v>0</v>
      </c>
      <c r="CO197" s="34">
        <f t="shared" ca="1" si="160"/>
        <v>0</v>
      </c>
      <c r="CP197" s="34">
        <f t="shared" ca="1" si="160"/>
        <v>0</v>
      </c>
      <c r="CQ197" s="34">
        <f t="shared" ca="1" si="152"/>
        <v>2353.3655507550284</v>
      </c>
      <c r="CR197" s="363">
        <v>0</v>
      </c>
      <c r="CS197" s="34">
        <f t="shared" ca="1" si="153"/>
        <v>2353.3655507550284</v>
      </c>
      <c r="CT197" s="233"/>
    </row>
    <row r="198" spans="2:98" x14ac:dyDescent="0.3">
      <c r="B198" s="232"/>
      <c r="C198" s="250">
        <f t="shared" si="154"/>
        <v>2032</v>
      </c>
      <c r="D198" s="263">
        <f t="shared" ca="1" si="137"/>
        <v>0</v>
      </c>
      <c r="E198" s="263">
        <f t="shared" ca="1" si="121"/>
        <v>176.50241630662717</v>
      </c>
      <c r="F198" s="263">
        <f t="shared" ca="1" si="122"/>
        <v>0</v>
      </c>
      <c r="G198" s="263">
        <f t="shared" ca="1" si="138"/>
        <v>1059.014497839763</v>
      </c>
      <c r="H198" s="15"/>
      <c r="I198" s="271">
        <f ca="1">Assumptions!O$68</f>
        <v>4.5</v>
      </c>
      <c r="J198" s="271">
        <f ca="1">Assumptions!P$68</f>
        <v>80</v>
      </c>
      <c r="K198" s="271">
        <f t="shared" ca="1" si="123"/>
        <v>40</v>
      </c>
      <c r="L198" s="15"/>
      <c r="M198" s="35">
        <f t="shared" ca="1" si="139"/>
        <v>4.2299999999999995</v>
      </c>
      <c r="N198" s="35">
        <f t="shared" ca="1" si="124"/>
        <v>64</v>
      </c>
      <c r="O198" s="35">
        <f t="shared" ca="1" si="125"/>
        <v>32</v>
      </c>
      <c r="P198" s="15"/>
      <c r="Q198" s="34">
        <f t="shared" ca="1" si="140"/>
        <v>0</v>
      </c>
      <c r="R198" s="34">
        <f t="shared" ca="1" si="140"/>
        <v>11296.154643624139</v>
      </c>
      <c r="S198" s="34">
        <f t="shared" ca="1" si="140"/>
        <v>0</v>
      </c>
      <c r="T198" s="34">
        <f t="shared" ca="1" si="141"/>
        <v>11296.154643624139</v>
      </c>
      <c r="U198" s="15"/>
      <c r="V198" s="35">
        <f t="shared" si="142"/>
        <v>0.7</v>
      </c>
      <c r="W198" s="34">
        <f t="shared" ca="1" si="143"/>
        <v>898.55775574282916</v>
      </c>
      <c r="X198" s="35">
        <f t="shared" si="144"/>
        <v>0.222</v>
      </c>
      <c r="Y198" s="34">
        <f t="shared" ca="1" si="145"/>
        <v>284.97117396415439</v>
      </c>
      <c r="Z198" s="35">
        <f t="shared" si="146"/>
        <v>0.34799999999999998</v>
      </c>
      <c r="AA198" s="34">
        <f t="shared" ca="1" si="147"/>
        <v>446.71156999786359</v>
      </c>
      <c r="AB198" s="34">
        <f t="shared" ca="1" si="148"/>
        <v>1630.240499704847</v>
      </c>
      <c r="AC198" s="15"/>
      <c r="AD198" s="34">
        <f t="shared" ca="1" si="149"/>
        <v>9665.9141439192917</v>
      </c>
      <c r="AE198" s="34">
        <f ca="1"/>
        <v>0</v>
      </c>
      <c r="AF198" s="34">
        <f t="shared" ca="1" si="150"/>
        <v>9665.9141439192917</v>
      </c>
      <c r="AG198" s="15"/>
      <c r="AH198" s="272">
        <f t="shared" si="155"/>
        <v>48579</v>
      </c>
      <c r="AI198" s="267">
        <f t="shared" si="126"/>
        <v>18.666666666666668</v>
      </c>
      <c r="AJ198" s="267">
        <f t="shared" si="127"/>
        <v>0.16878604764847771</v>
      </c>
      <c r="AK198" s="34">
        <f t="shared" ca="1" si="156"/>
        <v>1631.4714452616563</v>
      </c>
      <c r="AL198" s="233"/>
      <c r="AN198" s="232"/>
      <c r="AO198" s="237">
        <f t="shared" si="161"/>
        <v>19</v>
      </c>
      <c r="AP198" s="34">
        <f t="shared" ca="1" si="161"/>
        <v>0</v>
      </c>
      <c r="AQ198" s="34">
        <f t="shared" ca="1" si="161"/>
        <v>1.6261878182390621</v>
      </c>
      <c r="AR198" s="34">
        <f t="shared" ca="1" si="161"/>
        <v>0</v>
      </c>
      <c r="AS198" s="34">
        <f t="shared" ca="1" si="161"/>
        <v>9.7571269094343727</v>
      </c>
      <c r="AT198" s="15"/>
      <c r="AW198" s="34">
        <f t="shared" ca="1" si="129"/>
        <v>0</v>
      </c>
      <c r="AX198" s="34">
        <f t="shared" ca="1" si="130"/>
        <v>1.3416049500472262</v>
      </c>
      <c r="AY198" s="34">
        <f t="shared" ca="1" si="131"/>
        <v>0</v>
      </c>
      <c r="AZ198" s="34">
        <f t="shared" ca="1" si="132"/>
        <v>8.0496297002833579</v>
      </c>
      <c r="BB198" s="34">
        <f t="shared" ca="1" si="157"/>
        <v>0</v>
      </c>
      <c r="BC198" s="34">
        <f t="shared" ca="1" si="157"/>
        <v>0</v>
      </c>
      <c r="BD198" s="34">
        <f t="shared" ca="1" si="157"/>
        <v>0</v>
      </c>
      <c r="BE198" s="34">
        <f t="shared" ca="1" si="157"/>
        <v>121.4621765474855</v>
      </c>
      <c r="BF198" s="34">
        <f t="shared" ca="1" si="157"/>
        <v>576.63861593250692</v>
      </c>
      <c r="BG198" s="34">
        <f t="shared" ca="1" si="157"/>
        <v>640.70957325834104</v>
      </c>
      <c r="BH198" s="34">
        <f t="shared" ca="1" si="157"/>
        <v>711.89952584260118</v>
      </c>
      <c r="BI198" s="34">
        <f t="shared" ca="1" si="157"/>
        <v>67.319104098591126</v>
      </c>
      <c r="BJ198" s="34">
        <f t="shared" ca="1" si="157"/>
        <v>0</v>
      </c>
      <c r="BK198" s="34">
        <f t="shared" ca="1" si="157"/>
        <v>0</v>
      </c>
      <c r="BL198" s="34">
        <f t="shared" ca="1" si="158"/>
        <v>0</v>
      </c>
      <c r="BM198" s="34">
        <f t="shared" ca="1" si="158"/>
        <v>0</v>
      </c>
      <c r="BN198" s="34">
        <f t="shared" ca="1" si="158"/>
        <v>0</v>
      </c>
      <c r="BO198" s="34">
        <f t="shared" ca="1" si="158"/>
        <v>0</v>
      </c>
      <c r="BP198" s="34">
        <f t="shared" ca="1" si="158"/>
        <v>0</v>
      </c>
      <c r="BQ198" s="34">
        <f t="shared" ca="1" si="158"/>
        <v>0</v>
      </c>
      <c r="BR198" s="34">
        <f t="shared" ca="1" si="158"/>
        <v>0</v>
      </c>
      <c r="BS198" s="34">
        <f t="shared" ca="1" si="158"/>
        <v>0</v>
      </c>
      <c r="BT198" s="34">
        <f t="shared" ca="1" si="158"/>
        <v>0</v>
      </c>
      <c r="BU198" s="34">
        <f t="shared" ca="1" si="158"/>
        <v>0</v>
      </c>
      <c r="BV198" s="34">
        <f t="shared" ca="1" si="159"/>
        <v>0</v>
      </c>
      <c r="BW198" s="34">
        <f t="shared" ca="1" si="159"/>
        <v>0</v>
      </c>
      <c r="BX198" s="34">
        <f t="shared" ca="1" si="159"/>
        <v>0</v>
      </c>
      <c r="BY198" s="34">
        <f t="shared" ca="1" si="159"/>
        <v>0</v>
      </c>
      <c r="BZ198" s="34">
        <f t="shared" ca="1" si="159"/>
        <v>0</v>
      </c>
      <c r="CA198" s="34">
        <f t="shared" ca="1" si="159"/>
        <v>0</v>
      </c>
      <c r="CB198" s="34">
        <f t="shared" ca="1" si="159"/>
        <v>0</v>
      </c>
      <c r="CC198" s="34">
        <f t="shared" ca="1" si="159"/>
        <v>0</v>
      </c>
      <c r="CD198" s="34">
        <f t="shared" ca="1" si="159"/>
        <v>0</v>
      </c>
      <c r="CE198" s="34">
        <f t="shared" ca="1" si="159"/>
        <v>0</v>
      </c>
      <c r="CF198" s="34">
        <f t="shared" ca="1" si="160"/>
        <v>0</v>
      </c>
      <c r="CG198" s="34">
        <f t="shared" ca="1" si="160"/>
        <v>0</v>
      </c>
      <c r="CH198" s="34">
        <f t="shared" ca="1" si="160"/>
        <v>0</v>
      </c>
      <c r="CI198" s="34">
        <f t="shared" ca="1" si="160"/>
        <v>0</v>
      </c>
      <c r="CJ198" s="34">
        <f t="shared" ca="1" si="160"/>
        <v>0</v>
      </c>
      <c r="CK198" s="34">
        <f t="shared" ca="1" si="160"/>
        <v>0</v>
      </c>
      <c r="CL198" s="34">
        <f t="shared" ca="1" si="160"/>
        <v>0</v>
      </c>
      <c r="CM198" s="34">
        <f t="shared" ca="1" si="160"/>
        <v>0</v>
      </c>
      <c r="CN198" s="34">
        <f t="shared" ca="1" si="160"/>
        <v>0</v>
      </c>
      <c r="CO198" s="34">
        <f t="shared" ca="1" si="160"/>
        <v>0</v>
      </c>
      <c r="CP198" s="34">
        <f t="shared" ca="1" si="160"/>
        <v>0</v>
      </c>
      <c r="CQ198" s="34">
        <f t="shared" ca="1" si="152"/>
        <v>2118.0289956795259</v>
      </c>
      <c r="CR198" s="363">
        <v>0</v>
      </c>
      <c r="CS198" s="34">
        <f t="shared" ca="1" si="153"/>
        <v>2118.0289956795259</v>
      </c>
      <c r="CT198" s="233"/>
    </row>
    <row r="199" spans="2:98" x14ac:dyDescent="0.3">
      <c r="B199" s="232"/>
      <c r="C199" s="250">
        <f t="shared" si="154"/>
        <v>2033</v>
      </c>
      <c r="D199" s="263">
        <f t="shared" ca="1" si="137"/>
        <v>0</v>
      </c>
      <c r="E199" s="263">
        <f t="shared" ca="1" si="121"/>
        <v>158.85217467596442</v>
      </c>
      <c r="F199" s="263">
        <f t="shared" ca="1" si="122"/>
        <v>0</v>
      </c>
      <c r="G199" s="263">
        <f t="shared" ca="1" si="138"/>
        <v>953.11304805578652</v>
      </c>
      <c r="H199" s="15"/>
      <c r="I199" s="271">
        <f ca="1">Assumptions!O$68</f>
        <v>4.5</v>
      </c>
      <c r="J199" s="271">
        <f ca="1">Assumptions!P$68</f>
        <v>80</v>
      </c>
      <c r="K199" s="271">
        <f t="shared" ca="1" si="123"/>
        <v>40</v>
      </c>
      <c r="L199" s="15"/>
      <c r="M199" s="35">
        <f t="shared" ca="1" si="139"/>
        <v>4.2299999999999995</v>
      </c>
      <c r="N199" s="35">
        <f t="shared" ca="1" si="124"/>
        <v>64</v>
      </c>
      <c r="O199" s="35">
        <f t="shared" ca="1" si="125"/>
        <v>32</v>
      </c>
      <c r="P199" s="15"/>
      <c r="Q199" s="34">
        <f t="shared" ca="1" si="140"/>
        <v>0</v>
      </c>
      <c r="R199" s="34">
        <f t="shared" ca="1" si="140"/>
        <v>10166.539179261723</v>
      </c>
      <c r="S199" s="34">
        <f t="shared" ca="1" si="140"/>
        <v>0</v>
      </c>
      <c r="T199" s="34">
        <f t="shared" ca="1" si="141"/>
        <v>10166.539179261723</v>
      </c>
      <c r="U199" s="15"/>
      <c r="V199" s="35">
        <f t="shared" si="142"/>
        <v>0.7</v>
      </c>
      <c r="W199" s="34">
        <f t="shared" ca="1" si="143"/>
        <v>808.70198016854613</v>
      </c>
      <c r="X199" s="35">
        <f t="shared" si="144"/>
        <v>0.222</v>
      </c>
      <c r="Y199" s="34">
        <f t="shared" ca="1" si="145"/>
        <v>256.47405656773896</v>
      </c>
      <c r="Z199" s="35">
        <f t="shared" si="146"/>
        <v>0.34799999999999998</v>
      </c>
      <c r="AA199" s="34">
        <f t="shared" ca="1" si="147"/>
        <v>402.04041299807722</v>
      </c>
      <c r="AB199" s="34">
        <f t="shared" ca="1" si="148"/>
        <v>1467.2164497343624</v>
      </c>
      <c r="AC199" s="15"/>
      <c r="AD199" s="34">
        <f t="shared" ca="1" si="149"/>
        <v>8699.3227295273609</v>
      </c>
      <c r="AE199" s="34">
        <f ca="1"/>
        <v>0</v>
      </c>
      <c r="AF199" s="34">
        <f t="shared" ca="1" si="150"/>
        <v>8699.3227295273609</v>
      </c>
      <c r="AG199" s="15"/>
      <c r="AH199" s="272">
        <f t="shared" si="155"/>
        <v>48944</v>
      </c>
      <c r="AI199" s="267">
        <f t="shared" si="126"/>
        <v>19.666666666666668</v>
      </c>
      <c r="AJ199" s="267">
        <f t="shared" si="127"/>
        <v>0.15344186149861608</v>
      </c>
      <c r="AK199" s="34">
        <f t="shared" ca="1" si="156"/>
        <v>1334.8402733959001</v>
      </c>
      <c r="AL199" s="233"/>
      <c r="AN199" s="232"/>
      <c r="AO199" s="237">
        <f t="shared" si="161"/>
        <v>20</v>
      </c>
      <c r="AP199" s="34">
        <f t="shared" ca="1" si="161"/>
        <v>0</v>
      </c>
      <c r="AQ199" s="34">
        <f t="shared" ca="1" si="161"/>
        <v>1.4635690364151559</v>
      </c>
      <c r="AR199" s="34">
        <f t="shared" ca="1" si="161"/>
        <v>0</v>
      </c>
      <c r="AS199" s="34">
        <f t="shared" ca="1" si="161"/>
        <v>8.7814142184909354</v>
      </c>
      <c r="AT199" s="15"/>
      <c r="AW199" s="34">
        <f t="shared" ca="1" si="129"/>
        <v>0</v>
      </c>
      <c r="AX199" s="34">
        <f t="shared" ca="1" si="130"/>
        <v>1.2074444550425036</v>
      </c>
      <c r="AY199" s="34">
        <f t="shared" ca="1" si="131"/>
        <v>0</v>
      </c>
      <c r="AZ199" s="34">
        <f t="shared" ca="1" si="132"/>
        <v>7.2446667302550214</v>
      </c>
      <c r="BB199" s="34">
        <f t="shared" ref="BB199:BK208" ca="1" si="162">IF($AO199&lt;BB$178,0,OFFSET($AZ$178,$AO199-BB$178+1,0)*BB$176)</f>
        <v>0</v>
      </c>
      <c r="BC199" s="34">
        <f t="shared" ca="1" si="162"/>
        <v>0</v>
      </c>
      <c r="BD199" s="34">
        <f t="shared" ca="1" si="162"/>
        <v>0</v>
      </c>
      <c r="BE199" s="34">
        <f t="shared" ca="1" si="162"/>
        <v>109.31595889273696</v>
      </c>
      <c r="BF199" s="34">
        <f t="shared" ca="1" si="162"/>
        <v>518.97475433925615</v>
      </c>
      <c r="BG199" s="34">
        <f t="shared" ca="1" si="162"/>
        <v>576.63861593250692</v>
      </c>
      <c r="BH199" s="34">
        <f t="shared" ca="1" si="162"/>
        <v>640.70957325834104</v>
      </c>
      <c r="BI199" s="34">
        <f t="shared" ca="1" si="162"/>
        <v>60.587193688732015</v>
      </c>
      <c r="BJ199" s="34">
        <f t="shared" ca="1" si="162"/>
        <v>0</v>
      </c>
      <c r="BK199" s="34">
        <f t="shared" ca="1" si="162"/>
        <v>0</v>
      </c>
      <c r="BL199" s="34">
        <f t="shared" ref="BL199:BU208" ca="1" si="163">IF($AO199&lt;BL$178,0,OFFSET($AZ$178,$AO199-BL$178+1,0)*BL$176)</f>
        <v>0</v>
      </c>
      <c r="BM199" s="34">
        <f t="shared" ca="1" si="163"/>
        <v>0</v>
      </c>
      <c r="BN199" s="34">
        <f t="shared" ca="1" si="163"/>
        <v>0</v>
      </c>
      <c r="BO199" s="34">
        <f t="shared" ca="1" si="163"/>
        <v>0</v>
      </c>
      <c r="BP199" s="34">
        <f t="shared" ca="1" si="163"/>
        <v>0</v>
      </c>
      <c r="BQ199" s="34">
        <f t="shared" ca="1" si="163"/>
        <v>0</v>
      </c>
      <c r="BR199" s="34">
        <f t="shared" ca="1" si="163"/>
        <v>0</v>
      </c>
      <c r="BS199" s="34">
        <f t="shared" ca="1" si="163"/>
        <v>0</v>
      </c>
      <c r="BT199" s="34">
        <f t="shared" ca="1" si="163"/>
        <v>0</v>
      </c>
      <c r="BU199" s="34">
        <f t="shared" ca="1" si="163"/>
        <v>0</v>
      </c>
      <c r="BV199" s="34">
        <f t="shared" ref="BV199:CE208" ca="1" si="164">IF($AO199&lt;BV$178,0,OFFSET($AZ$178,$AO199-BV$178+1,0)*BV$176)</f>
        <v>0</v>
      </c>
      <c r="BW199" s="34">
        <f t="shared" ca="1" si="164"/>
        <v>0</v>
      </c>
      <c r="BX199" s="34">
        <f t="shared" ca="1" si="164"/>
        <v>0</v>
      </c>
      <c r="BY199" s="34">
        <f t="shared" ca="1" si="164"/>
        <v>0</v>
      </c>
      <c r="BZ199" s="34">
        <f t="shared" ca="1" si="164"/>
        <v>0</v>
      </c>
      <c r="CA199" s="34">
        <f t="shared" ca="1" si="164"/>
        <v>0</v>
      </c>
      <c r="CB199" s="34">
        <f t="shared" ca="1" si="164"/>
        <v>0</v>
      </c>
      <c r="CC199" s="34">
        <f t="shared" ca="1" si="164"/>
        <v>0</v>
      </c>
      <c r="CD199" s="34">
        <f t="shared" ca="1" si="164"/>
        <v>0</v>
      </c>
      <c r="CE199" s="34">
        <f t="shared" ca="1" si="164"/>
        <v>0</v>
      </c>
      <c r="CF199" s="34">
        <f t="shared" ref="CF199:CP208" ca="1" si="165">IF($AO199&lt;CF$178,0,OFFSET($AZ$178,$AO199-CF$178+1,0)*CF$176)</f>
        <v>0</v>
      </c>
      <c r="CG199" s="34">
        <f t="shared" ca="1" si="165"/>
        <v>0</v>
      </c>
      <c r="CH199" s="34">
        <f t="shared" ca="1" si="165"/>
        <v>0</v>
      </c>
      <c r="CI199" s="34">
        <f t="shared" ca="1" si="165"/>
        <v>0</v>
      </c>
      <c r="CJ199" s="34">
        <f t="shared" ca="1" si="165"/>
        <v>0</v>
      </c>
      <c r="CK199" s="34">
        <f t="shared" ca="1" si="165"/>
        <v>0</v>
      </c>
      <c r="CL199" s="34">
        <f t="shared" ca="1" si="165"/>
        <v>0</v>
      </c>
      <c r="CM199" s="34">
        <f t="shared" ca="1" si="165"/>
        <v>0</v>
      </c>
      <c r="CN199" s="34">
        <f t="shared" ca="1" si="165"/>
        <v>0</v>
      </c>
      <c r="CO199" s="34">
        <f t="shared" ca="1" si="165"/>
        <v>0</v>
      </c>
      <c r="CP199" s="34">
        <f t="shared" ca="1" si="165"/>
        <v>0</v>
      </c>
      <c r="CQ199" s="34">
        <f t="shared" ca="1" si="152"/>
        <v>1906.226096111573</v>
      </c>
      <c r="CR199" s="363">
        <v>0</v>
      </c>
      <c r="CS199" s="34">
        <f t="shared" ca="1" si="153"/>
        <v>1906.226096111573</v>
      </c>
      <c r="CT199" s="233"/>
    </row>
    <row r="200" spans="2:98" x14ac:dyDescent="0.3">
      <c r="B200" s="232"/>
      <c r="C200" s="250">
        <f t="shared" si="154"/>
        <v>2034</v>
      </c>
      <c r="D200" s="263">
        <f t="shared" ca="1" si="137"/>
        <v>0</v>
      </c>
      <c r="E200" s="263">
        <f t="shared" ca="1" si="121"/>
        <v>142.96695720836797</v>
      </c>
      <c r="F200" s="263">
        <f t="shared" ca="1" si="122"/>
        <v>0</v>
      </c>
      <c r="G200" s="263">
        <f t="shared" ca="1" si="138"/>
        <v>857.80174325020778</v>
      </c>
      <c r="H200" s="15"/>
      <c r="I200" s="271">
        <f ca="1">Assumptions!O$68</f>
        <v>4.5</v>
      </c>
      <c r="J200" s="271">
        <f ca="1">Assumptions!P$68</f>
        <v>80</v>
      </c>
      <c r="K200" s="271">
        <f t="shared" ca="1" si="123"/>
        <v>40</v>
      </c>
      <c r="L200" s="15"/>
      <c r="M200" s="35">
        <f t="shared" ca="1" si="139"/>
        <v>4.2299999999999995</v>
      </c>
      <c r="N200" s="35">
        <f t="shared" ca="1" si="124"/>
        <v>64</v>
      </c>
      <c r="O200" s="35">
        <f t="shared" ca="1" si="125"/>
        <v>32</v>
      </c>
      <c r="P200" s="15"/>
      <c r="Q200" s="34">
        <f t="shared" ca="1" si="140"/>
        <v>0</v>
      </c>
      <c r="R200" s="34">
        <f t="shared" ca="1" si="140"/>
        <v>9149.8852613355502</v>
      </c>
      <c r="S200" s="34">
        <f t="shared" ca="1" si="140"/>
        <v>0</v>
      </c>
      <c r="T200" s="34">
        <f t="shared" ca="1" si="141"/>
        <v>9149.8852613355502</v>
      </c>
      <c r="U200" s="15"/>
      <c r="V200" s="35">
        <f t="shared" si="142"/>
        <v>0.7</v>
      </c>
      <c r="W200" s="34">
        <f t="shared" ca="1" si="143"/>
        <v>727.83178215169141</v>
      </c>
      <c r="X200" s="35">
        <f t="shared" si="144"/>
        <v>0.222</v>
      </c>
      <c r="Y200" s="34">
        <f t="shared" ca="1" si="145"/>
        <v>230.82665091096501</v>
      </c>
      <c r="Z200" s="35">
        <f t="shared" si="146"/>
        <v>0.34799999999999998</v>
      </c>
      <c r="AA200" s="34">
        <f t="shared" ca="1" si="147"/>
        <v>361.83637169826943</v>
      </c>
      <c r="AB200" s="34">
        <f t="shared" ca="1" si="148"/>
        <v>1320.4948047609259</v>
      </c>
      <c r="AC200" s="15"/>
      <c r="AD200" s="34">
        <f t="shared" ca="1" si="149"/>
        <v>7829.3904565746243</v>
      </c>
      <c r="AE200" s="34">
        <f ca="1"/>
        <v>0</v>
      </c>
      <c r="AF200" s="34">
        <f t="shared" ca="1" si="150"/>
        <v>7829.3904565746243</v>
      </c>
      <c r="AG200" s="15"/>
      <c r="AH200" s="272">
        <f t="shared" si="155"/>
        <v>49309</v>
      </c>
      <c r="AI200" s="267">
        <f t="shared" si="126"/>
        <v>20.666666666666668</v>
      </c>
      <c r="AJ200" s="267">
        <f t="shared" si="127"/>
        <v>0.13949260136237826</v>
      </c>
      <c r="AK200" s="34">
        <f t="shared" ca="1" si="156"/>
        <v>1092.1420418693729</v>
      </c>
      <c r="AL200" s="233"/>
      <c r="AN200" s="232"/>
      <c r="AO200" s="237">
        <f t="shared" si="161"/>
        <v>21</v>
      </c>
      <c r="AP200" s="34">
        <f t="shared" ca="1" si="161"/>
        <v>0</v>
      </c>
      <c r="AQ200" s="34">
        <f t="shared" ca="1" si="161"/>
        <v>1.3172121327736404</v>
      </c>
      <c r="AR200" s="34">
        <f t="shared" ca="1" si="161"/>
        <v>0</v>
      </c>
      <c r="AS200" s="34">
        <f t="shared" ca="1" si="161"/>
        <v>7.9032727966418417</v>
      </c>
      <c r="AT200" s="15"/>
      <c r="AW200" s="34">
        <f t="shared" ca="1" si="129"/>
        <v>0</v>
      </c>
      <c r="AX200" s="34">
        <f t="shared" ca="1" si="130"/>
        <v>1.0867000095382533</v>
      </c>
      <c r="AY200" s="34">
        <f t="shared" ca="1" si="131"/>
        <v>0</v>
      </c>
      <c r="AZ200" s="34">
        <f t="shared" ca="1" si="132"/>
        <v>6.5202000572295189</v>
      </c>
      <c r="BB200" s="34">
        <f t="shared" ca="1" si="162"/>
        <v>0</v>
      </c>
      <c r="BC200" s="34">
        <f t="shared" ca="1" si="162"/>
        <v>0</v>
      </c>
      <c r="BD200" s="34">
        <f t="shared" ca="1" si="162"/>
        <v>0</v>
      </c>
      <c r="BE200" s="34">
        <f t="shared" ca="1" si="162"/>
        <v>98.38436300346325</v>
      </c>
      <c r="BF200" s="34">
        <f t="shared" ca="1" si="162"/>
        <v>467.07727890533062</v>
      </c>
      <c r="BG200" s="34">
        <f t="shared" ca="1" si="162"/>
        <v>518.97475433925615</v>
      </c>
      <c r="BH200" s="34">
        <f t="shared" ca="1" si="162"/>
        <v>576.63861593250692</v>
      </c>
      <c r="BI200" s="34">
        <f t="shared" ca="1" si="162"/>
        <v>54.528474319858809</v>
      </c>
      <c r="BJ200" s="34">
        <f t="shared" ca="1" si="162"/>
        <v>0</v>
      </c>
      <c r="BK200" s="34">
        <f t="shared" ca="1" si="162"/>
        <v>0</v>
      </c>
      <c r="BL200" s="34">
        <f t="shared" ca="1" si="163"/>
        <v>0</v>
      </c>
      <c r="BM200" s="34">
        <f t="shared" ca="1" si="163"/>
        <v>0</v>
      </c>
      <c r="BN200" s="34">
        <f t="shared" ca="1" si="163"/>
        <v>0</v>
      </c>
      <c r="BO200" s="34">
        <f t="shared" ca="1" si="163"/>
        <v>0</v>
      </c>
      <c r="BP200" s="34">
        <f t="shared" ca="1" si="163"/>
        <v>0</v>
      </c>
      <c r="BQ200" s="34">
        <f t="shared" ca="1" si="163"/>
        <v>0</v>
      </c>
      <c r="BR200" s="34">
        <f t="shared" ca="1" si="163"/>
        <v>0</v>
      </c>
      <c r="BS200" s="34">
        <f t="shared" ca="1" si="163"/>
        <v>0</v>
      </c>
      <c r="BT200" s="34">
        <f t="shared" ca="1" si="163"/>
        <v>0</v>
      </c>
      <c r="BU200" s="34">
        <f t="shared" ca="1" si="163"/>
        <v>0</v>
      </c>
      <c r="BV200" s="34">
        <f t="shared" ca="1" si="164"/>
        <v>0</v>
      </c>
      <c r="BW200" s="34">
        <f t="shared" ca="1" si="164"/>
        <v>0</v>
      </c>
      <c r="BX200" s="34">
        <f t="shared" ca="1" si="164"/>
        <v>0</v>
      </c>
      <c r="BY200" s="34">
        <f t="shared" ca="1" si="164"/>
        <v>0</v>
      </c>
      <c r="BZ200" s="34">
        <f t="shared" ca="1" si="164"/>
        <v>0</v>
      </c>
      <c r="CA200" s="34">
        <f t="shared" ca="1" si="164"/>
        <v>0</v>
      </c>
      <c r="CB200" s="34">
        <f t="shared" ca="1" si="164"/>
        <v>0</v>
      </c>
      <c r="CC200" s="34">
        <f t="shared" ca="1" si="164"/>
        <v>0</v>
      </c>
      <c r="CD200" s="34">
        <f t="shared" ca="1" si="164"/>
        <v>0</v>
      </c>
      <c r="CE200" s="34">
        <f t="shared" ca="1" si="164"/>
        <v>0</v>
      </c>
      <c r="CF200" s="34">
        <f t="shared" ca="1" si="165"/>
        <v>0</v>
      </c>
      <c r="CG200" s="34">
        <f t="shared" ca="1" si="165"/>
        <v>0</v>
      </c>
      <c r="CH200" s="34">
        <f t="shared" ca="1" si="165"/>
        <v>0</v>
      </c>
      <c r="CI200" s="34">
        <f t="shared" ca="1" si="165"/>
        <v>0</v>
      </c>
      <c r="CJ200" s="34">
        <f t="shared" ca="1" si="165"/>
        <v>0</v>
      </c>
      <c r="CK200" s="34">
        <f t="shared" ca="1" si="165"/>
        <v>0</v>
      </c>
      <c r="CL200" s="34">
        <f t="shared" ca="1" si="165"/>
        <v>0</v>
      </c>
      <c r="CM200" s="34">
        <f t="shared" ca="1" si="165"/>
        <v>0</v>
      </c>
      <c r="CN200" s="34">
        <f t="shared" ca="1" si="165"/>
        <v>0</v>
      </c>
      <c r="CO200" s="34">
        <f t="shared" ca="1" si="165"/>
        <v>0</v>
      </c>
      <c r="CP200" s="34">
        <f t="shared" ca="1" si="165"/>
        <v>0</v>
      </c>
      <c r="CQ200" s="34">
        <f t="shared" ca="1" si="152"/>
        <v>1715.6034865004156</v>
      </c>
      <c r="CR200" s="363">
        <v>0</v>
      </c>
      <c r="CS200" s="34">
        <f t="shared" ca="1" si="153"/>
        <v>1715.6034865004156</v>
      </c>
      <c r="CT200" s="233"/>
    </row>
    <row r="201" spans="2:98" x14ac:dyDescent="0.3">
      <c r="B201" s="232"/>
      <c r="C201" s="250">
        <f t="shared" si="154"/>
        <v>2035</v>
      </c>
      <c r="D201" s="263">
        <f t="shared" ca="1" si="137"/>
        <v>0</v>
      </c>
      <c r="E201" s="263">
        <f t="shared" ca="1" si="121"/>
        <v>128.67026148753118</v>
      </c>
      <c r="F201" s="263">
        <f t="shared" ca="1" si="122"/>
        <v>0</v>
      </c>
      <c r="G201" s="263">
        <f t="shared" ca="1" si="138"/>
        <v>772.02156892518713</v>
      </c>
      <c r="H201" s="15"/>
      <c r="I201" s="271">
        <f ca="1">Assumptions!O$68</f>
        <v>4.5</v>
      </c>
      <c r="J201" s="271">
        <f ca="1">Assumptions!P$68</f>
        <v>80</v>
      </c>
      <c r="K201" s="271">
        <f t="shared" ca="1" si="123"/>
        <v>40</v>
      </c>
      <c r="L201" s="15"/>
      <c r="M201" s="35">
        <f t="shared" ca="1" si="139"/>
        <v>4.2299999999999995</v>
      </c>
      <c r="N201" s="35">
        <f t="shared" ca="1" si="124"/>
        <v>64</v>
      </c>
      <c r="O201" s="35">
        <f t="shared" ca="1" si="125"/>
        <v>32</v>
      </c>
      <c r="P201" s="15"/>
      <c r="Q201" s="34">
        <f t="shared" ca="1" si="140"/>
        <v>0</v>
      </c>
      <c r="R201" s="34">
        <f t="shared" ca="1" si="140"/>
        <v>8234.8967352019954</v>
      </c>
      <c r="S201" s="34">
        <f t="shared" ca="1" si="140"/>
        <v>0</v>
      </c>
      <c r="T201" s="34">
        <f t="shared" ca="1" si="141"/>
        <v>8234.8967352019954</v>
      </c>
      <c r="U201" s="15"/>
      <c r="V201" s="35">
        <f t="shared" si="142"/>
        <v>0.7</v>
      </c>
      <c r="W201" s="34">
        <f t="shared" ca="1" si="143"/>
        <v>655.04860393652234</v>
      </c>
      <c r="X201" s="35">
        <f t="shared" si="144"/>
        <v>0.222</v>
      </c>
      <c r="Y201" s="34">
        <f t="shared" ca="1" si="145"/>
        <v>207.74398581986856</v>
      </c>
      <c r="Z201" s="35">
        <f t="shared" si="146"/>
        <v>0.34799999999999998</v>
      </c>
      <c r="AA201" s="34">
        <f t="shared" ca="1" si="147"/>
        <v>325.65273452844258</v>
      </c>
      <c r="AB201" s="34">
        <f t="shared" ca="1" si="148"/>
        <v>1188.4453242848335</v>
      </c>
      <c r="AC201" s="15"/>
      <c r="AD201" s="34">
        <f t="shared" ca="1" si="149"/>
        <v>7046.4514109171614</v>
      </c>
      <c r="AE201" s="34">
        <f ca="1"/>
        <v>0</v>
      </c>
      <c r="AF201" s="34">
        <f t="shared" ca="1" si="150"/>
        <v>7046.4514109171614</v>
      </c>
      <c r="AG201" s="15"/>
      <c r="AH201" s="272">
        <f t="shared" si="155"/>
        <v>49674</v>
      </c>
      <c r="AI201" s="267">
        <f t="shared" si="126"/>
        <v>21.666666666666668</v>
      </c>
      <c r="AJ201" s="267">
        <f t="shared" si="127"/>
        <v>0.12681145578398023</v>
      </c>
      <c r="AK201" s="34">
        <f t="shared" ca="1" si="156"/>
        <v>893.57076152948673</v>
      </c>
      <c r="AL201" s="233"/>
      <c r="AN201" s="232"/>
      <c r="AO201" s="237">
        <f t="shared" si="161"/>
        <v>22</v>
      </c>
      <c r="AP201" s="34">
        <f t="shared" ca="1" si="161"/>
        <v>0</v>
      </c>
      <c r="AQ201" s="34">
        <f t="shared" ca="1" si="161"/>
        <v>1.1854909194962764</v>
      </c>
      <c r="AR201" s="34">
        <f t="shared" ca="1" si="161"/>
        <v>0</v>
      </c>
      <c r="AS201" s="34">
        <f t="shared" ca="1" si="161"/>
        <v>7.1129455169776579</v>
      </c>
      <c r="AT201" s="15"/>
      <c r="AW201" s="34">
        <f t="shared" ca="1" si="129"/>
        <v>0</v>
      </c>
      <c r="AX201" s="34">
        <f t="shared" ca="1" si="130"/>
        <v>0.97803000858442801</v>
      </c>
      <c r="AY201" s="34">
        <f t="shared" ca="1" si="131"/>
        <v>0</v>
      </c>
      <c r="AZ201" s="34">
        <f t="shared" ca="1" si="132"/>
        <v>5.8681800515065676</v>
      </c>
      <c r="BB201" s="34">
        <f t="shared" ca="1" si="162"/>
        <v>0</v>
      </c>
      <c r="BC201" s="34">
        <f t="shared" ca="1" si="162"/>
        <v>0</v>
      </c>
      <c r="BD201" s="34">
        <f t="shared" ca="1" si="162"/>
        <v>0</v>
      </c>
      <c r="BE201" s="34">
        <f t="shared" ca="1" si="162"/>
        <v>88.545926703116933</v>
      </c>
      <c r="BF201" s="34">
        <f t="shared" ca="1" si="162"/>
        <v>420.36955101479754</v>
      </c>
      <c r="BG201" s="34">
        <f t="shared" ca="1" si="162"/>
        <v>467.07727890533062</v>
      </c>
      <c r="BH201" s="34">
        <f t="shared" ca="1" si="162"/>
        <v>518.97475433925615</v>
      </c>
      <c r="BI201" s="34">
        <f t="shared" ca="1" si="162"/>
        <v>49.075626887872929</v>
      </c>
      <c r="BJ201" s="34">
        <f t="shared" ca="1" si="162"/>
        <v>0</v>
      </c>
      <c r="BK201" s="34">
        <f t="shared" ca="1" si="162"/>
        <v>0</v>
      </c>
      <c r="BL201" s="34">
        <f t="shared" ca="1" si="163"/>
        <v>0</v>
      </c>
      <c r="BM201" s="34">
        <f t="shared" ca="1" si="163"/>
        <v>0</v>
      </c>
      <c r="BN201" s="34">
        <f t="shared" ca="1" si="163"/>
        <v>0</v>
      </c>
      <c r="BO201" s="34">
        <f t="shared" ca="1" si="163"/>
        <v>0</v>
      </c>
      <c r="BP201" s="34">
        <f t="shared" ca="1" si="163"/>
        <v>0</v>
      </c>
      <c r="BQ201" s="34">
        <f t="shared" ca="1" si="163"/>
        <v>0</v>
      </c>
      <c r="BR201" s="34">
        <f t="shared" ca="1" si="163"/>
        <v>0</v>
      </c>
      <c r="BS201" s="34">
        <f t="shared" ca="1" si="163"/>
        <v>0</v>
      </c>
      <c r="BT201" s="34">
        <f t="shared" ca="1" si="163"/>
        <v>0</v>
      </c>
      <c r="BU201" s="34">
        <f t="shared" ca="1" si="163"/>
        <v>0</v>
      </c>
      <c r="BV201" s="34">
        <f t="shared" ca="1" si="164"/>
        <v>0</v>
      </c>
      <c r="BW201" s="34">
        <f t="shared" ca="1" si="164"/>
        <v>0</v>
      </c>
      <c r="BX201" s="34">
        <f t="shared" ca="1" si="164"/>
        <v>0</v>
      </c>
      <c r="BY201" s="34">
        <f t="shared" ca="1" si="164"/>
        <v>0</v>
      </c>
      <c r="BZ201" s="34">
        <f t="shared" ca="1" si="164"/>
        <v>0</v>
      </c>
      <c r="CA201" s="34">
        <f t="shared" ca="1" si="164"/>
        <v>0</v>
      </c>
      <c r="CB201" s="34">
        <f t="shared" ca="1" si="164"/>
        <v>0</v>
      </c>
      <c r="CC201" s="34">
        <f t="shared" ca="1" si="164"/>
        <v>0</v>
      </c>
      <c r="CD201" s="34">
        <f t="shared" ca="1" si="164"/>
        <v>0</v>
      </c>
      <c r="CE201" s="34">
        <f t="shared" ca="1" si="164"/>
        <v>0</v>
      </c>
      <c r="CF201" s="34">
        <f t="shared" ca="1" si="165"/>
        <v>0</v>
      </c>
      <c r="CG201" s="34">
        <f t="shared" ca="1" si="165"/>
        <v>0</v>
      </c>
      <c r="CH201" s="34">
        <f t="shared" ca="1" si="165"/>
        <v>0</v>
      </c>
      <c r="CI201" s="34">
        <f t="shared" ca="1" si="165"/>
        <v>0</v>
      </c>
      <c r="CJ201" s="34">
        <f t="shared" ca="1" si="165"/>
        <v>0</v>
      </c>
      <c r="CK201" s="34">
        <f t="shared" ca="1" si="165"/>
        <v>0</v>
      </c>
      <c r="CL201" s="34">
        <f t="shared" ca="1" si="165"/>
        <v>0</v>
      </c>
      <c r="CM201" s="34">
        <f t="shared" ca="1" si="165"/>
        <v>0</v>
      </c>
      <c r="CN201" s="34">
        <f t="shared" ca="1" si="165"/>
        <v>0</v>
      </c>
      <c r="CO201" s="34">
        <f t="shared" ca="1" si="165"/>
        <v>0</v>
      </c>
      <c r="CP201" s="34">
        <f t="shared" ca="1" si="165"/>
        <v>0</v>
      </c>
      <c r="CQ201" s="34">
        <f t="shared" ca="1" si="152"/>
        <v>1544.0431378503743</v>
      </c>
      <c r="CR201" s="363">
        <v>0</v>
      </c>
      <c r="CS201" s="34">
        <f t="shared" ca="1" si="153"/>
        <v>1544.0431378503743</v>
      </c>
      <c r="CT201" s="233"/>
    </row>
    <row r="202" spans="2:98" x14ac:dyDescent="0.3">
      <c r="B202" s="232"/>
      <c r="C202" s="250">
        <f t="shared" si="154"/>
        <v>2036</v>
      </c>
      <c r="D202" s="263">
        <f t="shared" ca="1" si="137"/>
        <v>0</v>
      </c>
      <c r="E202" s="263">
        <f t="shared" ca="1" si="121"/>
        <v>115.80323533877807</v>
      </c>
      <c r="F202" s="263">
        <f t="shared" ca="1" si="122"/>
        <v>0</v>
      </c>
      <c r="G202" s="263">
        <f t="shared" ca="1" si="138"/>
        <v>694.81941203266842</v>
      </c>
      <c r="H202" s="15"/>
      <c r="I202" s="271">
        <f ca="1">Assumptions!O$68</f>
        <v>4.5</v>
      </c>
      <c r="J202" s="271">
        <f ca="1">Assumptions!P$68</f>
        <v>80</v>
      </c>
      <c r="K202" s="271">
        <f t="shared" ca="1" si="123"/>
        <v>40</v>
      </c>
      <c r="L202" s="15"/>
      <c r="M202" s="35">
        <f t="shared" ca="1" si="139"/>
        <v>4.2299999999999995</v>
      </c>
      <c r="N202" s="35">
        <f t="shared" ca="1" si="124"/>
        <v>64</v>
      </c>
      <c r="O202" s="35">
        <f t="shared" ca="1" si="125"/>
        <v>32</v>
      </c>
      <c r="P202" s="15"/>
      <c r="Q202" s="34">
        <f t="shared" ca="1" si="140"/>
        <v>0</v>
      </c>
      <c r="R202" s="34">
        <f t="shared" ca="1" si="140"/>
        <v>7411.4070616817962</v>
      </c>
      <c r="S202" s="34">
        <f t="shared" ca="1" si="140"/>
        <v>0</v>
      </c>
      <c r="T202" s="34">
        <f t="shared" ca="1" si="141"/>
        <v>7411.4070616817962</v>
      </c>
      <c r="U202" s="15"/>
      <c r="V202" s="35">
        <f t="shared" si="142"/>
        <v>0.7</v>
      </c>
      <c r="W202" s="34">
        <f t="shared" ca="1" si="143"/>
        <v>589.54374354287017</v>
      </c>
      <c r="X202" s="35">
        <f t="shared" si="144"/>
        <v>0.222</v>
      </c>
      <c r="Y202" s="34">
        <f t="shared" ca="1" si="145"/>
        <v>186.96958723788168</v>
      </c>
      <c r="Z202" s="35">
        <f t="shared" si="146"/>
        <v>0.34799999999999998</v>
      </c>
      <c r="AA202" s="34">
        <f t="shared" ca="1" si="147"/>
        <v>293.0874610755983</v>
      </c>
      <c r="AB202" s="34">
        <f t="shared" ca="1" si="148"/>
        <v>1069.60079185635</v>
      </c>
      <c r="AC202" s="15"/>
      <c r="AD202" s="34">
        <f t="shared" ca="1" si="149"/>
        <v>6341.8062698254462</v>
      </c>
      <c r="AE202" s="34">
        <f ca="1"/>
        <v>0</v>
      </c>
      <c r="AF202" s="34">
        <f t="shared" ca="1" si="150"/>
        <v>6341.8062698254462</v>
      </c>
      <c r="AG202" s="15"/>
      <c r="AH202" s="272">
        <f t="shared" si="155"/>
        <v>50040</v>
      </c>
      <c r="AI202" s="267">
        <f t="shared" si="126"/>
        <v>22.666666666666668</v>
      </c>
      <c r="AJ202" s="267">
        <f t="shared" si="127"/>
        <v>0.11528314162180023</v>
      </c>
      <c r="AK202" s="34">
        <f t="shared" ca="1" si="156"/>
        <v>731.10335034230752</v>
      </c>
      <c r="AL202" s="233"/>
      <c r="AN202" s="232"/>
      <c r="AO202" s="237">
        <f t="shared" si="161"/>
        <v>23</v>
      </c>
      <c r="AP202" s="34">
        <f t="shared" ca="1" si="161"/>
        <v>0</v>
      </c>
      <c r="AQ202" s="34">
        <f t="shared" ca="1" si="161"/>
        <v>1.0669418275466487</v>
      </c>
      <c r="AR202" s="34">
        <f t="shared" ca="1" si="161"/>
        <v>0</v>
      </c>
      <c r="AS202" s="34">
        <f t="shared" ca="1" si="161"/>
        <v>6.4016509652798925</v>
      </c>
      <c r="AT202" s="15"/>
      <c r="AW202" s="34">
        <f t="shared" ca="1" si="129"/>
        <v>0</v>
      </c>
      <c r="AX202" s="34">
        <f t="shared" ca="1" si="130"/>
        <v>0.88022700772598517</v>
      </c>
      <c r="AY202" s="34">
        <f t="shared" ca="1" si="131"/>
        <v>0</v>
      </c>
      <c r="AZ202" s="34">
        <f t="shared" ca="1" si="132"/>
        <v>5.2813620463559108</v>
      </c>
      <c r="BB202" s="34">
        <f t="shared" ca="1" si="162"/>
        <v>0</v>
      </c>
      <c r="BC202" s="34">
        <f t="shared" ca="1" si="162"/>
        <v>0</v>
      </c>
      <c r="BD202" s="34">
        <f t="shared" ca="1" si="162"/>
        <v>0</v>
      </c>
      <c r="BE202" s="34">
        <f t="shared" ca="1" si="162"/>
        <v>79.69133403280523</v>
      </c>
      <c r="BF202" s="34">
        <f t="shared" ca="1" si="162"/>
        <v>378.33259591331785</v>
      </c>
      <c r="BG202" s="34">
        <f t="shared" ca="1" si="162"/>
        <v>420.36955101479754</v>
      </c>
      <c r="BH202" s="34">
        <f t="shared" ca="1" si="162"/>
        <v>467.07727890533062</v>
      </c>
      <c r="BI202" s="34">
        <f t="shared" ca="1" si="162"/>
        <v>44.168064199085634</v>
      </c>
      <c r="BJ202" s="34">
        <f t="shared" ca="1" si="162"/>
        <v>0</v>
      </c>
      <c r="BK202" s="34">
        <f t="shared" ca="1" si="162"/>
        <v>0</v>
      </c>
      <c r="BL202" s="34">
        <f t="shared" ca="1" si="163"/>
        <v>0</v>
      </c>
      <c r="BM202" s="34">
        <f t="shared" ca="1" si="163"/>
        <v>0</v>
      </c>
      <c r="BN202" s="34">
        <f t="shared" ca="1" si="163"/>
        <v>0</v>
      </c>
      <c r="BO202" s="34">
        <f t="shared" ca="1" si="163"/>
        <v>0</v>
      </c>
      <c r="BP202" s="34">
        <f t="shared" ca="1" si="163"/>
        <v>0</v>
      </c>
      <c r="BQ202" s="34">
        <f t="shared" ca="1" si="163"/>
        <v>0</v>
      </c>
      <c r="BR202" s="34">
        <f t="shared" ca="1" si="163"/>
        <v>0</v>
      </c>
      <c r="BS202" s="34">
        <f t="shared" ca="1" si="163"/>
        <v>0</v>
      </c>
      <c r="BT202" s="34">
        <f t="shared" ca="1" si="163"/>
        <v>0</v>
      </c>
      <c r="BU202" s="34">
        <f t="shared" ca="1" si="163"/>
        <v>0</v>
      </c>
      <c r="BV202" s="34">
        <f t="shared" ca="1" si="164"/>
        <v>0</v>
      </c>
      <c r="BW202" s="34">
        <f t="shared" ca="1" si="164"/>
        <v>0</v>
      </c>
      <c r="BX202" s="34">
        <f t="shared" ca="1" si="164"/>
        <v>0</v>
      </c>
      <c r="BY202" s="34">
        <f t="shared" ca="1" si="164"/>
        <v>0</v>
      </c>
      <c r="BZ202" s="34">
        <f t="shared" ca="1" si="164"/>
        <v>0</v>
      </c>
      <c r="CA202" s="34">
        <f t="shared" ca="1" si="164"/>
        <v>0</v>
      </c>
      <c r="CB202" s="34">
        <f t="shared" ca="1" si="164"/>
        <v>0</v>
      </c>
      <c r="CC202" s="34">
        <f t="shared" ca="1" si="164"/>
        <v>0</v>
      </c>
      <c r="CD202" s="34">
        <f t="shared" ca="1" si="164"/>
        <v>0</v>
      </c>
      <c r="CE202" s="34">
        <f t="shared" ca="1" si="164"/>
        <v>0</v>
      </c>
      <c r="CF202" s="34">
        <f t="shared" ca="1" si="165"/>
        <v>0</v>
      </c>
      <c r="CG202" s="34">
        <f t="shared" ca="1" si="165"/>
        <v>0</v>
      </c>
      <c r="CH202" s="34">
        <f t="shared" ca="1" si="165"/>
        <v>0</v>
      </c>
      <c r="CI202" s="34">
        <f t="shared" ca="1" si="165"/>
        <v>0</v>
      </c>
      <c r="CJ202" s="34">
        <f t="shared" ca="1" si="165"/>
        <v>0</v>
      </c>
      <c r="CK202" s="34">
        <f t="shared" ca="1" si="165"/>
        <v>0</v>
      </c>
      <c r="CL202" s="34">
        <f t="shared" ca="1" si="165"/>
        <v>0</v>
      </c>
      <c r="CM202" s="34">
        <f t="shared" ca="1" si="165"/>
        <v>0</v>
      </c>
      <c r="CN202" s="34">
        <f t="shared" ca="1" si="165"/>
        <v>0</v>
      </c>
      <c r="CO202" s="34">
        <f t="shared" ca="1" si="165"/>
        <v>0</v>
      </c>
      <c r="CP202" s="34">
        <f t="shared" ca="1" si="165"/>
        <v>0</v>
      </c>
      <c r="CQ202" s="34">
        <f t="shared" ca="1" si="152"/>
        <v>1389.6388240653368</v>
      </c>
      <c r="CR202" s="363">
        <v>0</v>
      </c>
      <c r="CS202" s="34">
        <f t="shared" ca="1" si="153"/>
        <v>1389.6388240653368</v>
      </c>
      <c r="CT202" s="233"/>
    </row>
    <row r="203" spans="2:98" x14ac:dyDescent="0.3">
      <c r="B203" s="232"/>
      <c r="C203" s="250">
        <f t="shared" si="154"/>
        <v>2037</v>
      </c>
      <c r="D203" s="263">
        <f t="shared" ca="1" si="137"/>
        <v>0</v>
      </c>
      <c r="E203" s="263">
        <f t="shared" ca="1" si="121"/>
        <v>104.22291180490025</v>
      </c>
      <c r="F203" s="263">
        <f t="shared" ca="1" si="122"/>
        <v>0</v>
      </c>
      <c r="G203" s="263">
        <f t="shared" ca="1" si="138"/>
        <v>625.33747082940147</v>
      </c>
      <c r="H203" s="15"/>
      <c r="I203" s="271">
        <f ca="1">Assumptions!O$68</f>
        <v>4.5</v>
      </c>
      <c r="J203" s="271">
        <f ca="1">Assumptions!P$68</f>
        <v>80</v>
      </c>
      <c r="K203" s="271">
        <f t="shared" ca="1" si="123"/>
        <v>40</v>
      </c>
      <c r="L203" s="15"/>
      <c r="M203" s="35">
        <f t="shared" ca="1" si="139"/>
        <v>4.2299999999999995</v>
      </c>
      <c r="N203" s="35">
        <f t="shared" ca="1" si="124"/>
        <v>64</v>
      </c>
      <c r="O203" s="35">
        <f t="shared" ca="1" si="125"/>
        <v>32</v>
      </c>
      <c r="P203" s="15"/>
      <c r="Q203" s="34">
        <f t="shared" ca="1" si="140"/>
        <v>0</v>
      </c>
      <c r="R203" s="34">
        <f t="shared" ca="1" si="140"/>
        <v>6670.266355513616</v>
      </c>
      <c r="S203" s="34">
        <f t="shared" ca="1" si="140"/>
        <v>0</v>
      </c>
      <c r="T203" s="34">
        <f t="shared" ca="1" si="141"/>
        <v>6670.266355513616</v>
      </c>
      <c r="U203" s="15"/>
      <c r="V203" s="35">
        <f t="shared" si="142"/>
        <v>0.7</v>
      </c>
      <c r="W203" s="34">
        <f t="shared" ca="1" si="143"/>
        <v>530.58936918858308</v>
      </c>
      <c r="X203" s="35">
        <f t="shared" si="144"/>
        <v>0.222</v>
      </c>
      <c r="Y203" s="34">
        <f t="shared" ca="1" si="145"/>
        <v>168.2726285140935</v>
      </c>
      <c r="Z203" s="35">
        <f t="shared" si="146"/>
        <v>0.34799999999999998</v>
      </c>
      <c r="AA203" s="34">
        <f t="shared" ca="1" si="147"/>
        <v>263.77871496803846</v>
      </c>
      <c r="AB203" s="34">
        <f t="shared" ca="1" si="148"/>
        <v>962.64071267071506</v>
      </c>
      <c r="AC203" s="15"/>
      <c r="AD203" s="34">
        <f t="shared" ca="1" si="149"/>
        <v>5707.6256428429006</v>
      </c>
      <c r="AE203" s="34">
        <f ca="1"/>
        <v>0</v>
      </c>
      <c r="AF203" s="34">
        <f t="shared" ca="1" si="150"/>
        <v>5707.6256428429006</v>
      </c>
      <c r="AG203" s="15"/>
      <c r="AH203" s="272">
        <f t="shared" si="155"/>
        <v>50405</v>
      </c>
      <c r="AI203" s="267">
        <f t="shared" si="126"/>
        <v>23.666666666666668</v>
      </c>
      <c r="AJ203" s="267">
        <f t="shared" si="127"/>
        <v>0.10480285601981834</v>
      </c>
      <c r="AK203" s="34">
        <f t="shared" ca="1" si="156"/>
        <v>598.17546846188759</v>
      </c>
      <c r="AL203" s="233"/>
      <c r="AN203" s="232"/>
      <c r="AO203" s="237">
        <f t="shared" si="161"/>
        <v>24</v>
      </c>
      <c r="AP203" s="34">
        <f t="shared" ca="1" si="161"/>
        <v>0</v>
      </c>
      <c r="AQ203" s="34">
        <f t="shared" ca="1" si="161"/>
        <v>0.96024764479198399</v>
      </c>
      <c r="AR203" s="34">
        <f t="shared" ca="1" si="161"/>
        <v>0</v>
      </c>
      <c r="AS203" s="34">
        <f t="shared" ca="1" si="161"/>
        <v>5.7614858687519037</v>
      </c>
      <c r="AT203" s="15"/>
      <c r="AW203" s="34">
        <f t="shared" ca="1" si="129"/>
        <v>0</v>
      </c>
      <c r="AX203" s="34">
        <f t="shared" ca="1" si="130"/>
        <v>0.79220430695338673</v>
      </c>
      <c r="AY203" s="34">
        <f t="shared" ca="1" si="131"/>
        <v>0</v>
      </c>
      <c r="AZ203" s="34">
        <f t="shared" ca="1" si="132"/>
        <v>4.7532258417203206</v>
      </c>
      <c r="BB203" s="34">
        <f t="shared" ca="1" si="162"/>
        <v>0</v>
      </c>
      <c r="BC203" s="34">
        <f t="shared" ca="1" si="162"/>
        <v>0</v>
      </c>
      <c r="BD203" s="34">
        <f t="shared" ca="1" si="162"/>
        <v>0</v>
      </c>
      <c r="BE203" s="34">
        <f t="shared" ca="1" si="162"/>
        <v>71.722200629524707</v>
      </c>
      <c r="BF203" s="34">
        <f t="shared" ca="1" si="162"/>
        <v>340.49933632198599</v>
      </c>
      <c r="BG203" s="34">
        <f t="shared" ca="1" si="162"/>
        <v>378.33259591331785</v>
      </c>
      <c r="BH203" s="34">
        <f t="shared" ca="1" si="162"/>
        <v>420.36955101479754</v>
      </c>
      <c r="BI203" s="34">
        <f t="shared" ca="1" si="162"/>
        <v>39.751257779177074</v>
      </c>
      <c r="BJ203" s="34">
        <f t="shared" ca="1" si="162"/>
        <v>0</v>
      </c>
      <c r="BK203" s="34">
        <f t="shared" ca="1" si="162"/>
        <v>0</v>
      </c>
      <c r="BL203" s="34">
        <f t="shared" ca="1" si="163"/>
        <v>0</v>
      </c>
      <c r="BM203" s="34">
        <f t="shared" ca="1" si="163"/>
        <v>0</v>
      </c>
      <c r="BN203" s="34">
        <f t="shared" ca="1" si="163"/>
        <v>0</v>
      </c>
      <c r="BO203" s="34">
        <f t="shared" ca="1" si="163"/>
        <v>0</v>
      </c>
      <c r="BP203" s="34">
        <f t="shared" ca="1" si="163"/>
        <v>0</v>
      </c>
      <c r="BQ203" s="34">
        <f t="shared" ca="1" si="163"/>
        <v>0</v>
      </c>
      <c r="BR203" s="34">
        <f t="shared" ca="1" si="163"/>
        <v>0</v>
      </c>
      <c r="BS203" s="34">
        <f t="shared" ca="1" si="163"/>
        <v>0</v>
      </c>
      <c r="BT203" s="34">
        <f t="shared" ca="1" si="163"/>
        <v>0</v>
      </c>
      <c r="BU203" s="34">
        <f t="shared" ca="1" si="163"/>
        <v>0</v>
      </c>
      <c r="BV203" s="34">
        <f t="shared" ca="1" si="164"/>
        <v>0</v>
      </c>
      <c r="BW203" s="34">
        <f t="shared" ca="1" si="164"/>
        <v>0</v>
      </c>
      <c r="BX203" s="34">
        <f t="shared" ca="1" si="164"/>
        <v>0</v>
      </c>
      <c r="BY203" s="34">
        <f t="shared" ca="1" si="164"/>
        <v>0</v>
      </c>
      <c r="BZ203" s="34">
        <f t="shared" ca="1" si="164"/>
        <v>0</v>
      </c>
      <c r="CA203" s="34">
        <f t="shared" ca="1" si="164"/>
        <v>0</v>
      </c>
      <c r="CB203" s="34">
        <f t="shared" ca="1" si="164"/>
        <v>0</v>
      </c>
      <c r="CC203" s="34">
        <f t="shared" ca="1" si="164"/>
        <v>0</v>
      </c>
      <c r="CD203" s="34">
        <f t="shared" ca="1" si="164"/>
        <v>0</v>
      </c>
      <c r="CE203" s="34">
        <f t="shared" ca="1" si="164"/>
        <v>0</v>
      </c>
      <c r="CF203" s="34">
        <f t="shared" ca="1" si="165"/>
        <v>0</v>
      </c>
      <c r="CG203" s="34">
        <f t="shared" ca="1" si="165"/>
        <v>0</v>
      </c>
      <c r="CH203" s="34">
        <f t="shared" ca="1" si="165"/>
        <v>0</v>
      </c>
      <c r="CI203" s="34">
        <f t="shared" ca="1" si="165"/>
        <v>0</v>
      </c>
      <c r="CJ203" s="34">
        <f t="shared" ca="1" si="165"/>
        <v>0</v>
      </c>
      <c r="CK203" s="34">
        <f t="shared" ca="1" si="165"/>
        <v>0</v>
      </c>
      <c r="CL203" s="34">
        <f t="shared" ca="1" si="165"/>
        <v>0</v>
      </c>
      <c r="CM203" s="34">
        <f t="shared" ca="1" si="165"/>
        <v>0</v>
      </c>
      <c r="CN203" s="34">
        <f t="shared" ca="1" si="165"/>
        <v>0</v>
      </c>
      <c r="CO203" s="34">
        <f t="shared" ca="1" si="165"/>
        <v>0</v>
      </c>
      <c r="CP203" s="34">
        <f t="shared" ca="1" si="165"/>
        <v>0</v>
      </c>
      <c r="CQ203" s="34">
        <f t="shared" ca="1" si="152"/>
        <v>1250.6749416588029</v>
      </c>
      <c r="CR203" s="363">
        <v>0</v>
      </c>
      <c r="CS203" s="34">
        <f t="shared" ca="1" si="153"/>
        <v>1250.6749416588029</v>
      </c>
      <c r="CT203" s="233"/>
    </row>
    <row r="204" spans="2:98" x14ac:dyDescent="0.3">
      <c r="B204" s="232"/>
      <c r="C204" s="250">
        <f t="shared" si="154"/>
        <v>2038</v>
      </c>
      <c r="D204" s="263">
        <f t="shared" ca="1" si="137"/>
        <v>0</v>
      </c>
      <c r="E204" s="263">
        <f t="shared" ca="1" si="121"/>
        <v>93.800620624410229</v>
      </c>
      <c r="F204" s="263">
        <f t="shared" ca="1" si="122"/>
        <v>0</v>
      </c>
      <c r="G204" s="263">
        <f t="shared" ca="1" si="138"/>
        <v>562.8037237464614</v>
      </c>
      <c r="H204" s="15"/>
      <c r="I204" s="271">
        <f ca="1">Assumptions!O$68</f>
        <v>4.5</v>
      </c>
      <c r="J204" s="271">
        <f ca="1">Assumptions!P$68</f>
        <v>80</v>
      </c>
      <c r="K204" s="271">
        <f t="shared" ca="1" si="123"/>
        <v>40</v>
      </c>
      <c r="L204" s="15"/>
      <c r="M204" s="35">
        <f t="shared" ca="1" si="139"/>
        <v>4.2299999999999995</v>
      </c>
      <c r="N204" s="35">
        <f t="shared" ca="1" si="124"/>
        <v>64</v>
      </c>
      <c r="O204" s="35">
        <f t="shared" ca="1" si="125"/>
        <v>32</v>
      </c>
      <c r="P204" s="15"/>
      <c r="Q204" s="34">
        <f t="shared" ca="1" si="140"/>
        <v>0</v>
      </c>
      <c r="R204" s="34">
        <f t="shared" ca="1" si="140"/>
        <v>6003.2397199622546</v>
      </c>
      <c r="S204" s="34">
        <f t="shared" ca="1" si="140"/>
        <v>0</v>
      </c>
      <c r="T204" s="34">
        <f t="shared" ca="1" si="141"/>
        <v>6003.2397199622546</v>
      </c>
      <c r="U204" s="15"/>
      <c r="V204" s="35">
        <f t="shared" si="142"/>
        <v>0.7</v>
      </c>
      <c r="W204" s="34">
        <f t="shared" ca="1" si="143"/>
        <v>477.53043226972483</v>
      </c>
      <c r="X204" s="35">
        <f t="shared" si="144"/>
        <v>0.222</v>
      </c>
      <c r="Y204" s="34">
        <f t="shared" ca="1" si="145"/>
        <v>151.44536566268417</v>
      </c>
      <c r="Z204" s="35">
        <f t="shared" si="146"/>
        <v>0.34799999999999998</v>
      </c>
      <c r="AA204" s="34">
        <f t="shared" ca="1" si="147"/>
        <v>237.40084347123462</v>
      </c>
      <c r="AB204" s="34">
        <f t="shared" ca="1" si="148"/>
        <v>866.37664140364359</v>
      </c>
      <c r="AC204" s="15"/>
      <c r="AD204" s="34">
        <f t="shared" ca="1" si="149"/>
        <v>5136.8630785586111</v>
      </c>
      <c r="AE204" s="34">
        <f ca="1"/>
        <v>0</v>
      </c>
      <c r="AF204" s="34">
        <f t="shared" ca="1" si="150"/>
        <v>5136.8630785586111</v>
      </c>
      <c r="AG204" s="15"/>
      <c r="AH204" s="272">
        <f t="shared" si="155"/>
        <v>50770</v>
      </c>
      <c r="AI204" s="267">
        <f t="shared" si="126"/>
        <v>24.666666666666668</v>
      </c>
      <c r="AJ204" s="267">
        <f t="shared" si="127"/>
        <v>9.5275323654380323E-2</v>
      </c>
      <c r="AK204" s="34">
        <f t="shared" ca="1" si="156"/>
        <v>489.41629237790818</v>
      </c>
      <c r="AL204" s="233"/>
      <c r="AN204" s="232"/>
      <c r="AO204" s="237">
        <f t="shared" si="161"/>
        <v>25</v>
      </c>
      <c r="AP204" s="34">
        <f t="shared" ca="1" si="161"/>
        <v>0</v>
      </c>
      <c r="AQ204" s="34">
        <f t="shared" ca="1" si="161"/>
        <v>0.8642228803127856</v>
      </c>
      <c r="AR204" s="34">
        <f t="shared" ca="1" si="161"/>
        <v>0</v>
      </c>
      <c r="AS204" s="34">
        <f t="shared" ca="1" si="161"/>
        <v>5.1853372818767136</v>
      </c>
      <c r="AT204" s="15"/>
      <c r="AW204" s="34">
        <f t="shared" ca="1" si="129"/>
        <v>0</v>
      </c>
      <c r="AX204" s="34">
        <f t="shared" ca="1" si="130"/>
        <v>0.71298387625804804</v>
      </c>
      <c r="AY204" s="34">
        <f t="shared" ca="1" si="131"/>
        <v>0</v>
      </c>
      <c r="AZ204" s="34">
        <f t="shared" ca="1" si="132"/>
        <v>4.2779032575482887</v>
      </c>
      <c r="BB204" s="34">
        <f t="shared" ca="1" si="162"/>
        <v>0</v>
      </c>
      <c r="BC204" s="34">
        <f t="shared" ca="1" si="162"/>
        <v>0</v>
      </c>
      <c r="BD204" s="34">
        <f t="shared" ca="1" si="162"/>
        <v>0</v>
      </c>
      <c r="BE204" s="34">
        <f t="shared" ca="1" si="162"/>
        <v>64.549980566572245</v>
      </c>
      <c r="BF204" s="34">
        <f t="shared" ca="1" si="162"/>
        <v>306.44940268978741</v>
      </c>
      <c r="BG204" s="34">
        <f t="shared" ca="1" si="162"/>
        <v>340.49933632198599</v>
      </c>
      <c r="BH204" s="34">
        <f t="shared" ca="1" si="162"/>
        <v>378.33259591331785</v>
      </c>
      <c r="BI204" s="34">
        <f t="shared" ca="1" si="162"/>
        <v>35.776132001259363</v>
      </c>
      <c r="BJ204" s="34">
        <f t="shared" ca="1" si="162"/>
        <v>0</v>
      </c>
      <c r="BK204" s="34">
        <f t="shared" ca="1" si="162"/>
        <v>0</v>
      </c>
      <c r="BL204" s="34">
        <f t="shared" ca="1" si="163"/>
        <v>0</v>
      </c>
      <c r="BM204" s="34">
        <f t="shared" ca="1" si="163"/>
        <v>0</v>
      </c>
      <c r="BN204" s="34">
        <f t="shared" ca="1" si="163"/>
        <v>0</v>
      </c>
      <c r="BO204" s="34">
        <f t="shared" ca="1" si="163"/>
        <v>0</v>
      </c>
      <c r="BP204" s="34">
        <f t="shared" ca="1" si="163"/>
        <v>0</v>
      </c>
      <c r="BQ204" s="34">
        <f t="shared" ca="1" si="163"/>
        <v>0</v>
      </c>
      <c r="BR204" s="34">
        <f t="shared" ca="1" si="163"/>
        <v>0</v>
      </c>
      <c r="BS204" s="34">
        <f t="shared" ca="1" si="163"/>
        <v>0</v>
      </c>
      <c r="BT204" s="34">
        <f t="shared" ca="1" si="163"/>
        <v>0</v>
      </c>
      <c r="BU204" s="34">
        <f t="shared" ca="1" si="163"/>
        <v>0</v>
      </c>
      <c r="BV204" s="34">
        <f t="shared" ca="1" si="164"/>
        <v>0</v>
      </c>
      <c r="BW204" s="34">
        <f t="shared" ca="1" si="164"/>
        <v>0</v>
      </c>
      <c r="BX204" s="34">
        <f t="shared" ca="1" si="164"/>
        <v>0</v>
      </c>
      <c r="BY204" s="34">
        <f t="shared" ca="1" si="164"/>
        <v>0</v>
      </c>
      <c r="BZ204" s="34">
        <f t="shared" ca="1" si="164"/>
        <v>0</v>
      </c>
      <c r="CA204" s="34">
        <f t="shared" ca="1" si="164"/>
        <v>0</v>
      </c>
      <c r="CB204" s="34">
        <f t="shared" ca="1" si="164"/>
        <v>0</v>
      </c>
      <c r="CC204" s="34">
        <f t="shared" ca="1" si="164"/>
        <v>0</v>
      </c>
      <c r="CD204" s="34">
        <f t="shared" ca="1" si="164"/>
        <v>0</v>
      </c>
      <c r="CE204" s="34">
        <f t="shared" ca="1" si="164"/>
        <v>0</v>
      </c>
      <c r="CF204" s="34">
        <f t="shared" ca="1" si="165"/>
        <v>0</v>
      </c>
      <c r="CG204" s="34">
        <f t="shared" ca="1" si="165"/>
        <v>0</v>
      </c>
      <c r="CH204" s="34">
        <f t="shared" ca="1" si="165"/>
        <v>0</v>
      </c>
      <c r="CI204" s="34">
        <f t="shared" ca="1" si="165"/>
        <v>0</v>
      </c>
      <c r="CJ204" s="34">
        <f t="shared" ca="1" si="165"/>
        <v>0</v>
      </c>
      <c r="CK204" s="34">
        <f t="shared" ca="1" si="165"/>
        <v>0</v>
      </c>
      <c r="CL204" s="34">
        <f t="shared" ca="1" si="165"/>
        <v>0</v>
      </c>
      <c r="CM204" s="34">
        <f t="shared" ca="1" si="165"/>
        <v>0</v>
      </c>
      <c r="CN204" s="34">
        <f t="shared" ca="1" si="165"/>
        <v>0</v>
      </c>
      <c r="CO204" s="34">
        <f t="shared" ca="1" si="165"/>
        <v>0</v>
      </c>
      <c r="CP204" s="34">
        <f t="shared" ca="1" si="165"/>
        <v>0</v>
      </c>
      <c r="CQ204" s="34">
        <f t="shared" ca="1" si="152"/>
        <v>1125.6074474929228</v>
      </c>
      <c r="CR204" s="363">
        <v>0</v>
      </c>
      <c r="CS204" s="34">
        <f t="shared" ca="1" si="153"/>
        <v>1125.6074474929228</v>
      </c>
      <c r="CT204" s="233"/>
    </row>
    <row r="205" spans="2:98" x14ac:dyDescent="0.3">
      <c r="B205" s="232"/>
      <c r="C205" s="250">
        <f t="shared" si="154"/>
        <v>2039</v>
      </c>
      <c r="D205" s="263">
        <f t="shared" ca="1" si="137"/>
        <v>0</v>
      </c>
      <c r="E205" s="263">
        <f t="shared" ca="1" si="121"/>
        <v>84.420558561969216</v>
      </c>
      <c r="F205" s="263">
        <f t="shared" ca="1" si="122"/>
        <v>0</v>
      </c>
      <c r="G205" s="263">
        <f t="shared" ca="1" si="138"/>
        <v>506.52335137181529</v>
      </c>
      <c r="H205" s="15"/>
      <c r="I205" s="271">
        <f ca="1">Assumptions!O$68</f>
        <v>4.5</v>
      </c>
      <c r="J205" s="271">
        <f ca="1">Assumptions!P$68</f>
        <v>80</v>
      </c>
      <c r="K205" s="271">
        <f t="shared" ca="1" si="123"/>
        <v>40</v>
      </c>
      <c r="L205" s="15"/>
      <c r="M205" s="35">
        <f t="shared" ca="1" si="139"/>
        <v>4.2299999999999995</v>
      </c>
      <c r="N205" s="35">
        <f t="shared" ca="1" si="124"/>
        <v>64</v>
      </c>
      <c r="O205" s="35">
        <f t="shared" ca="1" si="125"/>
        <v>32</v>
      </c>
      <c r="P205" s="15"/>
      <c r="Q205" s="34">
        <f t="shared" ca="1" si="140"/>
        <v>0</v>
      </c>
      <c r="R205" s="34">
        <f t="shared" ca="1" si="140"/>
        <v>5402.9157479660298</v>
      </c>
      <c r="S205" s="34">
        <f t="shared" ca="1" si="140"/>
        <v>0</v>
      </c>
      <c r="T205" s="34">
        <f t="shared" ca="1" si="141"/>
        <v>5402.9157479660298</v>
      </c>
      <c r="U205" s="15"/>
      <c r="V205" s="35">
        <f t="shared" si="142"/>
        <v>0.7</v>
      </c>
      <c r="W205" s="34">
        <f t="shared" ca="1" si="143"/>
        <v>429.77738904275236</v>
      </c>
      <c r="X205" s="35">
        <f t="shared" si="144"/>
        <v>0.222</v>
      </c>
      <c r="Y205" s="34">
        <f t="shared" ca="1" si="145"/>
        <v>136.30082909641575</v>
      </c>
      <c r="Z205" s="35">
        <f t="shared" si="146"/>
        <v>0.34799999999999998</v>
      </c>
      <c r="AA205" s="34">
        <f t="shared" ca="1" si="147"/>
        <v>213.66075912411117</v>
      </c>
      <c r="AB205" s="34">
        <f t="shared" ca="1" si="148"/>
        <v>779.73897726327937</v>
      </c>
      <c r="AC205" s="15"/>
      <c r="AD205" s="34">
        <f t="shared" ca="1" si="149"/>
        <v>4623.1767707027502</v>
      </c>
      <c r="AE205" s="34">
        <f ca="1"/>
        <v>0</v>
      </c>
      <c r="AF205" s="34">
        <f t="shared" ca="1" si="150"/>
        <v>4623.1767707027502</v>
      </c>
      <c r="AG205" s="15"/>
      <c r="AH205" s="272">
        <f t="shared" si="155"/>
        <v>51135</v>
      </c>
      <c r="AI205" s="267">
        <f t="shared" si="126"/>
        <v>25.666666666666668</v>
      </c>
      <c r="AJ205" s="267">
        <f t="shared" si="127"/>
        <v>8.661393059489117E-2</v>
      </c>
      <c r="AK205" s="34">
        <f t="shared" ca="1" si="156"/>
        <v>400.43151194556111</v>
      </c>
      <c r="AL205" s="233"/>
      <c r="AN205" s="232"/>
      <c r="AO205" s="237">
        <f t="shared" si="161"/>
        <v>26</v>
      </c>
      <c r="AP205" s="34">
        <f t="shared" ca="1" si="161"/>
        <v>0</v>
      </c>
      <c r="AQ205" s="34">
        <f t="shared" ca="1" si="161"/>
        <v>0.777800592281507</v>
      </c>
      <c r="AR205" s="34">
        <f t="shared" ca="1" si="161"/>
        <v>0</v>
      </c>
      <c r="AS205" s="34">
        <f t="shared" ca="1" si="161"/>
        <v>4.666803553689042</v>
      </c>
      <c r="AT205" s="15"/>
      <c r="AW205" s="34">
        <f t="shared" ca="1" si="129"/>
        <v>0</v>
      </c>
      <c r="AX205" s="34">
        <f t="shared" ca="1" si="130"/>
        <v>0.64168548863224328</v>
      </c>
      <c r="AY205" s="34">
        <f t="shared" ca="1" si="131"/>
        <v>0</v>
      </c>
      <c r="AZ205" s="34">
        <f t="shared" ca="1" si="132"/>
        <v>3.8501129317934595</v>
      </c>
      <c r="BB205" s="34">
        <f t="shared" ca="1" si="162"/>
        <v>0</v>
      </c>
      <c r="BC205" s="34">
        <f t="shared" ca="1" si="162"/>
        <v>0</v>
      </c>
      <c r="BD205" s="34">
        <f t="shared" ca="1" si="162"/>
        <v>0</v>
      </c>
      <c r="BE205" s="34">
        <f t="shared" ca="1" si="162"/>
        <v>58.09498250991502</v>
      </c>
      <c r="BF205" s="34">
        <f t="shared" ca="1" si="162"/>
        <v>275.8044624208087</v>
      </c>
      <c r="BG205" s="34">
        <f t="shared" ca="1" si="162"/>
        <v>306.44940268978741</v>
      </c>
      <c r="BH205" s="34">
        <f t="shared" ca="1" si="162"/>
        <v>340.49933632198599</v>
      </c>
      <c r="BI205" s="34">
        <f t="shared" ca="1" si="162"/>
        <v>32.198518801133432</v>
      </c>
      <c r="BJ205" s="34">
        <f t="shared" ca="1" si="162"/>
        <v>0</v>
      </c>
      <c r="BK205" s="34">
        <f t="shared" ca="1" si="162"/>
        <v>0</v>
      </c>
      <c r="BL205" s="34">
        <f t="shared" ca="1" si="163"/>
        <v>0</v>
      </c>
      <c r="BM205" s="34">
        <f t="shared" ca="1" si="163"/>
        <v>0</v>
      </c>
      <c r="BN205" s="34">
        <f t="shared" ca="1" si="163"/>
        <v>0</v>
      </c>
      <c r="BO205" s="34">
        <f t="shared" ca="1" si="163"/>
        <v>0</v>
      </c>
      <c r="BP205" s="34">
        <f t="shared" ca="1" si="163"/>
        <v>0</v>
      </c>
      <c r="BQ205" s="34">
        <f t="shared" ca="1" si="163"/>
        <v>0</v>
      </c>
      <c r="BR205" s="34">
        <f t="shared" ca="1" si="163"/>
        <v>0</v>
      </c>
      <c r="BS205" s="34">
        <f t="shared" ca="1" si="163"/>
        <v>0</v>
      </c>
      <c r="BT205" s="34">
        <f t="shared" ca="1" si="163"/>
        <v>0</v>
      </c>
      <c r="BU205" s="34">
        <f t="shared" ca="1" si="163"/>
        <v>0</v>
      </c>
      <c r="BV205" s="34">
        <f t="shared" ca="1" si="164"/>
        <v>0</v>
      </c>
      <c r="BW205" s="34">
        <f t="shared" ca="1" si="164"/>
        <v>0</v>
      </c>
      <c r="BX205" s="34">
        <f t="shared" ca="1" si="164"/>
        <v>0</v>
      </c>
      <c r="BY205" s="34">
        <f t="shared" ca="1" si="164"/>
        <v>0</v>
      </c>
      <c r="BZ205" s="34">
        <f t="shared" ca="1" si="164"/>
        <v>0</v>
      </c>
      <c r="CA205" s="34">
        <f t="shared" ca="1" si="164"/>
        <v>0</v>
      </c>
      <c r="CB205" s="34">
        <f t="shared" ca="1" si="164"/>
        <v>0</v>
      </c>
      <c r="CC205" s="34">
        <f t="shared" ca="1" si="164"/>
        <v>0</v>
      </c>
      <c r="CD205" s="34">
        <f t="shared" ca="1" si="164"/>
        <v>0</v>
      </c>
      <c r="CE205" s="34">
        <f t="shared" ca="1" si="164"/>
        <v>0</v>
      </c>
      <c r="CF205" s="34">
        <f t="shared" ca="1" si="165"/>
        <v>0</v>
      </c>
      <c r="CG205" s="34">
        <f t="shared" ca="1" si="165"/>
        <v>0</v>
      </c>
      <c r="CH205" s="34">
        <f t="shared" ca="1" si="165"/>
        <v>0</v>
      </c>
      <c r="CI205" s="34">
        <f t="shared" ca="1" si="165"/>
        <v>0</v>
      </c>
      <c r="CJ205" s="34">
        <f t="shared" ca="1" si="165"/>
        <v>0</v>
      </c>
      <c r="CK205" s="34">
        <f t="shared" ca="1" si="165"/>
        <v>0</v>
      </c>
      <c r="CL205" s="34">
        <f t="shared" ca="1" si="165"/>
        <v>0</v>
      </c>
      <c r="CM205" s="34">
        <f t="shared" ca="1" si="165"/>
        <v>0</v>
      </c>
      <c r="CN205" s="34">
        <f t="shared" ca="1" si="165"/>
        <v>0</v>
      </c>
      <c r="CO205" s="34">
        <f t="shared" ca="1" si="165"/>
        <v>0</v>
      </c>
      <c r="CP205" s="34">
        <f t="shared" ca="1" si="165"/>
        <v>0</v>
      </c>
      <c r="CQ205" s="34">
        <f t="shared" ca="1" si="152"/>
        <v>1013.0467027436306</v>
      </c>
      <c r="CR205" s="363">
        <v>0</v>
      </c>
      <c r="CS205" s="34">
        <f t="shared" ca="1" si="153"/>
        <v>1013.0467027436306</v>
      </c>
      <c r="CT205" s="233"/>
    </row>
    <row r="206" spans="2:98" x14ac:dyDescent="0.3">
      <c r="B206" s="232"/>
      <c r="C206" s="250">
        <f t="shared" si="154"/>
        <v>2040</v>
      </c>
      <c r="D206" s="263">
        <f t="shared" ca="1" si="137"/>
        <v>0</v>
      </c>
      <c r="E206" s="263">
        <f t="shared" ca="1" si="121"/>
        <v>75.978502705772286</v>
      </c>
      <c r="F206" s="263">
        <f t="shared" ca="1" si="122"/>
        <v>0</v>
      </c>
      <c r="G206" s="263">
        <f t="shared" ca="1" si="138"/>
        <v>455.87101623463371</v>
      </c>
      <c r="H206" s="15"/>
      <c r="I206" s="271">
        <f ca="1">Assumptions!O$68</f>
        <v>4.5</v>
      </c>
      <c r="J206" s="271">
        <f ca="1">Assumptions!P$68</f>
        <v>80</v>
      </c>
      <c r="K206" s="271">
        <f t="shared" ca="1" si="123"/>
        <v>40</v>
      </c>
      <c r="L206" s="15"/>
      <c r="M206" s="35">
        <f t="shared" ca="1" si="139"/>
        <v>4.2299999999999995</v>
      </c>
      <c r="N206" s="35">
        <f t="shared" ca="1" si="124"/>
        <v>64</v>
      </c>
      <c r="O206" s="35">
        <f t="shared" ca="1" si="125"/>
        <v>32</v>
      </c>
      <c r="P206" s="15"/>
      <c r="Q206" s="34">
        <f t="shared" ca="1" si="140"/>
        <v>0</v>
      </c>
      <c r="R206" s="34">
        <f t="shared" ca="1" si="140"/>
        <v>4862.6241731694263</v>
      </c>
      <c r="S206" s="34">
        <f t="shared" ca="1" si="140"/>
        <v>0</v>
      </c>
      <c r="T206" s="34">
        <f t="shared" ca="1" si="141"/>
        <v>4862.6241731694263</v>
      </c>
      <c r="U206" s="15"/>
      <c r="V206" s="35">
        <f t="shared" si="142"/>
        <v>0.7</v>
      </c>
      <c r="W206" s="34">
        <f t="shared" ca="1" si="143"/>
        <v>386.79965013847709</v>
      </c>
      <c r="X206" s="35">
        <f t="shared" si="144"/>
        <v>0.222</v>
      </c>
      <c r="Y206" s="34">
        <f t="shared" ca="1" si="145"/>
        <v>122.67074618677417</v>
      </c>
      <c r="Z206" s="35">
        <f t="shared" si="146"/>
        <v>0.34799999999999998</v>
      </c>
      <c r="AA206" s="34">
        <f t="shared" ca="1" si="147"/>
        <v>192.29468321170003</v>
      </c>
      <c r="AB206" s="34">
        <f t="shared" ca="1" si="148"/>
        <v>701.76507953695136</v>
      </c>
      <c r="AC206" s="15"/>
      <c r="AD206" s="34">
        <f t="shared" ca="1" si="149"/>
        <v>4160.8590936324745</v>
      </c>
      <c r="AE206" s="34">
        <f ca="1"/>
        <v>0</v>
      </c>
      <c r="AF206" s="34">
        <f t="shared" ca="1" si="150"/>
        <v>4160.8590936324745</v>
      </c>
      <c r="AG206" s="15"/>
      <c r="AH206" s="272">
        <f t="shared" si="155"/>
        <v>51501</v>
      </c>
      <c r="AI206" s="267">
        <f t="shared" si="126"/>
        <v>26.666666666666668</v>
      </c>
      <c r="AJ206" s="267">
        <f t="shared" si="127"/>
        <v>7.8739936904446528E-2</v>
      </c>
      <c r="AK206" s="34">
        <f t="shared" ca="1" si="156"/>
        <v>327.6257825009136</v>
      </c>
      <c r="AL206" s="233"/>
      <c r="AN206" s="232"/>
      <c r="AO206" s="237">
        <f t="shared" si="161"/>
        <v>27</v>
      </c>
      <c r="AP206" s="34">
        <f t="shared" ca="1" si="161"/>
        <v>0</v>
      </c>
      <c r="AQ206" s="34">
        <f t="shared" ca="1" si="161"/>
        <v>0.70002053305335632</v>
      </c>
      <c r="AR206" s="34">
        <f t="shared" ca="1" si="161"/>
        <v>0</v>
      </c>
      <c r="AS206" s="34">
        <f t="shared" ca="1" si="161"/>
        <v>4.2001231983201377</v>
      </c>
      <c r="AT206" s="15"/>
      <c r="AW206" s="34">
        <f t="shared" ca="1" si="129"/>
        <v>0</v>
      </c>
      <c r="AX206" s="34">
        <f t="shared" ca="1" si="130"/>
        <v>0.57751693976901897</v>
      </c>
      <c r="AY206" s="34">
        <f t="shared" ca="1" si="131"/>
        <v>0</v>
      </c>
      <c r="AZ206" s="34">
        <f t="shared" ca="1" si="132"/>
        <v>3.4651016386141134</v>
      </c>
      <c r="BB206" s="34">
        <f t="shared" ca="1" si="162"/>
        <v>0</v>
      </c>
      <c r="BC206" s="34">
        <f t="shared" ca="1" si="162"/>
        <v>0</v>
      </c>
      <c r="BD206" s="34">
        <f t="shared" ca="1" si="162"/>
        <v>0</v>
      </c>
      <c r="BE206" s="34">
        <f t="shared" ca="1" si="162"/>
        <v>52.285484258923525</v>
      </c>
      <c r="BF206" s="34">
        <f t="shared" ca="1" si="162"/>
        <v>248.22401617872779</v>
      </c>
      <c r="BG206" s="34">
        <f t="shared" ca="1" si="162"/>
        <v>275.8044624208087</v>
      </c>
      <c r="BH206" s="34">
        <f t="shared" ca="1" si="162"/>
        <v>306.44940268978741</v>
      </c>
      <c r="BI206" s="34">
        <f t="shared" ca="1" si="162"/>
        <v>28.978666921020086</v>
      </c>
      <c r="BJ206" s="34">
        <f t="shared" ca="1" si="162"/>
        <v>0</v>
      </c>
      <c r="BK206" s="34">
        <f t="shared" ca="1" si="162"/>
        <v>0</v>
      </c>
      <c r="BL206" s="34">
        <f t="shared" ca="1" si="163"/>
        <v>0</v>
      </c>
      <c r="BM206" s="34">
        <f t="shared" ca="1" si="163"/>
        <v>0</v>
      </c>
      <c r="BN206" s="34">
        <f t="shared" ca="1" si="163"/>
        <v>0</v>
      </c>
      <c r="BO206" s="34">
        <f t="shared" ca="1" si="163"/>
        <v>0</v>
      </c>
      <c r="BP206" s="34">
        <f t="shared" ca="1" si="163"/>
        <v>0</v>
      </c>
      <c r="BQ206" s="34">
        <f t="shared" ca="1" si="163"/>
        <v>0</v>
      </c>
      <c r="BR206" s="34">
        <f t="shared" ca="1" si="163"/>
        <v>0</v>
      </c>
      <c r="BS206" s="34">
        <f t="shared" ca="1" si="163"/>
        <v>0</v>
      </c>
      <c r="BT206" s="34">
        <f t="shared" ca="1" si="163"/>
        <v>0</v>
      </c>
      <c r="BU206" s="34">
        <f t="shared" ca="1" si="163"/>
        <v>0</v>
      </c>
      <c r="BV206" s="34">
        <f t="shared" ca="1" si="164"/>
        <v>0</v>
      </c>
      <c r="BW206" s="34">
        <f t="shared" ca="1" si="164"/>
        <v>0</v>
      </c>
      <c r="BX206" s="34">
        <f t="shared" ca="1" si="164"/>
        <v>0</v>
      </c>
      <c r="BY206" s="34">
        <f t="shared" ca="1" si="164"/>
        <v>0</v>
      </c>
      <c r="BZ206" s="34">
        <f t="shared" ca="1" si="164"/>
        <v>0</v>
      </c>
      <c r="CA206" s="34">
        <f t="shared" ca="1" si="164"/>
        <v>0</v>
      </c>
      <c r="CB206" s="34">
        <f t="shared" ca="1" si="164"/>
        <v>0</v>
      </c>
      <c r="CC206" s="34">
        <f t="shared" ca="1" si="164"/>
        <v>0</v>
      </c>
      <c r="CD206" s="34">
        <f t="shared" ca="1" si="164"/>
        <v>0</v>
      </c>
      <c r="CE206" s="34">
        <f t="shared" ca="1" si="164"/>
        <v>0</v>
      </c>
      <c r="CF206" s="34">
        <f t="shared" ca="1" si="165"/>
        <v>0</v>
      </c>
      <c r="CG206" s="34">
        <f t="shared" ca="1" si="165"/>
        <v>0</v>
      </c>
      <c r="CH206" s="34">
        <f t="shared" ca="1" si="165"/>
        <v>0</v>
      </c>
      <c r="CI206" s="34">
        <f t="shared" ca="1" si="165"/>
        <v>0</v>
      </c>
      <c r="CJ206" s="34">
        <f t="shared" ca="1" si="165"/>
        <v>0</v>
      </c>
      <c r="CK206" s="34">
        <f t="shared" ca="1" si="165"/>
        <v>0</v>
      </c>
      <c r="CL206" s="34">
        <f t="shared" ca="1" si="165"/>
        <v>0</v>
      </c>
      <c r="CM206" s="34">
        <f t="shared" ca="1" si="165"/>
        <v>0</v>
      </c>
      <c r="CN206" s="34">
        <f t="shared" ca="1" si="165"/>
        <v>0</v>
      </c>
      <c r="CO206" s="34">
        <f t="shared" ca="1" si="165"/>
        <v>0</v>
      </c>
      <c r="CP206" s="34">
        <f t="shared" ca="1" si="165"/>
        <v>0</v>
      </c>
      <c r="CQ206" s="34">
        <f t="shared" ca="1" si="152"/>
        <v>911.74203246926743</v>
      </c>
      <c r="CR206" s="363">
        <v>0</v>
      </c>
      <c r="CS206" s="34">
        <f t="shared" ca="1" si="153"/>
        <v>911.74203246926743</v>
      </c>
      <c r="CT206" s="233"/>
    </row>
    <row r="207" spans="2:98" x14ac:dyDescent="0.3">
      <c r="B207" s="232"/>
      <c r="C207" s="250">
        <f t="shared" si="154"/>
        <v>2041</v>
      </c>
      <c r="D207" s="263">
        <f t="shared" ca="1" si="137"/>
        <v>0</v>
      </c>
      <c r="E207" s="263">
        <f t="shared" ca="1" si="121"/>
        <v>68.380652435195074</v>
      </c>
      <c r="F207" s="263">
        <f t="shared" ca="1" si="122"/>
        <v>0</v>
      </c>
      <c r="G207" s="263">
        <f t="shared" ca="1" si="138"/>
        <v>410.28391461117042</v>
      </c>
      <c r="H207" s="15"/>
      <c r="I207" s="271">
        <f ca="1">Assumptions!O$68</f>
        <v>4.5</v>
      </c>
      <c r="J207" s="271">
        <f ca="1">Assumptions!P$68</f>
        <v>80</v>
      </c>
      <c r="K207" s="271">
        <f t="shared" ca="1" si="123"/>
        <v>40</v>
      </c>
      <c r="L207" s="15"/>
      <c r="M207" s="35">
        <f t="shared" ca="1" si="139"/>
        <v>4.2299999999999995</v>
      </c>
      <c r="N207" s="35">
        <f t="shared" ca="1" si="124"/>
        <v>64</v>
      </c>
      <c r="O207" s="35">
        <f t="shared" ca="1" si="125"/>
        <v>32</v>
      </c>
      <c r="P207" s="15"/>
      <c r="Q207" s="34">
        <f t="shared" ca="1" si="140"/>
        <v>0</v>
      </c>
      <c r="R207" s="34">
        <f t="shared" ca="1" si="140"/>
        <v>4376.3617558524847</v>
      </c>
      <c r="S207" s="34">
        <f t="shared" ca="1" si="140"/>
        <v>0</v>
      </c>
      <c r="T207" s="34">
        <f t="shared" ca="1" si="141"/>
        <v>4376.3617558524847</v>
      </c>
      <c r="U207" s="15"/>
      <c r="V207" s="35">
        <f t="shared" si="142"/>
        <v>0.7</v>
      </c>
      <c r="W207" s="34">
        <f t="shared" ca="1" si="143"/>
        <v>348.11968512462943</v>
      </c>
      <c r="X207" s="35">
        <f t="shared" si="144"/>
        <v>0.222</v>
      </c>
      <c r="Y207" s="34">
        <f t="shared" ca="1" si="145"/>
        <v>110.40367156809677</v>
      </c>
      <c r="Z207" s="35">
        <f t="shared" si="146"/>
        <v>0.34799999999999998</v>
      </c>
      <c r="AA207" s="34">
        <f t="shared" ca="1" si="147"/>
        <v>173.06521489053006</v>
      </c>
      <c r="AB207" s="34">
        <f t="shared" ca="1" si="148"/>
        <v>631.58857158325623</v>
      </c>
      <c r="AC207" s="15"/>
      <c r="AD207" s="34">
        <f t="shared" ca="1" si="149"/>
        <v>3744.7731842692283</v>
      </c>
      <c r="AE207" s="34">
        <f ca="1"/>
        <v>0</v>
      </c>
      <c r="AF207" s="34">
        <f t="shared" ca="1" si="150"/>
        <v>3744.7731842692283</v>
      </c>
      <c r="AG207" s="15"/>
      <c r="AH207" s="272">
        <f t="shared" si="155"/>
        <v>51866</v>
      </c>
      <c r="AI207" s="267">
        <f t="shared" si="126"/>
        <v>27.666666666666668</v>
      </c>
      <c r="AJ207" s="267">
        <f t="shared" si="127"/>
        <v>7.1581760822224116E-2</v>
      </c>
      <c r="AK207" s="34">
        <f t="shared" ca="1" si="156"/>
        <v>268.05745840983849</v>
      </c>
      <c r="AL207" s="233"/>
      <c r="AN207" s="232"/>
      <c r="AO207" s="237">
        <f t="shared" si="161"/>
        <v>28</v>
      </c>
      <c r="AP207" s="34">
        <f t="shared" ca="1" si="161"/>
        <v>0</v>
      </c>
      <c r="AQ207" s="34">
        <f t="shared" ca="1" si="161"/>
        <v>0.63001847974802072</v>
      </c>
      <c r="AR207" s="34">
        <f t="shared" ca="1" si="161"/>
        <v>0</v>
      </c>
      <c r="AS207" s="34">
        <f t="shared" ca="1" si="161"/>
        <v>3.7801108784881241</v>
      </c>
      <c r="AT207" s="15"/>
      <c r="AW207" s="34">
        <f t="shared" ca="1" si="129"/>
        <v>0</v>
      </c>
      <c r="AX207" s="34">
        <f t="shared" ca="1" si="130"/>
        <v>0.51976524579211703</v>
      </c>
      <c r="AY207" s="34">
        <f t="shared" ca="1" si="131"/>
        <v>0</v>
      </c>
      <c r="AZ207" s="34">
        <f t="shared" ca="1" si="132"/>
        <v>3.1185914747527024</v>
      </c>
      <c r="BB207" s="34">
        <f t="shared" ca="1" si="162"/>
        <v>0</v>
      </c>
      <c r="BC207" s="34">
        <f t="shared" ca="1" si="162"/>
        <v>0</v>
      </c>
      <c r="BD207" s="34">
        <f t="shared" ca="1" si="162"/>
        <v>0</v>
      </c>
      <c r="BE207" s="34">
        <f t="shared" ca="1" si="162"/>
        <v>47.056935833031176</v>
      </c>
      <c r="BF207" s="34">
        <f t="shared" ca="1" si="162"/>
        <v>223.40161456085508</v>
      </c>
      <c r="BG207" s="34">
        <f t="shared" ca="1" si="162"/>
        <v>248.22401617872779</v>
      </c>
      <c r="BH207" s="34">
        <f t="shared" ca="1" si="162"/>
        <v>275.8044624208087</v>
      </c>
      <c r="BI207" s="34">
        <f t="shared" ca="1" si="162"/>
        <v>26.080800228918076</v>
      </c>
      <c r="BJ207" s="34">
        <f t="shared" ca="1" si="162"/>
        <v>0</v>
      </c>
      <c r="BK207" s="34">
        <f t="shared" ca="1" si="162"/>
        <v>0</v>
      </c>
      <c r="BL207" s="34">
        <f t="shared" ca="1" si="163"/>
        <v>0</v>
      </c>
      <c r="BM207" s="34">
        <f t="shared" ca="1" si="163"/>
        <v>0</v>
      </c>
      <c r="BN207" s="34">
        <f t="shared" ca="1" si="163"/>
        <v>0</v>
      </c>
      <c r="BO207" s="34">
        <f t="shared" ca="1" si="163"/>
        <v>0</v>
      </c>
      <c r="BP207" s="34">
        <f t="shared" ca="1" si="163"/>
        <v>0</v>
      </c>
      <c r="BQ207" s="34">
        <f t="shared" ca="1" si="163"/>
        <v>0</v>
      </c>
      <c r="BR207" s="34">
        <f t="shared" ca="1" si="163"/>
        <v>0</v>
      </c>
      <c r="BS207" s="34">
        <f t="shared" ca="1" si="163"/>
        <v>0</v>
      </c>
      <c r="BT207" s="34">
        <f t="shared" ca="1" si="163"/>
        <v>0</v>
      </c>
      <c r="BU207" s="34">
        <f t="shared" ca="1" si="163"/>
        <v>0</v>
      </c>
      <c r="BV207" s="34">
        <f t="shared" ca="1" si="164"/>
        <v>0</v>
      </c>
      <c r="BW207" s="34">
        <f t="shared" ca="1" si="164"/>
        <v>0</v>
      </c>
      <c r="BX207" s="34">
        <f t="shared" ca="1" si="164"/>
        <v>0</v>
      </c>
      <c r="BY207" s="34">
        <f t="shared" ca="1" si="164"/>
        <v>0</v>
      </c>
      <c r="BZ207" s="34">
        <f t="shared" ca="1" si="164"/>
        <v>0</v>
      </c>
      <c r="CA207" s="34">
        <f t="shared" ca="1" si="164"/>
        <v>0</v>
      </c>
      <c r="CB207" s="34">
        <f t="shared" ca="1" si="164"/>
        <v>0</v>
      </c>
      <c r="CC207" s="34">
        <f t="shared" ca="1" si="164"/>
        <v>0</v>
      </c>
      <c r="CD207" s="34">
        <f t="shared" ca="1" si="164"/>
        <v>0</v>
      </c>
      <c r="CE207" s="34">
        <f t="shared" ca="1" si="164"/>
        <v>0</v>
      </c>
      <c r="CF207" s="34">
        <f t="shared" ca="1" si="165"/>
        <v>0</v>
      </c>
      <c r="CG207" s="34">
        <f t="shared" ca="1" si="165"/>
        <v>0</v>
      </c>
      <c r="CH207" s="34">
        <f t="shared" ca="1" si="165"/>
        <v>0</v>
      </c>
      <c r="CI207" s="34">
        <f t="shared" ca="1" si="165"/>
        <v>0</v>
      </c>
      <c r="CJ207" s="34">
        <f t="shared" ca="1" si="165"/>
        <v>0</v>
      </c>
      <c r="CK207" s="34">
        <f t="shared" ca="1" si="165"/>
        <v>0</v>
      </c>
      <c r="CL207" s="34">
        <f t="shared" ca="1" si="165"/>
        <v>0</v>
      </c>
      <c r="CM207" s="34">
        <f t="shared" ca="1" si="165"/>
        <v>0</v>
      </c>
      <c r="CN207" s="34">
        <f t="shared" ca="1" si="165"/>
        <v>0</v>
      </c>
      <c r="CO207" s="34">
        <f t="shared" ca="1" si="165"/>
        <v>0</v>
      </c>
      <c r="CP207" s="34">
        <f t="shared" ca="1" si="165"/>
        <v>0</v>
      </c>
      <c r="CQ207" s="34">
        <f t="shared" ca="1" si="152"/>
        <v>820.56782922234083</v>
      </c>
      <c r="CR207" s="363">
        <v>0</v>
      </c>
      <c r="CS207" s="34">
        <f t="shared" ca="1" si="153"/>
        <v>820.56782922234083</v>
      </c>
      <c r="CT207" s="233"/>
    </row>
    <row r="208" spans="2:98" x14ac:dyDescent="0.3">
      <c r="B208" s="232"/>
      <c r="C208" s="250">
        <f t="shared" si="154"/>
        <v>2042</v>
      </c>
      <c r="D208" s="263">
        <f t="shared" ca="1" si="137"/>
        <v>0</v>
      </c>
      <c r="E208" s="263">
        <f t="shared" ca="1" si="121"/>
        <v>61.542587191675558</v>
      </c>
      <c r="F208" s="263">
        <f t="shared" ca="1" si="122"/>
        <v>0</v>
      </c>
      <c r="G208" s="263">
        <f t="shared" ca="1" si="138"/>
        <v>369.25552315005336</v>
      </c>
      <c r="H208" s="15"/>
      <c r="I208" s="271">
        <f ca="1">Assumptions!O$68</f>
        <v>4.5</v>
      </c>
      <c r="J208" s="271">
        <f ca="1">Assumptions!P$68</f>
        <v>80</v>
      </c>
      <c r="K208" s="271">
        <f t="shared" ca="1" si="123"/>
        <v>40</v>
      </c>
      <c r="L208" s="15"/>
      <c r="M208" s="35">
        <f t="shared" ca="1" si="139"/>
        <v>4.2299999999999995</v>
      </c>
      <c r="N208" s="35">
        <f t="shared" ca="1" si="124"/>
        <v>64</v>
      </c>
      <c r="O208" s="35">
        <f t="shared" ca="1" si="125"/>
        <v>32</v>
      </c>
      <c r="P208" s="15"/>
      <c r="Q208" s="34">
        <f t="shared" ca="1" si="140"/>
        <v>0</v>
      </c>
      <c r="R208" s="34">
        <f t="shared" ca="1" si="140"/>
        <v>3938.7255802672357</v>
      </c>
      <c r="S208" s="34">
        <f t="shared" ca="1" si="140"/>
        <v>0</v>
      </c>
      <c r="T208" s="34">
        <f t="shared" ca="1" si="141"/>
        <v>3938.7255802672357</v>
      </c>
      <c r="U208" s="15"/>
      <c r="V208" s="35">
        <f t="shared" si="142"/>
        <v>0.7</v>
      </c>
      <c r="W208" s="34">
        <f t="shared" ca="1" si="143"/>
        <v>313.30771661216647</v>
      </c>
      <c r="X208" s="35">
        <f t="shared" si="144"/>
        <v>0.222</v>
      </c>
      <c r="Y208" s="34">
        <f t="shared" ca="1" si="145"/>
        <v>99.363304411287089</v>
      </c>
      <c r="Z208" s="35">
        <f t="shared" si="146"/>
        <v>0.34799999999999998</v>
      </c>
      <c r="AA208" s="34">
        <f t="shared" ca="1" si="147"/>
        <v>155.75869340147707</v>
      </c>
      <c r="AB208" s="34">
        <f t="shared" ca="1" si="148"/>
        <v>568.42971442493069</v>
      </c>
      <c r="AC208" s="15"/>
      <c r="AD208" s="34">
        <f t="shared" ca="1" si="149"/>
        <v>3370.2958658423049</v>
      </c>
      <c r="AE208" s="34">
        <f ca="1"/>
        <v>0</v>
      </c>
      <c r="AF208" s="34">
        <f t="shared" ca="1" si="150"/>
        <v>3370.2958658423049</v>
      </c>
      <c r="AG208" s="15"/>
      <c r="AH208" s="272">
        <f t="shared" si="155"/>
        <v>52231</v>
      </c>
      <c r="AI208" s="267">
        <f t="shared" si="126"/>
        <v>28.666666666666668</v>
      </c>
      <c r="AJ208" s="267">
        <f t="shared" si="127"/>
        <v>6.5074328020203728E-2</v>
      </c>
      <c r="AK208" s="34">
        <f t="shared" ca="1" si="156"/>
        <v>219.3197386989587</v>
      </c>
      <c r="AL208" s="233"/>
      <c r="AN208" s="232"/>
      <c r="AO208" s="237">
        <f t="shared" si="161"/>
        <v>29</v>
      </c>
      <c r="AP208" s="34">
        <f t="shared" ca="1" si="161"/>
        <v>0</v>
      </c>
      <c r="AQ208" s="34">
        <f t="shared" ca="1" si="161"/>
        <v>0.56701663177321859</v>
      </c>
      <c r="AR208" s="34">
        <f t="shared" ca="1" si="161"/>
        <v>0</v>
      </c>
      <c r="AS208" s="34">
        <f t="shared" ca="1" si="161"/>
        <v>3.4020997906393116</v>
      </c>
      <c r="AT208" s="15"/>
      <c r="AW208" s="34">
        <f t="shared" ca="1" si="129"/>
        <v>0</v>
      </c>
      <c r="AX208" s="34">
        <f t="shared" ca="1" si="130"/>
        <v>0.46778872121290532</v>
      </c>
      <c r="AY208" s="34">
        <f t="shared" ca="1" si="131"/>
        <v>0</v>
      </c>
      <c r="AZ208" s="34">
        <f t="shared" ca="1" si="132"/>
        <v>2.806732327277432</v>
      </c>
      <c r="BB208" s="34">
        <f t="shared" ca="1" si="162"/>
        <v>0</v>
      </c>
      <c r="BC208" s="34">
        <f t="shared" ca="1" si="162"/>
        <v>0</v>
      </c>
      <c r="BD208" s="34">
        <f t="shared" ca="1" si="162"/>
        <v>0</v>
      </c>
      <c r="BE208" s="34">
        <f t="shared" ca="1" si="162"/>
        <v>42.351242249728053</v>
      </c>
      <c r="BF208" s="34">
        <f t="shared" ca="1" si="162"/>
        <v>201.06145310476956</v>
      </c>
      <c r="BG208" s="34">
        <f t="shared" ca="1" si="162"/>
        <v>223.40161456085508</v>
      </c>
      <c r="BH208" s="34">
        <f t="shared" ca="1" si="162"/>
        <v>248.22401617872779</v>
      </c>
      <c r="BI208" s="34">
        <f t="shared" ca="1" si="162"/>
        <v>23.472720206026271</v>
      </c>
      <c r="BJ208" s="34">
        <f t="shared" ca="1" si="162"/>
        <v>0</v>
      </c>
      <c r="BK208" s="34">
        <f t="shared" ca="1" si="162"/>
        <v>0</v>
      </c>
      <c r="BL208" s="34">
        <f t="shared" ca="1" si="163"/>
        <v>0</v>
      </c>
      <c r="BM208" s="34">
        <f t="shared" ca="1" si="163"/>
        <v>0</v>
      </c>
      <c r="BN208" s="34">
        <f t="shared" ca="1" si="163"/>
        <v>0</v>
      </c>
      <c r="BO208" s="34">
        <f t="shared" ca="1" si="163"/>
        <v>0</v>
      </c>
      <c r="BP208" s="34">
        <f t="shared" ca="1" si="163"/>
        <v>0</v>
      </c>
      <c r="BQ208" s="34">
        <f t="shared" ca="1" si="163"/>
        <v>0</v>
      </c>
      <c r="BR208" s="34">
        <f t="shared" ca="1" si="163"/>
        <v>0</v>
      </c>
      <c r="BS208" s="34">
        <f t="shared" ca="1" si="163"/>
        <v>0</v>
      </c>
      <c r="BT208" s="34">
        <f t="shared" ca="1" si="163"/>
        <v>0</v>
      </c>
      <c r="BU208" s="34">
        <f t="shared" ca="1" si="163"/>
        <v>0</v>
      </c>
      <c r="BV208" s="34">
        <f t="shared" ca="1" si="164"/>
        <v>0</v>
      </c>
      <c r="BW208" s="34">
        <f t="shared" ca="1" si="164"/>
        <v>0</v>
      </c>
      <c r="BX208" s="34">
        <f t="shared" ca="1" si="164"/>
        <v>0</v>
      </c>
      <c r="BY208" s="34">
        <f t="shared" ca="1" si="164"/>
        <v>0</v>
      </c>
      <c r="BZ208" s="34">
        <f t="shared" ca="1" si="164"/>
        <v>0</v>
      </c>
      <c r="CA208" s="34">
        <f t="shared" ca="1" si="164"/>
        <v>0</v>
      </c>
      <c r="CB208" s="34">
        <f t="shared" ca="1" si="164"/>
        <v>0</v>
      </c>
      <c r="CC208" s="34">
        <f t="shared" ca="1" si="164"/>
        <v>0</v>
      </c>
      <c r="CD208" s="34">
        <f t="shared" ca="1" si="164"/>
        <v>0</v>
      </c>
      <c r="CE208" s="34">
        <f t="shared" ca="1" si="164"/>
        <v>0</v>
      </c>
      <c r="CF208" s="34">
        <f t="shared" ca="1" si="165"/>
        <v>0</v>
      </c>
      <c r="CG208" s="34">
        <f t="shared" ca="1" si="165"/>
        <v>0</v>
      </c>
      <c r="CH208" s="34">
        <f t="shared" ca="1" si="165"/>
        <v>0</v>
      </c>
      <c r="CI208" s="34">
        <f t="shared" ca="1" si="165"/>
        <v>0</v>
      </c>
      <c r="CJ208" s="34">
        <f t="shared" ca="1" si="165"/>
        <v>0</v>
      </c>
      <c r="CK208" s="34">
        <f t="shared" ca="1" si="165"/>
        <v>0</v>
      </c>
      <c r="CL208" s="34">
        <f t="shared" ca="1" si="165"/>
        <v>0</v>
      </c>
      <c r="CM208" s="34">
        <f t="shared" ca="1" si="165"/>
        <v>0</v>
      </c>
      <c r="CN208" s="34">
        <f t="shared" ca="1" si="165"/>
        <v>0</v>
      </c>
      <c r="CO208" s="34">
        <f t="shared" ca="1" si="165"/>
        <v>0</v>
      </c>
      <c r="CP208" s="34">
        <f t="shared" ca="1" si="165"/>
        <v>0</v>
      </c>
      <c r="CQ208" s="34">
        <f t="shared" ca="1" si="152"/>
        <v>738.51104630010673</v>
      </c>
      <c r="CR208" s="363">
        <v>0</v>
      </c>
      <c r="CS208" s="34">
        <f t="shared" ca="1" si="153"/>
        <v>738.51104630010673</v>
      </c>
      <c r="CT208" s="233"/>
    </row>
    <row r="209" spans="2:98" x14ac:dyDescent="0.3">
      <c r="B209" s="232"/>
      <c r="C209" s="250">
        <f t="shared" si="154"/>
        <v>2043</v>
      </c>
      <c r="D209" s="263">
        <f t="shared" ca="1" si="137"/>
        <v>0</v>
      </c>
      <c r="E209" s="263">
        <f t="shared" ca="1" si="121"/>
        <v>55.388328472508022</v>
      </c>
      <c r="F209" s="263">
        <f t="shared" ca="1" si="122"/>
        <v>0</v>
      </c>
      <c r="G209" s="263">
        <f t="shared" ca="1" si="138"/>
        <v>332.32997083504813</v>
      </c>
      <c r="H209" s="15"/>
      <c r="I209" s="271">
        <f ca="1">Assumptions!O$68</f>
        <v>4.5</v>
      </c>
      <c r="J209" s="271">
        <f ca="1">Assumptions!P$68</f>
        <v>80</v>
      </c>
      <c r="K209" s="271">
        <f t="shared" ca="1" si="123"/>
        <v>40</v>
      </c>
      <c r="L209" s="15"/>
      <c r="M209" s="35">
        <f t="shared" ca="1" si="139"/>
        <v>4.2299999999999995</v>
      </c>
      <c r="N209" s="35">
        <f t="shared" ca="1" si="124"/>
        <v>64</v>
      </c>
      <c r="O209" s="35">
        <f t="shared" ca="1" si="125"/>
        <v>32</v>
      </c>
      <c r="P209" s="15"/>
      <c r="Q209" s="34">
        <f t="shared" ca="1" si="140"/>
        <v>0</v>
      </c>
      <c r="R209" s="34">
        <f t="shared" ca="1" si="140"/>
        <v>3544.8530222405134</v>
      </c>
      <c r="S209" s="34">
        <f t="shared" ca="1" si="140"/>
        <v>0</v>
      </c>
      <c r="T209" s="34">
        <f t="shared" ca="1" si="141"/>
        <v>3544.8530222405134</v>
      </c>
      <c r="U209" s="15"/>
      <c r="V209" s="35">
        <f t="shared" si="142"/>
        <v>0.7</v>
      </c>
      <c r="W209" s="34">
        <f t="shared" ca="1" si="143"/>
        <v>281.97694495094993</v>
      </c>
      <c r="X209" s="35">
        <f t="shared" si="144"/>
        <v>0.222</v>
      </c>
      <c r="Y209" s="34">
        <f t="shared" ca="1" si="145"/>
        <v>89.426973970158414</v>
      </c>
      <c r="Z209" s="35">
        <f t="shared" si="146"/>
        <v>0.34799999999999998</v>
      </c>
      <c r="AA209" s="34">
        <f t="shared" ca="1" si="147"/>
        <v>140.1828240613294</v>
      </c>
      <c r="AB209" s="34">
        <f t="shared" ca="1" si="148"/>
        <v>511.58674298243773</v>
      </c>
      <c r="AC209" s="15"/>
      <c r="AD209" s="34">
        <f t="shared" ca="1" si="149"/>
        <v>3033.2662792580759</v>
      </c>
      <c r="AE209" s="34">
        <f ca="1"/>
        <v>0</v>
      </c>
      <c r="AF209" s="34">
        <f t="shared" ca="1" si="150"/>
        <v>3033.2662792580759</v>
      </c>
      <c r="AG209" s="15"/>
      <c r="AH209" s="272">
        <f t="shared" si="155"/>
        <v>52596</v>
      </c>
      <c r="AI209" s="267">
        <f t="shared" si="126"/>
        <v>29.666666666666668</v>
      </c>
      <c r="AJ209" s="267">
        <f t="shared" si="127"/>
        <v>5.915848001836703E-2</v>
      </c>
      <c r="AK209" s="34">
        <f t="shared" ca="1" si="156"/>
        <v>179.4434225718754</v>
      </c>
      <c r="AL209" s="233"/>
      <c r="AN209" s="232"/>
      <c r="AO209" s="237">
        <f t="shared" si="161"/>
        <v>30</v>
      </c>
      <c r="AP209" s="34">
        <f t="shared" ca="1" si="161"/>
        <v>0</v>
      </c>
      <c r="AQ209" s="34">
        <f t="shared" ca="1" si="161"/>
        <v>0.51031496859589676</v>
      </c>
      <c r="AR209" s="34">
        <f t="shared" ca="1" si="161"/>
        <v>0</v>
      </c>
      <c r="AS209" s="34">
        <f t="shared" ca="1" si="161"/>
        <v>3.0618898115753805</v>
      </c>
      <c r="AT209" s="15"/>
      <c r="AW209" s="34">
        <f t="shared" ca="1" si="129"/>
        <v>0</v>
      </c>
      <c r="AX209" s="34">
        <f t="shared" ca="1" si="130"/>
        <v>0.42100984909161482</v>
      </c>
      <c r="AY209" s="34">
        <f t="shared" ca="1" si="131"/>
        <v>0</v>
      </c>
      <c r="AZ209" s="34">
        <f t="shared" ca="1" si="132"/>
        <v>2.526059094549689</v>
      </c>
      <c r="BB209" s="34">
        <f t="shared" ref="BB209:BK219" ca="1" si="166">IF($AO209&lt;BB$178,0,OFFSET($AZ$178,$AO209-BB$178+1,0)*BB$176)</f>
        <v>0</v>
      </c>
      <c r="BC209" s="34">
        <f t="shared" ca="1" si="166"/>
        <v>0</v>
      </c>
      <c r="BD209" s="34">
        <f t="shared" ca="1" si="166"/>
        <v>0</v>
      </c>
      <c r="BE209" s="34">
        <f t="shared" ca="1" si="166"/>
        <v>38.116118024755245</v>
      </c>
      <c r="BF209" s="34">
        <f t="shared" ca="1" si="166"/>
        <v>180.95530779429259</v>
      </c>
      <c r="BG209" s="34">
        <f t="shared" ca="1" si="166"/>
        <v>201.06145310476956</v>
      </c>
      <c r="BH209" s="34">
        <f t="shared" ca="1" si="166"/>
        <v>223.40161456085508</v>
      </c>
      <c r="BI209" s="34">
        <f t="shared" ca="1" si="166"/>
        <v>21.125448185423643</v>
      </c>
      <c r="BJ209" s="34">
        <f t="shared" ca="1" si="166"/>
        <v>0</v>
      </c>
      <c r="BK209" s="34">
        <f t="shared" ca="1" si="166"/>
        <v>0</v>
      </c>
      <c r="BL209" s="34">
        <f t="shared" ref="BL209:BU219" ca="1" si="167">IF($AO209&lt;BL$178,0,OFFSET($AZ$178,$AO209-BL$178+1,0)*BL$176)</f>
        <v>0</v>
      </c>
      <c r="BM209" s="34">
        <f t="shared" ca="1" si="167"/>
        <v>0</v>
      </c>
      <c r="BN209" s="34">
        <f t="shared" ca="1" si="167"/>
        <v>0</v>
      </c>
      <c r="BO209" s="34">
        <f t="shared" ca="1" si="167"/>
        <v>0</v>
      </c>
      <c r="BP209" s="34">
        <f t="shared" ca="1" si="167"/>
        <v>0</v>
      </c>
      <c r="BQ209" s="34">
        <f t="shared" ca="1" si="167"/>
        <v>0</v>
      </c>
      <c r="BR209" s="34">
        <f t="shared" ca="1" si="167"/>
        <v>0</v>
      </c>
      <c r="BS209" s="34">
        <f t="shared" ca="1" si="167"/>
        <v>0</v>
      </c>
      <c r="BT209" s="34">
        <f t="shared" ca="1" si="167"/>
        <v>0</v>
      </c>
      <c r="BU209" s="34">
        <f t="shared" ca="1" si="167"/>
        <v>0</v>
      </c>
      <c r="BV209" s="34">
        <f t="shared" ref="BV209:CE219" ca="1" si="168">IF($AO209&lt;BV$178,0,OFFSET($AZ$178,$AO209-BV$178+1,0)*BV$176)</f>
        <v>0</v>
      </c>
      <c r="BW209" s="34">
        <f t="shared" ca="1" si="168"/>
        <v>0</v>
      </c>
      <c r="BX209" s="34">
        <f t="shared" ca="1" si="168"/>
        <v>0</v>
      </c>
      <c r="BY209" s="34">
        <f t="shared" ca="1" si="168"/>
        <v>0</v>
      </c>
      <c r="BZ209" s="34">
        <f t="shared" ca="1" si="168"/>
        <v>0</v>
      </c>
      <c r="CA209" s="34">
        <f t="shared" ca="1" si="168"/>
        <v>0</v>
      </c>
      <c r="CB209" s="34">
        <f t="shared" ca="1" si="168"/>
        <v>0</v>
      </c>
      <c r="CC209" s="34">
        <f t="shared" ca="1" si="168"/>
        <v>0</v>
      </c>
      <c r="CD209" s="34">
        <f t="shared" ca="1" si="168"/>
        <v>0</v>
      </c>
      <c r="CE209" s="34">
        <f t="shared" ca="1" si="168"/>
        <v>0</v>
      </c>
      <c r="CF209" s="34">
        <f t="shared" ref="CF209:CP219" ca="1" si="169">IF($AO209&lt;CF$178,0,OFFSET($AZ$178,$AO209-CF$178+1,0)*CF$176)</f>
        <v>0</v>
      </c>
      <c r="CG209" s="34">
        <f t="shared" ca="1" si="169"/>
        <v>0</v>
      </c>
      <c r="CH209" s="34">
        <f t="shared" ca="1" si="169"/>
        <v>0</v>
      </c>
      <c r="CI209" s="34">
        <f t="shared" ca="1" si="169"/>
        <v>0</v>
      </c>
      <c r="CJ209" s="34">
        <f t="shared" ca="1" si="169"/>
        <v>0</v>
      </c>
      <c r="CK209" s="34">
        <f t="shared" ca="1" si="169"/>
        <v>0</v>
      </c>
      <c r="CL209" s="34">
        <f t="shared" ca="1" si="169"/>
        <v>0</v>
      </c>
      <c r="CM209" s="34">
        <f t="shared" ca="1" si="169"/>
        <v>0</v>
      </c>
      <c r="CN209" s="34">
        <f t="shared" ca="1" si="169"/>
        <v>0</v>
      </c>
      <c r="CO209" s="34">
        <f t="shared" ca="1" si="169"/>
        <v>0</v>
      </c>
      <c r="CP209" s="34">
        <f t="shared" ca="1" si="169"/>
        <v>0</v>
      </c>
      <c r="CQ209" s="34">
        <f t="shared" ca="1" si="152"/>
        <v>664.65994167009626</v>
      </c>
      <c r="CR209" s="363">
        <v>0</v>
      </c>
      <c r="CS209" s="34">
        <f t="shared" ca="1" si="153"/>
        <v>664.65994167009626</v>
      </c>
      <c r="CT209" s="233"/>
    </row>
    <row r="210" spans="2:98" x14ac:dyDescent="0.3">
      <c r="B210" s="232"/>
      <c r="C210" s="250">
        <f t="shared" si="154"/>
        <v>2044</v>
      </c>
      <c r="D210" s="263">
        <f t="shared" ca="1" si="137"/>
        <v>0</v>
      </c>
      <c r="E210" s="263">
        <f t="shared" ca="1" si="121"/>
        <v>49.849495625257198</v>
      </c>
      <c r="F210" s="263">
        <f t="shared" ca="1" si="122"/>
        <v>0</v>
      </c>
      <c r="G210" s="263">
        <f t="shared" ca="1" si="138"/>
        <v>299.0969737515432</v>
      </c>
      <c r="H210" s="15"/>
      <c r="I210" s="271">
        <f ca="1">Assumptions!O$68</f>
        <v>4.5</v>
      </c>
      <c r="J210" s="271">
        <f ca="1">Assumptions!P$68</f>
        <v>80</v>
      </c>
      <c r="K210" s="271">
        <f t="shared" ca="1" si="123"/>
        <v>40</v>
      </c>
      <c r="L210" s="15"/>
      <c r="M210" s="35">
        <f t="shared" ca="1" si="139"/>
        <v>4.2299999999999995</v>
      </c>
      <c r="N210" s="35">
        <f t="shared" ca="1" si="124"/>
        <v>64</v>
      </c>
      <c r="O210" s="35">
        <f t="shared" ca="1" si="125"/>
        <v>32</v>
      </c>
      <c r="P210" s="15"/>
      <c r="Q210" s="34">
        <f t="shared" ca="1" si="140"/>
        <v>0</v>
      </c>
      <c r="R210" s="34">
        <f t="shared" ca="1" si="140"/>
        <v>3190.3677200164607</v>
      </c>
      <c r="S210" s="34">
        <f t="shared" ca="1" si="140"/>
        <v>0</v>
      </c>
      <c r="T210" s="34">
        <f t="shared" ca="1" si="141"/>
        <v>3190.3677200164607</v>
      </c>
      <c r="U210" s="15"/>
      <c r="V210" s="35">
        <f t="shared" si="142"/>
        <v>0.7</v>
      </c>
      <c r="W210" s="34">
        <f t="shared" ca="1" si="143"/>
        <v>253.77925045585482</v>
      </c>
      <c r="X210" s="35">
        <f t="shared" si="144"/>
        <v>0.222</v>
      </c>
      <c r="Y210" s="34">
        <f t="shared" ca="1" si="145"/>
        <v>80.484276573142537</v>
      </c>
      <c r="Z210" s="35">
        <f t="shared" si="146"/>
        <v>0.34799999999999998</v>
      </c>
      <c r="AA210" s="34">
        <f t="shared" ca="1" si="147"/>
        <v>126.16454165519642</v>
      </c>
      <c r="AB210" s="34">
        <f t="shared" ca="1" si="148"/>
        <v>460.42806868419382</v>
      </c>
      <c r="AC210" s="15"/>
      <c r="AD210" s="34">
        <f t="shared" ca="1" si="149"/>
        <v>2729.9396513322667</v>
      </c>
      <c r="AE210" s="34">
        <f ca="1"/>
        <v>0</v>
      </c>
      <c r="AF210" s="34">
        <f t="shared" ca="1" si="150"/>
        <v>2729.9396513322667</v>
      </c>
      <c r="AG210" s="15"/>
      <c r="AH210" s="272">
        <f t="shared" si="155"/>
        <v>52962</v>
      </c>
      <c r="AI210" s="267">
        <f t="shared" si="126"/>
        <v>30.666666666666668</v>
      </c>
      <c r="AJ210" s="267">
        <f t="shared" si="127"/>
        <v>5.3780436380333668E-2</v>
      </c>
      <c r="AK210" s="34">
        <f t="shared" ca="1" si="156"/>
        <v>146.81734574062526</v>
      </c>
      <c r="AL210" s="233"/>
      <c r="AN210" s="232"/>
      <c r="AO210" s="237">
        <f t="shared" si="161"/>
        <v>31</v>
      </c>
      <c r="AP210" s="34">
        <f t="shared" ca="1" si="161"/>
        <v>0</v>
      </c>
      <c r="AQ210" s="34">
        <f t="shared" ca="1" si="161"/>
        <v>0.45928347173630707</v>
      </c>
      <c r="AR210" s="34">
        <f t="shared" ca="1" si="161"/>
        <v>0</v>
      </c>
      <c r="AS210" s="34">
        <f t="shared" ca="1" si="161"/>
        <v>2.7557008304178425</v>
      </c>
      <c r="AT210" s="15"/>
      <c r="AW210" s="34">
        <f t="shared" ca="1" si="129"/>
        <v>0</v>
      </c>
      <c r="AX210" s="34">
        <f t="shared" ca="1" si="130"/>
        <v>0.37890886418245329</v>
      </c>
      <c r="AY210" s="34">
        <f t="shared" ca="1" si="131"/>
        <v>0</v>
      </c>
      <c r="AZ210" s="34">
        <f t="shared" ca="1" si="132"/>
        <v>2.2734531850947199</v>
      </c>
      <c r="BB210" s="34">
        <f t="shared" ca="1" si="166"/>
        <v>0</v>
      </c>
      <c r="BC210" s="34">
        <f t="shared" ca="1" si="166"/>
        <v>0</v>
      </c>
      <c r="BD210" s="34">
        <f t="shared" ca="1" si="166"/>
        <v>0</v>
      </c>
      <c r="BE210" s="34">
        <f t="shared" ca="1" si="166"/>
        <v>34.304506222279727</v>
      </c>
      <c r="BF210" s="34">
        <f t="shared" ca="1" si="166"/>
        <v>162.85977701486334</v>
      </c>
      <c r="BG210" s="34">
        <f t="shared" ca="1" si="166"/>
        <v>180.95530779429259</v>
      </c>
      <c r="BH210" s="34">
        <f t="shared" ca="1" si="166"/>
        <v>201.06145310476956</v>
      </c>
      <c r="BI210" s="34">
        <f t="shared" ca="1" si="166"/>
        <v>19.012903366881282</v>
      </c>
      <c r="BJ210" s="34">
        <f t="shared" ca="1" si="166"/>
        <v>0</v>
      </c>
      <c r="BK210" s="34">
        <f t="shared" ca="1" si="166"/>
        <v>0</v>
      </c>
      <c r="BL210" s="34">
        <f t="shared" ca="1" si="167"/>
        <v>0</v>
      </c>
      <c r="BM210" s="34">
        <f t="shared" ca="1" si="167"/>
        <v>0</v>
      </c>
      <c r="BN210" s="34">
        <f t="shared" ca="1" si="167"/>
        <v>0</v>
      </c>
      <c r="BO210" s="34">
        <f t="shared" ca="1" si="167"/>
        <v>0</v>
      </c>
      <c r="BP210" s="34">
        <f t="shared" ca="1" si="167"/>
        <v>0</v>
      </c>
      <c r="BQ210" s="34">
        <f t="shared" ca="1" si="167"/>
        <v>0</v>
      </c>
      <c r="BR210" s="34">
        <f t="shared" ca="1" si="167"/>
        <v>0</v>
      </c>
      <c r="BS210" s="34">
        <f t="shared" ca="1" si="167"/>
        <v>0</v>
      </c>
      <c r="BT210" s="34">
        <f t="shared" ca="1" si="167"/>
        <v>0</v>
      </c>
      <c r="BU210" s="34">
        <f t="shared" ca="1" si="167"/>
        <v>0</v>
      </c>
      <c r="BV210" s="34">
        <f t="shared" ca="1" si="168"/>
        <v>0</v>
      </c>
      <c r="BW210" s="34">
        <f t="shared" ca="1" si="168"/>
        <v>0</v>
      </c>
      <c r="BX210" s="34">
        <f t="shared" ca="1" si="168"/>
        <v>0</v>
      </c>
      <c r="BY210" s="34">
        <f t="shared" ca="1" si="168"/>
        <v>0</v>
      </c>
      <c r="BZ210" s="34">
        <f t="shared" ca="1" si="168"/>
        <v>0</v>
      </c>
      <c r="CA210" s="34">
        <f t="shared" ca="1" si="168"/>
        <v>0</v>
      </c>
      <c r="CB210" s="34">
        <f t="shared" ca="1" si="168"/>
        <v>0</v>
      </c>
      <c r="CC210" s="34">
        <f t="shared" ca="1" si="168"/>
        <v>0</v>
      </c>
      <c r="CD210" s="34">
        <f t="shared" ca="1" si="168"/>
        <v>0</v>
      </c>
      <c r="CE210" s="34">
        <f t="shared" ca="1" si="168"/>
        <v>0</v>
      </c>
      <c r="CF210" s="34">
        <f t="shared" ca="1" si="169"/>
        <v>0</v>
      </c>
      <c r="CG210" s="34">
        <f t="shared" ca="1" si="169"/>
        <v>0</v>
      </c>
      <c r="CH210" s="34">
        <f t="shared" ca="1" si="169"/>
        <v>0</v>
      </c>
      <c r="CI210" s="34">
        <f t="shared" ca="1" si="169"/>
        <v>0</v>
      </c>
      <c r="CJ210" s="34">
        <f t="shared" ca="1" si="169"/>
        <v>0</v>
      </c>
      <c r="CK210" s="34">
        <f t="shared" ca="1" si="169"/>
        <v>0</v>
      </c>
      <c r="CL210" s="34">
        <f t="shared" ca="1" si="169"/>
        <v>0</v>
      </c>
      <c r="CM210" s="34">
        <f t="shared" ca="1" si="169"/>
        <v>0</v>
      </c>
      <c r="CN210" s="34">
        <f t="shared" ca="1" si="169"/>
        <v>0</v>
      </c>
      <c r="CO210" s="34">
        <f t="shared" ca="1" si="169"/>
        <v>0</v>
      </c>
      <c r="CP210" s="34">
        <f t="shared" ca="1" si="169"/>
        <v>0</v>
      </c>
      <c r="CQ210" s="34">
        <f t="shared" ca="1" si="152"/>
        <v>598.19394750308641</v>
      </c>
      <c r="CR210" s="363">
        <v>0</v>
      </c>
      <c r="CS210" s="34">
        <f t="shared" ca="1" si="153"/>
        <v>598.19394750308641</v>
      </c>
      <c r="CT210" s="233"/>
    </row>
    <row r="211" spans="2:98" x14ac:dyDescent="0.3">
      <c r="B211" s="232"/>
      <c r="C211" s="250">
        <f t="shared" si="154"/>
        <v>2045</v>
      </c>
      <c r="D211" s="263">
        <f t="shared" ca="1" si="137"/>
        <v>0</v>
      </c>
      <c r="E211" s="263">
        <f t="shared" ca="1" si="121"/>
        <v>44.864546062731485</v>
      </c>
      <c r="F211" s="263">
        <f t="shared" ca="1" si="122"/>
        <v>0</v>
      </c>
      <c r="G211" s="263">
        <f t="shared" ca="1" si="138"/>
        <v>269.18727637638892</v>
      </c>
      <c r="H211" s="15"/>
      <c r="I211" s="271">
        <f ca="1">Assumptions!O$68</f>
        <v>4.5</v>
      </c>
      <c r="J211" s="271">
        <f ca="1">Assumptions!P$68</f>
        <v>80</v>
      </c>
      <c r="K211" s="271">
        <f t="shared" ca="1" si="123"/>
        <v>40</v>
      </c>
      <c r="L211" s="15"/>
      <c r="M211" s="35">
        <f t="shared" ca="1" si="139"/>
        <v>4.2299999999999995</v>
      </c>
      <c r="N211" s="35">
        <f t="shared" ca="1" si="124"/>
        <v>64</v>
      </c>
      <c r="O211" s="35">
        <f t="shared" ca="1" si="125"/>
        <v>32</v>
      </c>
      <c r="P211" s="15"/>
      <c r="Q211" s="34">
        <f t="shared" ca="1" si="140"/>
        <v>0</v>
      </c>
      <c r="R211" s="34">
        <f t="shared" ca="1" si="140"/>
        <v>2871.330948014815</v>
      </c>
      <c r="S211" s="34">
        <f t="shared" ca="1" si="140"/>
        <v>0</v>
      </c>
      <c r="T211" s="34">
        <f t="shared" ca="1" si="141"/>
        <v>2871.330948014815</v>
      </c>
      <c r="U211" s="15"/>
      <c r="V211" s="35">
        <f t="shared" si="142"/>
        <v>0.7</v>
      </c>
      <c r="W211" s="34">
        <f t="shared" ca="1" si="143"/>
        <v>228.40132541026938</v>
      </c>
      <c r="X211" s="35">
        <f t="shared" si="144"/>
        <v>0.222</v>
      </c>
      <c r="Y211" s="34">
        <f t="shared" ca="1" si="145"/>
        <v>72.435848915828288</v>
      </c>
      <c r="Z211" s="35">
        <f t="shared" si="146"/>
        <v>0.34799999999999998</v>
      </c>
      <c r="AA211" s="34">
        <f t="shared" ca="1" si="147"/>
        <v>113.54808748967679</v>
      </c>
      <c r="AB211" s="34">
        <f t="shared" ca="1" si="148"/>
        <v>414.38526181577447</v>
      </c>
      <c r="AC211" s="15"/>
      <c r="AD211" s="34">
        <f t="shared" ca="1" si="149"/>
        <v>2456.9456861990407</v>
      </c>
      <c r="AE211" s="34">
        <f ca="1"/>
        <v>0</v>
      </c>
      <c r="AF211" s="34">
        <f t="shared" ca="1" si="150"/>
        <v>2456.9456861990407</v>
      </c>
      <c r="AG211" s="15"/>
      <c r="AH211" s="272">
        <f t="shared" si="155"/>
        <v>53327</v>
      </c>
      <c r="AI211" s="267">
        <f t="shared" si="126"/>
        <v>31.666666666666664</v>
      </c>
      <c r="AJ211" s="267">
        <f t="shared" si="127"/>
        <v>4.889130580030334E-2</v>
      </c>
      <c r="AK211" s="34">
        <f t="shared" ca="1" si="156"/>
        <v>120.12328287869343</v>
      </c>
      <c r="AL211" s="233"/>
      <c r="AN211" s="232"/>
      <c r="AO211" s="237">
        <f t="shared" si="161"/>
        <v>32</v>
      </c>
      <c r="AP211" s="34">
        <f t="shared" ca="1" si="161"/>
        <v>0</v>
      </c>
      <c r="AQ211" s="34">
        <f t="shared" ca="1" si="161"/>
        <v>0.41335512456267637</v>
      </c>
      <c r="AR211" s="34">
        <f t="shared" ca="1" si="161"/>
        <v>0</v>
      </c>
      <c r="AS211" s="34">
        <f t="shared" ca="1" si="161"/>
        <v>2.4801307473760583</v>
      </c>
      <c r="AT211" s="15"/>
      <c r="AW211" s="34">
        <f t="shared" ca="1" si="129"/>
        <v>0</v>
      </c>
      <c r="AX211" s="34">
        <f t="shared" ca="1" si="130"/>
        <v>0.341017977764208</v>
      </c>
      <c r="AY211" s="34">
        <f t="shared" ca="1" si="131"/>
        <v>0</v>
      </c>
      <c r="AZ211" s="34">
        <f t="shared" ca="1" si="132"/>
        <v>2.0461078665852481</v>
      </c>
      <c r="BB211" s="34">
        <f t="shared" ca="1" si="166"/>
        <v>0</v>
      </c>
      <c r="BC211" s="34">
        <f t="shared" ca="1" si="166"/>
        <v>0</v>
      </c>
      <c r="BD211" s="34">
        <f t="shared" ca="1" si="166"/>
        <v>0</v>
      </c>
      <c r="BE211" s="34">
        <f t="shared" ca="1" si="166"/>
        <v>30.874055600051754</v>
      </c>
      <c r="BF211" s="34">
        <f t="shared" ca="1" si="166"/>
        <v>146.57379931337701</v>
      </c>
      <c r="BG211" s="34">
        <f t="shared" ca="1" si="166"/>
        <v>162.85977701486334</v>
      </c>
      <c r="BH211" s="34">
        <f t="shared" ca="1" si="166"/>
        <v>180.95530779429259</v>
      </c>
      <c r="BI211" s="34">
        <f t="shared" ca="1" si="166"/>
        <v>17.111613030193155</v>
      </c>
      <c r="BJ211" s="34">
        <f t="shared" ca="1" si="166"/>
        <v>0</v>
      </c>
      <c r="BK211" s="34">
        <f t="shared" ca="1" si="166"/>
        <v>0</v>
      </c>
      <c r="BL211" s="34">
        <f t="shared" ca="1" si="167"/>
        <v>0</v>
      </c>
      <c r="BM211" s="34">
        <f t="shared" ca="1" si="167"/>
        <v>0</v>
      </c>
      <c r="BN211" s="34">
        <f t="shared" ca="1" si="167"/>
        <v>0</v>
      </c>
      <c r="BO211" s="34">
        <f t="shared" ca="1" si="167"/>
        <v>0</v>
      </c>
      <c r="BP211" s="34">
        <f t="shared" ca="1" si="167"/>
        <v>0</v>
      </c>
      <c r="BQ211" s="34">
        <f t="shared" ca="1" si="167"/>
        <v>0</v>
      </c>
      <c r="BR211" s="34">
        <f t="shared" ca="1" si="167"/>
        <v>0</v>
      </c>
      <c r="BS211" s="34">
        <f t="shared" ca="1" si="167"/>
        <v>0</v>
      </c>
      <c r="BT211" s="34">
        <f t="shared" ca="1" si="167"/>
        <v>0</v>
      </c>
      <c r="BU211" s="34">
        <f t="shared" ca="1" si="167"/>
        <v>0</v>
      </c>
      <c r="BV211" s="34">
        <f t="shared" ca="1" si="168"/>
        <v>0</v>
      </c>
      <c r="BW211" s="34">
        <f t="shared" ca="1" si="168"/>
        <v>0</v>
      </c>
      <c r="BX211" s="34">
        <f t="shared" ca="1" si="168"/>
        <v>0</v>
      </c>
      <c r="BY211" s="34">
        <f t="shared" ca="1" si="168"/>
        <v>0</v>
      </c>
      <c r="BZ211" s="34">
        <f t="shared" ca="1" si="168"/>
        <v>0</v>
      </c>
      <c r="CA211" s="34">
        <f t="shared" ca="1" si="168"/>
        <v>0</v>
      </c>
      <c r="CB211" s="34">
        <f t="shared" ca="1" si="168"/>
        <v>0</v>
      </c>
      <c r="CC211" s="34">
        <f t="shared" ca="1" si="168"/>
        <v>0</v>
      </c>
      <c r="CD211" s="34">
        <f t="shared" ca="1" si="168"/>
        <v>0</v>
      </c>
      <c r="CE211" s="34">
        <f t="shared" ca="1" si="168"/>
        <v>0</v>
      </c>
      <c r="CF211" s="34">
        <f t="shared" ca="1" si="169"/>
        <v>0</v>
      </c>
      <c r="CG211" s="34">
        <f t="shared" ca="1" si="169"/>
        <v>0</v>
      </c>
      <c r="CH211" s="34">
        <f t="shared" ca="1" si="169"/>
        <v>0</v>
      </c>
      <c r="CI211" s="34">
        <f t="shared" ca="1" si="169"/>
        <v>0</v>
      </c>
      <c r="CJ211" s="34">
        <f t="shared" ca="1" si="169"/>
        <v>0</v>
      </c>
      <c r="CK211" s="34">
        <f t="shared" ca="1" si="169"/>
        <v>0</v>
      </c>
      <c r="CL211" s="34">
        <f t="shared" ca="1" si="169"/>
        <v>0</v>
      </c>
      <c r="CM211" s="34">
        <f t="shared" ca="1" si="169"/>
        <v>0</v>
      </c>
      <c r="CN211" s="34">
        <f t="shared" ca="1" si="169"/>
        <v>0</v>
      </c>
      <c r="CO211" s="34">
        <f t="shared" ca="1" si="169"/>
        <v>0</v>
      </c>
      <c r="CP211" s="34">
        <f t="shared" ca="1" si="169"/>
        <v>0</v>
      </c>
      <c r="CQ211" s="34">
        <f t="shared" ca="1" si="152"/>
        <v>538.37455275277784</v>
      </c>
      <c r="CR211" s="363">
        <v>0</v>
      </c>
      <c r="CS211" s="34">
        <f t="shared" ca="1" si="153"/>
        <v>538.37455275277784</v>
      </c>
      <c r="CT211" s="233"/>
    </row>
    <row r="212" spans="2:98" x14ac:dyDescent="0.3">
      <c r="B212" s="232"/>
      <c r="C212" s="250">
        <f t="shared" si="154"/>
        <v>2046</v>
      </c>
      <c r="D212" s="263">
        <f t="shared" ca="1" si="137"/>
        <v>0</v>
      </c>
      <c r="E212" s="263">
        <f t="shared" ca="1" si="121"/>
        <v>40.378091456458343</v>
      </c>
      <c r="F212" s="263">
        <f t="shared" ca="1" si="122"/>
        <v>0</v>
      </c>
      <c r="G212" s="263">
        <f t="shared" ca="1" si="138"/>
        <v>242.26854873875004</v>
      </c>
      <c r="H212" s="15"/>
      <c r="I212" s="271">
        <f ca="1">Assumptions!O$68</f>
        <v>4.5</v>
      </c>
      <c r="J212" s="271">
        <f ca="1">Assumptions!P$68</f>
        <v>80</v>
      </c>
      <c r="K212" s="271">
        <f t="shared" ca="1" si="123"/>
        <v>40</v>
      </c>
      <c r="L212" s="15"/>
      <c r="M212" s="35">
        <f t="shared" ca="1" si="139"/>
        <v>4.2299999999999995</v>
      </c>
      <c r="N212" s="35">
        <f t="shared" ca="1" si="124"/>
        <v>64</v>
      </c>
      <c r="O212" s="35">
        <f t="shared" ca="1" si="125"/>
        <v>32</v>
      </c>
      <c r="P212" s="15"/>
      <c r="Q212" s="34">
        <f t="shared" ca="1" si="140"/>
        <v>0</v>
      </c>
      <c r="R212" s="34">
        <f t="shared" ca="1" si="140"/>
        <v>2584.1978532133339</v>
      </c>
      <c r="S212" s="34">
        <f t="shared" ca="1" si="140"/>
        <v>0</v>
      </c>
      <c r="T212" s="34">
        <f t="shared" ca="1" si="141"/>
        <v>2584.1978532133339</v>
      </c>
      <c r="U212" s="15"/>
      <c r="V212" s="35">
        <f t="shared" si="142"/>
        <v>0.7</v>
      </c>
      <c r="W212" s="34">
        <f t="shared" ca="1" si="143"/>
        <v>205.56119286924246</v>
      </c>
      <c r="X212" s="35">
        <f t="shared" si="144"/>
        <v>0.222</v>
      </c>
      <c r="Y212" s="34">
        <f t="shared" ca="1" si="145"/>
        <v>65.192264024245475</v>
      </c>
      <c r="Z212" s="35">
        <f t="shared" si="146"/>
        <v>0.34799999999999998</v>
      </c>
      <c r="AA212" s="34">
        <f t="shared" ca="1" si="147"/>
        <v>102.1932787407091</v>
      </c>
      <c r="AB212" s="34">
        <f t="shared" ca="1" si="148"/>
        <v>372.94673563419707</v>
      </c>
      <c r="AC212" s="15"/>
      <c r="AD212" s="34">
        <f t="shared" ca="1" si="149"/>
        <v>2211.2511175791369</v>
      </c>
      <c r="AE212" s="34">
        <f ca="1"/>
        <v>0</v>
      </c>
      <c r="AF212" s="34">
        <f t="shared" ca="1" si="150"/>
        <v>2211.2511175791369</v>
      </c>
      <c r="AG212" s="15"/>
      <c r="AH212" s="272">
        <f t="shared" si="155"/>
        <v>53692</v>
      </c>
      <c r="AI212" s="267">
        <f t="shared" si="126"/>
        <v>32.666666666666664</v>
      </c>
      <c r="AJ212" s="267">
        <f t="shared" si="127"/>
        <v>4.4446641636639403E-2</v>
      </c>
      <c r="AK212" s="34">
        <f t="shared" ca="1" si="156"/>
        <v>98.282685991658283</v>
      </c>
      <c r="AL212" s="233"/>
      <c r="AN212" s="232"/>
      <c r="AO212" s="237">
        <f t="shared" ref="AO212:AS219" si="170">AO162</f>
        <v>33</v>
      </c>
      <c r="AP212" s="34">
        <f t="shared" ca="1" si="170"/>
        <v>0</v>
      </c>
      <c r="AQ212" s="34">
        <f t="shared" ca="1" si="170"/>
        <v>0.37201961210640877</v>
      </c>
      <c r="AR212" s="34">
        <f t="shared" ca="1" si="170"/>
        <v>0</v>
      </c>
      <c r="AS212" s="34">
        <f t="shared" ca="1" si="170"/>
        <v>2.2321176726384526</v>
      </c>
      <c r="AT212" s="15"/>
      <c r="AW212" s="34">
        <f t="shared" ca="1" si="129"/>
        <v>0</v>
      </c>
      <c r="AX212" s="34">
        <f t="shared" ca="1" si="130"/>
        <v>0.3069161799877872</v>
      </c>
      <c r="AY212" s="34">
        <f t="shared" ca="1" si="131"/>
        <v>0</v>
      </c>
      <c r="AZ212" s="34">
        <f t="shared" ca="1" si="132"/>
        <v>1.8414970799267234</v>
      </c>
      <c r="BB212" s="34">
        <f t="shared" ca="1" si="166"/>
        <v>0</v>
      </c>
      <c r="BC212" s="34">
        <f t="shared" ca="1" si="166"/>
        <v>0</v>
      </c>
      <c r="BD212" s="34">
        <f t="shared" ca="1" si="166"/>
        <v>0</v>
      </c>
      <c r="BE212" s="34">
        <f t="shared" ca="1" si="166"/>
        <v>27.786650040046581</v>
      </c>
      <c r="BF212" s="34">
        <f t="shared" ca="1" si="166"/>
        <v>131.91641938203929</v>
      </c>
      <c r="BG212" s="34">
        <f t="shared" ca="1" si="166"/>
        <v>146.57379931337701</v>
      </c>
      <c r="BH212" s="34">
        <f t="shared" ca="1" si="166"/>
        <v>162.85977701486334</v>
      </c>
      <c r="BI212" s="34">
        <f t="shared" ca="1" si="166"/>
        <v>15.400451727173838</v>
      </c>
      <c r="BJ212" s="34">
        <f t="shared" ca="1" si="166"/>
        <v>0</v>
      </c>
      <c r="BK212" s="34">
        <f t="shared" ca="1" si="166"/>
        <v>0</v>
      </c>
      <c r="BL212" s="34">
        <f t="shared" ca="1" si="167"/>
        <v>0</v>
      </c>
      <c r="BM212" s="34">
        <f t="shared" ca="1" si="167"/>
        <v>0</v>
      </c>
      <c r="BN212" s="34">
        <f t="shared" ca="1" si="167"/>
        <v>0</v>
      </c>
      <c r="BO212" s="34">
        <f t="shared" ca="1" si="167"/>
        <v>0</v>
      </c>
      <c r="BP212" s="34">
        <f t="shared" ca="1" si="167"/>
        <v>0</v>
      </c>
      <c r="BQ212" s="34">
        <f t="shared" ca="1" si="167"/>
        <v>0</v>
      </c>
      <c r="BR212" s="34">
        <f t="shared" ca="1" si="167"/>
        <v>0</v>
      </c>
      <c r="BS212" s="34">
        <f t="shared" ca="1" si="167"/>
        <v>0</v>
      </c>
      <c r="BT212" s="34">
        <f t="shared" ca="1" si="167"/>
        <v>0</v>
      </c>
      <c r="BU212" s="34">
        <f t="shared" ca="1" si="167"/>
        <v>0</v>
      </c>
      <c r="BV212" s="34">
        <f t="shared" ca="1" si="168"/>
        <v>0</v>
      </c>
      <c r="BW212" s="34">
        <f t="shared" ca="1" si="168"/>
        <v>0</v>
      </c>
      <c r="BX212" s="34">
        <f t="shared" ca="1" si="168"/>
        <v>0</v>
      </c>
      <c r="BY212" s="34">
        <f t="shared" ca="1" si="168"/>
        <v>0</v>
      </c>
      <c r="BZ212" s="34">
        <f t="shared" ca="1" si="168"/>
        <v>0</v>
      </c>
      <c r="CA212" s="34">
        <f t="shared" ca="1" si="168"/>
        <v>0</v>
      </c>
      <c r="CB212" s="34">
        <f t="shared" ca="1" si="168"/>
        <v>0</v>
      </c>
      <c r="CC212" s="34">
        <f t="shared" ca="1" si="168"/>
        <v>0</v>
      </c>
      <c r="CD212" s="34">
        <f t="shared" ca="1" si="168"/>
        <v>0</v>
      </c>
      <c r="CE212" s="34">
        <f t="shared" ca="1" si="168"/>
        <v>0</v>
      </c>
      <c r="CF212" s="34">
        <f t="shared" ca="1" si="169"/>
        <v>0</v>
      </c>
      <c r="CG212" s="34">
        <f t="shared" ca="1" si="169"/>
        <v>0</v>
      </c>
      <c r="CH212" s="34">
        <f t="shared" ca="1" si="169"/>
        <v>0</v>
      </c>
      <c r="CI212" s="34">
        <f t="shared" ca="1" si="169"/>
        <v>0</v>
      </c>
      <c r="CJ212" s="34">
        <f t="shared" ca="1" si="169"/>
        <v>0</v>
      </c>
      <c r="CK212" s="34">
        <f t="shared" ca="1" si="169"/>
        <v>0</v>
      </c>
      <c r="CL212" s="34">
        <f t="shared" ca="1" si="169"/>
        <v>0</v>
      </c>
      <c r="CM212" s="34">
        <f t="shared" ca="1" si="169"/>
        <v>0</v>
      </c>
      <c r="CN212" s="34">
        <f t="shared" ca="1" si="169"/>
        <v>0</v>
      </c>
      <c r="CO212" s="34">
        <f t="shared" ca="1" si="169"/>
        <v>0</v>
      </c>
      <c r="CP212" s="34">
        <f t="shared" ca="1" si="169"/>
        <v>0</v>
      </c>
      <c r="CQ212" s="34">
        <f t="shared" ca="1" si="152"/>
        <v>484.53709747750008</v>
      </c>
      <c r="CR212" s="363">
        <v>0</v>
      </c>
      <c r="CS212" s="34">
        <f t="shared" ca="1" si="153"/>
        <v>484.53709747750008</v>
      </c>
      <c r="CT212" s="233"/>
    </row>
    <row r="213" spans="2:98" x14ac:dyDescent="0.3">
      <c r="B213" s="232"/>
      <c r="C213" s="250">
        <f t="shared" si="154"/>
        <v>2047</v>
      </c>
      <c r="D213" s="263">
        <f t="shared" ca="1" si="137"/>
        <v>0</v>
      </c>
      <c r="E213" s="263">
        <f t="shared" ca="1" si="121"/>
        <v>36.340282310812505</v>
      </c>
      <c r="F213" s="263">
        <f t="shared" ca="1" si="122"/>
        <v>0</v>
      </c>
      <c r="G213" s="263">
        <f t="shared" ca="1" si="138"/>
        <v>218.04169386487504</v>
      </c>
      <c r="H213" s="15"/>
      <c r="I213" s="271">
        <f ca="1">Assumptions!O$68</f>
        <v>4.5</v>
      </c>
      <c r="J213" s="271">
        <f ca="1">Assumptions!P$68</f>
        <v>80</v>
      </c>
      <c r="K213" s="271">
        <f t="shared" ca="1" si="123"/>
        <v>40</v>
      </c>
      <c r="L213" s="15"/>
      <c r="M213" s="35">
        <f t="shared" ca="1" si="139"/>
        <v>4.2299999999999995</v>
      </c>
      <c r="N213" s="35">
        <f t="shared" ca="1" si="124"/>
        <v>64</v>
      </c>
      <c r="O213" s="35">
        <f t="shared" ca="1" si="125"/>
        <v>32</v>
      </c>
      <c r="P213" s="15"/>
      <c r="Q213" s="34">
        <f t="shared" ca="1" si="140"/>
        <v>0</v>
      </c>
      <c r="R213" s="34">
        <f t="shared" ca="1" si="140"/>
        <v>2325.7780678920003</v>
      </c>
      <c r="S213" s="34">
        <f t="shared" ca="1" si="140"/>
        <v>0</v>
      </c>
      <c r="T213" s="34">
        <f t="shared" ca="1" si="141"/>
        <v>2325.7780678920003</v>
      </c>
      <c r="U213" s="15"/>
      <c r="V213" s="35">
        <f t="shared" si="142"/>
        <v>0.7</v>
      </c>
      <c r="W213" s="34">
        <f t="shared" ca="1" si="143"/>
        <v>185.0050735823182</v>
      </c>
      <c r="X213" s="35">
        <f t="shared" si="144"/>
        <v>0.222</v>
      </c>
      <c r="Y213" s="34">
        <f t="shared" ca="1" si="145"/>
        <v>58.673037621820917</v>
      </c>
      <c r="Z213" s="35">
        <f t="shared" si="146"/>
        <v>0.34799999999999998</v>
      </c>
      <c r="AA213" s="34">
        <f t="shared" ca="1" si="147"/>
        <v>91.973950866638191</v>
      </c>
      <c r="AB213" s="34">
        <f t="shared" ca="1" si="148"/>
        <v>335.65206207077733</v>
      </c>
      <c r="AC213" s="15"/>
      <c r="AD213" s="34">
        <f t="shared" ca="1" si="149"/>
        <v>1990.1260058212229</v>
      </c>
      <c r="AE213" s="34">
        <f ca="1"/>
        <v>0</v>
      </c>
      <c r="AF213" s="34">
        <f t="shared" ca="1" si="150"/>
        <v>1990.1260058212229</v>
      </c>
      <c r="AG213" s="15"/>
      <c r="AH213" s="272">
        <f t="shared" si="155"/>
        <v>54057</v>
      </c>
      <c r="AI213" s="267">
        <f t="shared" si="126"/>
        <v>33.666666666666664</v>
      </c>
      <c r="AJ213" s="267">
        <f t="shared" si="127"/>
        <v>4.0406037851490349E-2</v>
      </c>
      <c r="AK213" s="34">
        <f t="shared" ca="1" si="156"/>
        <v>80.41310672044763</v>
      </c>
      <c r="AL213" s="233"/>
      <c r="AN213" s="232"/>
      <c r="AO213" s="237">
        <f t="shared" si="170"/>
        <v>34</v>
      </c>
      <c r="AP213" s="34">
        <f t="shared" ca="1" si="170"/>
        <v>0</v>
      </c>
      <c r="AQ213" s="34">
        <f t="shared" ca="1" si="170"/>
        <v>0.33481765089576787</v>
      </c>
      <c r="AR213" s="34">
        <f t="shared" ca="1" si="170"/>
        <v>0</v>
      </c>
      <c r="AS213" s="34">
        <f t="shared" ca="1" si="170"/>
        <v>2.0089059053746072</v>
      </c>
      <c r="AT213" s="15"/>
      <c r="AW213" s="34">
        <f t="shared" ca="1" si="129"/>
        <v>0</v>
      </c>
      <c r="AX213" s="34">
        <f t="shared" ca="1" si="130"/>
        <v>0.27622456198900847</v>
      </c>
      <c r="AY213" s="34">
        <f t="shared" ca="1" si="131"/>
        <v>0</v>
      </c>
      <c r="AZ213" s="34">
        <f t="shared" ca="1" si="132"/>
        <v>1.6573473719340508</v>
      </c>
      <c r="BB213" s="34">
        <f t="shared" ca="1" si="166"/>
        <v>0</v>
      </c>
      <c r="BC213" s="34">
        <f t="shared" ca="1" si="166"/>
        <v>0</v>
      </c>
      <c r="BD213" s="34">
        <f t="shared" ca="1" si="166"/>
        <v>0</v>
      </c>
      <c r="BE213" s="34">
        <f t="shared" ca="1" si="166"/>
        <v>25.007985036041919</v>
      </c>
      <c r="BF213" s="34">
        <f t="shared" ca="1" si="166"/>
        <v>118.72477744383538</v>
      </c>
      <c r="BG213" s="34">
        <f t="shared" ca="1" si="166"/>
        <v>131.91641938203929</v>
      </c>
      <c r="BH213" s="34">
        <f t="shared" ca="1" si="166"/>
        <v>146.57379931337701</v>
      </c>
      <c r="BI213" s="34">
        <f t="shared" ca="1" si="166"/>
        <v>13.860406554456453</v>
      </c>
      <c r="BJ213" s="34">
        <f t="shared" ca="1" si="166"/>
        <v>0</v>
      </c>
      <c r="BK213" s="34">
        <f t="shared" ca="1" si="166"/>
        <v>0</v>
      </c>
      <c r="BL213" s="34">
        <f t="shared" ca="1" si="167"/>
        <v>0</v>
      </c>
      <c r="BM213" s="34">
        <f t="shared" ca="1" si="167"/>
        <v>0</v>
      </c>
      <c r="BN213" s="34">
        <f t="shared" ca="1" si="167"/>
        <v>0</v>
      </c>
      <c r="BO213" s="34">
        <f t="shared" ca="1" si="167"/>
        <v>0</v>
      </c>
      <c r="BP213" s="34">
        <f t="shared" ca="1" si="167"/>
        <v>0</v>
      </c>
      <c r="BQ213" s="34">
        <f t="shared" ca="1" si="167"/>
        <v>0</v>
      </c>
      <c r="BR213" s="34">
        <f t="shared" ca="1" si="167"/>
        <v>0</v>
      </c>
      <c r="BS213" s="34">
        <f t="shared" ca="1" si="167"/>
        <v>0</v>
      </c>
      <c r="BT213" s="34">
        <f t="shared" ca="1" si="167"/>
        <v>0</v>
      </c>
      <c r="BU213" s="34">
        <f t="shared" ca="1" si="167"/>
        <v>0</v>
      </c>
      <c r="BV213" s="34">
        <f t="shared" ca="1" si="168"/>
        <v>0</v>
      </c>
      <c r="BW213" s="34">
        <f t="shared" ca="1" si="168"/>
        <v>0</v>
      </c>
      <c r="BX213" s="34">
        <f t="shared" ca="1" si="168"/>
        <v>0</v>
      </c>
      <c r="BY213" s="34">
        <f t="shared" ca="1" si="168"/>
        <v>0</v>
      </c>
      <c r="BZ213" s="34">
        <f t="shared" ca="1" si="168"/>
        <v>0</v>
      </c>
      <c r="CA213" s="34">
        <f t="shared" ca="1" si="168"/>
        <v>0</v>
      </c>
      <c r="CB213" s="34">
        <f t="shared" ca="1" si="168"/>
        <v>0</v>
      </c>
      <c r="CC213" s="34">
        <f t="shared" ca="1" si="168"/>
        <v>0</v>
      </c>
      <c r="CD213" s="34">
        <f t="shared" ca="1" si="168"/>
        <v>0</v>
      </c>
      <c r="CE213" s="34">
        <f t="shared" ca="1" si="168"/>
        <v>0</v>
      </c>
      <c r="CF213" s="34">
        <f t="shared" ca="1" si="169"/>
        <v>0</v>
      </c>
      <c r="CG213" s="34">
        <f t="shared" ca="1" si="169"/>
        <v>0</v>
      </c>
      <c r="CH213" s="34">
        <f t="shared" ca="1" si="169"/>
        <v>0</v>
      </c>
      <c r="CI213" s="34">
        <f t="shared" ca="1" si="169"/>
        <v>0</v>
      </c>
      <c r="CJ213" s="34">
        <f t="shared" ca="1" si="169"/>
        <v>0</v>
      </c>
      <c r="CK213" s="34">
        <f t="shared" ca="1" si="169"/>
        <v>0</v>
      </c>
      <c r="CL213" s="34">
        <f t="shared" ca="1" si="169"/>
        <v>0</v>
      </c>
      <c r="CM213" s="34">
        <f t="shared" ca="1" si="169"/>
        <v>0</v>
      </c>
      <c r="CN213" s="34">
        <f t="shared" ca="1" si="169"/>
        <v>0</v>
      </c>
      <c r="CO213" s="34">
        <f t="shared" ca="1" si="169"/>
        <v>0</v>
      </c>
      <c r="CP213" s="34">
        <f t="shared" ca="1" si="169"/>
        <v>0</v>
      </c>
      <c r="CQ213" s="34">
        <f t="shared" ca="1" si="152"/>
        <v>436.08338772975009</v>
      </c>
      <c r="CR213" s="363">
        <v>0</v>
      </c>
      <c r="CS213" s="34">
        <f t="shared" ca="1" si="153"/>
        <v>436.08338772975009</v>
      </c>
      <c r="CT213" s="233"/>
    </row>
    <row r="214" spans="2:98" x14ac:dyDescent="0.3">
      <c r="B214" s="232"/>
      <c r="C214" s="250">
        <f t="shared" si="154"/>
        <v>2048</v>
      </c>
      <c r="D214" s="263">
        <f t="shared" ca="1" si="137"/>
        <v>0</v>
      </c>
      <c r="E214" s="263">
        <f t="shared" ca="1" si="121"/>
        <v>32.706254079731252</v>
      </c>
      <c r="F214" s="263">
        <f t="shared" ca="1" si="122"/>
        <v>0</v>
      </c>
      <c r="G214" s="263">
        <f t="shared" ca="1" si="138"/>
        <v>196.23752447838751</v>
      </c>
      <c r="H214" s="15"/>
      <c r="I214" s="271">
        <f ca="1">Assumptions!O$68</f>
        <v>4.5</v>
      </c>
      <c r="J214" s="271">
        <f ca="1">Assumptions!P$68</f>
        <v>80</v>
      </c>
      <c r="K214" s="271">
        <f t="shared" ca="1" si="123"/>
        <v>40</v>
      </c>
      <c r="L214" s="15"/>
      <c r="M214" s="35">
        <f t="shared" ca="1" si="139"/>
        <v>4.2299999999999995</v>
      </c>
      <c r="N214" s="35">
        <f t="shared" ca="1" si="124"/>
        <v>64</v>
      </c>
      <c r="O214" s="35">
        <f t="shared" ca="1" si="125"/>
        <v>32</v>
      </c>
      <c r="P214" s="15"/>
      <c r="Q214" s="34">
        <f t="shared" ca="1" si="140"/>
        <v>0</v>
      </c>
      <c r="R214" s="34">
        <f t="shared" ca="1" si="140"/>
        <v>2093.2002611028001</v>
      </c>
      <c r="S214" s="34">
        <f t="shared" ca="1" si="140"/>
        <v>0</v>
      </c>
      <c r="T214" s="34">
        <f t="shared" ca="1" si="141"/>
        <v>2093.2002611028001</v>
      </c>
      <c r="U214" s="15"/>
      <c r="V214" s="35">
        <f t="shared" si="142"/>
        <v>0.7</v>
      </c>
      <c r="W214" s="34">
        <f t="shared" ca="1" si="143"/>
        <v>166.50456622408635</v>
      </c>
      <c r="X214" s="35">
        <f t="shared" si="144"/>
        <v>0.222</v>
      </c>
      <c r="Y214" s="34">
        <f t="shared" ca="1" si="145"/>
        <v>52.805733859638821</v>
      </c>
      <c r="Z214" s="35">
        <f t="shared" si="146"/>
        <v>0.34799999999999998</v>
      </c>
      <c r="AA214" s="34">
        <f t="shared" ca="1" si="147"/>
        <v>82.776555779974373</v>
      </c>
      <c r="AB214" s="34">
        <f t="shared" ca="1" si="148"/>
        <v>302.08685586369955</v>
      </c>
      <c r="AC214" s="15"/>
      <c r="AD214" s="34">
        <f t="shared" ca="1" si="149"/>
        <v>1791.1134052391005</v>
      </c>
      <c r="AE214" s="34">
        <f ca="1"/>
        <v>0</v>
      </c>
      <c r="AF214" s="34">
        <f t="shared" ca="1" si="150"/>
        <v>1791.1134052391005</v>
      </c>
      <c r="AG214" s="15"/>
      <c r="AH214" s="272">
        <f t="shared" si="155"/>
        <v>54423</v>
      </c>
      <c r="AI214" s="267">
        <f t="shared" si="126"/>
        <v>34.666666666666664</v>
      </c>
      <c r="AJ214" s="267">
        <f t="shared" si="127"/>
        <v>3.6732761683173049E-2</v>
      </c>
      <c r="AK214" s="34">
        <f t="shared" ca="1" si="156"/>
        <v>65.792541862184436</v>
      </c>
      <c r="AL214" s="233"/>
      <c r="AN214" s="232"/>
      <c r="AO214" s="237">
        <f t="shared" si="170"/>
        <v>35</v>
      </c>
      <c r="AP214" s="34">
        <f t="shared" ca="1" si="170"/>
        <v>0</v>
      </c>
      <c r="AQ214" s="34">
        <f t="shared" ca="1" si="170"/>
        <v>0.30133588580619108</v>
      </c>
      <c r="AR214" s="34">
        <f t="shared" ca="1" si="170"/>
        <v>0</v>
      </c>
      <c r="AS214" s="34">
        <f t="shared" ca="1" si="170"/>
        <v>1.8080153148371465</v>
      </c>
      <c r="AT214" s="15"/>
      <c r="AW214" s="34">
        <f t="shared" ca="1" si="129"/>
        <v>0</v>
      </c>
      <c r="AX214" s="34">
        <f t="shared" ca="1" si="130"/>
        <v>0.24860210579010764</v>
      </c>
      <c r="AY214" s="34">
        <f t="shared" ca="1" si="131"/>
        <v>0</v>
      </c>
      <c r="AZ214" s="34">
        <f t="shared" ca="1" si="132"/>
        <v>1.4916126347406458</v>
      </c>
      <c r="BB214" s="34">
        <f t="shared" ca="1" si="166"/>
        <v>0</v>
      </c>
      <c r="BC214" s="34">
        <f t="shared" ca="1" si="166"/>
        <v>0</v>
      </c>
      <c r="BD214" s="34">
        <f t="shared" ca="1" si="166"/>
        <v>0</v>
      </c>
      <c r="BE214" s="34">
        <f t="shared" ca="1" si="166"/>
        <v>22.507186532437728</v>
      </c>
      <c r="BF214" s="34">
        <f t="shared" ca="1" si="166"/>
        <v>106.85229969945183</v>
      </c>
      <c r="BG214" s="34">
        <f t="shared" ca="1" si="166"/>
        <v>118.72477744383538</v>
      </c>
      <c r="BH214" s="34">
        <f t="shared" ca="1" si="166"/>
        <v>131.91641938203929</v>
      </c>
      <c r="BI214" s="34">
        <f t="shared" ca="1" si="166"/>
        <v>12.474365899010809</v>
      </c>
      <c r="BJ214" s="34">
        <f t="shared" ca="1" si="166"/>
        <v>0</v>
      </c>
      <c r="BK214" s="34">
        <f t="shared" ca="1" si="166"/>
        <v>0</v>
      </c>
      <c r="BL214" s="34">
        <f t="shared" ca="1" si="167"/>
        <v>0</v>
      </c>
      <c r="BM214" s="34">
        <f t="shared" ca="1" si="167"/>
        <v>0</v>
      </c>
      <c r="BN214" s="34">
        <f t="shared" ca="1" si="167"/>
        <v>0</v>
      </c>
      <c r="BO214" s="34">
        <f t="shared" ca="1" si="167"/>
        <v>0</v>
      </c>
      <c r="BP214" s="34">
        <f t="shared" ca="1" si="167"/>
        <v>0</v>
      </c>
      <c r="BQ214" s="34">
        <f t="shared" ca="1" si="167"/>
        <v>0</v>
      </c>
      <c r="BR214" s="34">
        <f t="shared" ca="1" si="167"/>
        <v>0</v>
      </c>
      <c r="BS214" s="34">
        <f t="shared" ca="1" si="167"/>
        <v>0</v>
      </c>
      <c r="BT214" s="34">
        <f t="shared" ca="1" si="167"/>
        <v>0</v>
      </c>
      <c r="BU214" s="34">
        <f t="shared" ca="1" si="167"/>
        <v>0</v>
      </c>
      <c r="BV214" s="34">
        <f t="shared" ca="1" si="168"/>
        <v>0</v>
      </c>
      <c r="BW214" s="34">
        <f t="shared" ca="1" si="168"/>
        <v>0</v>
      </c>
      <c r="BX214" s="34">
        <f t="shared" ca="1" si="168"/>
        <v>0</v>
      </c>
      <c r="BY214" s="34">
        <f t="shared" ca="1" si="168"/>
        <v>0</v>
      </c>
      <c r="BZ214" s="34">
        <f t="shared" ca="1" si="168"/>
        <v>0</v>
      </c>
      <c r="CA214" s="34">
        <f t="shared" ca="1" si="168"/>
        <v>0</v>
      </c>
      <c r="CB214" s="34">
        <f t="shared" ca="1" si="168"/>
        <v>0</v>
      </c>
      <c r="CC214" s="34">
        <f t="shared" ca="1" si="168"/>
        <v>0</v>
      </c>
      <c r="CD214" s="34">
        <f t="shared" ca="1" si="168"/>
        <v>0</v>
      </c>
      <c r="CE214" s="34">
        <f t="shared" ca="1" si="168"/>
        <v>0</v>
      </c>
      <c r="CF214" s="34">
        <f t="shared" ca="1" si="169"/>
        <v>0</v>
      </c>
      <c r="CG214" s="34">
        <f t="shared" ca="1" si="169"/>
        <v>0</v>
      </c>
      <c r="CH214" s="34">
        <f t="shared" ca="1" si="169"/>
        <v>0</v>
      </c>
      <c r="CI214" s="34">
        <f t="shared" ca="1" si="169"/>
        <v>0</v>
      </c>
      <c r="CJ214" s="34">
        <f t="shared" ca="1" si="169"/>
        <v>0</v>
      </c>
      <c r="CK214" s="34">
        <f t="shared" ca="1" si="169"/>
        <v>0</v>
      </c>
      <c r="CL214" s="34">
        <f t="shared" ca="1" si="169"/>
        <v>0</v>
      </c>
      <c r="CM214" s="34">
        <f t="shared" ca="1" si="169"/>
        <v>0</v>
      </c>
      <c r="CN214" s="34">
        <f t="shared" ca="1" si="169"/>
        <v>0</v>
      </c>
      <c r="CO214" s="34">
        <f t="shared" ca="1" si="169"/>
        <v>0</v>
      </c>
      <c r="CP214" s="34">
        <f t="shared" ca="1" si="169"/>
        <v>0</v>
      </c>
      <c r="CQ214" s="34">
        <f t="shared" ca="1" si="152"/>
        <v>392.47504895677503</v>
      </c>
      <c r="CR214" s="363">
        <v>0</v>
      </c>
      <c r="CS214" s="34">
        <f t="shared" ca="1" si="153"/>
        <v>392.47504895677503</v>
      </c>
      <c r="CT214" s="233"/>
    </row>
    <row r="215" spans="2:98" x14ac:dyDescent="0.3">
      <c r="B215" s="232"/>
      <c r="C215" s="250">
        <f t="shared" si="154"/>
        <v>2049</v>
      </c>
      <c r="D215" s="263">
        <f t="shared" ca="1" si="137"/>
        <v>0</v>
      </c>
      <c r="E215" s="263">
        <f t="shared" ca="1" si="121"/>
        <v>29.435628671758128</v>
      </c>
      <c r="F215" s="263">
        <f t="shared" ca="1" si="122"/>
        <v>0</v>
      </c>
      <c r="G215" s="263">
        <f t="shared" ca="1" si="138"/>
        <v>176.61377203054877</v>
      </c>
      <c r="H215" s="15"/>
      <c r="I215" s="271">
        <f ca="1">Assumptions!O$68</f>
        <v>4.5</v>
      </c>
      <c r="J215" s="271">
        <f ca="1">Assumptions!P$68</f>
        <v>80</v>
      </c>
      <c r="K215" s="271">
        <f t="shared" ca="1" si="123"/>
        <v>40</v>
      </c>
      <c r="L215" s="15"/>
      <c r="M215" s="35">
        <f t="shared" ca="1" si="139"/>
        <v>4.2299999999999995</v>
      </c>
      <c r="N215" s="35">
        <f t="shared" ca="1" si="124"/>
        <v>64</v>
      </c>
      <c r="O215" s="35">
        <f t="shared" ca="1" si="125"/>
        <v>32</v>
      </c>
      <c r="P215" s="15"/>
      <c r="Q215" s="34">
        <f t="shared" ca="1" si="140"/>
        <v>0</v>
      </c>
      <c r="R215" s="34">
        <f t="shared" ca="1" si="140"/>
        <v>1883.8802349925202</v>
      </c>
      <c r="S215" s="34">
        <f t="shared" ca="1" si="140"/>
        <v>0</v>
      </c>
      <c r="T215" s="34">
        <f t="shared" ca="1" si="141"/>
        <v>1883.8802349925202</v>
      </c>
      <c r="U215" s="15"/>
      <c r="V215" s="35">
        <f t="shared" si="142"/>
        <v>0.7</v>
      </c>
      <c r="W215" s="34">
        <f t="shared" ca="1" si="143"/>
        <v>149.85410960167775</v>
      </c>
      <c r="X215" s="35">
        <f t="shared" si="144"/>
        <v>0.222</v>
      </c>
      <c r="Y215" s="34">
        <f t="shared" ca="1" si="145"/>
        <v>47.525160473674951</v>
      </c>
      <c r="Z215" s="35">
        <f t="shared" si="146"/>
        <v>0.34799999999999998</v>
      </c>
      <c r="AA215" s="34">
        <f t="shared" ca="1" si="147"/>
        <v>74.498900201976937</v>
      </c>
      <c r="AB215" s="34">
        <f t="shared" ca="1" si="148"/>
        <v>271.87817027732967</v>
      </c>
      <c r="AC215" s="15"/>
      <c r="AD215" s="34">
        <f t="shared" ca="1" si="149"/>
        <v>1612.0020647151905</v>
      </c>
      <c r="AE215" s="34">
        <f ca="1"/>
        <v>0</v>
      </c>
      <c r="AF215" s="34">
        <f t="shared" ca="1" si="150"/>
        <v>1612.0020647151905</v>
      </c>
      <c r="AG215" s="15"/>
      <c r="AH215" s="272">
        <f t="shared" si="155"/>
        <v>54788</v>
      </c>
      <c r="AI215" s="267">
        <f t="shared" si="126"/>
        <v>35.666666666666664</v>
      </c>
      <c r="AJ215" s="267">
        <f t="shared" si="127"/>
        <v>3.3393419711975486E-2</v>
      </c>
      <c r="AK215" s="34">
        <f t="shared" ca="1" si="156"/>
        <v>53.830261523605422</v>
      </c>
      <c r="AL215" s="233"/>
      <c r="AN215" s="232"/>
      <c r="AO215" s="237">
        <f t="shared" si="170"/>
        <v>36</v>
      </c>
      <c r="AP215" s="34">
        <f t="shared" ca="1" si="170"/>
        <v>0</v>
      </c>
      <c r="AQ215" s="34">
        <f t="shared" ca="1" si="170"/>
        <v>0.27120229722557199</v>
      </c>
      <c r="AR215" s="34">
        <f t="shared" ca="1" si="170"/>
        <v>0</v>
      </c>
      <c r="AS215" s="34">
        <f t="shared" ca="1" si="170"/>
        <v>1.6272137833534319</v>
      </c>
      <c r="AT215" s="15"/>
      <c r="AW215" s="34">
        <f t="shared" ca="1" si="129"/>
        <v>0</v>
      </c>
      <c r="AX215" s="34">
        <f t="shared" ca="1" si="130"/>
        <v>0.22374189521109689</v>
      </c>
      <c r="AY215" s="34">
        <f t="shared" ca="1" si="131"/>
        <v>0</v>
      </c>
      <c r="AZ215" s="34">
        <f t="shared" ca="1" si="132"/>
        <v>1.3424513712665813</v>
      </c>
      <c r="BB215" s="34">
        <f t="shared" ca="1" si="166"/>
        <v>0</v>
      </c>
      <c r="BC215" s="34">
        <f t="shared" ca="1" si="166"/>
        <v>0</v>
      </c>
      <c r="BD215" s="34">
        <f t="shared" ca="1" si="166"/>
        <v>0</v>
      </c>
      <c r="BE215" s="34">
        <f t="shared" ca="1" si="166"/>
        <v>20.256467879193956</v>
      </c>
      <c r="BF215" s="34">
        <f t="shared" ca="1" si="166"/>
        <v>96.167069729506665</v>
      </c>
      <c r="BG215" s="34">
        <f t="shared" ca="1" si="166"/>
        <v>106.85229969945183</v>
      </c>
      <c r="BH215" s="34">
        <f t="shared" ca="1" si="166"/>
        <v>118.72477744383538</v>
      </c>
      <c r="BI215" s="34">
        <f t="shared" ca="1" si="166"/>
        <v>11.226929309109728</v>
      </c>
      <c r="BJ215" s="34">
        <f t="shared" ca="1" si="166"/>
        <v>0</v>
      </c>
      <c r="BK215" s="34">
        <f t="shared" ca="1" si="166"/>
        <v>0</v>
      </c>
      <c r="BL215" s="34">
        <f t="shared" ca="1" si="167"/>
        <v>0</v>
      </c>
      <c r="BM215" s="34">
        <f t="shared" ca="1" si="167"/>
        <v>0</v>
      </c>
      <c r="BN215" s="34">
        <f t="shared" ca="1" si="167"/>
        <v>0</v>
      </c>
      <c r="BO215" s="34">
        <f t="shared" ca="1" si="167"/>
        <v>0</v>
      </c>
      <c r="BP215" s="34">
        <f t="shared" ca="1" si="167"/>
        <v>0</v>
      </c>
      <c r="BQ215" s="34">
        <f t="shared" ca="1" si="167"/>
        <v>0</v>
      </c>
      <c r="BR215" s="34">
        <f t="shared" ca="1" si="167"/>
        <v>0</v>
      </c>
      <c r="BS215" s="34">
        <f t="shared" ca="1" si="167"/>
        <v>0</v>
      </c>
      <c r="BT215" s="34">
        <f t="shared" ca="1" si="167"/>
        <v>0</v>
      </c>
      <c r="BU215" s="34">
        <f t="shared" ca="1" si="167"/>
        <v>0</v>
      </c>
      <c r="BV215" s="34">
        <f t="shared" ca="1" si="168"/>
        <v>0</v>
      </c>
      <c r="BW215" s="34">
        <f t="shared" ca="1" si="168"/>
        <v>0</v>
      </c>
      <c r="BX215" s="34">
        <f t="shared" ca="1" si="168"/>
        <v>0</v>
      </c>
      <c r="BY215" s="34">
        <f t="shared" ca="1" si="168"/>
        <v>0</v>
      </c>
      <c r="BZ215" s="34">
        <f t="shared" ca="1" si="168"/>
        <v>0</v>
      </c>
      <c r="CA215" s="34">
        <f t="shared" ca="1" si="168"/>
        <v>0</v>
      </c>
      <c r="CB215" s="34">
        <f t="shared" ca="1" si="168"/>
        <v>0</v>
      </c>
      <c r="CC215" s="34">
        <f t="shared" ca="1" si="168"/>
        <v>0</v>
      </c>
      <c r="CD215" s="34">
        <f t="shared" ca="1" si="168"/>
        <v>0</v>
      </c>
      <c r="CE215" s="34">
        <f t="shared" ca="1" si="168"/>
        <v>0</v>
      </c>
      <c r="CF215" s="34">
        <f t="shared" ca="1" si="169"/>
        <v>0</v>
      </c>
      <c r="CG215" s="34">
        <f t="shared" ca="1" si="169"/>
        <v>0</v>
      </c>
      <c r="CH215" s="34">
        <f t="shared" ca="1" si="169"/>
        <v>0</v>
      </c>
      <c r="CI215" s="34">
        <f t="shared" ca="1" si="169"/>
        <v>0</v>
      </c>
      <c r="CJ215" s="34">
        <f t="shared" ca="1" si="169"/>
        <v>0</v>
      </c>
      <c r="CK215" s="34">
        <f t="shared" ca="1" si="169"/>
        <v>0</v>
      </c>
      <c r="CL215" s="34">
        <f t="shared" ca="1" si="169"/>
        <v>0</v>
      </c>
      <c r="CM215" s="34">
        <f t="shared" ca="1" si="169"/>
        <v>0</v>
      </c>
      <c r="CN215" s="34">
        <f t="shared" ca="1" si="169"/>
        <v>0</v>
      </c>
      <c r="CO215" s="34">
        <f t="shared" ca="1" si="169"/>
        <v>0</v>
      </c>
      <c r="CP215" s="34">
        <f t="shared" ca="1" si="169"/>
        <v>0</v>
      </c>
      <c r="CQ215" s="34">
        <f t="shared" ca="1" si="152"/>
        <v>353.22754406109755</v>
      </c>
      <c r="CR215" s="363">
        <v>0</v>
      </c>
      <c r="CS215" s="34">
        <f t="shared" ca="1" si="153"/>
        <v>353.22754406109755</v>
      </c>
      <c r="CT215" s="233"/>
    </row>
    <row r="216" spans="2:98" x14ac:dyDescent="0.3">
      <c r="B216" s="232"/>
      <c r="C216" s="250">
        <f t="shared" si="154"/>
        <v>2050</v>
      </c>
      <c r="D216" s="263">
        <f t="shared" ca="1" si="137"/>
        <v>0</v>
      </c>
      <c r="E216" s="263">
        <f t="shared" ca="1" si="121"/>
        <v>26.492065804582321</v>
      </c>
      <c r="F216" s="263">
        <f t="shared" ca="1" si="122"/>
        <v>0</v>
      </c>
      <c r="G216" s="263">
        <f t="shared" ca="1" si="138"/>
        <v>158.95239482749392</v>
      </c>
      <c r="H216" s="15"/>
      <c r="I216" s="271">
        <f ca="1">Assumptions!O$68</f>
        <v>4.5</v>
      </c>
      <c r="J216" s="271">
        <f ca="1">Assumptions!P$68</f>
        <v>80</v>
      </c>
      <c r="K216" s="271">
        <f t="shared" ca="1" si="123"/>
        <v>40</v>
      </c>
      <c r="L216" s="15"/>
      <c r="M216" s="35">
        <f t="shared" ca="1" si="139"/>
        <v>4.2299999999999995</v>
      </c>
      <c r="N216" s="35">
        <f t="shared" ca="1" si="124"/>
        <v>64</v>
      </c>
      <c r="O216" s="35">
        <f t="shared" ca="1" si="125"/>
        <v>32</v>
      </c>
      <c r="P216" s="15"/>
      <c r="Q216" s="34">
        <f t="shared" ca="1" si="140"/>
        <v>0</v>
      </c>
      <c r="R216" s="34">
        <f t="shared" ca="1" si="140"/>
        <v>1695.4922114932685</v>
      </c>
      <c r="S216" s="34">
        <f t="shared" ca="1" si="140"/>
        <v>0</v>
      </c>
      <c r="T216" s="34">
        <f t="shared" ca="1" si="141"/>
        <v>1695.4922114932685</v>
      </c>
      <c r="U216" s="15"/>
      <c r="V216" s="35">
        <f t="shared" si="142"/>
        <v>0.7</v>
      </c>
      <c r="W216" s="34">
        <f t="shared" ca="1" si="143"/>
        <v>134.86869864150998</v>
      </c>
      <c r="X216" s="35">
        <f t="shared" si="144"/>
        <v>0.222</v>
      </c>
      <c r="Y216" s="34">
        <f t="shared" ca="1" si="145"/>
        <v>42.772644426307458</v>
      </c>
      <c r="Z216" s="35">
        <f t="shared" si="146"/>
        <v>0.34799999999999998</v>
      </c>
      <c r="AA216" s="34">
        <f t="shared" ca="1" si="147"/>
        <v>67.049010181779252</v>
      </c>
      <c r="AB216" s="34">
        <f t="shared" ca="1" si="148"/>
        <v>244.69035324959668</v>
      </c>
      <c r="AC216" s="15"/>
      <c r="AD216" s="34">
        <f t="shared" ca="1" si="149"/>
        <v>1450.8018582436719</v>
      </c>
      <c r="AE216" s="34">
        <f ca="1"/>
        <v>0</v>
      </c>
      <c r="AF216" s="34">
        <f t="shared" ca="1" si="150"/>
        <v>1450.8018582436719</v>
      </c>
      <c r="AG216" s="15"/>
      <c r="AH216" s="272">
        <f t="shared" si="155"/>
        <v>55153</v>
      </c>
      <c r="AI216" s="267">
        <f t="shared" si="126"/>
        <v>36.666666666666664</v>
      </c>
      <c r="AJ216" s="267">
        <f t="shared" si="127"/>
        <v>3.0357654283614078E-2</v>
      </c>
      <c r="AK216" s="34">
        <f t="shared" ca="1" si="156"/>
        <v>44.042941246586267</v>
      </c>
      <c r="AL216" s="233"/>
      <c r="AN216" s="232"/>
      <c r="AO216" s="237">
        <f t="shared" si="170"/>
        <v>37</v>
      </c>
      <c r="AP216" s="34">
        <f t="shared" ca="1" si="170"/>
        <v>0</v>
      </c>
      <c r="AQ216" s="34">
        <f t="shared" ca="1" si="170"/>
        <v>0.24408206750301478</v>
      </c>
      <c r="AR216" s="34">
        <f t="shared" ca="1" si="170"/>
        <v>0</v>
      </c>
      <c r="AS216" s="34">
        <f t="shared" ca="1" si="170"/>
        <v>1.4644924050180887</v>
      </c>
      <c r="AT216" s="15"/>
      <c r="AW216" s="34">
        <f t="shared" ca="1" si="129"/>
        <v>0</v>
      </c>
      <c r="AX216" s="34">
        <f t="shared" ca="1" si="130"/>
        <v>0.20136770568998719</v>
      </c>
      <c r="AY216" s="34">
        <f t="shared" ca="1" si="131"/>
        <v>0</v>
      </c>
      <c r="AZ216" s="34">
        <f t="shared" ca="1" si="132"/>
        <v>1.2082062341399231</v>
      </c>
      <c r="BB216" s="34">
        <f t="shared" ca="1" si="166"/>
        <v>0</v>
      </c>
      <c r="BC216" s="34">
        <f t="shared" ca="1" si="166"/>
        <v>0</v>
      </c>
      <c r="BD216" s="34">
        <f t="shared" ca="1" si="166"/>
        <v>0</v>
      </c>
      <c r="BE216" s="34">
        <f t="shared" ca="1" si="166"/>
        <v>18.23082109127456</v>
      </c>
      <c r="BF216" s="34">
        <f t="shared" ca="1" si="166"/>
        <v>86.550362756555998</v>
      </c>
      <c r="BG216" s="34">
        <f t="shared" ca="1" si="166"/>
        <v>96.167069729506665</v>
      </c>
      <c r="BH216" s="34">
        <f t="shared" ca="1" si="166"/>
        <v>106.85229969945183</v>
      </c>
      <c r="BI216" s="34">
        <f t="shared" ca="1" si="166"/>
        <v>10.104236378198756</v>
      </c>
      <c r="BJ216" s="34">
        <f t="shared" ca="1" si="166"/>
        <v>0</v>
      </c>
      <c r="BK216" s="34">
        <f t="shared" ca="1" si="166"/>
        <v>0</v>
      </c>
      <c r="BL216" s="34">
        <f t="shared" ca="1" si="167"/>
        <v>0</v>
      </c>
      <c r="BM216" s="34">
        <f t="shared" ca="1" si="167"/>
        <v>0</v>
      </c>
      <c r="BN216" s="34">
        <f t="shared" ca="1" si="167"/>
        <v>0</v>
      </c>
      <c r="BO216" s="34">
        <f t="shared" ca="1" si="167"/>
        <v>0</v>
      </c>
      <c r="BP216" s="34">
        <f t="shared" ca="1" si="167"/>
        <v>0</v>
      </c>
      <c r="BQ216" s="34">
        <f t="shared" ca="1" si="167"/>
        <v>0</v>
      </c>
      <c r="BR216" s="34">
        <f t="shared" ca="1" si="167"/>
        <v>0</v>
      </c>
      <c r="BS216" s="34">
        <f t="shared" ca="1" si="167"/>
        <v>0</v>
      </c>
      <c r="BT216" s="34">
        <f t="shared" ca="1" si="167"/>
        <v>0</v>
      </c>
      <c r="BU216" s="34">
        <f t="shared" ca="1" si="167"/>
        <v>0</v>
      </c>
      <c r="BV216" s="34">
        <f t="shared" ca="1" si="168"/>
        <v>0</v>
      </c>
      <c r="BW216" s="34">
        <f t="shared" ca="1" si="168"/>
        <v>0</v>
      </c>
      <c r="BX216" s="34">
        <f t="shared" ca="1" si="168"/>
        <v>0</v>
      </c>
      <c r="BY216" s="34">
        <f t="shared" ca="1" si="168"/>
        <v>0</v>
      </c>
      <c r="BZ216" s="34">
        <f t="shared" ca="1" si="168"/>
        <v>0</v>
      </c>
      <c r="CA216" s="34">
        <f t="shared" ca="1" si="168"/>
        <v>0</v>
      </c>
      <c r="CB216" s="34">
        <f t="shared" ca="1" si="168"/>
        <v>0</v>
      </c>
      <c r="CC216" s="34">
        <f t="shared" ca="1" si="168"/>
        <v>0</v>
      </c>
      <c r="CD216" s="34">
        <f t="shared" ca="1" si="168"/>
        <v>0</v>
      </c>
      <c r="CE216" s="34">
        <f t="shared" ca="1" si="168"/>
        <v>0</v>
      </c>
      <c r="CF216" s="34">
        <f t="shared" ca="1" si="169"/>
        <v>0</v>
      </c>
      <c r="CG216" s="34">
        <f t="shared" ca="1" si="169"/>
        <v>0</v>
      </c>
      <c r="CH216" s="34">
        <f t="shared" ca="1" si="169"/>
        <v>0</v>
      </c>
      <c r="CI216" s="34">
        <f t="shared" ca="1" si="169"/>
        <v>0</v>
      </c>
      <c r="CJ216" s="34">
        <f t="shared" ca="1" si="169"/>
        <v>0</v>
      </c>
      <c r="CK216" s="34">
        <f t="shared" ca="1" si="169"/>
        <v>0</v>
      </c>
      <c r="CL216" s="34">
        <f t="shared" ca="1" si="169"/>
        <v>0</v>
      </c>
      <c r="CM216" s="34">
        <f t="shared" ca="1" si="169"/>
        <v>0</v>
      </c>
      <c r="CN216" s="34">
        <f t="shared" ca="1" si="169"/>
        <v>0</v>
      </c>
      <c r="CO216" s="34">
        <f t="shared" ca="1" si="169"/>
        <v>0</v>
      </c>
      <c r="CP216" s="34">
        <f t="shared" ca="1" si="169"/>
        <v>0</v>
      </c>
      <c r="CQ216" s="34">
        <f t="shared" ca="1" si="152"/>
        <v>317.90478965498784</v>
      </c>
      <c r="CR216" s="363">
        <v>0</v>
      </c>
      <c r="CS216" s="34">
        <f t="shared" ca="1" si="153"/>
        <v>317.90478965498784</v>
      </c>
      <c r="CT216" s="233"/>
    </row>
    <row r="217" spans="2:98" x14ac:dyDescent="0.3">
      <c r="B217" s="232"/>
      <c r="C217" s="250">
        <f t="shared" si="154"/>
        <v>2051</v>
      </c>
      <c r="D217" s="263">
        <f t="shared" ca="1" si="137"/>
        <v>0</v>
      </c>
      <c r="E217" s="263">
        <f t="shared" ca="1" si="121"/>
        <v>23.842859224124084</v>
      </c>
      <c r="F217" s="263">
        <f t="shared" ca="1" si="122"/>
        <v>0</v>
      </c>
      <c r="G217" s="263">
        <f t="shared" ca="1" si="138"/>
        <v>143.0571553447445</v>
      </c>
      <c r="H217" s="15"/>
      <c r="I217" s="271">
        <f ca="1">Assumptions!O$68</f>
        <v>4.5</v>
      </c>
      <c r="J217" s="271">
        <f ca="1">Assumptions!P$68</f>
        <v>80</v>
      </c>
      <c r="K217" s="271">
        <f t="shared" ca="1" si="123"/>
        <v>40</v>
      </c>
      <c r="L217" s="15"/>
      <c r="M217" s="35">
        <f t="shared" ca="1" si="139"/>
        <v>4.2299999999999995</v>
      </c>
      <c r="N217" s="35">
        <f t="shared" ca="1" si="124"/>
        <v>64</v>
      </c>
      <c r="O217" s="35">
        <f t="shared" ca="1" si="125"/>
        <v>32</v>
      </c>
      <c r="P217" s="15"/>
      <c r="Q217" s="34">
        <f t="shared" ca="1" si="140"/>
        <v>0</v>
      </c>
      <c r="R217" s="34">
        <f t="shared" ca="1" si="140"/>
        <v>1525.9429903439413</v>
      </c>
      <c r="S217" s="34">
        <f t="shared" ca="1" si="140"/>
        <v>0</v>
      </c>
      <c r="T217" s="34">
        <f t="shared" ca="1" si="141"/>
        <v>1525.9429903439413</v>
      </c>
      <c r="U217" s="15"/>
      <c r="V217" s="35">
        <f t="shared" si="142"/>
        <v>0.7</v>
      </c>
      <c r="W217" s="34">
        <f t="shared" ca="1" si="143"/>
        <v>121.38182877735896</v>
      </c>
      <c r="X217" s="35">
        <f t="shared" si="144"/>
        <v>0.222</v>
      </c>
      <c r="Y217" s="34">
        <f t="shared" ca="1" si="145"/>
        <v>38.495379983676706</v>
      </c>
      <c r="Z217" s="35">
        <f t="shared" si="146"/>
        <v>0.34799999999999998</v>
      </c>
      <c r="AA217" s="34">
        <f t="shared" ca="1" si="147"/>
        <v>60.344109163601317</v>
      </c>
      <c r="AB217" s="34">
        <f t="shared" ca="1" si="148"/>
        <v>220.22131792463699</v>
      </c>
      <c r="AC217" s="15"/>
      <c r="AD217" s="34">
        <f t="shared" ca="1" si="149"/>
        <v>1305.7216724193045</v>
      </c>
      <c r="AE217" s="34">
        <f ca="1"/>
        <v>0</v>
      </c>
      <c r="AF217" s="34">
        <f t="shared" ca="1" si="150"/>
        <v>1305.7216724193045</v>
      </c>
      <c r="AG217" s="15"/>
      <c r="AH217" s="272">
        <f t="shared" si="155"/>
        <v>55518</v>
      </c>
      <c r="AI217" s="267">
        <f t="shared" si="126"/>
        <v>37.666666666666664</v>
      </c>
      <c r="AJ217" s="267">
        <f t="shared" si="127"/>
        <v>2.7597867530558259E-2</v>
      </c>
      <c r="AK217" s="34">
        <f t="shared" ca="1" si="156"/>
        <v>36.035133747206949</v>
      </c>
      <c r="AL217" s="233"/>
      <c r="AN217" s="232"/>
      <c r="AO217" s="250">
        <f t="shared" si="170"/>
        <v>38</v>
      </c>
      <c r="AP217" s="34">
        <f t="shared" ca="1" si="170"/>
        <v>0</v>
      </c>
      <c r="AQ217" s="34">
        <f t="shared" ca="1" si="170"/>
        <v>0.21967386075271333</v>
      </c>
      <c r="AR217" s="34">
        <f t="shared" ca="1" si="170"/>
        <v>0</v>
      </c>
      <c r="AS217" s="34">
        <f t="shared" ca="1" si="170"/>
        <v>1.31804316451628</v>
      </c>
      <c r="AT217" s="15"/>
      <c r="AW217" s="34">
        <f t="shared" ca="1" si="129"/>
        <v>0</v>
      </c>
      <c r="AX217" s="34">
        <f t="shared" ca="1" si="130"/>
        <v>0.18123093512098848</v>
      </c>
      <c r="AY217" s="34">
        <f t="shared" ca="1" si="131"/>
        <v>0</v>
      </c>
      <c r="AZ217" s="34">
        <f t="shared" ca="1" si="132"/>
        <v>1.087385610725931</v>
      </c>
      <c r="BB217" s="34">
        <f t="shared" ca="1" si="166"/>
        <v>0</v>
      </c>
      <c r="BC217" s="34">
        <f t="shared" ca="1" si="166"/>
        <v>0</v>
      </c>
      <c r="BD217" s="34">
        <f t="shared" ca="1" si="166"/>
        <v>0</v>
      </c>
      <c r="BE217" s="34">
        <f t="shared" ca="1" si="166"/>
        <v>16.407738982147102</v>
      </c>
      <c r="BF217" s="34">
        <f t="shared" ca="1" si="166"/>
        <v>77.895326480900394</v>
      </c>
      <c r="BG217" s="34">
        <f t="shared" ca="1" si="166"/>
        <v>86.550362756555998</v>
      </c>
      <c r="BH217" s="34">
        <f t="shared" ca="1" si="166"/>
        <v>96.167069729506665</v>
      </c>
      <c r="BI217" s="34">
        <f t="shared" ca="1" si="166"/>
        <v>9.0938127403788798</v>
      </c>
      <c r="BJ217" s="34">
        <f t="shared" ca="1" si="166"/>
        <v>0</v>
      </c>
      <c r="BK217" s="34">
        <f t="shared" ca="1" si="166"/>
        <v>0</v>
      </c>
      <c r="BL217" s="34">
        <f t="shared" ca="1" si="167"/>
        <v>0</v>
      </c>
      <c r="BM217" s="34">
        <f t="shared" ca="1" si="167"/>
        <v>0</v>
      </c>
      <c r="BN217" s="34">
        <f t="shared" ca="1" si="167"/>
        <v>0</v>
      </c>
      <c r="BO217" s="34">
        <f t="shared" ca="1" si="167"/>
        <v>0</v>
      </c>
      <c r="BP217" s="34">
        <f t="shared" ca="1" si="167"/>
        <v>0</v>
      </c>
      <c r="BQ217" s="34">
        <f t="shared" ca="1" si="167"/>
        <v>0</v>
      </c>
      <c r="BR217" s="34">
        <f t="shared" ca="1" si="167"/>
        <v>0</v>
      </c>
      <c r="BS217" s="34">
        <f t="shared" ca="1" si="167"/>
        <v>0</v>
      </c>
      <c r="BT217" s="34">
        <f t="shared" ca="1" si="167"/>
        <v>0</v>
      </c>
      <c r="BU217" s="34">
        <f t="shared" ca="1" si="167"/>
        <v>0</v>
      </c>
      <c r="BV217" s="34">
        <f t="shared" ca="1" si="168"/>
        <v>0</v>
      </c>
      <c r="BW217" s="34">
        <f t="shared" ca="1" si="168"/>
        <v>0</v>
      </c>
      <c r="BX217" s="34">
        <f t="shared" ca="1" si="168"/>
        <v>0</v>
      </c>
      <c r="BY217" s="34">
        <f t="shared" ca="1" si="168"/>
        <v>0</v>
      </c>
      <c r="BZ217" s="34">
        <f t="shared" ca="1" si="168"/>
        <v>0</v>
      </c>
      <c r="CA217" s="34">
        <f t="shared" ca="1" si="168"/>
        <v>0</v>
      </c>
      <c r="CB217" s="34">
        <f t="shared" ca="1" si="168"/>
        <v>0</v>
      </c>
      <c r="CC217" s="34">
        <f t="shared" ca="1" si="168"/>
        <v>0</v>
      </c>
      <c r="CD217" s="34">
        <f t="shared" ca="1" si="168"/>
        <v>0</v>
      </c>
      <c r="CE217" s="34">
        <f t="shared" ca="1" si="168"/>
        <v>0</v>
      </c>
      <c r="CF217" s="34">
        <f t="shared" ca="1" si="169"/>
        <v>0</v>
      </c>
      <c r="CG217" s="34">
        <f t="shared" ca="1" si="169"/>
        <v>0</v>
      </c>
      <c r="CH217" s="34">
        <f t="shared" ca="1" si="169"/>
        <v>0</v>
      </c>
      <c r="CI217" s="34">
        <f t="shared" ca="1" si="169"/>
        <v>0</v>
      </c>
      <c r="CJ217" s="34">
        <f t="shared" ca="1" si="169"/>
        <v>0</v>
      </c>
      <c r="CK217" s="34">
        <f t="shared" ca="1" si="169"/>
        <v>0</v>
      </c>
      <c r="CL217" s="34">
        <f t="shared" ca="1" si="169"/>
        <v>0</v>
      </c>
      <c r="CM217" s="34">
        <f t="shared" ca="1" si="169"/>
        <v>0</v>
      </c>
      <c r="CN217" s="34">
        <f t="shared" ca="1" si="169"/>
        <v>0</v>
      </c>
      <c r="CO217" s="34">
        <f t="shared" ca="1" si="169"/>
        <v>0</v>
      </c>
      <c r="CP217" s="34">
        <f t="shared" ca="1" si="169"/>
        <v>0</v>
      </c>
      <c r="CQ217" s="34">
        <f t="shared" ca="1" si="152"/>
        <v>286.114310689489</v>
      </c>
      <c r="CR217" s="363">
        <v>0</v>
      </c>
      <c r="CS217" s="34">
        <f t="shared" ca="1" si="153"/>
        <v>286.114310689489</v>
      </c>
      <c r="CT217" s="233"/>
    </row>
    <row r="218" spans="2:98" x14ac:dyDescent="0.3">
      <c r="B218" s="232"/>
      <c r="C218" s="250">
        <f t="shared" si="154"/>
        <v>2052</v>
      </c>
      <c r="D218" s="263">
        <f t="shared" ca="1" si="137"/>
        <v>0</v>
      </c>
      <c r="E218" s="263">
        <f t="shared" ca="1" si="121"/>
        <v>21.458573301711677</v>
      </c>
      <c r="F218" s="263">
        <f t="shared" ca="1" si="122"/>
        <v>0</v>
      </c>
      <c r="G218" s="263">
        <f t="shared" ca="1" si="138"/>
        <v>128.75143981027006</v>
      </c>
      <c r="H218" s="15"/>
      <c r="I218" s="271">
        <f ca="1">Assumptions!O$68</f>
        <v>4.5</v>
      </c>
      <c r="J218" s="271">
        <f ca="1">Assumptions!P$68</f>
        <v>80</v>
      </c>
      <c r="K218" s="271">
        <f t="shared" ca="1" si="123"/>
        <v>40</v>
      </c>
      <c r="L218" s="15"/>
      <c r="M218" s="35">
        <f t="shared" ca="1" si="139"/>
        <v>4.2299999999999995</v>
      </c>
      <c r="N218" s="35">
        <f t="shared" ca="1" si="124"/>
        <v>64</v>
      </c>
      <c r="O218" s="35">
        <f t="shared" ca="1" si="125"/>
        <v>32</v>
      </c>
      <c r="P218" s="15"/>
      <c r="Q218" s="34">
        <f t="shared" ca="1" si="140"/>
        <v>0</v>
      </c>
      <c r="R218" s="34">
        <f t="shared" ca="1" si="140"/>
        <v>1373.3486913095473</v>
      </c>
      <c r="S218" s="34">
        <f t="shared" ca="1" si="140"/>
        <v>0</v>
      </c>
      <c r="T218" s="34">
        <f t="shared" ca="1" si="141"/>
        <v>1373.3486913095473</v>
      </c>
      <c r="U218" s="15"/>
      <c r="V218" s="35">
        <f t="shared" si="142"/>
        <v>0.7</v>
      </c>
      <c r="W218" s="34">
        <f ca="1">V218*$G218/(1-$M$6)</f>
        <v>109.24364589962308</v>
      </c>
      <c r="X218" s="35">
        <f t="shared" si="144"/>
        <v>0.222</v>
      </c>
      <c r="Y218" s="34">
        <f t="shared" ca="1" si="145"/>
        <v>34.64584198530904</v>
      </c>
      <c r="Z218" s="35">
        <f t="shared" si="146"/>
        <v>0.34799999999999998</v>
      </c>
      <c r="AA218" s="34">
        <f t="shared" ca="1" si="147"/>
        <v>54.309698247241187</v>
      </c>
      <c r="AB218" s="34">
        <f t="shared" ca="1" si="148"/>
        <v>198.19918613217331</v>
      </c>
      <c r="AC218" s="15"/>
      <c r="AD218" s="34">
        <f t="shared" ca="1" si="149"/>
        <v>1175.1495051773741</v>
      </c>
      <c r="AE218" s="34">
        <f ca="1"/>
        <v>0</v>
      </c>
      <c r="AF218" s="34">
        <f t="shared" ca="1" si="150"/>
        <v>1175.1495051773741</v>
      </c>
      <c r="AG218" s="15"/>
      <c r="AH218" s="272">
        <f t="shared" si="155"/>
        <v>55884</v>
      </c>
      <c r="AI218" s="267">
        <f t="shared" si="126"/>
        <v>38.666666666666664</v>
      </c>
      <c r="AJ218" s="267">
        <f t="shared" si="127"/>
        <v>2.5088970482325681E-2</v>
      </c>
      <c r="AK218" s="34">
        <f t="shared" ca="1" si="156"/>
        <v>29.483291247714767</v>
      </c>
      <c r="AL218" s="233"/>
      <c r="AN218" s="232"/>
      <c r="AO218" s="250">
        <f t="shared" si="170"/>
        <v>39</v>
      </c>
      <c r="AP218" s="34">
        <f t="shared" ca="1" si="170"/>
        <v>0</v>
      </c>
      <c r="AQ218" s="34">
        <f t="shared" ca="1" si="170"/>
        <v>0.19770647467744198</v>
      </c>
      <c r="AR218" s="34">
        <f t="shared" ca="1" si="170"/>
        <v>0</v>
      </c>
      <c r="AS218" s="34">
        <f t="shared" ca="1" si="170"/>
        <v>1.186238848064652</v>
      </c>
      <c r="AT218" s="15"/>
      <c r="AW218" s="34">
        <f t="shared" ca="1" si="129"/>
        <v>0</v>
      </c>
      <c r="AX218" s="34">
        <f t="shared" ca="1" si="130"/>
        <v>0.16310784160888964</v>
      </c>
      <c r="AY218" s="34">
        <f t="shared" ca="1" si="131"/>
        <v>0</v>
      </c>
      <c r="AZ218" s="34">
        <f t="shared" ca="1" si="132"/>
        <v>0.97864704965333782</v>
      </c>
      <c r="BB218" s="34">
        <f t="shared" ca="1" si="166"/>
        <v>0</v>
      </c>
      <c r="BC218" s="34">
        <f t="shared" ca="1" si="166"/>
        <v>0</v>
      </c>
      <c r="BD218" s="34">
        <f t="shared" ca="1" si="166"/>
        <v>0</v>
      </c>
      <c r="BE218" s="34">
        <f t="shared" ca="1" si="166"/>
        <v>14.766965083932394</v>
      </c>
      <c r="BF218" s="34">
        <f t="shared" ca="1" si="166"/>
        <v>70.105793832810349</v>
      </c>
      <c r="BG218" s="34">
        <f t="shared" ca="1" si="166"/>
        <v>77.895326480900394</v>
      </c>
      <c r="BH218" s="34">
        <f t="shared" ca="1" si="166"/>
        <v>86.550362756555998</v>
      </c>
      <c r="BI218" s="34">
        <f t="shared" ca="1" si="166"/>
        <v>8.1844314663409925</v>
      </c>
      <c r="BJ218" s="34">
        <f t="shared" ca="1" si="166"/>
        <v>0</v>
      </c>
      <c r="BK218" s="34">
        <f t="shared" ca="1" si="166"/>
        <v>0</v>
      </c>
      <c r="BL218" s="34">
        <f t="shared" ca="1" si="167"/>
        <v>0</v>
      </c>
      <c r="BM218" s="34">
        <f t="shared" ca="1" si="167"/>
        <v>0</v>
      </c>
      <c r="BN218" s="34">
        <f t="shared" ca="1" si="167"/>
        <v>0</v>
      </c>
      <c r="BO218" s="34">
        <f t="shared" ca="1" si="167"/>
        <v>0</v>
      </c>
      <c r="BP218" s="34">
        <f t="shared" ca="1" si="167"/>
        <v>0</v>
      </c>
      <c r="BQ218" s="34">
        <f t="shared" ca="1" si="167"/>
        <v>0</v>
      </c>
      <c r="BR218" s="34">
        <f t="shared" ca="1" si="167"/>
        <v>0</v>
      </c>
      <c r="BS218" s="34">
        <f t="shared" ca="1" si="167"/>
        <v>0</v>
      </c>
      <c r="BT218" s="34">
        <f t="shared" ca="1" si="167"/>
        <v>0</v>
      </c>
      <c r="BU218" s="34">
        <f t="shared" ca="1" si="167"/>
        <v>0</v>
      </c>
      <c r="BV218" s="34">
        <f t="shared" ca="1" si="168"/>
        <v>0</v>
      </c>
      <c r="BW218" s="34">
        <f t="shared" ca="1" si="168"/>
        <v>0</v>
      </c>
      <c r="BX218" s="34">
        <f t="shared" ca="1" si="168"/>
        <v>0</v>
      </c>
      <c r="BY218" s="34">
        <f t="shared" ca="1" si="168"/>
        <v>0</v>
      </c>
      <c r="BZ218" s="34">
        <f t="shared" ca="1" si="168"/>
        <v>0</v>
      </c>
      <c r="CA218" s="34">
        <f t="shared" ca="1" si="168"/>
        <v>0</v>
      </c>
      <c r="CB218" s="34">
        <f t="shared" ca="1" si="168"/>
        <v>0</v>
      </c>
      <c r="CC218" s="34">
        <f t="shared" ca="1" si="168"/>
        <v>0</v>
      </c>
      <c r="CD218" s="34">
        <f t="shared" ca="1" si="168"/>
        <v>0</v>
      </c>
      <c r="CE218" s="34">
        <f t="shared" ca="1" si="168"/>
        <v>0</v>
      </c>
      <c r="CF218" s="34">
        <f t="shared" ca="1" si="169"/>
        <v>0</v>
      </c>
      <c r="CG218" s="34">
        <f t="shared" ca="1" si="169"/>
        <v>0</v>
      </c>
      <c r="CH218" s="34">
        <f t="shared" ca="1" si="169"/>
        <v>0</v>
      </c>
      <c r="CI218" s="34">
        <f t="shared" ca="1" si="169"/>
        <v>0</v>
      </c>
      <c r="CJ218" s="34">
        <f t="shared" ca="1" si="169"/>
        <v>0</v>
      </c>
      <c r="CK218" s="34">
        <f t="shared" ca="1" si="169"/>
        <v>0</v>
      </c>
      <c r="CL218" s="34">
        <f t="shared" ca="1" si="169"/>
        <v>0</v>
      </c>
      <c r="CM218" s="34">
        <f t="shared" ca="1" si="169"/>
        <v>0</v>
      </c>
      <c r="CN218" s="34">
        <f t="shared" ca="1" si="169"/>
        <v>0</v>
      </c>
      <c r="CO218" s="34">
        <f t="shared" ca="1" si="169"/>
        <v>0</v>
      </c>
      <c r="CP218" s="34">
        <f t="shared" ca="1" si="169"/>
        <v>0</v>
      </c>
      <c r="CQ218" s="34">
        <f t="shared" ca="1" si="152"/>
        <v>257.50287962054011</v>
      </c>
      <c r="CR218" s="363">
        <v>0</v>
      </c>
      <c r="CS218" s="34">
        <f t="shared" ca="1" si="153"/>
        <v>257.50287962054011</v>
      </c>
      <c r="CT218" s="233"/>
    </row>
    <row r="219" spans="2:98" x14ac:dyDescent="0.3">
      <c r="B219" s="232"/>
      <c r="C219" s="250">
        <f t="shared" si="154"/>
        <v>2053</v>
      </c>
      <c r="D219" s="263">
        <f t="shared" ca="1" si="137"/>
        <v>0</v>
      </c>
      <c r="E219" s="263">
        <f t="shared" ca="1" si="121"/>
        <v>19.312715971540509</v>
      </c>
      <c r="F219" s="263">
        <f t="shared" ca="1" si="122"/>
        <v>0</v>
      </c>
      <c r="G219" s="263">
        <f t="shared" ca="1" si="138"/>
        <v>115.87629582924306</v>
      </c>
      <c r="H219" s="15"/>
      <c r="I219" s="271">
        <f ca="1">Assumptions!O$68</f>
        <v>4.5</v>
      </c>
      <c r="J219" s="271">
        <f ca="1">Assumptions!P$68</f>
        <v>80</v>
      </c>
      <c r="K219" s="271">
        <f t="shared" ca="1" si="123"/>
        <v>40</v>
      </c>
      <c r="L219" s="15"/>
      <c r="M219" s="35">
        <f t="shared" ca="1" si="139"/>
        <v>4.2299999999999995</v>
      </c>
      <c r="N219" s="35">
        <f t="shared" ca="1" si="124"/>
        <v>64</v>
      </c>
      <c r="O219" s="35">
        <f t="shared" ca="1" si="125"/>
        <v>32</v>
      </c>
      <c r="P219" s="15"/>
      <c r="Q219" s="34">
        <f t="shared" ca="1" si="140"/>
        <v>0</v>
      </c>
      <c r="R219" s="34">
        <f t="shared" ca="1" si="140"/>
        <v>1236.0138221785926</v>
      </c>
      <c r="S219" s="34">
        <f t="shared" ca="1" si="140"/>
        <v>0</v>
      </c>
      <c r="T219" s="34">
        <f t="shared" ca="1" si="141"/>
        <v>1236.0138221785926</v>
      </c>
      <c r="U219" s="15"/>
      <c r="V219" s="35">
        <f t="shared" si="142"/>
        <v>0.7</v>
      </c>
      <c r="W219" s="34">
        <f t="shared" ref="W219" ca="1" si="171">V219*$G219/(1-$M$6)</f>
        <v>98.319281309660781</v>
      </c>
      <c r="X219" s="35">
        <f t="shared" si="144"/>
        <v>0.222</v>
      </c>
      <c r="Y219" s="34">
        <f t="shared" ca="1" si="145"/>
        <v>31.181257786778133</v>
      </c>
      <c r="Z219" s="35">
        <f t="shared" si="146"/>
        <v>0.34799999999999998</v>
      </c>
      <c r="AA219" s="34">
        <f t="shared" ca="1" si="147"/>
        <v>48.878728422517078</v>
      </c>
      <c r="AB219" s="34">
        <f t="shared" ca="1" si="148"/>
        <v>178.37926751895597</v>
      </c>
      <c r="AC219" s="15"/>
      <c r="AD219" s="34">
        <f t="shared" ca="1" si="149"/>
        <v>1057.6345546596367</v>
      </c>
      <c r="AE219" s="34">
        <f ca="1"/>
        <v>0</v>
      </c>
      <c r="AF219" s="34">
        <f t="shared" ca="1" si="150"/>
        <v>1057.6345546596367</v>
      </c>
      <c r="AG219" s="15"/>
      <c r="AH219" s="272">
        <f t="shared" si="155"/>
        <v>56249</v>
      </c>
      <c r="AI219" s="267">
        <f t="shared" si="126"/>
        <v>39.666666666666664</v>
      </c>
      <c r="AJ219" s="267">
        <f t="shared" si="127"/>
        <v>2.280815498393244E-2</v>
      </c>
      <c r="AK219" s="34">
        <f t="shared" ca="1" si="156"/>
        <v>24.12269283903936</v>
      </c>
      <c r="AL219" s="233"/>
      <c r="AN219" s="232"/>
      <c r="AO219" s="250">
        <f t="shared" si="170"/>
        <v>40</v>
      </c>
      <c r="AP219" s="34">
        <f t="shared" ca="1" si="170"/>
        <v>0</v>
      </c>
      <c r="AQ219" s="34">
        <f t="shared" ca="1" si="170"/>
        <v>0.17793582720969781</v>
      </c>
      <c r="AR219" s="34">
        <f t="shared" ca="1" si="170"/>
        <v>0</v>
      </c>
      <c r="AS219" s="34">
        <f t="shared" ca="1" si="170"/>
        <v>1.0676149632581868</v>
      </c>
      <c r="AT219" s="15"/>
      <c r="AW219" s="34">
        <f t="shared" ca="1" si="129"/>
        <v>0</v>
      </c>
      <c r="AX219" s="34">
        <f t="shared" ca="1" si="130"/>
        <v>0.14679705744800067</v>
      </c>
      <c r="AY219" s="34">
        <f t="shared" ca="1" si="131"/>
        <v>0</v>
      </c>
      <c r="AZ219" s="34">
        <f t="shared" ca="1" si="132"/>
        <v>0.88078234468800409</v>
      </c>
      <c r="BB219" s="34">
        <f t="shared" ca="1" si="166"/>
        <v>0</v>
      </c>
      <c r="BC219" s="34">
        <f t="shared" ca="1" si="166"/>
        <v>0</v>
      </c>
      <c r="BD219" s="34">
        <f t="shared" ca="1" si="166"/>
        <v>0</v>
      </c>
      <c r="BE219" s="34">
        <f t="shared" ca="1" si="166"/>
        <v>13.290268575539155</v>
      </c>
      <c r="BF219" s="34">
        <f t="shared" ca="1" si="166"/>
        <v>63.095214449529323</v>
      </c>
      <c r="BG219" s="34">
        <f t="shared" ca="1" si="166"/>
        <v>70.105793832810349</v>
      </c>
      <c r="BH219" s="34">
        <f t="shared" ca="1" si="166"/>
        <v>77.895326480900394</v>
      </c>
      <c r="BI219" s="34">
        <f t="shared" ca="1" si="166"/>
        <v>7.3659883197068936</v>
      </c>
      <c r="BJ219" s="34">
        <f t="shared" ca="1" si="166"/>
        <v>0</v>
      </c>
      <c r="BK219" s="34">
        <f t="shared" ca="1" si="166"/>
        <v>0</v>
      </c>
      <c r="BL219" s="34">
        <f t="shared" ca="1" si="167"/>
        <v>0</v>
      </c>
      <c r="BM219" s="34">
        <f t="shared" ca="1" si="167"/>
        <v>0</v>
      </c>
      <c r="BN219" s="34">
        <f t="shared" ca="1" si="167"/>
        <v>0</v>
      </c>
      <c r="BO219" s="34">
        <f t="shared" ca="1" si="167"/>
        <v>0</v>
      </c>
      <c r="BP219" s="34">
        <f t="shared" ca="1" si="167"/>
        <v>0</v>
      </c>
      <c r="BQ219" s="34">
        <f t="shared" ca="1" si="167"/>
        <v>0</v>
      </c>
      <c r="BR219" s="34">
        <f t="shared" ca="1" si="167"/>
        <v>0</v>
      </c>
      <c r="BS219" s="34">
        <f t="shared" ca="1" si="167"/>
        <v>0</v>
      </c>
      <c r="BT219" s="34">
        <f t="shared" ca="1" si="167"/>
        <v>0</v>
      </c>
      <c r="BU219" s="34">
        <f t="shared" ca="1" si="167"/>
        <v>0</v>
      </c>
      <c r="BV219" s="34">
        <f t="shared" ca="1" si="168"/>
        <v>0</v>
      </c>
      <c r="BW219" s="34">
        <f t="shared" ca="1" si="168"/>
        <v>0</v>
      </c>
      <c r="BX219" s="34">
        <f t="shared" ca="1" si="168"/>
        <v>0</v>
      </c>
      <c r="BY219" s="34">
        <f t="shared" ca="1" si="168"/>
        <v>0</v>
      </c>
      <c r="BZ219" s="34">
        <f t="shared" ca="1" si="168"/>
        <v>0</v>
      </c>
      <c r="CA219" s="34">
        <f t="shared" ca="1" si="168"/>
        <v>0</v>
      </c>
      <c r="CB219" s="34">
        <f t="shared" ca="1" si="168"/>
        <v>0</v>
      </c>
      <c r="CC219" s="34">
        <f t="shared" ca="1" si="168"/>
        <v>0</v>
      </c>
      <c r="CD219" s="34">
        <f t="shared" ca="1" si="168"/>
        <v>0</v>
      </c>
      <c r="CE219" s="34">
        <f t="shared" ca="1" si="168"/>
        <v>0</v>
      </c>
      <c r="CF219" s="34">
        <f t="shared" ca="1" si="169"/>
        <v>0</v>
      </c>
      <c r="CG219" s="34">
        <f t="shared" ca="1" si="169"/>
        <v>0</v>
      </c>
      <c r="CH219" s="34">
        <f t="shared" ca="1" si="169"/>
        <v>0</v>
      </c>
      <c r="CI219" s="34">
        <f t="shared" ca="1" si="169"/>
        <v>0</v>
      </c>
      <c r="CJ219" s="34">
        <f t="shared" ca="1" si="169"/>
        <v>0</v>
      </c>
      <c r="CK219" s="34">
        <f t="shared" ca="1" si="169"/>
        <v>0</v>
      </c>
      <c r="CL219" s="34">
        <f t="shared" ca="1" si="169"/>
        <v>0</v>
      </c>
      <c r="CM219" s="34">
        <f t="shared" ca="1" si="169"/>
        <v>0</v>
      </c>
      <c r="CN219" s="34">
        <f t="shared" ca="1" si="169"/>
        <v>0</v>
      </c>
      <c r="CO219" s="34">
        <f t="shared" ca="1" si="169"/>
        <v>0</v>
      </c>
      <c r="CP219" s="34">
        <f t="shared" ca="1" si="169"/>
        <v>0</v>
      </c>
      <c r="CQ219" s="34">
        <f t="shared" ca="1" si="152"/>
        <v>231.75259165848612</v>
      </c>
      <c r="CR219" s="363">
        <v>0</v>
      </c>
      <c r="CS219" s="34">
        <f t="shared" ca="1" si="153"/>
        <v>231.75259165848612</v>
      </c>
      <c r="CT219" s="233"/>
    </row>
    <row r="220" spans="2:98" x14ac:dyDescent="0.3">
      <c r="B220" s="232"/>
      <c r="C220" s="274" t="s">
        <v>302</v>
      </c>
      <c r="D220" s="39">
        <f ca="1">SUM(D179:D219)</f>
        <v>0</v>
      </c>
      <c r="E220" s="39">
        <f t="shared" ref="E220:F220" ca="1" si="172">SUM(E179:E219)</f>
        <v>8996.9775437561366</v>
      </c>
      <c r="F220" s="39">
        <f t="shared" ca="1" si="172"/>
        <v>0</v>
      </c>
      <c r="G220" s="39">
        <f ca="1">SUM(G179:G219)</f>
        <v>53981.865262536812</v>
      </c>
      <c r="H220" s="15"/>
      <c r="I220" s="15"/>
      <c r="J220" s="15"/>
      <c r="K220" s="15"/>
      <c r="L220" s="15"/>
      <c r="M220" s="35"/>
      <c r="N220" s="35"/>
      <c r="O220" s="35"/>
      <c r="P220" s="15"/>
      <c r="Q220" s="8">
        <f ca="1">SUM(Q179:Q219)</f>
        <v>0</v>
      </c>
      <c r="R220" s="8">
        <f ca="1">SUM(R179:R219)</f>
        <v>577281.81031039264</v>
      </c>
      <c r="S220" s="8">
        <f ca="1">SUM(S179:S219)</f>
        <v>0</v>
      </c>
      <c r="T220" s="8">
        <f t="shared" ca="1" si="141"/>
        <v>577281.81031039264</v>
      </c>
      <c r="U220" s="15"/>
      <c r="V220" s="275"/>
      <c r="W220" s="276">
        <f ca="1">SUM(W179:W219)</f>
        <v>45802.79476821304</v>
      </c>
      <c r="X220" s="275"/>
      <c r="Y220" s="276">
        <f ca="1">SUM(Y179:Y219)</f>
        <v>14526.029197918993</v>
      </c>
      <c r="Z220" s="275"/>
      <c r="AA220" s="276">
        <f ca="1">SUM(AA179:AA219)</f>
        <v>22770.532256197344</v>
      </c>
      <c r="AB220" s="276">
        <f ca="1">SUM(AB179:AB219)</f>
        <v>83099.35622232937</v>
      </c>
      <c r="AC220" s="15"/>
      <c r="AD220" s="276">
        <f ca="1">SUM(AD179:AD219)</f>
        <v>494182.45408806315</v>
      </c>
      <c r="AE220" s="276">
        <f ca="1">SUM(AE179:AE219)</f>
        <v>104058.78260869563</v>
      </c>
      <c r="AF220" s="276">
        <f ca="1">SUM(AF179:AF219)</f>
        <v>390123.67147936759</v>
      </c>
      <c r="AG220" s="15"/>
      <c r="AH220" s="277"/>
      <c r="AI220" s="278"/>
      <c r="AJ220" s="278"/>
      <c r="AK220" s="279">
        <f ca="1">SUM(AK179:AK219)</f>
        <v>134683.24065983621</v>
      </c>
      <c r="AL220" s="233"/>
      <c r="AN220" s="232"/>
      <c r="AO220" s="274" t="s">
        <v>302</v>
      </c>
      <c r="AP220" s="8">
        <f ca="1">SUM(AP179:AP219)</f>
        <v>0</v>
      </c>
      <c r="AQ220" s="8">
        <f ca="1">SUM(AQ179:AQ219)</f>
        <v>140.91282755511276</v>
      </c>
      <c r="AR220" s="8">
        <f ca="1">SUM(AR179:AR219)</f>
        <v>0</v>
      </c>
      <c r="AS220" s="8">
        <f ca="1">SUM(AS179:AS219)</f>
        <v>845.47696533067642</v>
      </c>
      <c r="AT220" s="15"/>
      <c r="AW220" s="8">
        <f ca="1">SUM(AW179:AW219)</f>
        <v>0</v>
      </c>
      <c r="AX220" s="8">
        <f t="shared" ref="AX220:AZ220" ca="1" si="173">SUM(AX179:AX219)</f>
        <v>116.25308273296797</v>
      </c>
      <c r="AY220" s="8">
        <f t="shared" ca="1" si="173"/>
        <v>0</v>
      </c>
      <c r="AZ220" s="8">
        <f t="shared" ca="1" si="173"/>
        <v>697.51849639780789</v>
      </c>
      <c r="BB220" s="8">
        <f t="shared" ref="BB220:CS220" ca="1" si="174">SUM(BB179:BB219)</f>
        <v>0</v>
      </c>
      <c r="BC220" s="8">
        <f t="shared" ca="1" si="174"/>
        <v>0</v>
      </c>
      <c r="BD220" s="8">
        <f t="shared" ca="1" si="174"/>
        <v>0</v>
      </c>
      <c r="BE220" s="8">
        <f t="shared" ca="1" si="174"/>
        <v>7640.2884953201474</v>
      </c>
      <c r="BF220" s="8">
        <f t="shared" ca="1" si="174"/>
        <v>32588.083332454225</v>
      </c>
      <c r="BG220" s="8">
        <f t="shared" ca="1" si="174"/>
        <v>32524.988118004698</v>
      </c>
      <c r="BH220" s="8">
        <f t="shared" ca="1" si="174"/>
        <v>32454.882324171889</v>
      </c>
      <c r="BI220" s="8">
        <f t="shared" ca="1" si="174"/>
        <v>2755.4882551226378</v>
      </c>
      <c r="BJ220" s="8">
        <f t="shared" ca="1" si="174"/>
        <v>0</v>
      </c>
      <c r="BK220" s="8">
        <f t="shared" ca="1" si="174"/>
        <v>0</v>
      </c>
      <c r="BL220" s="8">
        <f t="shared" ca="1" si="174"/>
        <v>0</v>
      </c>
      <c r="BM220" s="8">
        <f t="shared" ca="1" si="174"/>
        <v>0</v>
      </c>
      <c r="BN220" s="8">
        <f t="shared" ca="1" si="174"/>
        <v>0</v>
      </c>
      <c r="BO220" s="8">
        <f t="shared" ca="1" si="174"/>
        <v>0</v>
      </c>
      <c r="BP220" s="8">
        <f t="shared" ca="1" si="174"/>
        <v>0</v>
      </c>
      <c r="BQ220" s="8">
        <f t="shared" ca="1" si="174"/>
        <v>0</v>
      </c>
      <c r="BR220" s="8">
        <f t="shared" ca="1" si="174"/>
        <v>0</v>
      </c>
      <c r="BS220" s="8">
        <f t="shared" ca="1" si="174"/>
        <v>0</v>
      </c>
      <c r="BT220" s="8">
        <f t="shared" ca="1" si="174"/>
        <v>0</v>
      </c>
      <c r="BU220" s="8">
        <f t="shared" ca="1" si="174"/>
        <v>0</v>
      </c>
      <c r="BV220" s="8">
        <f t="shared" ca="1" si="174"/>
        <v>0</v>
      </c>
      <c r="BW220" s="8">
        <f t="shared" ca="1" si="174"/>
        <v>0</v>
      </c>
      <c r="BX220" s="8">
        <f t="shared" ca="1" si="174"/>
        <v>0</v>
      </c>
      <c r="BY220" s="8">
        <f t="shared" ca="1" si="174"/>
        <v>0</v>
      </c>
      <c r="BZ220" s="8">
        <f t="shared" ca="1" si="174"/>
        <v>0</v>
      </c>
      <c r="CA220" s="8">
        <f t="shared" ca="1" si="174"/>
        <v>0</v>
      </c>
      <c r="CB220" s="8">
        <f t="shared" ca="1" si="174"/>
        <v>0</v>
      </c>
      <c r="CC220" s="8">
        <f t="shared" ca="1" si="174"/>
        <v>0</v>
      </c>
      <c r="CD220" s="8">
        <f t="shared" ca="1" si="174"/>
        <v>0</v>
      </c>
      <c r="CE220" s="8">
        <f t="shared" ca="1" si="174"/>
        <v>0</v>
      </c>
      <c r="CF220" s="8">
        <f t="shared" ca="1" si="174"/>
        <v>0</v>
      </c>
      <c r="CG220" s="8">
        <f t="shared" ca="1" si="174"/>
        <v>0</v>
      </c>
      <c r="CH220" s="8">
        <f t="shared" ca="1" si="174"/>
        <v>0</v>
      </c>
      <c r="CI220" s="8">
        <f t="shared" ca="1" si="174"/>
        <v>0</v>
      </c>
      <c r="CJ220" s="8">
        <f t="shared" ca="1" si="174"/>
        <v>0</v>
      </c>
      <c r="CK220" s="8">
        <f t="shared" ca="1" si="174"/>
        <v>0</v>
      </c>
      <c r="CL220" s="8">
        <f t="shared" ca="1" si="174"/>
        <v>0</v>
      </c>
      <c r="CM220" s="8">
        <f t="shared" ca="1" si="174"/>
        <v>0</v>
      </c>
      <c r="CN220" s="8">
        <f t="shared" ca="1" si="174"/>
        <v>0</v>
      </c>
      <c r="CO220" s="8">
        <f t="shared" ca="1" si="174"/>
        <v>0</v>
      </c>
      <c r="CP220" s="8">
        <f t="shared" ca="1" si="174"/>
        <v>0</v>
      </c>
      <c r="CQ220" s="8">
        <f t="shared" ca="1" si="174"/>
        <v>107963.73052507362</v>
      </c>
      <c r="CR220" s="8">
        <f t="shared" si="174"/>
        <v>0</v>
      </c>
      <c r="CS220" s="8">
        <f t="shared" ca="1" si="174"/>
        <v>107963.73052507362</v>
      </c>
      <c r="CT220" s="233"/>
    </row>
    <row r="221" spans="2:98" x14ac:dyDescent="0.3">
      <c r="B221" s="232"/>
      <c r="C221" s="283" t="s">
        <v>303</v>
      </c>
      <c r="D221" s="263">
        <f t="shared" ref="D221:F221" ca="1" si="175">D222-D220</f>
        <v>0</v>
      </c>
      <c r="E221" s="263">
        <f t="shared" ca="1" si="175"/>
        <v>498.31561585298186</v>
      </c>
      <c r="F221" s="263">
        <f t="shared" ca="1" si="175"/>
        <v>0</v>
      </c>
      <c r="G221" s="263">
        <f ca="1">G222-G220</f>
        <v>2989.8936951178985</v>
      </c>
      <c r="H221" s="15"/>
      <c r="I221" s="35"/>
      <c r="J221" s="35"/>
      <c r="K221" s="35"/>
      <c r="L221" s="15"/>
      <c r="M221" s="35">
        <f ca="1">M219</f>
        <v>4.2299999999999995</v>
      </c>
      <c r="N221" s="35">
        <f t="shared" ref="N221:O221" ca="1" si="176">N219</f>
        <v>64</v>
      </c>
      <c r="O221" s="35">
        <f t="shared" ca="1" si="176"/>
        <v>32</v>
      </c>
      <c r="P221" s="15"/>
      <c r="Q221" s="34">
        <f t="shared" ref="Q221:S221" ca="1" si="177">D221*M221</f>
        <v>0</v>
      </c>
      <c r="R221" s="34">
        <f t="shared" ca="1" si="177"/>
        <v>31892.199414590839</v>
      </c>
      <c r="S221" s="34">
        <f t="shared" ca="1" si="177"/>
        <v>0</v>
      </c>
      <c r="T221" s="34">
        <f t="shared" ref="T221" ca="1" si="178">SUM(Q221:S221)</f>
        <v>31892.199414590839</v>
      </c>
      <c r="U221" s="15"/>
      <c r="V221" s="35">
        <f>V219</f>
        <v>0.7</v>
      </c>
      <c r="W221" s="34">
        <f ca="1">V221*$G221/(1-$M$6)</f>
        <v>2536.879498887914</v>
      </c>
      <c r="X221" s="35">
        <f>X219</f>
        <v>0.222</v>
      </c>
      <c r="Y221" s="34">
        <f ca="1">X221*$G221/(1-$M$6)</f>
        <v>804.55321250445263</v>
      </c>
      <c r="Z221" s="35">
        <f>Z219</f>
        <v>0.34799999999999998</v>
      </c>
      <c r="AA221" s="34">
        <f ca="1">Z221*$G221/(1-$M$6)</f>
        <v>1261.191522304277</v>
      </c>
      <c r="AB221" s="34">
        <f ca="1">W221+Y221+AA221</f>
        <v>4602.6242336966434</v>
      </c>
      <c r="AC221" s="15"/>
      <c r="AD221" s="34">
        <f ca="1">T221-AB221</f>
        <v>27289.575180894197</v>
      </c>
      <c r="AE221" s="62">
        <f ca="1">CR176*$M$9*$AQ$10*Units</f>
        <v>0</v>
      </c>
      <c r="AF221" s="34">
        <f ca="1">AD221-AE221</f>
        <v>27289.575180894197</v>
      </c>
      <c r="AG221" s="15"/>
      <c r="AH221" s="266">
        <f>Remainder_Date</f>
        <v>56249</v>
      </c>
      <c r="AI221" s="267">
        <f t="shared" ref="AI221" si="179">DAYS360(Valuation_Date,AH221)/360-MIN(0.5,0.5*DAYS360(Valuation_Date,AH221)/360)</f>
        <v>39.666666666666664</v>
      </c>
      <c r="AJ221" s="267">
        <f t="shared" ref="AJ221" si="180">1/((1+Discount_Rate)^AI221)</f>
        <v>2.280815498393244E-2</v>
      </c>
      <c r="AK221" s="34">
        <f t="shared" ref="AK221" ca="1" si="181">AJ221*AF221</f>
        <v>622.424860171511</v>
      </c>
      <c r="AL221" s="233"/>
      <c r="AN221" s="232"/>
      <c r="AO221" s="352" t="s">
        <v>303</v>
      </c>
      <c r="AP221" s="34">
        <f ca="1">AP222-AP220</f>
        <v>0</v>
      </c>
      <c r="AQ221" s="34">
        <f t="shared" ref="AQ221:AS221" ca="1" si="182">AQ222-AQ220</f>
        <v>744.42919198886102</v>
      </c>
      <c r="AR221" s="34">
        <f t="shared" ca="1" si="182"/>
        <v>0</v>
      </c>
      <c r="AS221" s="34">
        <f t="shared" ca="1" si="182"/>
        <v>39.865054213297412</v>
      </c>
      <c r="AT221" s="15"/>
      <c r="AW221" s="34">
        <f ca="1">AW222-AW220</f>
        <v>0</v>
      </c>
      <c r="AX221" s="34">
        <f t="shared" ref="AX221:AZ221" ca="1" si="183">AX222-AX220</f>
        <v>614.15408339081034</v>
      </c>
      <c r="AY221" s="34">
        <f t="shared" ca="1" si="183"/>
        <v>0</v>
      </c>
      <c r="AZ221" s="34">
        <f t="shared" ca="1" si="183"/>
        <v>32.888669725970431</v>
      </c>
      <c r="BB221" s="180">
        <f ca="1">BB222-BB220</f>
        <v>0</v>
      </c>
      <c r="BC221" s="180">
        <f t="shared" ref="BC221:CP221" ca="1" si="184">BC222-BC220</f>
        <v>0</v>
      </c>
      <c r="BD221" s="180">
        <f t="shared" ca="1" si="184"/>
        <v>0</v>
      </c>
      <c r="BE221" s="180">
        <f t="shared" ca="1" si="184"/>
        <v>394.19033204141397</v>
      </c>
      <c r="BF221" s="180">
        <f t="shared" ca="1" si="184"/>
        <v>1741.0534753633547</v>
      </c>
      <c r="BG221" s="180">
        <f t="shared" ca="1" si="184"/>
        <v>1804.1486898128824</v>
      </c>
      <c r="BH221" s="180">
        <f t="shared" ca="1" si="184"/>
        <v>1874.2544836456909</v>
      </c>
      <c r="BI221" s="180">
        <f t="shared" ca="1" si="184"/>
        <v>166.14040937247546</v>
      </c>
      <c r="BJ221" s="180">
        <f t="shared" ca="1" si="184"/>
        <v>0</v>
      </c>
      <c r="BK221" s="180">
        <f t="shared" ca="1" si="184"/>
        <v>0</v>
      </c>
      <c r="BL221" s="180">
        <f t="shared" ca="1" si="184"/>
        <v>0</v>
      </c>
      <c r="BM221" s="180">
        <f t="shared" ca="1" si="184"/>
        <v>0</v>
      </c>
      <c r="BN221" s="180">
        <f t="shared" ca="1" si="184"/>
        <v>0</v>
      </c>
      <c r="BO221" s="180">
        <f t="shared" ca="1" si="184"/>
        <v>0</v>
      </c>
      <c r="BP221" s="180">
        <f t="shared" ca="1" si="184"/>
        <v>0</v>
      </c>
      <c r="BQ221" s="180">
        <f t="shared" ca="1" si="184"/>
        <v>0</v>
      </c>
      <c r="BR221" s="180">
        <f t="shared" ca="1" si="184"/>
        <v>0</v>
      </c>
      <c r="BS221" s="180">
        <f t="shared" ca="1" si="184"/>
        <v>0</v>
      </c>
      <c r="BT221" s="180">
        <f t="shared" ca="1" si="184"/>
        <v>0</v>
      </c>
      <c r="BU221" s="180">
        <f t="shared" ca="1" si="184"/>
        <v>0</v>
      </c>
      <c r="BV221" s="180">
        <f t="shared" ca="1" si="184"/>
        <v>0</v>
      </c>
      <c r="BW221" s="180">
        <f t="shared" ca="1" si="184"/>
        <v>0</v>
      </c>
      <c r="BX221" s="180">
        <f t="shared" ca="1" si="184"/>
        <v>0</v>
      </c>
      <c r="BY221" s="180">
        <f t="shared" ca="1" si="184"/>
        <v>0</v>
      </c>
      <c r="BZ221" s="180">
        <f t="shared" ca="1" si="184"/>
        <v>0</v>
      </c>
      <c r="CA221" s="180">
        <f t="shared" ca="1" si="184"/>
        <v>0</v>
      </c>
      <c r="CB221" s="180">
        <f t="shared" ca="1" si="184"/>
        <v>0</v>
      </c>
      <c r="CC221" s="180">
        <f t="shared" ca="1" si="184"/>
        <v>0</v>
      </c>
      <c r="CD221" s="180">
        <f t="shared" ca="1" si="184"/>
        <v>0</v>
      </c>
      <c r="CE221" s="180">
        <f t="shared" ca="1" si="184"/>
        <v>0</v>
      </c>
      <c r="CF221" s="180">
        <f t="shared" ca="1" si="184"/>
        <v>0</v>
      </c>
      <c r="CG221" s="180">
        <f t="shared" ca="1" si="184"/>
        <v>0</v>
      </c>
      <c r="CH221" s="180">
        <f t="shared" ca="1" si="184"/>
        <v>0</v>
      </c>
      <c r="CI221" s="180">
        <f t="shared" ca="1" si="184"/>
        <v>0</v>
      </c>
      <c r="CJ221" s="180">
        <f t="shared" ca="1" si="184"/>
        <v>0</v>
      </c>
      <c r="CK221" s="180">
        <f t="shared" ca="1" si="184"/>
        <v>0</v>
      </c>
      <c r="CL221" s="180">
        <f t="shared" ca="1" si="184"/>
        <v>0</v>
      </c>
      <c r="CM221" s="180">
        <f t="shared" ca="1" si="184"/>
        <v>0</v>
      </c>
      <c r="CN221" s="180">
        <f t="shared" ca="1" si="184"/>
        <v>0</v>
      </c>
      <c r="CO221" s="180">
        <f t="shared" ca="1" si="184"/>
        <v>0</v>
      </c>
      <c r="CP221" s="180">
        <f t="shared" ca="1" si="184"/>
        <v>0</v>
      </c>
      <c r="CQ221" s="34">
        <f ca="1">SUM(BB221:CP221)</f>
        <v>5979.7873902358169</v>
      </c>
      <c r="CR221" s="180">
        <f ca="1">CR222-CR220</f>
        <v>0</v>
      </c>
      <c r="CS221" s="180">
        <f ca="1">SUM(CQ221:CR221)</f>
        <v>5979.7873902358169</v>
      </c>
      <c r="CT221" s="233"/>
    </row>
    <row r="222" spans="2:98" x14ac:dyDescent="0.3">
      <c r="B222" s="232"/>
      <c r="C222" s="60" t="s">
        <v>26</v>
      </c>
      <c r="D222" s="39">
        <f t="shared" ca="1" si="137"/>
        <v>0</v>
      </c>
      <c r="E222" s="39">
        <f ca="1">$G222*$M$14/Bbl_to_Mcfe</f>
        <v>9495.2931596091184</v>
      </c>
      <c r="F222" s="39">
        <f ca="1">$G222*$M$13/Bbl_to_Mcfe</f>
        <v>0</v>
      </c>
      <c r="G222" s="39">
        <f t="shared" ref="G222" ca="1" si="185">CS222*$AQ$10</f>
        <v>56971.758957654711</v>
      </c>
      <c r="H222" s="15"/>
      <c r="I222" s="15"/>
      <c r="J222" s="15"/>
      <c r="K222" s="15"/>
      <c r="L222" s="15"/>
      <c r="M222" s="15"/>
      <c r="N222" s="15"/>
      <c r="O222" s="15"/>
      <c r="P222" s="15"/>
      <c r="Q222" s="8">
        <f ca="1">Q221+Q220</f>
        <v>0</v>
      </c>
      <c r="R222" s="8">
        <f t="shared" ref="R222:T222" ca="1" si="186">R221+R220</f>
        <v>609174.00972498348</v>
      </c>
      <c r="S222" s="8">
        <f t="shared" ca="1" si="186"/>
        <v>0</v>
      </c>
      <c r="T222" s="8">
        <f t="shared" ca="1" si="186"/>
        <v>609174.00972498348</v>
      </c>
      <c r="U222" s="15"/>
      <c r="V222" s="9"/>
      <c r="W222" s="8">
        <f ca="1">W221+W220</f>
        <v>48339.674267100956</v>
      </c>
      <c r="X222" s="9"/>
      <c r="Y222" s="8">
        <f ca="1">Y221+Y220</f>
        <v>15330.582410423445</v>
      </c>
      <c r="Z222" s="9"/>
      <c r="AA222" s="8">
        <f ca="1">AA221+AA220</f>
        <v>24031.723778501622</v>
      </c>
      <c r="AB222" s="8">
        <f ca="1">AB221+AB220</f>
        <v>87701.980456026009</v>
      </c>
      <c r="AC222" s="15"/>
      <c r="AD222" s="8">
        <f ca="1">AD221+AD220</f>
        <v>521472.02926895733</v>
      </c>
      <c r="AE222" s="8">
        <f ca="1">AE221+AE220</f>
        <v>104058.78260869563</v>
      </c>
      <c r="AF222" s="8">
        <f ca="1">AF221+AF220</f>
        <v>417413.24666026176</v>
      </c>
      <c r="AG222" s="15"/>
      <c r="AH222" s="9"/>
      <c r="AI222" s="9"/>
      <c r="AJ222" s="9"/>
      <c r="AK222" s="65">
        <f ca="1">SUM(AK220:AK221)</f>
        <v>135305.66552000772</v>
      </c>
      <c r="AL222" s="233"/>
      <c r="AN222" s="232"/>
      <c r="AO222" s="249" t="s">
        <v>26</v>
      </c>
      <c r="AP222" s="8">
        <f ca="1">$AS222*$M$12</f>
        <v>0</v>
      </c>
      <c r="AQ222" s="8">
        <f ca="1">$AS222*$M$14</f>
        <v>885.34201954397383</v>
      </c>
      <c r="AR222" s="8">
        <f ca="1">$AS222*$M$13</f>
        <v>0</v>
      </c>
      <c r="AS222" s="8">
        <f ca="1">$M$7</f>
        <v>885.34201954397383</v>
      </c>
      <c r="AT222" s="15"/>
      <c r="AW222" s="8">
        <f ca="1">AP222*(1-$M$6)</f>
        <v>0</v>
      </c>
      <c r="AX222" s="8">
        <f ca="1">AQ222*(1-$M$6)</f>
        <v>730.40716612377832</v>
      </c>
      <c r="AY222" s="8">
        <f ca="1">AR222*(1-$M$6)</f>
        <v>0</v>
      </c>
      <c r="AZ222" s="8">
        <f ca="1">AS222*(1-$M$6)</f>
        <v>730.40716612377832</v>
      </c>
      <c r="BB222" s="364">
        <f t="shared" ref="BB222:CS222" ca="1" si="187">$AZ222*BB176</f>
        <v>0</v>
      </c>
      <c r="BC222" s="364">
        <f t="shared" ca="1" si="187"/>
        <v>0</v>
      </c>
      <c r="BD222" s="364">
        <f t="shared" ca="1" si="187"/>
        <v>0</v>
      </c>
      <c r="BE222" s="364">
        <f t="shared" ca="1" si="187"/>
        <v>8034.4788273615613</v>
      </c>
      <c r="BF222" s="364">
        <f t="shared" ca="1" si="187"/>
        <v>34329.13680781758</v>
      </c>
      <c r="BG222" s="364">
        <f t="shared" ca="1" si="187"/>
        <v>34329.13680781758</v>
      </c>
      <c r="BH222" s="364">
        <f t="shared" ca="1" si="187"/>
        <v>34329.13680781758</v>
      </c>
      <c r="BI222" s="364">
        <f t="shared" ca="1" si="187"/>
        <v>2921.6286644951133</v>
      </c>
      <c r="BJ222" s="364">
        <f t="shared" ca="1" si="187"/>
        <v>0</v>
      </c>
      <c r="BK222" s="364">
        <f t="shared" ca="1" si="187"/>
        <v>0</v>
      </c>
      <c r="BL222" s="364">
        <f t="shared" ca="1" si="187"/>
        <v>0</v>
      </c>
      <c r="BM222" s="364">
        <f t="shared" ca="1" si="187"/>
        <v>0</v>
      </c>
      <c r="BN222" s="364">
        <f t="shared" ca="1" si="187"/>
        <v>0</v>
      </c>
      <c r="BO222" s="364">
        <f t="shared" ca="1" si="187"/>
        <v>0</v>
      </c>
      <c r="BP222" s="364">
        <f t="shared" ca="1" si="187"/>
        <v>0</v>
      </c>
      <c r="BQ222" s="364">
        <f t="shared" ca="1" si="187"/>
        <v>0</v>
      </c>
      <c r="BR222" s="364">
        <f t="shared" ca="1" si="187"/>
        <v>0</v>
      </c>
      <c r="BS222" s="364">
        <f t="shared" ca="1" si="187"/>
        <v>0</v>
      </c>
      <c r="BT222" s="364">
        <f t="shared" ca="1" si="187"/>
        <v>0</v>
      </c>
      <c r="BU222" s="364">
        <f t="shared" ca="1" si="187"/>
        <v>0</v>
      </c>
      <c r="BV222" s="364">
        <f t="shared" ca="1" si="187"/>
        <v>0</v>
      </c>
      <c r="BW222" s="364">
        <f t="shared" ca="1" si="187"/>
        <v>0</v>
      </c>
      <c r="BX222" s="364">
        <f t="shared" ca="1" si="187"/>
        <v>0</v>
      </c>
      <c r="BY222" s="364">
        <f t="shared" ca="1" si="187"/>
        <v>0</v>
      </c>
      <c r="BZ222" s="364">
        <f t="shared" ca="1" si="187"/>
        <v>0</v>
      </c>
      <c r="CA222" s="364">
        <f t="shared" ca="1" si="187"/>
        <v>0</v>
      </c>
      <c r="CB222" s="364">
        <f t="shared" ca="1" si="187"/>
        <v>0</v>
      </c>
      <c r="CC222" s="364">
        <f t="shared" ca="1" si="187"/>
        <v>0</v>
      </c>
      <c r="CD222" s="364">
        <f t="shared" ca="1" si="187"/>
        <v>0</v>
      </c>
      <c r="CE222" s="364">
        <f t="shared" ca="1" si="187"/>
        <v>0</v>
      </c>
      <c r="CF222" s="364">
        <f t="shared" ca="1" si="187"/>
        <v>0</v>
      </c>
      <c r="CG222" s="364">
        <f t="shared" ca="1" si="187"/>
        <v>0</v>
      </c>
      <c r="CH222" s="364">
        <f t="shared" ca="1" si="187"/>
        <v>0</v>
      </c>
      <c r="CI222" s="364">
        <f t="shared" ca="1" si="187"/>
        <v>0</v>
      </c>
      <c r="CJ222" s="364">
        <f t="shared" ca="1" si="187"/>
        <v>0</v>
      </c>
      <c r="CK222" s="364">
        <f t="shared" ca="1" si="187"/>
        <v>0</v>
      </c>
      <c r="CL222" s="364">
        <f t="shared" ca="1" si="187"/>
        <v>0</v>
      </c>
      <c r="CM222" s="364">
        <f t="shared" ca="1" si="187"/>
        <v>0</v>
      </c>
      <c r="CN222" s="364">
        <f t="shared" ca="1" si="187"/>
        <v>0</v>
      </c>
      <c r="CO222" s="364">
        <f t="shared" ca="1" si="187"/>
        <v>0</v>
      </c>
      <c r="CP222" s="364">
        <f t="shared" ca="1" si="187"/>
        <v>0</v>
      </c>
      <c r="CQ222" s="8">
        <f t="shared" ca="1" si="187"/>
        <v>113943.51791530942</v>
      </c>
      <c r="CR222" s="364">
        <f t="shared" ca="1" si="187"/>
        <v>0</v>
      </c>
      <c r="CS222" s="364">
        <f t="shared" ca="1" si="187"/>
        <v>113943.51791530942</v>
      </c>
      <c r="CT222" s="233"/>
    </row>
    <row r="223" spans="2:98" x14ac:dyDescent="0.3">
      <c r="B223" s="232"/>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233"/>
      <c r="AN223" s="232"/>
      <c r="AO223" s="15"/>
      <c r="AP223" s="15"/>
      <c r="AQ223" s="15"/>
      <c r="AR223" s="15"/>
      <c r="AS223" s="15"/>
      <c r="AT223" s="15"/>
      <c r="AW223" s="15"/>
      <c r="AX223" s="15"/>
      <c r="AY223" s="15"/>
      <c r="AZ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233"/>
    </row>
    <row r="224" spans="2:98" x14ac:dyDescent="0.3">
      <c r="B224" s="285" t="s">
        <v>31</v>
      </c>
      <c r="C224" s="286"/>
      <c r="D224" s="287"/>
      <c r="E224" s="287"/>
      <c r="F224" s="287"/>
      <c r="G224" s="287"/>
      <c r="H224" s="287"/>
      <c r="I224" s="287"/>
      <c r="J224" s="287"/>
      <c r="K224" s="287"/>
      <c r="L224" s="287"/>
      <c r="M224" s="287"/>
      <c r="N224" s="287"/>
      <c r="O224" s="287"/>
      <c r="P224" s="287"/>
      <c r="Q224" s="286" t="str">
        <f>B224</f>
        <v>POSS</v>
      </c>
      <c r="R224" s="287"/>
      <c r="S224" s="287"/>
      <c r="T224" s="287"/>
      <c r="U224" s="287"/>
      <c r="V224" s="287"/>
      <c r="W224" s="287"/>
      <c r="X224" s="287"/>
      <c r="Y224" s="287"/>
      <c r="Z224" s="287"/>
      <c r="AA224" s="287"/>
      <c r="AB224" s="287"/>
      <c r="AC224" s="287"/>
      <c r="AD224" s="286" t="str">
        <f>Q224</f>
        <v>POSS</v>
      </c>
      <c r="AE224" s="287"/>
      <c r="AF224" s="287"/>
      <c r="AG224" s="287"/>
      <c r="AH224" s="287"/>
      <c r="AI224" s="287"/>
      <c r="AJ224" s="287"/>
      <c r="AK224" s="287"/>
      <c r="AL224" s="288"/>
      <c r="AN224" s="285" t="str">
        <f>B224&amp;" - Total Production (Net) (Mmcfe)"</f>
        <v>POSS - Total Production (Net) (Mmcfe)</v>
      </c>
      <c r="AO224" s="286"/>
      <c r="AP224" s="287"/>
      <c r="AQ224" s="287"/>
      <c r="AR224" s="287"/>
      <c r="AS224" s="287"/>
      <c r="AT224" s="287"/>
      <c r="AU224" s="287"/>
      <c r="AV224" s="286"/>
      <c r="AW224" s="287"/>
      <c r="AX224" s="287"/>
      <c r="AY224" s="287"/>
      <c r="AZ224" s="287"/>
      <c r="BA224" s="287"/>
      <c r="BB224" s="287"/>
      <c r="BC224" s="287"/>
      <c r="BD224" s="287"/>
      <c r="BE224" s="287"/>
      <c r="BF224" s="287"/>
      <c r="BG224" s="287"/>
      <c r="BH224" s="287"/>
      <c r="BI224" s="287"/>
      <c r="BJ224" s="287"/>
      <c r="BK224" s="287"/>
      <c r="BL224" s="287"/>
      <c r="BM224" s="287"/>
      <c r="BN224" s="287"/>
      <c r="BO224" s="287"/>
      <c r="BP224" s="287"/>
      <c r="BQ224" s="287"/>
      <c r="BR224" s="287"/>
      <c r="BS224" s="287"/>
      <c r="BT224" s="287"/>
      <c r="BU224" s="287"/>
      <c r="BV224" s="287"/>
      <c r="BW224" s="287"/>
      <c r="BX224" s="287"/>
      <c r="BY224" s="287"/>
      <c r="BZ224" s="287"/>
      <c r="CA224" s="287"/>
      <c r="CB224" s="287"/>
      <c r="CC224" s="287"/>
      <c r="CD224" s="287"/>
      <c r="CE224" s="287"/>
      <c r="CF224" s="287"/>
      <c r="CG224" s="287"/>
      <c r="CH224" s="287"/>
      <c r="CI224" s="287"/>
      <c r="CJ224" s="287"/>
      <c r="CK224" s="287"/>
      <c r="CL224" s="287"/>
      <c r="CM224" s="287"/>
      <c r="CN224" s="287"/>
      <c r="CO224" s="287"/>
      <c r="CP224" s="287"/>
      <c r="CQ224" s="287"/>
      <c r="CR224" s="287"/>
      <c r="CS224" s="287"/>
      <c r="CT224" s="288"/>
    </row>
    <row r="225" spans="2:98" x14ac:dyDescent="0.3">
      <c r="B225" s="232"/>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233"/>
      <c r="AN225" s="232"/>
      <c r="AQ225" s="289"/>
      <c r="AR225" s="15"/>
      <c r="AS225" s="15"/>
      <c r="AT225" s="15"/>
      <c r="AW225" s="15"/>
      <c r="AX225" s="15"/>
      <c r="AY225" s="15"/>
      <c r="AZ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233"/>
    </row>
    <row r="226" spans="2:98" x14ac:dyDescent="0.3">
      <c r="B226" s="232"/>
      <c r="C226" s="37" t="s">
        <v>277</v>
      </c>
      <c r="D226" s="23"/>
      <c r="E226" s="23"/>
      <c r="F226" s="23"/>
      <c r="G226" s="23"/>
      <c r="H226" s="261"/>
      <c r="I226" s="37" t="s">
        <v>15</v>
      </c>
      <c r="J226" s="23"/>
      <c r="K226" s="23"/>
      <c r="L226" s="15"/>
      <c r="M226" s="37" t="s">
        <v>278</v>
      </c>
      <c r="N226" s="23"/>
      <c r="O226" s="23"/>
      <c r="P226" s="15"/>
      <c r="Q226" s="37" t="s">
        <v>279</v>
      </c>
      <c r="R226" s="23"/>
      <c r="S226" s="23"/>
      <c r="T226" s="23"/>
      <c r="U226" s="15"/>
      <c r="V226" s="37" t="s">
        <v>280</v>
      </c>
      <c r="W226" s="23"/>
      <c r="X226" s="23"/>
      <c r="Y226" s="23"/>
      <c r="Z226" s="23"/>
      <c r="AA226" s="23"/>
      <c r="AB226" s="4"/>
      <c r="AC226" s="15"/>
      <c r="AD226" s="37" t="s">
        <v>281</v>
      </c>
      <c r="AE226" s="23"/>
      <c r="AF226" s="23"/>
      <c r="AG226" s="15"/>
      <c r="AH226" s="37" t="s">
        <v>282</v>
      </c>
      <c r="AI226" s="23"/>
      <c r="AJ226" s="23"/>
      <c r="AK226" s="23"/>
      <c r="AL226" s="233"/>
      <c r="AN226" s="232"/>
      <c r="AO226" s="15"/>
      <c r="AP226" s="15"/>
      <c r="AQ226" s="15"/>
      <c r="AR226" s="15"/>
      <c r="AS226" s="15"/>
      <c r="AT226" s="15"/>
      <c r="AW226" s="15"/>
      <c r="AX226" s="15"/>
      <c r="AY226" s="15"/>
      <c r="AZ226" s="338" t="s">
        <v>343</v>
      </c>
      <c r="BB226" s="339">
        <f t="array" aca="1" ref="BB226:CR226" ca="1">TRANSPOSE(BA29:BA71)*$AR$11</f>
        <v>0</v>
      </c>
      <c r="BC226" s="339">
        <f ca="1"/>
        <v>0</v>
      </c>
      <c r="BD226" s="339">
        <f ca="1"/>
        <v>0</v>
      </c>
      <c r="BE226" s="339">
        <f ca="1"/>
        <v>0</v>
      </c>
      <c r="BF226" s="339">
        <f ca="1"/>
        <v>0</v>
      </c>
      <c r="BG226" s="339">
        <f ca="1"/>
        <v>0</v>
      </c>
      <c r="BH226" s="339">
        <f ca="1"/>
        <v>0</v>
      </c>
      <c r="BI226" s="339">
        <f ca="1"/>
        <v>43</v>
      </c>
      <c r="BJ226" s="339">
        <f ca="1"/>
        <v>47</v>
      </c>
      <c r="BK226" s="339">
        <f ca="1"/>
        <v>47</v>
      </c>
      <c r="BL226" s="339">
        <f ca="1"/>
        <v>47</v>
      </c>
      <c r="BM226" s="339">
        <f ca="1"/>
        <v>47</v>
      </c>
      <c r="BN226" s="339">
        <f ca="1"/>
        <v>47</v>
      </c>
      <c r="BO226" s="339">
        <f ca="1"/>
        <v>0</v>
      </c>
      <c r="BP226" s="339">
        <f ca="1"/>
        <v>0</v>
      </c>
      <c r="BQ226" s="339">
        <f ca="1"/>
        <v>0</v>
      </c>
      <c r="BR226" s="339">
        <f ca="1"/>
        <v>0</v>
      </c>
      <c r="BS226" s="339">
        <f ca="1"/>
        <v>0</v>
      </c>
      <c r="BT226" s="339">
        <f ca="1"/>
        <v>0</v>
      </c>
      <c r="BU226" s="339">
        <f ca="1"/>
        <v>0</v>
      </c>
      <c r="BV226" s="339">
        <f ca="1"/>
        <v>0</v>
      </c>
      <c r="BW226" s="339">
        <f ca="1"/>
        <v>0</v>
      </c>
      <c r="BX226" s="339">
        <f ca="1"/>
        <v>0</v>
      </c>
      <c r="BY226" s="339">
        <f ca="1"/>
        <v>0</v>
      </c>
      <c r="BZ226" s="339">
        <f ca="1"/>
        <v>0</v>
      </c>
      <c r="CA226" s="339">
        <f ca="1"/>
        <v>0</v>
      </c>
      <c r="CB226" s="339">
        <f ca="1"/>
        <v>0</v>
      </c>
      <c r="CC226" s="339">
        <f ca="1"/>
        <v>0</v>
      </c>
      <c r="CD226" s="339">
        <f ca="1"/>
        <v>0</v>
      </c>
      <c r="CE226" s="339">
        <f ca="1"/>
        <v>0</v>
      </c>
      <c r="CF226" s="339">
        <f ca="1"/>
        <v>0</v>
      </c>
      <c r="CG226" s="339">
        <f ca="1"/>
        <v>0</v>
      </c>
      <c r="CH226" s="339">
        <f ca="1"/>
        <v>0</v>
      </c>
      <c r="CI226" s="339">
        <f ca="1"/>
        <v>0</v>
      </c>
      <c r="CJ226" s="339">
        <f ca="1"/>
        <v>0</v>
      </c>
      <c r="CK226" s="339">
        <f ca="1"/>
        <v>0</v>
      </c>
      <c r="CL226" s="339">
        <f ca="1"/>
        <v>0</v>
      </c>
      <c r="CM226" s="339">
        <f ca="1"/>
        <v>0</v>
      </c>
      <c r="CN226" s="339">
        <f ca="1"/>
        <v>0</v>
      </c>
      <c r="CO226" s="339">
        <f ca="1"/>
        <v>0</v>
      </c>
      <c r="CP226" s="339">
        <f ca="1"/>
        <v>0</v>
      </c>
      <c r="CQ226" s="339">
        <f ca="1"/>
        <v>278</v>
      </c>
      <c r="CR226" s="340">
        <f ca="1"/>
        <v>11</v>
      </c>
      <c r="CS226" s="340">
        <f ca="1">SUM(CQ226:CR226)</f>
        <v>289</v>
      </c>
      <c r="CT226" s="233"/>
    </row>
    <row r="227" spans="2:98" x14ac:dyDescent="0.3">
      <c r="B227" s="232"/>
      <c r="C227" s="250"/>
      <c r="D227" s="250" t="s">
        <v>10</v>
      </c>
      <c r="E227" s="250" t="s">
        <v>11</v>
      </c>
      <c r="F227" s="250" t="s">
        <v>245</v>
      </c>
      <c r="G227" s="250" t="s">
        <v>12</v>
      </c>
      <c r="H227" s="261"/>
      <c r="I227" s="262" t="s">
        <v>10</v>
      </c>
      <c r="J227" s="262" t="s">
        <v>11</v>
      </c>
      <c r="K227" s="262" t="s">
        <v>245</v>
      </c>
      <c r="L227" s="15"/>
      <c r="M227" s="262" t="s">
        <v>10</v>
      </c>
      <c r="N227" s="262" t="s">
        <v>11</v>
      </c>
      <c r="O227" s="262" t="s">
        <v>245</v>
      </c>
      <c r="P227" s="15"/>
      <c r="Q227" s="262" t="s">
        <v>10</v>
      </c>
      <c r="R227" s="262" t="s">
        <v>11</v>
      </c>
      <c r="S227" s="262" t="s">
        <v>245</v>
      </c>
      <c r="T227" s="262" t="s">
        <v>12</v>
      </c>
      <c r="U227" s="15"/>
      <c r="V227" s="262" t="s">
        <v>283</v>
      </c>
      <c r="W227" s="262" t="s">
        <v>283</v>
      </c>
      <c r="X227" s="262" t="s">
        <v>284</v>
      </c>
      <c r="Y227" s="262" t="s">
        <v>284</v>
      </c>
      <c r="Z227" s="262" t="s">
        <v>285</v>
      </c>
      <c r="AA227" s="262" t="s">
        <v>285</v>
      </c>
      <c r="AB227" s="262" t="s">
        <v>12</v>
      </c>
      <c r="AC227" s="15"/>
      <c r="AD227" s="262" t="s">
        <v>286</v>
      </c>
      <c r="AE227" s="262" t="s">
        <v>287</v>
      </c>
      <c r="AF227" s="262" t="s">
        <v>281</v>
      </c>
      <c r="AG227" s="15"/>
      <c r="AH227" s="262"/>
      <c r="AI227" s="262" t="s">
        <v>288</v>
      </c>
      <c r="AJ227" s="262" t="s">
        <v>288</v>
      </c>
      <c r="AK227" s="262" t="s">
        <v>289</v>
      </c>
      <c r="AL227" s="233"/>
      <c r="AN227" s="232"/>
      <c r="AO227" s="18"/>
      <c r="AP227" s="37" t="s">
        <v>344</v>
      </c>
      <c r="AQ227" s="331"/>
      <c r="AR227" s="331"/>
      <c r="AS227" s="11" t="s">
        <v>12</v>
      </c>
      <c r="AT227" s="15"/>
      <c r="AW227" s="37" t="s">
        <v>346</v>
      </c>
      <c r="AX227" s="331"/>
      <c r="AY227" s="331"/>
      <c r="AZ227" s="11" t="s">
        <v>12</v>
      </c>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233"/>
    </row>
    <row r="228" spans="2:98" x14ac:dyDescent="0.3">
      <c r="B228" s="232"/>
      <c r="C228" s="13" t="s">
        <v>9</v>
      </c>
      <c r="D228" s="13" t="s">
        <v>307</v>
      </c>
      <c r="E228" s="13" t="s">
        <v>308</v>
      </c>
      <c r="F228" s="13" t="s">
        <v>308</v>
      </c>
      <c r="G228" s="13" t="s">
        <v>248</v>
      </c>
      <c r="H228" s="4"/>
      <c r="I228" s="13" t="s">
        <v>24</v>
      </c>
      <c r="J228" s="13" t="s">
        <v>25</v>
      </c>
      <c r="K228" s="13" t="s">
        <v>25</v>
      </c>
      <c r="L228" s="4"/>
      <c r="M228" s="13" t="s">
        <v>24</v>
      </c>
      <c r="N228" s="13" t="s">
        <v>25</v>
      </c>
      <c r="O228" s="13" t="s">
        <v>25</v>
      </c>
      <c r="P228" s="4"/>
      <c r="Q228" s="13" t="s">
        <v>293</v>
      </c>
      <c r="R228" s="13" t="s">
        <v>293</v>
      </c>
      <c r="S228" s="13" t="s">
        <v>293</v>
      </c>
      <c r="T228" s="13" t="s">
        <v>293</v>
      </c>
      <c r="U228" s="4"/>
      <c r="V228" s="13" t="s">
        <v>294</v>
      </c>
      <c r="W228" s="13" t="s">
        <v>293</v>
      </c>
      <c r="X228" s="13" t="s">
        <v>294</v>
      </c>
      <c r="Y228" s="13" t="s">
        <v>293</v>
      </c>
      <c r="Z228" s="13" t="s">
        <v>294</v>
      </c>
      <c r="AA228" s="13" t="s">
        <v>293</v>
      </c>
      <c r="AB228" s="13" t="s">
        <v>293</v>
      </c>
      <c r="AC228" s="4"/>
      <c r="AD228" s="13" t="s">
        <v>293</v>
      </c>
      <c r="AE228" s="13" t="s">
        <v>293</v>
      </c>
      <c r="AF228" s="13" t="s">
        <v>293</v>
      </c>
      <c r="AG228" s="4"/>
      <c r="AH228" s="13" t="s">
        <v>295</v>
      </c>
      <c r="AI228" s="13" t="s">
        <v>296</v>
      </c>
      <c r="AJ228" s="13" t="s">
        <v>297</v>
      </c>
      <c r="AK228" s="13" t="s">
        <v>293</v>
      </c>
      <c r="AL228" s="233"/>
      <c r="AN228" s="232"/>
      <c r="AO228" s="24" t="s">
        <v>296</v>
      </c>
      <c r="AP228" s="24" t="s">
        <v>347</v>
      </c>
      <c r="AQ228" s="24" t="s">
        <v>351</v>
      </c>
      <c r="AR228" s="24" t="s">
        <v>352</v>
      </c>
      <c r="AS228" s="343" t="s">
        <v>169</v>
      </c>
      <c r="AT228" s="15"/>
      <c r="AW228" s="24" t="s">
        <v>347</v>
      </c>
      <c r="AX228" s="24" t="s">
        <v>351</v>
      </c>
      <c r="AY228" s="24" t="s">
        <v>352</v>
      </c>
      <c r="AZ228" s="343" t="s">
        <v>169</v>
      </c>
      <c r="BB228" s="353">
        <f>BB178</f>
        <v>0</v>
      </c>
      <c r="BC228" s="13">
        <f t="shared" ref="BC228:CS228" si="188">BC178</f>
        <v>1</v>
      </c>
      <c r="BD228" s="13">
        <f t="shared" si="188"/>
        <v>2</v>
      </c>
      <c r="BE228" s="13">
        <f t="shared" si="188"/>
        <v>3</v>
      </c>
      <c r="BF228" s="13">
        <f t="shared" si="188"/>
        <v>4</v>
      </c>
      <c r="BG228" s="13">
        <f t="shared" si="188"/>
        <v>5</v>
      </c>
      <c r="BH228" s="13">
        <f t="shared" si="188"/>
        <v>6</v>
      </c>
      <c r="BI228" s="13">
        <f t="shared" si="188"/>
        <v>7</v>
      </c>
      <c r="BJ228" s="13">
        <f t="shared" si="188"/>
        <v>8</v>
      </c>
      <c r="BK228" s="13">
        <f t="shared" si="188"/>
        <v>9</v>
      </c>
      <c r="BL228" s="13">
        <f t="shared" si="188"/>
        <v>10</v>
      </c>
      <c r="BM228" s="13">
        <f t="shared" si="188"/>
        <v>11</v>
      </c>
      <c r="BN228" s="13">
        <f t="shared" si="188"/>
        <v>12</v>
      </c>
      <c r="BO228" s="13">
        <f t="shared" si="188"/>
        <v>13</v>
      </c>
      <c r="BP228" s="13">
        <f t="shared" si="188"/>
        <v>14</v>
      </c>
      <c r="BQ228" s="13">
        <f t="shared" si="188"/>
        <v>15</v>
      </c>
      <c r="BR228" s="13">
        <f t="shared" si="188"/>
        <v>16</v>
      </c>
      <c r="BS228" s="13">
        <f t="shared" si="188"/>
        <v>17</v>
      </c>
      <c r="BT228" s="13">
        <f t="shared" si="188"/>
        <v>18</v>
      </c>
      <c r="BU228" s="13">
        <f t="shared" si="188"/>
        <v>19</v>
      </c>
      <c r="BV228" s="13">
        <f t="shared" si="188"/>
        <v>20</v>
      </c>
      <c r="BW228" s="13">
        <f t="shared" si="188"/>
        <v>21</v>
      </c>
      <c r="BX228" s="13">
        <f t="shared" si="188"/>
        <v>22</v>
      </c>
      <c r="BY228" s="13">
        <f t="shared" si="188"/>
        <v>23</v>
      </c>
      <c r="BZ228" s="13">
        <f t="shared" si="188"/>
        <v>24</v>
      </c>
      <c r="CA228" s="13">
        <f t="shared" si="188"/>
        <v>25</v>
      </c>
      <c r="CB228" s="13">
        <f t="shared" si="188"/>
        <v>26</v>
      </c>
      <c r="CC228" s="13">
        <f t="shared" si="188"/>
        <v>27</v>
      </c>
      <c r="CD228" s="13">
        <f t="shared" si="188"/>
        <v>28</v>
      </c>
      <c r="CE228" s="13">
        <f t="shared" si="188"/>
        <v>29</v>
      </c>
      <c r="CF228" s="13">
        <f t="shared" si="188"/>
        <v>30</v>
      </c>
      <c r="CG228" s="13">
        <f t="shared" si="188"/>
        <v>31</v>
      </c>
      <c r="CH228" s="13">
        <f t="shared" si="188"/>
        <v>32</v>
      </c>
      <c r="CI228" s="13">
        <f t="shared" si="188"/>
        <v>33</v>
      </c>
      <c r="CJ228" s="13">
        <f t="shared" si="188"/>
        <v>34</v>
      </c>
      <c r="CK228" s="13">
        <f t="shared" si="188"/>
        <v>35</v>
      </c>
      <c r="CL228" s="13">
        <f t="shared" si="188"/>
        <v>36</v>
      </c>
      <c r="CM228" s="13">
        <f t="shared" si="188"/>
        <v>37</v>
      </c>
      <c r="CN228" s="13">
        <f t="shared" si="188"/>
        <v>38</v>
      </c>
      <c r="CO228" s="13">
        <f t="shared" si="188"/>
        <v>39</v>
      </c>
      <c r="CP228" s="13">
        <f t="shared" si="188"/>
        <v>40</v>
      </c>
      <c r="CQ228" s="11" t="str">
        <f t="shared" si="188"/>
        <v>Subtotal</v>
      </c>
      <c r="CR228" s="11" t="str">
        <f t="shared" si="188"/>
        <v>Remainder</v>
      </c>
      <c r="CS228" s="11" t="str">
        <f t="shared" si="188"/>
        <v>Total</v>
      </c>
      <c r="CT228" s="233"/>
    </row>
    <row r="229" spans="2:98" x14ac:dyDescent="0.3">
      <c r="B229" s="232"/>
      <c r="C229" s="250">
        <f>YEAR(FY_Date)</f>
        <v>2013</v>
      </c>
      <c r="D229" s="263">
        <f ca="1">$G229*$M$12</f>
        <v>0</v>
      </c>
      <c r="E229" s="263">
        <f t="shared" ref="E229:E269" ca="1" si="189">$G229*$M$14/Bbl_to_Mcfe</f>
        <v>0</v>
      </c>
      <c r="F229" s="263">
        <f t="shared" ref="F229:F269" ca="1" si="190">$G229*$M$13/Bbl_to_Mcfe</f>
        <v>0</v>
      </c>
      <c r="G229" s="263">
        <f ca="1">CS229*$AQ$11</f>
        <v>0</v>
      </c>
      <c r="H229" s="15"/>
      <c r="I229" s="264">
        <f ca="1">Assumptions!O$63</f>
        <v>3.7</v>
      </c>
      <c r="J229" s="264">
        <f ca="1">Assumptions!P$63</f>
        <v>101</v>
      </c>
      <c r="K229" s="264">
        <f t="shared" ref="K229:K269" ca="1" si="191">J229*$R$7</f>
        <v>50.5</v>
      </c>
      <c r="L229" s="15"/>
      <c r="M229" s="51">
        <f ca="1">I229*$R$5</f>
        <v>3.4779999999999998</v>
      </c>
      <c r="N229" s="51">
        <f t="shared" ref="N229:N269" ca="1" si="192">J229*$R$6</f>
        <v>80.800000000000011</v>
      </c>
      <c r="O229" s="51">
        <f t="shared" ref="O229:O269" ca="1" si="193">N229*$R$7</f>
        <v>40.400000000000006</v>
      </c>
      <c r="P229" s="15"/>
      <c r="Q229" s="265">
        <f ca="1">D229*M229</f>
        <v>0</v>
      </c>
      <c r="R229" s="265">
        <f ca="1">E229*N229</f>
        <v>0</v>
      </c>
      <c r="S229" s="265">
        <f ca="1">F229*O229</f>
        <v>0</v>
      </c>
      <c r="T229" s="265">
        <f ca="1">SUM(Q229:S229)</f>
        <v>0</v>
      </c>
      <c r="U229" s="15"/>
      <c r="V229" s="51">
        <f>$M$18</f>
        <v>0.7</v>
      </c>
      <c r="W229" s="265">
        <f ca="1">V229*$G229/(1-$M$6)</f>
        <v>0</v>
      </c>
      <c r="X229" s="51">
        <f>$M$17</f>
        <v>0.222</v>
      </c>
      <c r="Y229" s="265">
        <f ca="1">X229*$G229/(1-$M$6)</f>
        <v>0</v>
      </c>
      <c r="Z229" s="51">
        <f>$M$19</f>
        <v>0.34799999999999998</v>
      </c>
      <c r="AA229" s="265">
        <f ca="1">Z229*$G229/(1-$M$6)</f>
        <v>0</v>
      </c>
      <c r="AB229" s="265">
        <f ca="1">W229+Y229+AA229</f>
        <v>0</v>
      </c>
      <c r="AC229" s="15"/>
      <c r="AD229" s="265">
        <f ca="1">T229-AB229</f>
        <v>0</v>
      </c>
      <c r="AE229" s="265">
        <f t="array" aca="1" ref="AE229:AE269" ca="1">TRANSPOSE(BB226:CP226)*$M$9*$AQ$11*Units</f>
        <v>0</v>
      </c>
      <c r="AF229" s="265">
        <f ca="1">AD229-AE229</f>
        <v>0</v>
      </c>
      <c r="AG229" s="15"/>
      <c r="AH229" s="272">
        <f>FY_Date</f>
        <v>41639</v>
      </c>
      <c r="AI229" s="267">
        <f t="shared" ref="AI229:AI269" si="194">DAYS360(Valuation_Date,AH229)/360-MIN(0.5,0.5*DAYS360(Valuation_Date,AH229)/360)</f>
        <v>8.3333333333333329E-2</v>
      </c>
      <c r="AJ229" s="267">
        <f t="shared" ref="AJ229:AJ269" si="195">1/((1+Discount_Rate)^AI229)</f>
        <v>0.99208894344699095</v>
      </c>
      <c r="AK229" s="265">
        <f ca="1">AJ229*AF229*Stub_Per_Adj</f>
        <v>0</v>
      </c>
      <c r="AL229" s="233"/>
      <c r="AN229" s="232"/>
      <c r="AO229" s="406">
        <f>AO179</f>
        <v>0</v>
      </c>
      <c r="AP229" s="34">
        <f t="shared" ref="AP229:AS229" ca="1" si="196">AP179</f>
        <v>0</v>
      </c>
      <c r="AQ229" s="34">
        <f t="shared" ca="1" si="196"/>
        <v>30.002999999999997</v>
      </c>
      <c r="AR229" s="34">
        <f t="shared" ca="1" si="196"/>
        <v>0</v>
      </c>
      <c r="AS229" s="34">
        <f t="shared" ca="1" si="196"/>
        <v>180.01799999999997</v>
      </c>
      <c r="AT229" s="15"/>
      <c r="AW229" s="34">
        <f t="shared" ref="AW229:AW269" ca="1" si="197">AP229*(1-$M$6)</f>
        <v>0</v>
      </c>
      <c r="AX229" s="34">
        <f t="shared" ref="AX229:AX269" ca="1" si="198">AQ229*(1-$M$6)</f>
        <v>24.752474999999997</v>
      </c>
      <c r="AY229" s="34">
        <f t="shared" ref="AY229:AY269" ca="1" si="199">AR229*(1-$M$6)</f>
        <v>0</v>
      </c>
      <c r="AZ229" s="34">
        <f t="shared" ref="AZ229:AZ269" ca="1" si="200">AS229*(1-$M$6)</f>
        <v>148.51484999999997</v>
      </c>
      <c r="BB229" s="34">
        <f t="shared" ref="BB229:BK238" ca="1" si="201">IF($AO229&lt;BB$228,0,OFFSET($AZ$228,$AO229-BB$228+1,0)*BB$226)</f>
        <v>0</v>
      </c>
      <c r="BC229" s="34">
        <f t="shared" ca="1" si="201"/>
        <v>0</v>
      </c>
      <c r="BD229" s="34">
        <f t="shared" ca="1" si="201"/>
        <v>0</v>
      </c>
      <c r="BE229" s="34">
        <f t="shared" ca="1" si="201"/>
        <v>0</v>
      </c>
      <c r="BF229" s="34">
        <f t="shared" ca="1" si="201"/>
        <v>0</v>
      </c>
      <c r="BG229" s="34">
        <f t="shared" ca="1" si="201"/>
        <v>0</v>
      </c>
      <c r="BH229" s="34">
        <f t="shared" ca="1" si="201"/>
        <v>0</v>
      </c>
      <c r="BI229" s="34">
        <f t="shared" ca="1" si="201"/>
        <v>0</v>
      </c>
      <c r="BJ229" s="34">
        <f t="shared" ca="1" si="201"/>
        <v>0</v>
      </c>
      <c r="BK229" s="34">
        <f t="shared" ca="1" si="201"/>
        <v>0</v>
      </c>
      <c r="BL229" s="34">
        <f t="shared" ref="BL229:BU238" ca="1" si="202">IF($AO229&lt;BL$228,0,OFFSET($AZ$228,$AO229-BL$228+1,0)*BL$226)</f>
        <v>0</v>
      </c>
      <c r="BM229" s="34">
        <f t="shared" ca="1" si="202"/>
        <v>0</v>
      </c>
      <c r="BN229" s="34">
        <f t="shared" ca="1" si="202"/>
        <v>0</v>
      </c>
      <c r="BO229" s="34">
        <f t="shared" ca="1" si="202"/>
        <v>0</v>
      </c>
      <c r="BP229" s="34">
        <f t="shared" ca="1" si="202"/>
        <v>0</v>
      </c>
      <c r="BQ229" s="34">
        <f t="shared" ca="1" si="202"/>
        <v>0</v>
      </c>
      <c r="BR229" s="34">
        <f t="shared" ca="1" si="202"/>
        <v>0</v>
      </c>
      <c r="BS229" s="34">
        <f t="shared" ca="1" si="202"/>
        <v>0</v>
      </c>
      <c r="BT229" s="34">
        <f t="shared" ca="1" si="202"/>
        <v>0</v>
      </c>
      <c r="BU229" s="34">
        <f t="shared" ca="1" si="202"/>
        <v>0</v>
      </c>
      <c r="BV229" s="34">
        <f t="shared" ref="BV229:CE238" ca="1" si="203">IF($AO229&lt;BV$228,0,OFFSET($AZ$228,$AO229-BV$228+1,0)*BV$226)</f>
        <v>0</v>
      </c>
      <c r="BW229" s="34">
        <f t="shared" ca="1" si="203"/>
        <v>0</v>
      </c>
      <c r="BX229" s="34">
        <f t="shared" ca="1" si="203"/>
        <v>0</v>
      </c>
      <c r="BY229" s="34">
        <f t="shared" ca="1" si="203"/>
        <v>0</v>
      </c>
      <c r="BZ229" s="34">
        <f t="shared" ca="1" si="203"/>
        <v>0</v>
      </c>
      <c r="CA229" s="34">
        <f t="shared" ca="1" si="203"/>
        <v>0</v>
      </c>
      <c r="CB229" s="34">
        <f t="shared" ca="1" si="203"/>
        <v>0</v>
      </c>
      <c r="CC229" s="34">
        <f t="shared" ca="1" si="203"/>
        <v>0</v>
      </c>
      <c r="CD229" s="34">
        <f t="shared" ca="1" si="203"/>
        <v>0</v>
      </c>
      <c r="CE229" s="34">
        <f t="shared" ca="1" si="203"/>
        <v>0</v>
      </c>
      <c r="CF229" s="34">
        <f t="shared" ref="CF229:CP238" ca="1" si="204">IF($AO229&lt;CF$228,0,OFFSET($AZ$228,$AO229-CF$228+1,0)*CF$226)</f>
        <v>0</v>
      </c>
      <c r="CG229" s="34">
        <f t="shared" ca="1" si="204"/>
        <v>0</v>
      </c>
      <c r="CH229" s="34">
        <f t="shared" ca="1" si="204"/>
        <v>0</v>
      </c>
      <c r="CI229" s="34">
        <f t="shared" ca="1" si="204"/>
        <v>0</v>
      </c>
      <c r="CJ229" s="34">
        <f t="shared" ca="1" si="204"/>
        <v>0</v>
      </c>
      <c r="CK229" s="34">
        <f t="shared" ca="1" si="204"/>
        <v>0</v>
      </c>
      <c r="CL229" s="34">
        <f t="shared" ca="1" si="204"/>
        <v>0</v>
      </c>
      <c r="CM229" s="34">
        <f t="shared" ca="1" si="204"/>
        <v>0</v>
      </c>
      <c r="CN229" s="34">
        <f t="shared" ca="1" si="204"/>
        <v>0</v>
      </c>
      <c r="CO229" s="34">
        <f t="shared" ca="1" si="204"/>
        <v>0</v>
      </c>
      <c r="CP229" s="34">
        <f t="shared" ca="1" si="204"/>
        <v>0</v>
      </c>
      <c r="CQ229" s="34">
        <f ca="1">SUM(BB229:CP229)</f>
        <v>0</v>
      </c>
      <c r="CR229" s="363">
        <v>0</v>
      </c>
      <c r="CS229" s="34">
        <f ca="1">SUM(CQ229:CR229)</f>
        <v>0</v>
      </c>
      <c r="CT229" s="233"/>
    </row>
    <row r="230" spans="2:98" x14ac:dyDescent="0.3">
      <c r="B230" s="232"/>
      <c r="C230" s="270">
        <f>C229+1</f>
        <v>2014</v>
      </c>
      <c r="D230" s="263">
        <f t="shared" ref="D230:D272" ca="1" si="205">$G230*$M$12</f>
        <v>0</v>
      </c>
      <c r="E230" s="263">
        <f t="shared" ca="1" si="189"/>
        <v>0</v>
      </c>
      <c r="F230" s="263">
        <f t="shared" ca="1" si="190"/>
        <v>0</v>
      </c>
      <c r="G230" s="263">
        <f t="shared" ref="G230:G269" ca="1" si="206">CS230*$AQ$11</f>
        <v>0</v>
      </c>
      <c r="H230" s="15"/>
      <c r="I230" s="271">
        <f ca="1">Assumptions!O$64</f>
        <v>3.8</v>
      </c>
      <c r="J230" s="271">
        <f ca="1">Assumptions!P$64</f>
        <v>92</v>
      </c>
      <c r="K230" s="271">
        <f t="shared" ca="1" si="191"/>
        <v>46</v>
      </c>
      <c r="L230" s="15"/>
      <c r="M230" s="35">
        <f t="shared" ref="M230:M269" ca="1" si="207">I230*$R$5</f>
        <v>3.5719999999999996</v>
      </c>
      <c r="N230" s="35">
        <f t="shared" ca="1" si="192"/>
        <v>73.600000000000009</v>
      </c>
      <c r="O230" s="35">
        <f t="shared" ca="1" si="193"/>
        <v>36.800000000000004</v>
      </c>
      <c r="P230" s="15"/>
      <c r="Q230" s="34">
        <f t="shared" ref="Q230:S269" ca="1" si="208">D230*M230</f>
        <v>0</v>
      </c>
      <c r="R230" s="34">
        <f t="shared" ca="1" si="208"/>
        <v>0</v>
      </c>
      <c r="S230" s="34">
        <f t="shared" ca="1" si="208"/>
        <v>0</v>
      </c>
      <c r="T230" s="34">
        <f t="shared" ref="T230:T270" ca="1" si="209">SUM(Q230:S230)</f>
        <v>0</v>
      </c>
      <c r="U230" s="15"/>
      <c r="V230" s="35">
        <f t="shared" ref="V230:V269" si="210">$M$18</f>
        <v>0.7</v>
      </c>
      <c r="W230" s="34">
        <f t="shared" ref="W230:W267" ca="1" si="211">V230*$G230/(1-$M$6)</f>
        <v>0</v>
      </c>
      <c r="X230" s="35">
        <f t="shared" ref="X230:X269" si="212">$M$17</f>
        <v>0.222</v>
      </c>
      <c r="Y230" s="34">
        <f t="shared" ref="Y230:Y269" ca="1" si="213">X230*$G230/(1-$M$6)</f>
        <v>0</v>
      </c>
      <c r="Z230" s="35">
        <f t="shared" ref="Z230:Z269" si="214">$M$19</f>
        <v>0.34799999999999998</v>
      </c>
      <c r="AA230" s="34">
        <f t="shared" ref="AA230:AA269" ca="1" si="215">Z230*$G230/(1-$M$6)</f>
        <v>0</v>
      </c>
      <c r="AB230" s="34">
        <f t="shared" ref="AB230:AB269" ca="1" si="216">W230+Y230+AA230</f>
        <v>0</v>
      </c>
      <c r="AC230" s="15"/>
      <c r="AD230" s="34">
        <f t="shared" ref="AD230:AD269" ca="1" si="217">T230-AB230</f>
        <v>0</v>
      </c>
      <c r="AE230" s="34">
        <f ca="1"/>
        <v>0</v>
      </c>
      <c r="AF230" s="34">
        <f t="shared" ref="AF230:AF269" ca="1" si="218">AD230-AE230</f>
        <v>0</v>
      </c>
      <c r="AG230" s="15"/>
      <c r="AH230" s="272">
        <f>EOMONTH(AH229,12)</f>
        <v>42004</v>
      </c>
      <c r="AI230" s="267">
        <f t="shared" si="194"/>
        <v>0.66666666666666674</v>
      </c>
      <c r="AJ230" s="267">
        <f t="shared" si="195"/>
        <v>0.93843646859669738</v>
      </c>
      <c r="AK230" s="34">
        <f ca="1">AJ230*AF230</f>
        <v>0</v>
      </c>
      <c r="AL230" s="233"/>
      <c r="AN230" s="232"/>
      <c r="AO230" s="407">
        <f t="shared" ref="AO230:AS245" si="219">AO180</f>
        <v>1</v>
      </c>
      <c r="AP230" s="34">
        <f t="shared" ca="1" si="219"/>
        <v>0</v>
      </c>
      <c r="AQ230" s="34">
        <f t="shared" ca="1" si="219"/>
        <v>15.001499999999998</v>
      </c>
      <c r="AR230" s="34">
        <f t="shared" ca="1" si="219"/>
        <v>0</v>
      </c>
      <c r="AS230" s="34">
        <f t="shared" ca="1" si="219"/>
        <v>90.008999999999986</v>
      </c>
      <c r="AT230" s="15"/>
      <c r="AW230" s="34">
        <f t="shared" ca="1" si="197"/>
        <v>0</v>
      </c>
      <c r="AX230" s="34">
        <f t="shared" ca="1" si="198"/>
        <v>12.376237499999998</v>
      </c>
      <c r="AY230" s="34">
        <f t="shared" ca="1" si="199"/>
        <v>0</v>
      </c>
      <c r="AZ230" s="34">
        <f t="shared" ca="1" si="200"/>
        <v>74.257424999999984</v>
      </c>
      <c r="BB230" s="34">
        <f t="shared" ca="1" si="201"/>
        <v>0</v>
      </c>
      <c r="BC230" s="34">
        <f t="shared" ca="1" si="201"/>
        <v>0</v>
      </c>
      <c r="BD230" s="34">
        <f t="shared" ca="1" si="201"/>
        <v>0</v>
      </c>
      <c r="BE230" s="34">
        <f t="shared" ca="1" si="201"/>
        <v>0</v>
      </c>
      <c r="BF230" s="34">
        <f t="shared" ca="1" si="201"/>
        <v>0</v>
      </c>
      <c r="BG230" s="34">
        <f t="shared" ca="1" si="201"/>
        <v>0</v>
      </c>
      <c r="BH230" s="34">
        <f t="shared" ca="1" si="201"/>
        <v>0</v>
      </c>
      <c r="BI230" s="34">
        <f t="shared" ca="1" si="201"/>
        <v>0</v>
      </c>
      <c r="BJ230" s="34">
        <f t="shared" ca="1" si="201"/>
        <v>0</v>
      </c>
      <c r="BK230" s="34">
        <f t="shared" ca="1" si="201"/>
        <v>0</v>
      </c>
      <c r="BL230" s="34">
        <f t="shared" ca="1" si="202"/>
        <v>0</v>
      </c>
      <c r="BM230" s="34">
        <f t="shared" ca="1" si="202"/>
        <v>0</v>
      </c>
      <c r="BN230" s="34">
        <f t="shared" ca="1" si="202"/>
        <v>0</v>
      </c>
      <c r="BO230" s="34">
        <f t="shared" ca="1" si="202"/>
        <v>0</v>
      </c>
      <c r="BP230" s="34">
        <f t="shared" ca="1" si="202"/>
        <v>0</v>
      </c>
      <c r="BQ230" s="34">
        <f t="shared" ca="1" si="202"/>
        <v>0</v>
      </c>
      <c r="BR230" s="34">
        <f t="shared" ca="1" si="202"/>
        <v>0</v>
      </c>
      <c r="BS230" s="34">
        <f t="shared" ca="1" si="202"/>
        <v>0</v>
      </c>
      <c r="BT230" s="34">
        <f t="shared" ca="1" si="202"/>
        <v>0</v>
      </c>
      <c r="BU230" s="34">
        <f t="shared" ca="1" si="202"/>
        <v>0</v>
      </c>
      <c r="BV230" s="34">
        <f t="shared" ca="1" si="203"/>
        <v>0</v>
      </c>
      <c r="BW230" s="34">
        <f t="shared" ca="1" si="203"/>
        <v>0</v>
      </c>
      <c r="BX230" s="34">
        <f t="shared" ca="1" si="203"/>
        <v>0</v>
      </c>
      <c r="BY230" s="34">
        <f t="shared" ca="1" si="203"/>
        <v>0</v>
      </c>
      <c r="BZ230" s="34">
        <f t="shared" ca="1" si="203"/>
        <v>0</v>
      </c>
      <c r="CA230" s="34">
        <f t="shared" ca="1" si="203"/>
        <v>0</v>
      </c>
      <c r="CB230" s="34">
        <f t="shared" ca="1" si="203"/>
        <v>0</v>
      </c>
      <c r="CC230" s="34">
        <f t="shared" ca="1" si="203"/>
        <v>0</v>
      </c>
      <c r="CD230" s="34">
        <f t="shared" ca="1" si="203"/>
        <v>0</v>
      </c>
      <c r="CE230" s="34">
        <f t="shared" ca="1" si="203"/>
        <v>0</v>
      </c>
      <c r="CF230" s="34">
        <f t="shared" ca="1" si="204"/>
        <v>0</v>
      </c>
      <c r="CG230" s="34">
        <f t="shared" ca="1" si="204"/>
        <v>0</v>
      </c>
      <c r="CH230" s="34">
        <f t="shared" ca="1" si="204"/>
        <v>0</v>
      </c>
      <c r="CI230" s="34">
        <f t="shared" ca="1" si="204"/>
        <v>0</v>
      </c>
      <c r="CJ230" s="34">
        <f t="shared" ca="1" si="204"/>
        <v>0</v>
      </c>
      <c r="CK230" s="34">
        <f t="shared" ca="1" si="204"/>
        <v>0</v>
      </c>
      <c r="CL230" s="34">
        <f t="shared" ca="1" si="204"/>
        <v>0</v>
      </c>
      <c r="CM230" s="34">
        <f t="shared" ca="1" si="204"/>
        <v>0</v>
      </c>
      <c r="CN230" s="34">
        <f t="shared" ca="1" si="204"/>
        <v>0</v>
      </c>
      <c r="CO230" s="34">
        <f t="shared" ca="1" si="204"/>
        <v>0</v>
      </c>
      <c r="CP230" s="34">
        <f t="shared" ca="1" si="204"/>
        <v>0</v>
      </c>
      <c r="CQ230" s="34">
        <f t="shared" ref="CQ230:CQ269" ca="1" si="220">SUM(BB230:CP230)</f>
        <v>0</v>
      </c>
      <c r="CR230" s="363">
        <v>0</v>
      </c>
      <c r="CS230" s="34">
        <f t="shared" ref="CS230:CS269" ca="1" si="221">SUM(CQ230:CR230)</f>
        <v>0</v>
      </c>
      <c r="CT230" s="233"/>
    </row>
    <row r="231" spans="2:98" x14ac:dyDescent="0.3">
      <c r="B231" s="232"/>
      <c r="C231" s="250">
        <f t="shared" ref="C231:C269" si="222">C230+1</f>
        <v>2015</v>
      </c>
      <c r="D231" s="263">
        <f t="shared" ca="1" si="205"/>
        <v>0</v>
      </c>
      <c r="E231" s="263">
        <f t="shared" ca="1" si="189"/>
        <v>0</v>
      </c>
      <c r="F231" s="263">
        <f t="shared" ca="1" si="190"/>
        <v>0</v>
      </c>
      <c r="G231" s="263">
        <f t="shared" ca="1" si="206"/>
        <v>0</v>
      </c>
      <c r="H231" s="15"/>
      <c r="I231" s="271">
        <f ca="1">Assumptions!O$65</f>
        <v>4</v>
      </c>
      <c r="J231" s="271">
        <f ca="1">Assumptions!P$65</f>
        <v>88</v>
      </c>
      <c r="K231" s="271">
        <f t="shared" ca="1" si="191"/>
        <v>44</v>
      </c>
      <c r="L231" s="15"/>
      <c r="M231" s="35">
        <f t="shared" ca="1" si="207"/>
        <v>3.76</v>
      </c>
      <c r="N231" s="35">
        <f t="shared" ca="1" si="192"/>
        <v>70.400000000000006</v>
      </c>
      <c r="O231" s="35">
        <f t="shared" ca="1" si="193"/>
        <v>35.200000000000003</v>
      </c>
      <c r="P231" s="15"/>
      <c r="Q231" s="34">
        <f t="shared" ca="1" si="208"/>
        <v>0</v>
      </c>
      <c r="R231" s="34">
        <f t="shared" ca="1" si="208"/>
        <v>0</v>
      </c>
      <c r="S231" s="34">
        <f t="shared" ca="1" si="208"/>
        <v>0</v>
      </c>
      <c r="T231" s="34">
        <f t="shared" ca="1" si="209"/>
        <v>0</v>
      </c>
      <c r="U231" s="15"/>
      <c r="V231" s="35">
        <f t="shared" si="210"/>
        <v>0.7</v>
      </c>
      <c r="W231" s="34">
        <f t="shared" ca="1" si="211"/>
        <v>0</v>
      </c>
      <c r="X231" s="35">
        <f t="shared" si="212"/>
        <v>0.222</v>
      </c>
      <c r="Y231" s="34">
        <f t="shared" ca="1" si="213"/>
        <v>0</v>
      </c>
      <c r="Z231" s="35">
        <f t="shared" si="214"/>
        <v>0.34799999999999998</v>
      </c>
      <c r="AA231" s="34">
        <f t="shared" ca="1" si="215"/>
        <v>0</v>
      </c>
      <c r="AB231" s="34">
        <f t="shared" ca="1" si="216"/>
        <v>0</v>
      </c>
      <c r="AC231" s="15"/>
      <c r="AD231" s="34">
        <f t="shared" ca="1" si="217"/>
        <v>0</v>
      </c>
      <c r="AE231" s="34">
        <f ca="1"/>
        <v>0</v>
      </c>
      <c r="AF231" s="34">
        <f t="shared" ca="1" si="218"/>
        <v>0</v>
      </c>
      <c r="AG231" s="15"/>
      <c r="AH231" s="272">
        <f t="shared" ref="AH231:AH269" si="223">EOMONTH(AH230,12)</f>
        <v>42369</v>
      </c>
      <c r="AI231" s="267">
        <f t="shared" si="194"/>
        <v>1.6666666666666665</v>
      </c>
      <c r="AJ231" s="267">
        <f t="shared" si="195"/>
        <v>0.85312406236063398</v>
      </c>
      <c r="AK231" s="34">
        <f t="shared" ref="AK231:AK269" ca="1" si="224">AJ231*AF231</f>
        <v>0</v>
      </c>
      <c r="AL231" s="233"/>
      <c r="AN231" s="232"/>
      <c r="AO231" s="407">
        <f t="shared" si="219"/>
        <v>2</v>
      </c>
      <c r="AP231" s="34">
        <f t="shared" ca="1" si="219"/>
        <v>0</v>
      </c>
      <c r="AQ231" s="34">
        <f t="shared" ca="1" si="219"/>
        <v>9.7509749999999986</v>
      </c>
      <c r="AR231" s="34">
        <f t="shared" ca="1" si="219"/>
        <v>0</v>
      </c>
      <c r="AS231" s="34">
        <f t="shared" ca="1" si="219"/>
        <v>58.505849999999995</v>
      </c>
      <c r="AT231" s="15"/>
      <c r="AW231" s="34">
        <f t="shared" ca="1" si="197"/>
        <v>0</v>
      </c>
      <c r="AX231" s="34">
        <f t="shared" ca="1" si="198"/>
        <v>8.0445543749999988</v>
      </c>
      <c r="AY231" s="34">
        <f t="shared" ca="1" si="199"/>
        <v>0</v>
      </c>
      <c r="AZ231" s="34">
        <f t="shared" ca="1" si="200"/>
        <v>48.267326249999996</v>
      </c>
      <c r="BB231" s="34">
        <f t="shared" ca="1" si="201"/>
        <v>0</v>
      </c>
      <c r="BC231" s="34">
        <f t="shared" ca="1" si="201"/>
        <v>0</v>
      </c>
      <c r="BD231" s="34">
        <f t="shared" ca="1" si="201"/>
        <v>0</v>
      </c>
      <c r="BE231" s="34">
        <f t="shared" ca="1" si="201"/>
        <v>0</v>
      </c>
      <c r="BF231" s="34">
        <f t="shared" ca="1" si="201"/>
        <v>0</v>
      </c>
      <c r="BG231" s="34">
        <f t="shared" ca="1" si="201"/>
        <v>0</v>
      </c>
      <c r="BH231" s="34">
        <f t="shared" ca="1" si="201"/>
        <v>0</v>
      </c>
      <c r="BI231" s="34">
        <f t="shared" ca="1" si="201"/>
        <v>0</v>
      </c>
      <c r="BJ231" s="34">
        <f t="shared" ca="1" si="201"/>
        <v>0</v>
      </c>
      <c r="BK231" s="34">
        <f t="shared" ca="1" si="201"/>
        <v>0</v>
      </c>
      <c r="BL231" s="34">
        <f t="shared" ca="1" si="202"/>
        <v>0</v>
      </c>
      <c r="BM231" s="34">
        <f t="shared" ca="1" si="202"/>
        <v>0</v>
      </c>
      <c r="BN231" s="34">
        <f t="shared" ca="1" si="202"/>
        <v>0</v>
      </c>
      <c r="BO231" s="34">
        <f t="shared" ca="1" si="202"/>
        <v>0</v>
      </c>
      <c r="BP231" s="34">
        <f t="shared" ca="1" si="202"/>
        <v>0</v>
      </c>
      <c r="BQ231" s="34">
        <f t="shared" ca="1" si="202"/>
        <v>0</v>
      </c>
      <c r="BR231" s="34">
        <f t="shared" ca="1" si="202"/>
        <v>0</v>
      </c>
      <c r="BS231" s="34">
        <f t="shared" ca="1" si="202"/>
        <v>0</v>
      </c>
      <c r="BT231" s="34">
        <f t="shared" ca="1" si="202"/>
        <v>0</v>
      </c>
      <c r="BU231" s="34">
        <f t="shared" ca="1" si="202"/>
        <v>0</v>
      </c>
      <c r="BV231" s="34">
        <f t="shared" ca="1" si="203"/>
        <v>0</v>
      </c>
      <c r="BW231" s="34">
        <f t="shared" ca="1" si="203"/>
        <v>0</v>
      </c>
      <c r="BX231" s="34">
        <f t="shared" ca="1" si="203"/>
        <v>0</v>
      </c>
      <c r="BY231" s="34">
        <f t="shared" ca="1" si="203"/>
        <v>0</v>
      </c>
      <c r="BZ231" s="34">
        <f t="shared" ca="1" si="203"/>
        <v>0</v>
      </c>
      <c r="CA231" s="34">
        <f t="shared" ca="1" si="203"/>
        <v>0</v>
      </c>
      <c r="CB231" s="34">
        <f t="shared" ca="1" si="203"/>
        <v>0</v>
      </c>
      <c r="CC231" s="34">
        <f t="shared" ca="1" si="203"/>
        <v>0</v>
      </c>
      <c r="CD231" s="34">
        <f t="shared" ca="1" si="203"/>
        <v>0</v>
      </c>
      <c r="CE231" s="34">
        <f t="shared" ca="1" si="203"/>
        <v>0</v>
      </c>
      <c r="CF231" s="34">
        <f t="shared" ca="1" si="204"/>
        <v>0</v>
      </c>
      <c r="CG231" s="34">
        <f t="shared" ca="1" si="204"/>
        <v>0</v>
      </c>
      <c r="CH231" s="34">
        <f t="shared" ca="1" si="204"/>
        <v>0</v>
      </c>
      <c r="CI231" s="34">
        <f t="shared" ca="1" si="204"/>
        <v>0</v>
      </c>
      <c r="CJ231" s="34">
        <f t="shared" ca="1" si="204"/>
        <v>0</v>
      </c>
      <c r="CK231" s="34">
        <f t="shared" ca="1" si="204"/>
        <v>0</v>
      </c>
      <c r="CL231" s="34">
        <f t="shared" ca="1" si="204"/>
        <v>0</v>
      </c>
      <c r="CM231" s="34">
        <f t="shared" ca="1" si="204"/>
        <v>0</v>
      </c>
      <c r="CN231" s="34">
        <f t="shared" ca="1" si="204"/>
        <v>0</v>
      </c>
      <c r="CO231" s="34">
        <f t="shared" ca="1" si="204"/>
        <v>0</v>
      </c>
      <c r="CP231" s="34">
        <f t="shared" ca="1" si="204"/>
        <v>0</v>
      </c>
      <c r="CQ231" s="34">
        <f t="shared" ca="1" si="220"/>
        <v>0</v>
      </c>
      <c r="CR231" s="363">
        <v>0</v>
      </c>
      <c r="CS231" s="34">
        <f t="shared" ca="1" si="221"/>
        <v>0</v>
      </c>
      <c r="CT231" s="233"/>
    </row>
    <row r="232" spans="2:98" x14ac:dyDescent="0.3">
      <c r="B232" s="232"/>
      <c r="C232" s="250">
        <f t="shared" si="222"/>
        <v>2016</v>
      </c>
      <c r="D232" s="263">
        <f t="shared" ca="1" si="205"/>
        <v>0</v>
      </c>
      <c r="E232" s="263">
        <f t="shared" ca="1" si="189"/>
        <v>0</v>
      </c>
      <c r="F232" s="263">
        <f t="shared" ca="1" si="190"/>
        <v>0</v>
      </c>
      <c r="G232" s="263">
        <f t="shared" ca="1" si="206"/>
        <v>0</v>
      </c>
      <c r="H232" s="15"/>
      <c r="I232" s="271">
        <f ca="1">Assumptions!O$66</f>
        <v>4.0999999999999996</v>
      </c>
      <c r="J232" s="271">
        <f ca="1">Assumptions!P$66</f>
        <v>84</v>
      </c>
      <c r="K232" s="271">
        <f t="shared" ca="1" si="191"/>
        <v>42</v>
      </c>
      <c r="L232" s="15"/>
      <c r="M232" s="35">
        <f t="shared" ca="1" si="207"/>
        <v>3.8539999999999996</v>
      </c>
      <c r="N232" s="35">
        <f t="shared" ca="1" si="192"/>
        <v>67.2</v>
      </c>
      <c r="O232" s="35">
        <f t="shared" ca="1" si="193"/>
        <v>33.6</v>
      </c>
      <c r="P232" s="15"/>
      <c r="Q232" s="34">
        <f t="shared" ca="1" si="208"/>
        <v>0</v>
      </c>
      <c r="R232" s="34">
        <f t="shared" ca="1" si="208"/>
        <v>0</v>
      </c>
      <c r="S232" s="34">
        <f t="shared" ca="1" si="208"/>
        <v>0</v>
      </c>
      <c r="T232" s="34">
        <f t="shared" ca="1" si="209"/>
        <v>0</v>
      </c>
      <c r="U232" s="15"/>
      <c r="V232" s="35">
        <f t="shared" si="210"/>
        <v>0.7</v>
      </c>
      <c r="W232" s="34">
        <f t="shared" ca="1" si="211"/>
        <v>0</v>
      </c>
      <c r="X232" s="35">
        <f t="shared" si="212"/>
        <v>0.222</v>
      </c>
      <c r="Y232" s="34">
        <f t="shared" ca="1" si="213"/>
        <v>0</v>
      </c>
      <c r="Z232" s="35">
        <f t="shared" si="214"/>
        <v>0.34799999999999998</v>
      </c>
      <c r="AA232" s="34">
        <f t="shared" ca="1" si="215"/>
        <v>0</v>
      </c>
      <c r="AB232" s="34">
        <f t="shared" ca="1" si="216"/>
        <v>0</v>
      </c>
      <c r="AC232" s="15"/>
      <c r="AD232" s="34">
        <f t="shared" ca="1" si="217"/>
        <v>0</v>
      </c>
      <c r="AE232" s="34">
        <f ca="1"/>
        <v>0</v>
      </c>
      <c r="AF232" s="34">
        <f t="shared" ca="1" si="218"/>
        <v>0</v>
      </c>
      <c r="AG232" s="15"/>
      <c r="AH232" s="272">
        <f t="shared" si="223"/>
        <v>42735</v>
      </c>
      <c r="AI232" s="267">
        <f t="shared" si="194"/>
        <v>2.6666666666666665</v>
      </c>
      <c r="AJ232" s="267">
        <f t="shared" si="195"/>
        <v>0.77556732941875806</v>
      </c>
      <c r="AK232" s="34">
        <f t="shared" ca="1" si="224"/>
        <v>0</v>
      </c>
      <c r="AL232" s="233"/>
      <c r="AN232" s="232"/>
      <c r="AO232" s="407">
        <f t="shared" si="219"/>
        <v>3</v>
      </c>
      <c r="AP232" s="34">
        <f t="shared" ca="1" si="219"/>
        <v>0</v>
      </c>
      <c r="AQ232" s="34">
        <f t="shared" ca="1" si="219"/>
        <v>8.7758775</v>
      </c>
      <c r="AR232" s="34">
        <f t="shared" ca="1" si="219"/>
        <v>0</v>
      </c>
      <c r="AS232" s="34">
        <f t="shared" ca="1" si="219"/>
        <v>52.655265</v>
      </c>
      <c r="AT232" s="15"/>
      <c r="AW232" s="34">
        <f t="shared" ca="1" si="197"/>
        <v>0</v>
      </c>
      <c r="AX232" s="34">
        <f t="shared" ca="1" si="198"/>
        <v>7.2400989375</v>
      </c>
      <c r="AY232" s="34">
        <f t="shared" ca="1" si="199"/>
        <v>0</v>
      </c>
      <c r="AZ232" s="34">
        <f t="shared" ca="1" si="200"/>
        <v>43.440593624999998</v>
      </c>
      <c r="BB232" s="34">
        <f t="shared" ca="1" si="201"/>
        <v>0</v>
      </c>
      <c r="BC232" s="34">
        <f t="shared" ca="1" si="201"/>
        <v>0</v>
      </c>
      <c r="BD232" s="34">
        <f t="shared" ca="1" si="201"/>
        <v>0</v>
      </c>
      <c r="BE232" s="34">
        <f t="shared" ca="1" si="201"/>
        <v>0</v>
      </c>
      <c r="BF232" s="34">
        <f t="shared" ca="1" si="201"/>
        <v>0</v>
      </c>
      <c r="BG232" s="34">
        <f t="shared" ca="1" si="201"/>
        <v>0</v>
      </c>
      <c r="BH232" s="34">
        <f t="shared" ca="1" si="201"/>
        <v>0</v>
      </c>
      <c r="BI232" s="34">
        <f t="shared" ca="1" si="201"/>
        <v>0</v>
      </c>
      <c r="BJ232" s="34">
        <f t="shared" ca="1" si="201"/>
        <v>0</v>
      </c>
      <c r="BK232" s="34">
        <f t="shared" ca="1" si="201"/>
        <v>0</v>
      </c>
      <c r="BL232" s="34">
        <f t="shared" ca="1" si="202"/>
        <v>0</v>
      </c>
      <c r="BM232" s="34">
        <f t="shared" ca="1" si="202"/>
        <v>0</v>
      </c>
      <c r="BN232" s="34">
        <f t="shared" ca="1" si="202"/>
        <v>0</v>
      </c>
      <c r="BO232" s="34">
        <f t="shared" ca="1" si="202"/>
        <v>0</v>
      </c>
      <c r="BP232" s="34">
        <f t="shared" ca="1" si="202"/>
        <v>0</v>
      </c>
      <c r="BQ232" s="34">
        <f t="shared" ca="1" si="202"/>
        <v>0</v>
      </c>
      <c r="BR232" s="34">
        <f t="shared" ca="1" si="202"/>
        <v>0</v>
      </c>
      <c r="BS232" s="34">
        <f t="shared" ca="1" si="202"/>
        <v>0</v>
      </c>
      <c r="BT232" s="34">
        <f t="shared" ca="1" si="202"/>
        <v>0</v>
      </c>
      <c r="BU232" s="34">
        <f t="shared" ca="1" si="202"/>
        <v>0</v>
      </c>
      <c r="BV232" s="34">
        <f t="shared" ca="1" si="203"/>
        <v>0</v>
      </c>
      <c r="BW232" s="34">
        <f t="shared" ca="1" si="203"/>
        <v>0</v>
      </c>
      <c r="BX232" s="34">
        <f t="shared" ca="1" si="203"/>
        <v>0</v>
      </c>
      <c r="BY232" s="34">
        <f t="shared" ca="1" si="203"/>
        <v>0</v>
      </c>
      <c r="BZ232" s="34">
        <f t="shared" ca="1" si="203"/>
        <v>0</v>
      </c>
      <c r="CA232" s="34">
        <f t="shared" ca="1" si="203"/>
        <v>0</v>
      </c>
      <c r="CB232" s="34">
        <f t="shared" ca="1" si="203"/>
        <v>0</v>
      </c>
      <c r="CC232" s="34">
        <f t="shared" ca="1" si="203"/>
        <v>0</v>
      </c>
      <c r="CD232" s="34">
        <f t="shared" ca="1" si="203"/>
        <v>0</v>
      </c>
      <c r="CE232" s="34">
        <f t="shared" ca="1" si="203"/>
        <v>0</v>
      </c>
      <c r="CF232" s="34">
        <f t="shared" ca="1" si="204"/>
        <v>0</v>
      </c>
      <c r="CG232" s="34">
        <f t="shared" ca="1" si="204"/>
        <v>0</v>
      </c>
      <c r="CH232" s="34">
        <f t="shared" ca="1" si="204"/>
        <v>0</v>
      </c>
      <c r="CI232" s="34">
        <f t="shared" ca="1" si="204"/>
        <v>0</v>
      </c>
      <c r="CJ232" s="34">
        <f t="shared" ca="1" si="204"/>
        <v>0</v>
      </c>
      <c r="CK232" s="34">
        <f t="shared" ca="1" si="204"/>
        <v>0</v>
      </c>
      <c r="CL232" s="34">
        <f t="shared" ca="1" si="204"/>
        <v>0</v>
      </c>
      <c r="CM232" s="34">
        <f t="shared" ca="1" si="204"/>
        <v>0</v>
      </c>
      <c r="CN232" s="34">
        <f t="shared" ca="1" si="204"/>
        <v>0</v>
      </c>
      <c r="CO232" s="34">
        <f t="shared" ca="1" si="204"/>
        <v>0</v>
      </c>
      <c r="CP232" s="34">
        <f t="shared" ca="1" si="204"/>
        <v>0</v>
      </c>
      <c r="CQ232" s="34">
        <f t="shared" ca="1" si="220"/>
        <v>0</v>
      </c>
      <c r="CR232" s="363">
        <v>0</v>
      </c>
      <c r="CS232" s="34">
        <f t="shared" ca="1" si="221"/>
        <v>0</v>
      </c>
      <c r="CT232" s="233"/>
    </row>
    <row r="233" spans="2:98" x14ac:dyDescent="0.3">
      <c r="B233" s="232"/>
      <c r="C233" s="250">
        <f t="shared" si="222"/>
        <v>2017</v>
      </c>
      <c r="D233" s="263">
        <f t="shared" ca="1" si="205"/>
        <v>0</v>
      </c>
      <c r="E233" s="263">
        <f t="shared" ca="1" si="189"/>
        <v>0</v>
      </c>
      <c r="F233" s="263">
        <f t="shared" ca="1" si="190"/>
        <v>0</v>
      </c>
      <c r="G233" s="263">
        <f t="shared" ca="1" si="206"/>
        <v>0</v>
      </c>
      <c r="H233" s="15"/>
      <c r="I233" s="271">
        <f ca="1">Assumptions!O$67</f>
        <v>4.2</v>
      </c>
      <c r="J233" s="271">
        <f ca="1">Assumptions!P$67</f>
        <v>82</v>
      </c>
      <c r="K233" s="271">
        <f t="shared" ca="1" si="191"/>
        <v>41</v>
      </c>
      <c r="L233" s="15"/>
      <c r="M233" s="35">
        <f t="shared" ca="1" si="207"/>
        <v>3.948</v>
      </c>
      <c r="N233" s="35">
        <f t="shared" ca="1" si="192"/>
        <v>65.600000000000009</v>
      </c>
      <c r="O233" s="35">
        <f t="shared" ca="1" si="193"/>
        <v>32.800000000000004</v>
      </c>
      <c r="P233" s="15"/>
      <c r="Q233" s="34">
        <f t="shared" ca="1" si="208"/>
        <v>0</v>
      </c>
      <c r="R233" s="34">
        <f t="shared" ca="1" si="208"/>
        <v>0</v>
      </c>
      <c r="S233" s="34">
        <f t="shared" ca="1" si="208"/>
        <v>0</v>
      </c>
      <c r="T233" s="34">
        <f t="shared" ca="1" si="209"/>
        <v>0</v>
      </c>
      <c r="U233" s="15"/>
      <c r="V233" s="35">
        <f t="shared" si="210"/>
        <v>0.7</v>
      </c>
      <c r="W233" s="34">
        <f t="shared" ca="1" si="211"/>
        <v>0</v>
      </c>
      <c r="X233" s="35">
        <f t="shared" si="212"/>
        <v>0.222</v>
      </c>
      <c r="Y233" s="34">
        <f t="shared" ca="1" si="213"/>
        <v>0</v>
      </c>
      <c r="Z233" s="35">
        <f t="shared" si="214"/>
        <v>0.34799999999999998</v>
      </c>
      <c r="AA233" s="34">
        <f t="shared" ca="1" si="215"/>
        <v>0</v>
      </c>
      <c r="AB233" s="34">
        <f t="shared" ca="1" si="216"/>
        <v>0</v>
      </c>
      <c r="AC233" s="15"/>
      <c r="AD233" s="34">
        <f t="shared" ca="1" si="217"/>
        <v>0</v>
      </c>
      <c r="AE233" s="34">
        <f ca="1"/>
        <v>0</v>
      </c>
      <c r="AF233" s="34">
        <f t="shared" ca="1" si="218"/>
        <v>0</v>
      </c>
      <c r="AG233" s="15"/>
      <c r="AH233" s="272">
        <f t="shared" si="223"/>
        <v>43100</v>
      </c>
      <c r="AI233" s="267">
        <f t="shared" si="194"/>
        <v>3.666666666666667</v>
      </c>
      <c r="AJ233" s="267">
        <f t="shared" si="195"/>
        <v>0.7050612085625072</v>
      </c>
      <c r="AK233" s="34">
        <f t="shared" ca="1" si="224"/>
        <v>0</v>
      </c>
      <c r="AL233" s="233"/>
      <c r="AN233" s="232"/>
      <c r="AO233" s="407">
        <f t="shared" si="219"/>
        <v>4</v>
      </c>
      <c r="AP233" s="34">
        <f t="shared" ca="1" si="219"/>
        <v>0</v>
      </c>
      <c r="AQ233" s="34">
        <f t="shared" ca="1" si="219"/>
        <v>7.89828975</v>
      </c>
      <c r="AR233" s="34">
        <f t="shared" ca="1" si="219"/>
        <v>0</v>
      </c>
      <c r="AS233" s="34">
        <f t="shared" ca="1" si="219"/>
        <v>47.3897385</v>
      </c>
      <c r="AT233" s="15"/>
      <c r="AW233" s="34">
        <f t="shared" ca="1" si="197"/>
        <v>0</v>
      </c>
      <c r="AX233" s="34">
        <f t="shared" ca="1" si="198"/>
        <v>6.5160890437500001</v>
      </c>
      <c r="AY233" s="34">
        <f t="shared" ca="1" si="199"/>
        <v>0</v>
      </c>
      <c r="AZ233" s="34">
        <f t="shared" ca="1" si="200"/>
        <v>39.096534262500001</v>
      </c>
      <c r="BB233" s="34">
        <f t="shared" ca="1" si="201"/>
        <v>0</v>
      </c>
      <c r="BC233" s="34">
        <f t="shared" ca="1" si="201"/>
        <v>0</v>
      </c>
      <c r="BD233" s="34">
        <f t="shared" ca="1" si="201"/>
        <v>0</v>
      </c>
      <c r="BE233" s="34">
        <f t="shared" ca="1" si="201"/>
        <v>0</v>
      </c>
      <c r="BF233" s="34">
        <f t="shared" ca="1" si="201"/>
        <v>0</v>
      </c>
      <c r="BG233" s="34">
        <f t="shared" ca="1" si="201"/>
        <v>0</v>
      </c>
      <c r="BH233" s="34">
        <f t="shared" ca="1" si="201"/>
        <v>0</v>
      </c>
      <c r="BI233" s="34">
        <f t="shared" ca="1" si="201"/>
        <v>0</v>
      </c>
      <c r="BJ233" s="34">
        <f t="shared" ca="1" si="201"/>
        <v>0</v>
      </c>
      <c r="BK233" s="34">
        <f t="shared" ca="1" si="201"/>
        <v>0</v>
      </c>
      <c r="BL233" s="34">
        <f t="shared" ca="1" si="202"/>
        <v>0</v>
      </c>
      <c r="BM233" s="34">
        <f t="shared" ca="1" si="202"/>
        <v>0</v>
      </c>
      <c r="BN233" s="34">
        <f t="shared" ca="1" si="202"/>
        <v>0</v>
      </c>
      <c r="BO233" s="34">
        <f t="shared" ca="1" si="202"/>
        <v>0</v>
      </c>
      <c r="BP233" s="34">
        <f t="shared" ca="1" si="202"/>
        <v>0</v>
      </c>
      <c r="BQ233" s="34">
        <f t="shared" ca="1" si="202"/>
        <v>0</v>
      </c>
      <c r="BR233" s="34">
        <f t="shared" ca="1" si="202"/>
        <v>0</v>
      </c>
      <c r="BS233" s="34">
        <f t="shared" ca="1" si="202"/>
        <v>0</v>
      </c>
      <c r="BT233" s="34">
        <f t="shared" ca="1" si="202"/>
        <v>0</v>
      </c>
      <c r="BU233" s="34">
        <f t="shared" ca="1" si="202"/>
        <v>0</v>
      </c>
      <c r="BV233" s="34">
        <f t="shared" ca="1" si="203"/>
        <v>0</v>
      </c>
      <c r="BW233" s="34">
        <f t="shared" ca="1" si="203"/>
        <v>0</v>
      </c>
      <c r="BX233" s="34">
        <f t="shared" ca="1" si="203"/>
        <v>0</v>
      </c>
      <c r="BY233" s="34">
        <f t="shared" ca="1" si="203"/>
        <v>0</v>
      </c>
      <c r="BZ233" s="34">
        <f t="shared" ca="1" si="203"/>
        <v>0</v>
      </c>
      <c r="CA233" s="34">
        <f t="shared" ca="1" si="203"/>
        <v>0</v>
      </c>
      <c r="CB233" s="34">
        <f t="shared" ca="1" si="203"/>
        <v>0</v>
      </c>
      <c r="CC233" s="34">
        <f t="shared" ca="1" si="203"/>
        <v>0</v>
      </c>
      <c r="CD233" s="34">
        <f t="shared" ca="1" si="203"/>
        <v>0</v>
      </c>
      <c r="CE233" s="34">
        <f t="shared" ca="1" si="203"/>
        <v>0</v>
      </c>
      <c r="CF233" s="34">
        <f t="shared" ca="1" si="204"/>
        <v>0</v>
      </c>
      <c r="CG233" s="34">
        <f t="shared" ca="1" si="204"/>
        <v>0</v>
      </c>
      <c r="CH233" s="34">
        <f t="shared" ca="1" si="204"/>
        <v>0</v>
      </c>
      <c r="CI233" s="34">
        <f t="shared" ca="1" si="204"/>
        <v>0</v>
      </c>
      <c r="CJ233" s="34">
        <f t="shared" ca="1" si="204"/>
        <v>0</v>
      </c>
      <c r="CK233" s="34">
        <f t="shared" ca="1" si="204"/>
        <v>0</v>
      </c>
      <c r="CL233" s="34">
        <f t="shared" ca="1" si="204"/>
        <v>0</v>
      </c>
      <c r="CM233" s="34">
        <f t="shared" ca="1" si="204"/>
        <v>0</v>
      </c>
      <c r="CN233" s="34">
        <f t="shared" ca="1" si="204"/>
        <v>0</v>
      </c>
      <c r="CO233" s="34">
        <f t="shared" ca="1" si="204"/>
        <v>0</v>
      </c>
      <c r="CP233" s="34">
        <f t="shared" ca="1" si="204"/>
        <v>0</v>
      </c>
      <c r="CQ233" s="34">
        <f t="shared" ca="1" si="220"/>
        <v>0</v>
      </c>
      <c r="CR233" s="363">
        <v>0</v>
      </c>
      <c r="CS233" s="34">
        <f t="shared" ca="1" si="221"/>
        <v>0</v>
      </c>
      <c r="CT233" s="233"/>
    </row>
    <row r="234" spans="2:98" x14ac:dyDescent="0.3">
      <c r="B234" s="232"/>
      <c r="C234" s="250">
        <f t="shared" si="222"/>
        <v>2018</v>
      </c>
      <c r="D234" s="263">
        <f t="shared" ca="1" si="205"/>
        <v>0</v>
      </c>
      <c r="E234" s="263">
        <f t="shared" ca="1" si="189"/>
        <v>0</v>
      </c>
      <c r="F234" s="263">
        <f t="shared" ca="1" si="190"/>
        <v>0</v>
      </c>
      <c r="G234" s="263">
        <f t="shared" ca="1" si="206"/>
        <v>0</v>
      </c>
      <c r="H234" s="15"/>
      <c r="I234" s="271">
        <f ca="1">Assumptions!O$68</f>
        <v>4.5</v>
      </c>
      <c r="J234" s="271">
        <f ca="1">Assumptions!P$68</f>
        <v>80</v>
      </c>
      <c r="K234" s="271">
        <f t="shared" ca="1" si="191"/>
        <v>40</v>
      </c>
      <c r="L234" s="15"/>
      <c r="M234" s="35">
        <f t="shared" ca="1" si="207"/>
        <v>4.2299999999999995</v>
      </c>
      <c r="N234" s="35">
        <f t="shared" ca="1" si="192"/>
        <v>64</v>
      </c>
      <c r="O234" s="35">
        <f t="shared" ca="1" si="193"/>
        <v>32</v>
      </c>
      <c r="P234" s="15"/>
      <c r="Q234" s="34">
        <f t="shared" ca="1" si="208"/>
        <v>0</v>
      </c>
      <c r="R234" s="34">
        <f t="shared" ca="1" si="208"/>
        <v>0</v>
      </c>
      <c r="S234" s="34">
        <f t="shared" ca="1" si="208"/>
        <v>0</v>
      </c>
      <c r="T234" s="34">
        <f t="shared" ca="1" si="209"/>
        <v>0</v>
      </c>
      <c r="U234" s="15"/>
      <c r="V234" s="35">
        <f t="shared" si="210"/>
        <v>0.7</v>
      </c>
      <c r="W234" s="34">
        <f t="shared" ca="1" si="211"/>
        <v>0</v>
      </c>
      <c r="X234" s="35">
        <f t="shared" si="212"/>
        <v>0.222</v>
      </c>
      <c r="Y234" s="34">
        <f t="shared" ca="1" si="213"/>
        <v>0</v>
      </c>
      <c r="Z234" s="35">
        <f t="shared" si="214"/>
        <v>0.34799999999999998</v>
      </c>
      <c r="AA234" s="34">
        <f t="shared" ca="1" si="215"/>
        <v>0</v>
      </c>
      <c r="AB234" s="34">
        <f t="shared" ca="1" si="216"/>
        <v>0</v>
      </c>
      <c r="AC234" s="15"/>
      <c r="AD234" s="34">
        <f t="shared" ca="1" si="217"/>
        <v>0</v>
      </c>
      <c r="AE234" s="34">
        <f ca="1"/>
        <v>0</v>
      </c>
      <c r="AF234" s="34">
        <f t="shared" ca="1" si="218"/>
        <v>0</v>
      </c>
      <c r="AG234" s="15"/>
      <c r="AH234" s="272">
        <f t="shared" si="223"/>
        <v>43465</v>
      </c>
      <c r="AI234" s="267">
        <f t="shared" si="194"/>
        <v>4.666666666666667</v>
      </c>
      <c r="AJ234" s="267">
        <f t="shared" si="195"/>
        <v>0.64096473505682472</v>
      </c>
      <c r="AK234" s="34">
        <f t="shared" ca="1" si="224"/>
        <v>0</v>
      </c>
      <c r="AL234" s="233"/>
      <c r="AN234" s="232"/>
      <c r="AO234" s="407">
        <f t="shared" si="219"/>
        <v>5</v>
      </c>
      <c r="AP234" s="34">
        <f t="shared" ca="1" si="219"/>
        <v>0</v>
      </c>
      <c r="AQ234" s="34">
        <f t="shared" ca="1" si="219"/>
        <v>7.1084607750000002</v>
      </c>
      <c r="AR234" s="34">
        <f t="shared" ca="1" si="219"/>
        <v>0</v>
      </c>
      <c r="AS234" s="34">
        <f t="shared" ca="1" si="219"/>
        <v>42.650764649999999</v>
      </c>
      <c r="AT234" s="15"/>
      <c r="AW234" s="34">
        <f t="shared" ca="1" si="197"/>
        <v>0</v>
      </c>
      <c r="AX234" s="34">
        <f t="shared" ca="1" si="198"/>
        <v>5.8644801393749999</v>
      </c>
      <c r="AY234" s="34">
        <f t="shared" ca="1" si="199"/>
        <v>0</v>
      </c>
      <c r="AZ234" s="34">
        <f t="shared" ca="1" si="200"/>
        <v>35.186880836249998</v>
      </c>
      <c r="BB234" s="34">
        <f t="shared" ca="1" si="201"/>
        <v>0</v>
      </c>
      <c r="BC234" s="34">
        <f t="shared" ca="1" si="201"/>
        <v>0</v>
      </c>
      <c r="BD234" s="34">
        <f t="shared" ca="1" si="201"/>
        <v>0</v>
      </c>
      <c r="BE234" s="34">
        <f t="shared" ca="1" si="201"/>
        <v>0</v>
      </c>
      <c r="BF234" s="34">
        <f t="shared" ca="1" si="201"/>
        <v>0</v>
      </c>
      <c r="BG234" s="34">
        <f t="shared" ca="1" si="201"/>
        <v>0</v>
      </c>
      <c r="BH234" s="34">
        <f t="shared" ca="1" si="201"/>
        <v>0</v>
      </c>
      <c r="BI234" s="34">
        <f t="shared" ca="1" si="201"/>
        <v>0</v>
      </c>
      <c r="BJ234" s="34">
        <f t="shared" ca="1" si="201"/>
        <v>0</v>
      </c>
      <c r="BK234" s="34">
        <f t="shared" ca="1" si="201"/>
        <v>0</v>
      </c>
      <c r="BL234" s="34">
        <f t="shared" ca="1" si="202"/>
        <v>0</v>
      </c>
      <c r="BM234" s="34">
        <f t="shared" ca="1" si="202"/>
        <v>0</v>
      </c>
      <c r="BN234" s="34">
        <f t="shared" ca="1" si="202"/>
        <v>0</v>
      </c>
      <c r="BO234" s="34">
        <f t="shared" ca="1" si="202"/>
        <v>0</v>
      </c>
      <c r="BP234" s="34">
        <f t="shared" ca="1" si="202"/>
        <v>0</v>
      </c>
      <c r="BQ234" s="34">
        <f t="shared" ca="1" si="202"/>
        <v>0</v>
      </c>
      <c r="BR234" s="34">
        <f t="shared" ca="1" si="202"/>
        <v>0</v>
      </c>
      <c r="BS234" s="34">
        <f t="shared" ca="1" si="202"/>
        <v>0</v>
      </c>
      <c r="BT234" s="34">
        <f t="shared" ca="1" si="202"/>
        <v>0</v>
      </c>
      <c r="BU234" s="34">
        <f t="shared" ca="1" si="202"/>
        <v>0</v>
      </c>
      <c r="BV234" s="34">
        <f t="shared" ca="1" si="203"/>
        <v>0</v>
      </c>
      <c r="BW234" s="34">
        <f t="shared" ca="1" si="203"/>
        <v>0</v>
      </c>
      <c r="BX234" s="34">
        <f t="shared" ca="1" si="203"/>
        <v>0</v>
      </c>
      <c r="BY234" s="34">
        <f t="shared" ca="1" si="203"/>
        <v>0</v>
      </c>
      <c r="BZ234" s="34">
        <f t="shared" ca="1" si="203"/>
        <v>0</v>
      </c>
      <c r="CA234" s="34">
        <f t="shared" ca="1" si="203"/>
        <v>0</v>
      </c>
      <c r="CB234" s="34">
        <f t="shared" ca="1" si="203"/>
        <v>0</v>
      </c>
      <c r="CC234" s="34">
        <f t="shared" ca="1" si="203"/>
        <v>0</v>
      </c>
      <c r="CD234" s="34">
        <f t="shared" ca="1" si="203"/>
        <v>0</v>
      </c>
      <c r="CE234" s="34">
        <f t="shared" ca="1" si="203"/>
        <v>0</v>
      </c>
      <c r="CF234" s="34">
        <f t="shared" ca="1" si="204"/>
        <v>0</v>
      </c>
      <c r="CG234" s="34">
        <f t="shared" ca="1" si="204"/>
        <v>0</v>
      </c>
      <c r="CH234" s="34">
        <f t="shared" ca="1" si="204"/>
        <v>0</v>
      </c>
      <c r="CI234" s="34">
        <f t="shared" ca="1" si="204"/>
        <v>0</v>
      </c>
      <c r="CJ234" s="34">
        <f t="shared" ca="1" si="204"/>
        <v>0</v>
      </c>
      <c r="CK234" s="34">
        <f t="shared" ca="1" si="204"/>
        <v>0</v>
      </c>
      <c r="CL234" s="34">
        <f t="shared" ca="1" si="204"/>
        <v>0</v>
      </c>
      <c r="CM234" s="34">
        <f t="shared" ca="1" si="204"/>
        <v>0</v>
      </c>
      <c r="CN234" s="34">
        <f t="shared" ca="1" si="204"/>
        <v>0</v>
      </c>
      <c r="CO234" s="34">
        <f t="shared" ca="1" si="204"/>
        <v>0</v>
      </c>
      <c r="CP234" s="34">
        <f t="shared" ca="1" si="204"/>
        <v>0</v>
      </c>
      <c r="CQ234" s="34">
        <f t="shared" ca="1" si="220"/>
        <v>0</v>
      </c>
      <c r="CR234" s="363">
        <v>0</v>
      </c>
      <c r="CS234" s="34">
        <f t="shared" ca="1" si="221"/>
        <v>0</v>
      </c>
      <c r="CT234" s="233"/>
    </row>
    <row r="235" spans="2:98" x14ac:dyDescent="0.3">
      <c r="B235" s="232"/>
      <c r="C235" s="250">
        <f t="shared" si="222"/>
        <v>2019</v>
      </c>
      <c r="D235" s="263">
        <f t="shared" ca="1" si="205"/>
        <v>0</v>
      </c>
      <c r="E235" s="263">
        <f t="shared" ca="1" si="189"/>
        <v>0</v>
      </c>
      <c r="F235" s="263">
        <f t="shared" ca="1" si="190"/>
        <v>0</v>
      </c>
      <c r="G235" s="263">
        <f t="shared" ca="1" si="206"/>
        <v>0</v>
      </c>
      <c r="H235" s="15"/>
      <c r="I235" s="271">
        <f ca="1">Assumptions!O$68</f>
        <v>4.5</v>
      </c>
      <c r="J235" s="271">
        <f ca="1">Assumptions!P$68</f>
        <v>80</v>
      </c>
      <c r="K235" s="271">
        <f t="shared" ca="1" si="191"/>
        <v>40</v>
      </c>
      <c r="L235" s="15"/>
      <c r="M235" s="35">
        <f t="shared" ca="1" si="207"/>
        <v>4.2299999999999995</v>
      </c>
      <c r="N235" s="35">
        <f t="shared" ca="1" si="192"/>
        <v>64</v>
      </c>
      <c r="O235" s="35">
        <f t="shared" ca="1" si="193"/>
        <v>32</v>
      </c>
      <c r="P235" s="15"/>
      <c r="Q235" s="34">
        <f t="shared" ca="1" si="208"/>
        <v>0</v>
      </c>
      <c r="R235" s="34">
        <f t="shared" ca="1" si="208"/>
        <v>0</v>
      </c>
      <c r="S235" s="34">
        <f t="shared" ca="1" si="208"/>
        <v>0</v>
      </c>
      <c r="T235" s="34">
        <f t="shared" ca="1" si="209"/>
        <v>0</v>
      </c>
      <c r="U235" s="15"/>
      <c r="V235" s="35">
        <f t="shared" si="210"/>
        <v>0.7</v>
      </c>
      <c r="W235" s="34">
        <f t="shared" ca="1" si="211"/>
        <v>0</v>
      </c>
      <c r="X235" s="35">
        <f t="shared" si="212"/>
        <v>0.222</v>
      </c>
      <c r="Y235" s="34">
        <f t="shared" ca="1" si="213"/>
        <v>0</v>
      </c>
      <c r="Z235" s="35">
        <f t="shared" si="214"/>
        <v>0.34799999999999998</v>
      </c>
      <c r="AA235" s="34">
        <f t="shared" ca="1" si="215"/>
        <v>0</v>
      </c>
      <c r="AB235" s="34">
        <f t="shared" ca="1" si="216"/>
        <v>0</v>
      </c>
      <c r="AC235" s="15"/>
      <c r="AD235" s="34">
        <f t="shared" ca="1" si="217"/>
        <v>0</v>
      </c>
      <c r="AE235" s="34">
        <f ca="1"/>
        <v>0</v>
      </c>
      <c r="AF235" s="34">
        <f t="shared" ca="1" si="218"/>
        <v>0</v>
      </c>
      <c r="AG235" s="15"/>
      <c r="AH235" s="272">
        <f t="shared" si="223"/>
        <v>43830</v>
      </c>
      <c r="AI235" s="267">
        <f t="shared" si="194"/>
        <v>5.666666666666667</v>
      </c>
      <c r="AJ235" s="267">
        <f t="shared" si="195"/>
        <v>0.58269521368802246</v>
      </c>
      <c r="AK235" s="34">
        <f t="shared" ca="1" si="224"/>
        <v>0</v>
      </c>
      <c r="AL235" s="233"/>
      <c r="AN235" s="232"/>
      <c r="AO235" s="407">
        <f t="shared" si="219"/>
        <v>6</v>
      </c>
      <c r="AP235" s="34">
        <f t="shared" ca="1" si="219"/>
        <v>0</v>
      </c>
      <c r="AQ235" s="34">
        <f t="shared" ca="1" si="219"/>
        <v>6.3976146974999999</v>
      </c>
      <c r="AR235" s="34">
        <f t="shared" ca="1" si="219"/>
        <v>0</v>
      </c>
      <c r="AS235" s="34">
        <f t="shared" ca="1" si="219"/>
        <v>38.385688184999999</v>
      </c>
      <c r="AT235" s="15"/>
      <c r="AW235" s="34">
        <f t="shared" ca="1" si="197"/>
        <v>0</v>
      </c>
      <c r="AX235" s="34">
        <f t="shared" ca="1" si="198"/>
        <v>5.2780321254375</v>
      </c>
      <c r="AY235" s="34">
        <f t="shared" ca="1" si="199"/>
        <v>0</v>
      </c>
      <c r="AZ235" s="34">
        <f t="shared" ca="1" si="200"/>
        <v>31.668192752624996</v>
      </c>
      <c r="BB235" s="34">
        <f t="shared" ca="1" si="201"/>
        <v>0</v>
      </c>
      <c r="BC235" s="34">
        <f t="shared" ca="1" si="201"/>
        <v>0</v>
      </c>
      <c r="BD235" s="34">
        <f t="shared" ca="1" si="201"/>
        <v>0</v>
      </c>
      <c r="BE235" s="34">
        <f t="shared" ca="1" si="201"/>
        <v>0</v>
      </c>
      <c r="BF235" s="34">
        <f t="shared" ca="1" si="201"/>
        <v>0</v>
      </c>
      <c r="BG235" s="34">
        <f t="shared" ca="1" si="201"/>
        <v>0</v>
      </c>
      <c r="BH235" s="34">
        <f t="shared" ca="1" si="201"/>
        <v>0</v>
      </c>
      <c r="BI235" s="34">
        <f t="shared" ca="1" si="201"/>
        <v>0</v>
      </c>
      <c r="BJ235" s="34">
        <f t="shared" ca="1" si="201"/>
        <v>0</v>
      </c>
      <c r="BK235" s="34">
        <f t="shared" ca="1" si="201"/>
        <v>0</v>
      </c>
      <c r="BL235" s="34">
        <f t="shared" ca="1" si="202"/>
        <v>0</v>
      </c>
      <c r="BM235" s="34">
        <f t="shared" ca="1" si="202"/>
        <v>0</v>
      </c>
      <c r="BN235" s="34">
        <f t="shared" ca="1" si="202"/>
        <v>0</v>
      </c>
      <c r="BO235" s="34">
        <f t="shared" ca="1" si="202"/>
        <v>0</v>
      </c>
      <c r="BP235" s="34">
        <f t="shared" ca="1" si="202"/>
        <v>0</v>
      </c>
      <c r="BQ235" s="34">
        <f t="shared" ca="1" si="202"/>
        <v>0</v>
      </c>
      <c r="BR235" s="34">
        <f t="shared" ca="1" si="202"/>
        <v>0</v>
      </c>
      <c r="BS235" s="34">
        <f t="shared" ca="1" si="202"/>
        <v>0</v>
      </c>
      <c r="BT235" s="34">
        <f t="shared" ca="1" si="202"/>
        <v>0</v>
      </c>
      <c r="BU235" s="34">
        <f t="shared" ca="1" si="202"/>
        <v>0</v>
      </c>
      <c r="BV235" s="34">
        <f t="shared" ca="1" si="203"/>
        <v>0</v>
      </c>
      <c r="BW235" s="34">
        <f t="shared" ca="1" si="203"/>
        <v>0</v>
      </c>
      <c r="BX235" s="34">
        <f t="shared" ca="1" si="203"/>
        <v>0</v>
      </c>
      <c r="BY235" s="34">
        <f t="shared" ca="1" si="203"/>
        <v>0</v>
      </c>
      <c r="BZ235" s="34">
        <f t="shared" ca="1" si="203"/>
        <v>0</v>
      </c>
      <c r="CA235" s="34">
        <f t="shared" ca="1" si="203"/>
        <v>0</v>
      </c>
      <c r="CB235" s="34">
        <f t="shared" ca="1" si="203"/>
        <v>0</v>
      </c>
      <c r="CC235" s="34">
        <f t="shared" ca="1" si="203"/>
        <v>0</v>
      </c>
      <c r="CD235" s="34">
        <f t="shared" ca="1" si="203"/>
        <v>0</v>
      </c>
      <c r="CE235" s="34">
        <f t="shared" ca="1" si="203"/>
        <v>0</v>
      </c>
      <c r="CF235" s="34">
        <f t="shared" ca="1" si="204"/>
        <v>0</v>
      </c>
      <c r="CG235" s="34">
        <f t="shared" ca="1" si="204"/>
        <v>0</v>
      </c>
      <c r="CH235" s="34">
        <f t="shared" ca="1" si="204"/>
        <v>0</v>
      </c>
      <c r="CI235" s="34">
        <f t="shared" ca="1" si="204"/>
        <v>0</v>
      </c>
      <c r="CJ235" s="34">
        <f t="shared" ca="1" si="204"/>
        <v>0</v>
      </c>
      <c r="CK235" s="34">
        <f t="shared" ca="1" si="204"/>
        <v>0</v>
      </c>
      <c r="CL235" s="34">
        <f t="shared" ca="1" si="204"/>
        <v>0</v>
      </c>
      <c r="CM235" s="34">
        <f t="shared" ca="1" si="204"/>
        <v>0</v>
      </c>
      <c r="CN235" s="34">
        <f t="shared" ca="1" si="204"/>
        <v>0</v>
      </c>
      <c r="CO235" s="34">
        <f t="shared" ca="1" si="204"/>
        <v>0</v>
      </c>
      <c r="CP235" s="34">
        <f t="shared" ca="1" si="204"/>
        <v>0</v>
      </c>
      <c r="CQ235" s="34">
        <f t="shared" ca="1" si="220"/>
        <v>0</v>
      </c>
      <c r="CR235" s="363">
        <v>0</v>
      </c>
      <c r="CS235" s="34">
        <f t="shared" ca="1" si="221"/>
        <v>0</v>
      </c>
      <c r="CT235" s="233"/>
    </row>
    <row r="236" spans="2:98" x14ac:dyDescent="0.3">
      <c r="B236" s="232"/>
      <c r="C236" s="250">
        <f t="shared" si="222"/>
        <v>2020</v>
      </c>
      <c r="D236" s="263">
        <f t="shared" ca="1" si="205"/>
        <v>0</v>
      </c>
      <c r="E236" s="263">
        <f t="shared" ca="1" si="189"/>
        <v>106.43564249999999</v>
      </c>
      <c r="F236" s="263">
        <f t="shared" ca="1" si="190"/>
        <v>0</v>
      </c>
      <c r="G236" s="263">
        <f t="shared" ca="1" si="206"/>
        <v>638.61385499999994</v>
      </c>
      <c r="H236" s="15"/>
      <c r="I236" s="271">
        <f ca="1">Assumptions!O$68</f>
        <v>4.5</v>
      </c>
      <c r="J236" s="271">
        <f ca="1">Assumptions!P$68</f>
        <v>80</v>
      </c>
      <c r="K236" s="271">
        <f t="shared" ca="1" si="191"/>
        <v>40</v>
      </c>
      <c r="L236" s="15"/>
      <c r="M236" s="35">
        <f t="shared" ca="1" si="207"/>
        <v>4.2299999999999995</v>
      </c>
      <c r="N236" s="35">
        <f t="shared" ca="1" si="192"/>
        <v>64</v>
      </c>
      <c r="O236" s="35">
        <f t="shared" ca="1" si="193"/>
        <v>32</v>
      </c>
      <c r="P236" s="15"/>
      <c r="Q236" s="34">
        <f t="shared" ca="1" si="208"/>
        <v>0</v>
      </c>
      <c r="R236" s="34">
        <f t="shared" ca="1" si="208"/>
        <v>6811.8811199999991</v>
      </c>
      <c r="S236" s="34">
        <f t="shared" ca="1" si="208"/>
        <v>0</v>
      </c>
      <c r="T236" s="34">
        <f t="shared" ca="1" si="209"/>
        <v>6811.8811199999991</v>
      </c>
      <c r="U236" s="15"/>
      <c r="V236" s="35">
        <f t="shared" si="210"/>
        <v>0.7</v>
      </c>
      <c r="W236" s="34">
        <f t="shared" ca="1" si="211"/>
        <v>541.85417999999993</v>
      </c>
      <c r="X236" s="35">
        <f t="shared" si="212"/>
        <v>0.222</v>
      </c>
      <c r="Y236" s="34">
        <f t="shared" ca="1" si="213"/>
        <v>171.8451828</v>
      </c>
      <c r="Z236" s="35">
        <f t="shared" si="214"/>
        <v>0.34799999999999998</v>
      </c>
      <c r="AA236" s="34">
        <f t="shared" ca="1" si="215"/>
        <v>269.37893519999994</v>
      </c>
      <c r="AB236" s="34">
        <f t="shared" ca="1" si="216"/>
        <v>983.0782979999999</v>
      </c>
      <c r="AC236" s="15"/>
      <c r="AD236" s="34">
        <f t="shared" ca="1" si="217"/>
        <v>5828.8028219999997</v>
      </c>
      <c r="AE236" s="34">
        <f ca="1"/>
        <v>5736.5739130434777</v>
      </c>
      <c r="AF236" s="34">
        <f t="shared" ca="1" si="218"/>
        <v>92.228908956521991</v>
      </c>
      <c r="AG236" s="15"/>
      <c r="AH236" s="272">
        <f t="shared" si="223"/>
        <v>44196</v>
      </c>
      <c r="AI236" s="267">
        <f t="shared" si="194"/>
        <v>6.666666666666667</v>
      </c>
      <c r="AJ236" s="267">
        <f t="shared" si="195"/>
        <v>0.52972292153456579</v>
      </c>
      <c r="AK236" s="34">
        <f t="shared" ca="1" si="224"/>
        <v>48.85576710239431</v>
      </c>
      <c r="AL236" s="233"/>
      <c r="AN236" s="232"/>
      <c r="AO236" s="407">
        <f t="shared" si="219"/>
        <v>7</v>
      </c>
      <c r="AP236" s="34">
        <f t="shared" ca="1" si="219"/>
        <v>0</v>
      </c>
      <c r="AQ236" s="34">
        <f t="shared" ca="1" si="219"/>
        <v>5.7578532277500001</v>
      </c>
      <c r="AR236" s="34">
        <f t="shared" ca="1" si="219"/>
        <v>0</v>
      </c>
      <c r="AS236" s="34">
        <f t="shared" ca="1" si="219"/>
        <v>34.547119366499999</v>
      </c>
      <c r="AT236" s="15"/>
      <c r="AW236" s="34">
        <f t="shared" ca="1" si="197"/>
        <v>0</v>
      </c>
      <c r="AX236" s="34">
        <f t="shared" ca="1" si="198"/>
        <v>4.7502289128937498</v>
      </c>
      <c r="AY236" s="34">
        <f t="shared" ca="1" si="199"/>
        <v>0</v>
      </c>
      <c r="AZ236" s="34">
        <f t="shared" ca="1" si="200"/>
        <v>28.501373477362499</v>
      </c>
      <c r="BB236" s="34">
        <f t="shared" ca="1" si="201"/>
        <v>0</v>
      </c>
      <c r="BC236" s="34">
        <f t="shared" ca="1" si="201"/>
        <v>0</v>
      </c>
      <c r="BD236" s="34">
        <f t="shared" ca="1" si="201"/>
        <v>0</v>
      </c>
      <c r="BE236" s="34">
        <f t="shared" ca="1" si="201"/>
        <v>0</v>
      </c>
      <c r="BF236" s="34">
        <f t="shared" ca="1" si="201"/>
        <v>0</v>
      </c>
      <c r="BG236" s="34">
        <f t="shared" ca="1" si="201"/>
        <v>0</v>
      </c>
      <c r="BH236" s="34">
        <f t="shared" ca="1" si="201"/>
        <v>0</v>
      </c>
      <c r="BI236" s="34">
        <f t="shared" ca="1" si="201"/>
        <v>6386.1385499999988</v>
      </c>
      <c r="BJ236" s="34">
        <f t="shared" ca="1" si="201"/>
        <v>0</v>
      </c>
      <c r="BK236" s="34">
        <f t="shared" ca="1" si="201"/>
        <v>0</v>
      </c>
      <c r="BL236" s="34">
        <f t="shared" ca="1" si="202"/>
        <v>0</v>
      </c>
      <c r="BM236" s="34">
        <f t="shared" ca="1" si="202"/>
        <v>0</v>
      </c>
      <c r="BN236" s="34">
        <f t="shared" ca="1" si="202"/>
        <v>0</v>
      </c>
      <c r="BO236" s="34">
        <f t="shared" ca="1" si="202"/>
        <v>0</v>
      </c>
      <c r="BP236" s="34">
        <f t="shared" ca="1" si="202"/>
        <v>0</v>
      </c>
      <c r="BQ236" s="34">
        <f t="shared" ca="1" si="202"/>
        <v>0</v>
      </c>
      <c r="BR236" s="34">
        <f t="shared" ca="1" si="202"/>
        <v>0</v>
      </c>
      <c r="BS236" s="34">
        <f t="shared" ca="1" si="202"/>
        <v>0</v>
      </c>
      <c r="BT236" s="34">
        <f t="shared" ca="1" si="202"/>
        <v>0</v>
      </c>
      <c r="BU236" s="34">
        <f t="shared" ca="1" si="202"/>
        <v>0</v>
      </c>
      <c r="BV236" s="34">
        <f t="shared" ca="1" si="203"/>
        <v>0</v>
      </c>
      <c r="BW236" s="34">
        <f t="shared" ca="1" si="203"/>
        <v>0</v>
      </c>
      <c r="BX236" s="34">
        <f t="shared" ca="1" si="203"/>
        <v>0</v>
      </c>
      <c r="BY236" s="34">
        <f t="shared" ca="1" si="203"/>
        <v>0</v>
      </c>
      <c r="BZ236" s="34">
        <f t="shared" ca="1" si="203"/>
        <v>0</v>
      </c>
      <c r="CA236" s="34">
        <f t="shared" ca="1" si="203"/>
        <v>0</v>
      </c>
      <c r="CB236" s="34">
        <f t="shared" ca="1" si="203"/>
        <v>0</v>
      </c>
      <c r="CC236" s="34">
        <f t="shared" ca="1" si="203"/>
        <v>0</v>
      </c>
      <c r="CD236" s="34">
        <f t="shared" ca="1" si="203"/>
        <v>0</v>
      </c>
      <c r="CE236" s="34">
        <f t="shared" ca="1" si="203"/>
        <v>0</v>
      </c>
      <c r="CF236" s="34">
        <f t="shared" ca="1" si="204"/>
        <v>0</v>
      </c>
      <c r="CG236" s="34">
        <f t="shared" ca="1" si="204"/>
        <v>0</v>
      </c>
      <c r="CH236" s="34">
        <f t="shared" ca="1" si="204"/>
        <v>0</v>
      </c>
      <c r="CI236" s="34">
        <f t="shared" ca="1" si="204"/>
        <v>0</v>
      </c>
      <c r="CJ236" s="34">
        <f t="shared" ca="1" si="204"/>
        <v>0</v>
      </c>
      <c r="CK236" s="34">
        <f t="shared" ca="1" si="204"/>
        <v>0</v>
      </c>
      <c r="CL236" s="34">
        <f t="shared" ca="1" si="204"/>
        <v>0</v>
      </c>
      <c r="CM236" s="34">
        <f t="shared" ca="1" si="204"/>
        <v>0</v>
      </c>
      <c r="CN236" s="34">
        <f t="shared" ca="1" si="204"/>
        <v>0</v>
      </c>
      <c r="CO236" s="34">
        <f t="shared" ca="1" si="204"/>
        <v>0</v>
      </c>
      <c r="CP236" s="34">
        <f t="shared" ca="1" si="204"/>
        <v>0</v>
      </c>
      <c r="CQ236" s="34">
        <f t="shared" ca="1" si="220"/>
        <v>6386.1385499999988</v>
      </c>
      <c r="CR236" s="363">
        <v>0</v>
      </c>
      <c r="CS236" s="34">
        <f t="shared" ca="1" si="221"/>
        <v>6386.1385499999988</v>
      </c>
      <c r="CT236" s="233"/>
    </row>
    <row r="237" spans="2:98" x14ac:dyDescent="0.3">
      <c r="B237" s="232"/>
      <c r="C237" s="250">
        <f t="shared" si="222"/>
        <v>2021</v>
      </c>
      <c r="D237" s="263">
        <f t="shared" ca="1" si="205"/>
        <v>0</v>
      </c>
      <c r="E237" s="263">
        <f t="shared" ca="1" si="189"/>
        <v>169.55445374999996</v>
      </c>
      <c r="F237" s="263">
        <f t="shared" ca="1" si="190"/>
        <v>0</v>
      </c>
      <c r="G237" s="263">
        <f t="shared" ca="1" si="206"/>
        <v>1017.3267224999998</v>
      </c>
      <c r="H237" s="15"/>
      <c r="I237" s="271">
        <f ca="1">Assumptions!O$68</f>
        <v>4.5</v>
      </c>
      <c r="J237" s="271">
        <f ca="1">Assumptions!P$68</f>
        <v>80</v>
      </c>
      <c r="K237" s="271">
        <f t="shared" ca="1" si="191"/>
        <v>40</v>
      </c>
      <c r="L237" s="15"/>
      <c r="M237" s="35">
        <f t="shared" ca="1" si="207"/>
        <v>4.2299999999999995</v>
      </c>
      <c r="N237" s="35">
        <f t="shared" ca="1" si="192"/>
        <v>64</v>
      </c>
      <c r="O237" s="35">
        <f t="shared" ca="1" si="193"/>
        <v>32</v>
      </c>
      <c r="P237" s="15"/>
      <c r="Q237" s="34">
        <f t="shared" ca="1" si="208"/>
        <v>0</v>
      </c>
      <c r="R237" s="34">
        <f t="shared" ca="1" si="208"/>
        <v>10851.485039999998</v>
      </c>
      <c r="S237" s="34">
        <f t="shared" ca="1" si="208"/>
        <v>0</v>
      </c>
      <c r="T237" s="34">
        <f t="shared" ca="1" si="209"/>
        <v>10851.485039999998</v>
      </c>
      <c r="U237" s="15"/>
      <c r="V237" s="35">
        <f t="shared" si="210"/>
        <v>0.7</v>
      </c>
      <c r="W237" s="34">
        <f t="shared" ca="1" si="211"/>
        <v>863.18630999999993</v>
      </c>
      <c r="X237" s="35">
        <f t="shared" si="212"/>
        <v>0.222</v>
      </c>
      <c r="Y237" s="34">
        <f t="shared" ca="1" si="213"/>
        <v>273.75337259999998</v>
      </c>
      <c r="Z237" s="35">
        <f t="shared" si="214"/>
        <v>0.34799999999999998</v>
      </c>
      <c r="AA237" s="34">
        <f t="shared" ca="1" si="215"/>
        <v>429.12690839999993</v>
      </c>
      <c r="AB237" s="34">
        <f t="shared" ca="1" si="216"/>
        <v>1566.0665909999998</v>
      </c>
      <c r="AC237" s="15"/>
      <c r="AD237" s="34">
        <f t="shared" ca="1" si="217"/>
        <v>9285.4184489999971</v>
      </c>
      <c r="AE237" s="34">
        <f ca="1"/>
        <v>6270.2086956521734</v>
      </c>
      <c r="AF237" s="34">
        <f t="shared" ca="1" si="218"/>
        <v>3015.2097533478236</v>
      </c>
      <c r="AG237" s="15"/>
      <c r="AH237" s="272">
        <f t="shared" si="223"/>
        <v>44561</v>
      </c>
      <c r="AI237" s="267">
        <f t="shared" si="194"/>
        <v>7.6666666666666661</v>
      </c>
      <c r="AJ237" s="267">
        <f t="shared" si="195"/>
        <v>0.48156629230415066</v>
      </c>
      <c r="AK237" s="34">
        <f t="shared" ca="1" si="224"/>
        <v>1452.023381439024</v>
      </c>
      <c r="AL237" s="233"/>
      <c r="AN237" s="232"/>
      <c r="AO237" s="407">
        <f t="shared" si="219"/>
        <v>8</v>
      </c>
      <c r="AP237" s="34">
        <f t="shared" ca="1" si="219"/>
        <v>0</v>
      </c>
      <c r="AQ237" s="34">
        <f t="shared" ca="1" si="219"/>
        <v>5.1820679049749998</v>
      </c>
      <c r="AR237" s="34">
        <f t="shared" ca="1" si="219"/>
        <v>0</v>
      </c>
      <c r="AS237" s="34">
        <f t="shared" ca="1" si="219"/>
        <v>31.092407429849999</v>
      </c>
      <c r="AT237" s="15"/>
      <c r="AW237" s="34">
        <f t="shared" ca="1" si="197"/>
        <v>0</v>
      </c>
      <c r="AX237" s="34">
        <f t="shared" ca="1" si="198"/>
        <v>4.275206021604375</v>
      </c>
      <c r="AY237" s="34">
        <f t="shared" ca="1" si="199"/>
        <v>0</v>
      </c>
      <c r="AZ237" s="34">
        <f t="shared" ca="1" si="200"/>
        <v>25.651236129626248</v>
      </c>
      <c r="BB237" s="34">
        <f t="shared" ca="1" si="201"/>
        <v>0</v>
      </c>
      <c r="BC237" s="34">
        <f t="shared" ca="1" si="201"/>
        <v>0</v>
      </c>
      <c r="BD237" s="34">
        <f t="shared" ca="1" si="201"/>
        <v>0</v>
      </c>
      <c r="BE237" s="34">
        <f t="shared" ca="1" si="201"/>
        <v>0</v>
      </c>
      <c r="BF237" s="34">
        <f t="shared" ca="1" si="201"/>
        <v>0</v>
      </c>
      <c r="BG237" s="34">
        <f t="shared" ca="1" si="201"/>
        <v>0</v>
      </c>
      <c r="BH237" s="34">
        <f t="shared" ca="1" si="201"/>
        <v>0</v>
      </c>
      <c r="BI237" s="34">
        <f t="shared" ca="1" si="201"/>
        <v>3193.0692749999994</v>
      </c>
      <c r="BJ237" s="34">
        <f t="shared" ca="1" si="201"/>
        <v>6980.1979499999989</v>
      </c>
      <c r="BK237" s="34">
        <f t="shared" ca="1" si="201"/>
        <v>0</v>
      </c>
      <c r="BL237" s="34">
        <f t="shared" ca="1" si="202"/>
        <v>0</v>
      </c>
      <c r="BM237" s="34">
        <f t="shared" ca="1" si="202"/>
        <v>0</v>
      </c>
      <c r="BN237" s="34">
        <f t="shared" ca="1" si="202"/>
        <v>0</v>
      </c>
      <c r="BO237" s="34">
        <f t="shared" ca="1" si="202"/>
        <v>0</v>
      </c>
      <c r="BP237" s="34">
        <f t="shared" ca="1" si="202"/>
        <v>0</v>
      </c>
      <c r="BQ237" s="34">
        <f t="shared" ca="1" si="202"/>
        <v>0</v>
      </c>
      <c r="BR237" s="34">
        <f t="shared" ca="1" si="202"/>
        <v>0</v>
      </c>
      <c r="BS237" s="34">
        <f t="shared" ca="1" si="202"/>
        <v>0</v>
      </c>
      <c r="BT237" s="34">
        <f t="shared" ca="1" si="202"/>
        <v>0</v>
      </c>
      <c r="BU237" s="34">
        <f t="shared" ca="1" si="202"/>
        <v>0</v>
      </c>
      <c r="BV237" s="34">
        <f t="shared" ca="1" si="203"/>
        <v>0</v>
      </c>
      <c r="BW237" s="34">
        <f t="shared" ca="1" si="203"/>
        <v>0</v>
      </c>
      <c r="BX237" s="34">
        <f t="shared" ca="1" si="203"/>
        <v>0</v>
      </c>
      <c r="BY237" s="34">
        <f t="shared" ca="1" si="203"/>
        <v>0</v>
      </c>
      <c r="BZ237" s="34">
        <f t="shared" ca="1" si="203"/>
        <v>0</v>
      </c>
      <c r="CA237" s="34">
        <f t="shared" ca="1" si="203"/>
        <v>0</v>
      </c>
      <c r="CB237" s="34">
        <f t="shared" ca="1" si="203"/>
        <v>0</v>
      </c>
      <c r="CC237" s="34">
        <f t="shared" ca="1" si="203"/>
        <v>0</v>
      </c>
      <c r="CD237" s="34">
        <f t="shared" ca="1" si="203"/>
        <v>0</v>
      </c>
      <c r="CE237" s="34">
        <f t="shared" ca="1" si="203"/>
        <v>0</v>
      </c>
      <c r="CF237" s="34">
        <f t="shared" ca="1" si="204"/>
        <v>0</v>
      </c>
      <c r="CG237" s="34">
        <f t="shared" ca="1" si="204"/>
        <v>0</v>
      </c>
      <c r="CH237" s="34">
        <f t="shared" ca="1" si="204"/>
        <v>0</v>
      </c>
      <c r="CI237" s="34">
        <f t="shared" ca="1" si="204"/>
        <v>0</v>
      </c>
      <c r="CJ237" s="34">
        <f t="shared" ca="1" si="204"/>
        <v>0</v>
      </c>
      <c r="CK237" s="34">
        <f t="shared" ca="1" si="204"/>
        <v>0</v>
      </c>
      <c r="CL237" s="34">
        <f t="shared" ca="1" si="204"/>
        <v>0</v>
      </c>
      <c r="CM237" s="34">
        <f t="shared" ca="1" si="204"/>
        <v>0</v>
      </c>
      <c r="CN237" s="34">
        <f t="shared" ca="1" si="204"/>
        <v>0</v>
      </c>
      <c r="CO237" s="34">
        <f t="shared" ca="1" si="204"/>
        <v>0</v>
      </c>
      <c r="CP237" s="34">
        <f t="shared" ca="1" si="204"/>
        <v>0</v>
      </c>
      <c r="CQ237" s="34">
        <f t="shared" ca="1" si="220"/>
        <v>10173.267224999998</v>
      </c>
      <c r="CR237" s="363">
        <v>0</v>
      </c>
      <c r="CS237" s="34">
        <f t="shared" ca="1" si="221"/>
        <v>10173.267224999998</v>
      </c>
      <c r="CT237" s="233"/>
    </row>
    <row r="238" spans="2:98" x14ac:dyDescent="0.3">
      <c r="B238" s="232"/>
      <c r="C238" s="250">
        <f t="shared" si="222"/>
        <v>2022</v>
      </c>
      <c r="D238" s="263">
        <f t="shared" ca="1" si="205"/>
        <v>0</v>
      </c>
      <c r="E238" s="263">
        <f t="shared" ca="1" si="189"/>
        <v>209.09653256249999</v>
      </c>
      <c r="F238" s="263">
        <f t="shared" ca="1" si="190"/>
        <v>0</v>
      </c>
      <c r="G238" s="263">
        <f t="shared" ca="1" si="206"/>
        <v>1254.5791953749999</v>
      </c>
      <c r="H238" s="15"/>
      <c r="I238" s="271">
        <f ca="1">Assumptions!O$68</f>
        <v>4.5</v>
      </c>
      <c r="J238" s="271">
        <f ca="1">Assumptions!P$68</f>
        <v>80</v>
      </c>
      <c r="K238" s="271">
        <f t="shared" ca="1" si="191"/>
        <v>40</v>
      </c>
      <c r="L238" s="15"/>
      <c r="M238" s="35">
        <f t="shared" ca="1" si="207"/>
        <v>4.2299999999999995</v>
      </c>
      <c r="N238" s="35">
        <f t="shared" ca="1" si="192"/>
        <v>64</v>
      </c>
      <c r="O238" s="35">
        <f t="shared" ca="1" si="193"/>
        <v>32</v>
      </c>
      <c r="P238" s="15"/>
      <c r="Q238" s="34">
        <f t="shared" ca="1" si="208"/>
        <v>0</v>
      </c>
      <c r="R238" s="34">
        <f t="shared" ca="1" si="208"/>
        <v>13382.178083999999</v>
      </c>
      <c r="S238" s="34">
        <f t="shared" ca="1" si="208"/>
        <v>0</v>
      </c>
      <c r="T238" s="34">
        <f t="shared" ca="1" si="209"/>
        <v>13382.178083999999</v>
      </c>
      <c r="U238" s="15"/>
      <c r="V238" s="35">
        <f t="shared" si="210"/>
        <v>0.7</v>
      </c>
      <c r="W238" s="34">
        <f t="shared" ca="1" si="211"/>
        <v>1064.4914385</v>
      </c>
      <c r="X238" s="35">
        <f t="shared" si="212"/>
        <v>0.222</v>
      </c>
      <c r="Y238" s="34">
        <f t="shared" ca="1" si="213"/>
        <v>337.59585621000002</v>
      </c>
      <c r="Z238" s="35">
        <f t="shared" si="214"/>
        <v>0.34799999999999998</v>
      </c>
      <c r="AA238" s="34">
        <f t="shared" ca="1" si="215"/>
        <v>529.20431513999995</v>
      </c>
      <c r="AB238" s="34">
        <f t="shared" ca="1" si="216"/>
        <v>1931.29160985</v>
      </c>
      <c r="AC238" s="15"/>
      <c r="AD238" s="34">
        <f t="shared" ca="1" si="217"/>
        <v>11450.88647415</v>
      </c>
      <c r="AE238" s="34">
        <f ca="1"/>
        <v>6270.2086956521734</v>
      </c>
      <c r="AF238" s="34">
        <f t="shared" ca="1" si="218"/>
        <v>5180.6777784978267</v>
      </c>
      <c r="AG238" s="15"/>
      <c r="AH238" s="272">
        <f t="shared" si="223"/>
        <v>44926</v>
      </c>
      <c r="AI238" s="267">
        <f t="shared" si="194"/>
        <v>8.6666666666666661</v>
      </c>
      <c r="AJ238" s="267">
        <f t="shared" si="195"/>
        <v>0.4377875384583188</v>
      </c>
      <c r="AK238" s="34">
        <f t="shared" ca="1" si="224"/>
        <v>2268.036172194275</v>
      </c>
      <c r="AL238" s="233"/>
      <c r="AN238" s="232"/>
      <c r="AO238" s="407">
        <f t="shared" si="219"/>
        <v>9</v>
      </c>
      <c r="AP238" s="34">
        <f t="shared" ca="1" si="219"/>
        <v>0</v>
      </c>
      <c r="AQ238" s="34">
        <f t="shared" ca="1" si="219"/>
        <v>4.6638611144775002</v>
      </c>
      <c r="AR238" s="34">
        <f t="shared" ca="1" si="219"/>
        <v>0</v>
      </c>
      <c r="AS238" s="34">
        <f t="shared" ca="1" si="219"/>
        <v>27.983166686865001</v>
      </c>
      <c r="AT238" s="15"/>
      <c r="AW238" s="34">
        <f t="shared" ca="1" si="197"/>
        <v>0</v>
      </c>
      <c r="AX238" s="34">
        <f t="shared" ca="1" si="198"/>
        <v>3.8476854194439376</v>
      </c>
      <c r="AY238" s="34">
        <f t="shared" ca="1" si="199"/>
        <v>0</v>
      </c>
      <c r="AZ238" s="34">
        <f t="shared" ca="1" si="200"/>
        <v>23.086112516663626</v>
      </c>
      <c r="BB238" s="34">
        <f t="shared" ca="1" si="201"/>
        <v>0</v>
      </c>
      <c r="BC238" s="34">
        <f t="shared" ca="1" si="201"/>
        <v>0</v>
      </c>
      <c r="BD238" s="34">
        <f t="shared" ca="1" si="201"/>
        <v>0</v>
      </c>
      <c r="BE238" s="34">
        <f t="shared" ca="1" si="201"/>
        <v>0</v>
      </c>
      <c r="BF238" s="34">
        <f t="shared" ca="1" si="201"/>
        <v>0</v>
      </c>
      <c r="BG238" s="34">
        <f t="shared" ca="1" si="201"/>
        <v>0</v>
      </c>
      <c r="BH238" s="34">
        <f t="shared" ca="1" si="201"/>
        <v>0</v>
      </c>
      <c r="BI238" s="34">
        <f t="shared" ca="1" si="201"/>
        <v>2075.4950287499996</v>
      </c>
      <c r="BJ238" s="34">
        <f t="shared" ca="1" si="201"/>
        <v>3490.0989749999994</v>
      </c>
      <c r="BK238" s="34">
        <f t="shared" ca="1" si="201"/>
        <v>6980.1979499999989</v>
      </c>
      <c r="BL238" s="34">
        <f t="shared" ca="1" si="202"/>
        <v>0</v>
      </c>
      <c r="BM238" s="34">
        <f t="shared" ca="1" si="202"/>
        <v>0</v>
      </c>
      <c r="BN238" s="34">
        <f t="shared" ca="1" si="202"/>
        <v>0</v>
      </c>
      <c r="BO238" s="34">
        <f t="shared" ca="1" si="202"/>
        <v>0</v>
      </c>
      <c r="BP238" s="34">
        <f t="shared" ca="1" si="202"/>
        <v>0</v>
      </c>
      <c r="BQ238" s="34">
        <f t="shared" ca="1" si="202"/>
        <v>0</v>
      </c>
      <c r="BR238" s="34">
        <f t="shared" ca="1" si="202"/>
        <v>0</v>
      </c>
      <c r="BS238" s="34">
        <f t="shared" ca="1" si="202"/>
        <v>0</v>
      </c>
      <c r="BT238" s="34">
        <f t="shared" ca="1" si="202"/>
        <v>0</v>
      </c>
      <c r="BU238" s="34">
        <f t="shared" ca="1" si="202"/>
        <v>0</v>
      </c>
      <c r="BV238" s="34">
        <f t="shared" ca="1" si="203"/>
        <v>0</v>
      </c>
      <c r="BW238" s="34">
        <f t="shared" ca="1" si="203"/>
        <v>0</v>
      </c>
      <c r="BX238" s="34">
        <f t="shared" ca="1" si="203"/>
        <v>0</v>
      </c>
      <c r="BY238" s="34">
        <f t="shared" ca="1" si="203"/>
        <v>0</v>
      </c>
      <c r="BZ238" s="34">
        <f t="shared" ca="1" si="203"/>
        <v>0</v>
      </c>
      <c r="CA238" s="34">
        <f t="shared" ca="1" si="203"/>
        <v>0</v>
      </c>
      <c r="CB238" s="34">
        <f t="shared" ca="1" si="203"/>
        <v>0</v>
      </c>
      <c r="CC238" s="34">
        <f t="shared" ca="1" si="203"/>
        <v>0</v>
      </c>
      <c r="CD238" s="34">
        <f t="shared" ca="1" si="203"/>
        <v>0</v>
      </c>
      <c r="CE238" s="34">
        <f t="shared" ca="1" si="203"/>
        <v>0</v>
      </c>
      <c r="CF238" s="34">
        <f t="shared" ca="1" si="204"/>
        <v>0</v>
      </c>
      <c r="CG238" s="34">
        <f t="shared" ca="1" si="204"/>
        <v>0</v>
      </c>
      <c r="CH238" s="34">
        <f t="shared" ca="1" si="204"/>
        <v>0</v>
      </c>
      <c r="CI238" s="34">
        <f t="shared" ca="1" si="204"/>
        <v>0</v>
      </c>
      <c r="CJ238" s="34">
        <f t="shared" ca="1" si="204"/>
        <v>0</v>
      </c>
      <c r="CK238" s="34">
        <f t="shared" ca="1" si="204"/>
        <v>0</v>
      </c>
      <c r="CL238" s="34">
        <f t="shared" ca="1" si="204"/>
        <v>0</v>
      </c>
      <c r="CM238" s="34">
        <f t="shared" ca="1" si="204"/>
        <v>0</v>
      </c>
      <c r="CN238" s="34">
        <f t="shared" ca="1" si="204"/>
        <v>0</v>
      </c>
      <c r="CO238" s="34">
        <f t="shared" ca="1" si="204"/>
        <v>0</v>
      </c>
      <c r="CP238" s="34">
        <f t="shared" ca="1" si="204"/>
        <v>0</v>
      </c>
      <c r="CQ238" s="34">
        <f t="shared" ca="1" si="220"/>
        <v>12545.791953749998</v>
      </c>
      <c r="CR238" s="363">
        <v>0</v>
      </c>
      <c r="CS238" s="34">
        <f t="shared" ca="1" si="221"/>
        <v>12545.791953749998</v>
      </c>
      <c r="CT238" s="233"/>
    </row>
    <row r="239" spans="2:98" x14ac:dyDescent="0.3">
      <c r="B239" s="232"/>
      <c r="C239" s="250">
        <f t="shared" si="222"/>
        <v>2023</v>
      </c>
      <c r="D239" s="263">
        <f t="shared" ca="1" si="205"/>
        <v>0</v>
      </c>
      <c r="E239" s="263">
        <f t="shared" ca="1" si="189"/>
        <v>243.44677974374997</v>
      </c>
      <c r="F239" s="263">
        <f t="shared" ca="1" si="190"/>
        <v>0</v>
      </c>
      <c r="G239" s="263">
        <f t="shared" ca="1" si="206"/>
        <v>1460.6806784624998</v>
      </c>
      <c r="H239" s="15"/>
      <c r="I239" s="271">
        <f ca="1">Assumptions!O$68</f>
        <v>4.5</v>
      </c>
      <c r="J239" s="271">
        <f ca="1">Assumptions!P$68</f>
        <v>80</v>
      </c>
      <c r="K239" s="271">
        <f t="shared" ca="1" si="191"/>
        <v>40</v>
      </c>
      <c r="L239" s="15"/>
      <c r="M239" s="35">
        <f t="shared" ca="1" si="207"/>
        <v>4.2299999999999995</v>
      </c>
      <c r="N239" s="35">
        <f t="shared" ca="1" si="192"/>
        <v>64</v>
      </c>
      <c r="O239" s="35">
        <f t="shared" ca="1" si="193"/>
        <v>32</v>
      </c>
      <c r="P239" s="15"/>
      <c r="Q239" s="34">
        <f t="shared" ca="1" si="208"/>
        <v>0</v>
      </c>
      <c r="R239" s="34">
        <f t="shared" ca="1" si="208"/>
        <v>15580.593903599998</v>
      </c>
      <c r="S239" s="34">
        <f t="shared" ca="1" si="208"/>
        <v>0</v>
      </c>
      <c r="T239" s="34">
        <f t="shared" ca="1" si="209"/>
        <v>15580.593903599998</v>
      </c>
      <c r="U239" s="15"/>
      <c r="V239" s="35">
        <f t="shared" si="210"/>
        <v>0.7</v>
      </c>
      <c r="W239" s="34">
        <f t="shared" ca="1" si="211"/>
        <v>1239.3654241499999</v>
      </c>
      <c r="X239" s="35">
        <f t="shared" si="212"/>
        <v>0.222</v>
      </c>
      <c r="Y239" s="34">
        <f t="shared" ca="1" si="213"/>
        <v>393.055891659</v>
      </c>
      <c r="Z239" s="35">
        <f t="shared" si="214"/>
        <v>0.34799999999999998</v>
      </c>
      <c r="AA239" s="34">
        <f t="shared" ca="1" si="215"/>
        <v>616.14166800599992</v>
      </c>
      <c r="AB239" s="34">
        <f t="shared" ca="1" si="216"/>
        <v>2248.5629838149998</v>
      </c>
      <c r="AC239" s="15"/>
      <c r="AD239" s="34">
        <f t="shared" ca="1" si="217"/>
        <v>13332.030919784998</v>
      </c>
      <c r="AE239" s="34">
        <f ca="1"/>
        <v>6270.2086956521734</v>
      </c>
      <c r="AF239" s="34">
        <f t="shared" ca="1" si="218"/>
        <v>7061.8222241328249</v>
      </c>
      <c r="AG239" s="15"/>
      <c r="AH239" s="272">
        <f t="shared" si="223"/>
        <v>45291</v>
      </c>
      <c r="AI239" s="267">
        <f t="shared" si="194"/>
        <v>9.6666666666666661</v>
      </c>
      <c r="AJ239" s="267">
        <f t="shared" si="195"/>
        <v>0.39798867132574434</v>
      </c>
      <c r="AK239" s="34">
        <f t="shared" ca="1" si="224"/>
        <v>2810.5252441212356</v>
      </c>
      <c r="AL239" s="233"/>
      <c r="AN239" s="232"/>
      <c r="AO239" s="407">
        <f t="shared" si="219"/>
        <v>10</v>
      </c>
      <c r="AP239" s="34">
        <f t="shared" ca="1" si="219"/>
        <v>0</v>
      </c>
      <c r="AQ239" s="34">
        <f t="shared" ca="1" si="219"/>
        <v>4.1974750030297505</v>
      </c>
      <c r="AR239" s="34">
        <f t="shared" ca="1" si="219"/>
        <v>0</v>
      </c>
      <c r="AS239" s="34">
        <f t="shared" ca="1" si="219"/>
        <v>25.184850018178501</v>
      </c>
      <c r="AT239" s="15"/>
      <c r="AW239" s="34">
        <f t="shared" ca="1" si="197"/>
        <v>0</v>
      </c>
      <c r="AX239" s="34">
        <f t="shared" ca="1" si="198"/>
        <v>3.462916877499544</v>
      </c>
      <c r="AY239" s="34">
        <f t="shared" ca="1" si="199"/>
        <v>0</v>
      </c>
      <c r="AZ239" s="34">
        <f t="shared" ca="1" si="200"/>
        <v>20.777501264997262</v>
      </c>
      <c r="BB239" s="34">
        <f t="shared" ref="BB239:BK248" ca="1" si="225">IF($AO239&lt;BB$228,0,OFFSET($AZ$228,$AO239-BB$228+1,0)*BB$226)</f>
        <v>0</v>
      </c>
      <c r="BC239" s="34">
        <f t="shared" ca="1" si="225"/>
        <v>0</v>
      </c>
      <c r="BD239" s="34">
        <f t="shared" ca="1" si="225"/>
        <v>0</v>
      </c>
      <c r="BE239" s="34">
        <f t="shared" ca="1" si="225"/>
        <v>0</v>
      </c>
      <c r="BF239" s="34">
        <f t="shared" ca="1" si="225"/>
        <v>0</v>
      </c>
      <c r="BG239" s="34">
        <f t="shared" ca="1" si="225"/>
        <v>0</v>
      </c>
      <c r="BH239" s="34">
        <f t="shared" ca="1" si="225"/>
        <v>0</v>
      </c>
      <c r="BI239" s="34">
        <f t="shared" ca="1" si="225"/>
        <v>1867.9455258749999</v>
      </c>
      <c r="BJ239" s="34">
        <f t="shared" ca="1" si="225"/>
        <v>2268.5643337499996</v>
      </c>
      <c r="BK239" s="34">
        <f t="shared" ca="1" si="225"/>
        <v>3490.0989749999994</v>
      </c>
      <c r="BL239" s="34">
        <f t="shared" ref="BL239:BU248" ca="1" si="226">IF($AO239&lt;BL$228,0,OFFSET($AZ$228,$AO239-BL$228+1,0)*BL$226)</f>
        <v>6980.1979499999989</v>
      </c>
      <c r="BM239" s="34">
        <f t="shared" ca="1" si="226"/>
        <v>0</v>
      </c>
      <c r="BN239" s="34">
        <f t="shared" ca="1" si="226"/>
        <v>0</v>
      </c>
      <c r="BO239" s="34">
        <f t="shared" ca="1" si="226"/>
        <v>0</v>
      </c>
      <c r="BP239" s="34">
        <f t="shared" ca="1" si="226"/>
        <v>0</v>
      </c>
      <c r="BQ239" s="34">
        <f t="shared" ca="1" si="226"/>
        <v>0</v>
      </c>
      <c r="BR239" s="34">
        <f t="shared" ca="1" si="226"/>
        <v>0</v>
      </c>
      <c r="BS239" s="34">
        <f t="shared" ca="1" si="226"/>
        <v>0</v>
      </c>
      <c r="BT239" s="34">
        <f t="shared" ca="1" si="226"/>
        <v>0</v>
      </c>
      <c r="BU239" s="34">
        <f t="shared" ca="1" si="226"/>
        <v>0</v>
      </c>
      <c r="BV239" s="34">
        <f t="shared" ref="BV239:CE248" ca="1" si="227">IF($AO239&lt;BV$228,0,OFFSET($AZ$228,$AO239-BV$228+1,0)*BV$226)</f>
        <v>0</v>
      </c>
      <c r="BW239" s="34">
        <f t="shared" ca="1" si="227"/>
        <v>0</v>
      </c>
      <c r="BX239" s="34">
        <f t="shared" ca="1" si="227"/>
        <v>0</v>
      </c>
      <c r="BY239" s="34">
        <f t="shared" ca="1" si="227"/>
        <v>0</v>
      </c>
      <c r="BZ239" s="34">
        <f t="shared" ca="1" si="227"/>
        <v>0</v>
      </c>
      <c r="CA239" s="34">
        <f t="shared" ca="1" si="227"/>
        <v>0</v>
      </c>
      <c r="CB239" s="34">
        <f t="shared" ca="1" si="227"/>
        <v>0</v>
      </c>
      <c r="CC239" s="34">
        <f t="shared" ca="1" si="227"/>
        <v>0</v>
      </c>
      <c r="CD239" s="34">
        <f t="shared" ca="1" si="227"/>
        <v>0</v>
      </c>
      <c r="CE239" s="34">
        <f t="shared" ca="1" si="227"/>
        <v>0</v>
      </c>
      <c r="CF239" s="34">
        <f t="shared" ref="CF239:CP248" ca="1" si="228">IF($AO239&lt;CF$228,0,OFFSET($AZ$228,$AO239-CF$228+1,0)*CF$226)</f>
        <v>0</v>
      </c>
      <c r="CG239" s="34">
        <f t="shared" ca="1" si="228"/>
        <v>0</v>
      </c>
      <c r="CH239" s="34">
        <f t="shared" ca="1" si="228"/>
        <v>0</v>
      </c>
      <c r="CI239" s="34">
        <f t="shared" ca="1" si="228"/>
        <v>0</v>
      </c>
      <c r="CJ239" s="34">
        <f t="shared" ca="1" si="228"/>
        <v>0</v>
      </c>
      <c r="CK239" s="34">
        <f t="shared" ca="1" si="228"/>
        <v>0</v>
      </c>
      <c r="CL239" s="34">
        <f t="shared" ca="1" si="228"/>
        <v>0</v>
      </c>
      <c r="CM239" s="34">
        <f t="shared" ca="1" si="228"/>
        <v>0</v>
      </c>
      <c r="CN239" s="34">
        <f t="shared" ca="1" si="228"/>
        <v>0</v>
      </c>
      <c r="CO239" s="34">
        <f t="shared" ca="1" si="228"/>
        <v>0</v>
      </c>
      <c r="CP239" s="34">
        <f t="shared" ca="1" si="228"/>
        <v>0</v>
      </c>
      <c r="CQ239" s="34">
        <f t="shared" ca="1" si="220"/>
        <v>14606.806784624998</v>
      </c>
      <c r="CR239" s="363">
        <v>0</v>
      </c>
      <c r="CS239" s="34">
        <f t="shared" ca="1" si="221"/>
        <v>14606.806784624998</v>
      </c>
      <c r="CT239" s="233"/>
    </row>
    <row r="240" spans="2:98" x14ac:dyDescent="0.3">
      <c r="B240" s="232"/>
      <c r="C240" s="250">
        <f t="shared" si="222"/>
        <v>2024</v>
      </c>
      <c r="D240" s="263">
        <f t="shared" ca="1" si="205"/>
        <v>0</v>
      </c>
      <c r="E240" s="263">
        <f t="shared" ca="1" si="189"/>
        <v>274.36200220687499</v>
      </c>
      <c r="F240" s="263">
        <f t="shared" ca="1" si="190"/>
        <v>0</v>
      </c>
      <c r="G240" s="263">
        <f t="shared" ca="1" si="206"/>
        <v>1646.1720132412499</v>
      </c>
      <c r="H240" s="15"/>
      <c r="I240" s="271">
        <f ca="1">Assumptions!O$68</f>
        <v>4.5</v>
      </c>
      <c r="J240" s="271">
        <f ca="1">Assumptions!P$68</f>
        <v>80</v>
      </c>
      <c r="K240" s="271">
        <f t="shared" ca="1" si="191"/>
        <v>40</v>
      </c>
      <c r="L240" s="15"/>
      <c r="M240" s="35">
        <f t="shared" ca="1" si="207"/>
        <v>4.2299999999999995</v>
      </c>
      <c r="N240" s="35">
        <f t="shared" ca="1" si="192"/>
        <v>64</v>
      </c>
      <c r="O240" s="35">
        <f t="shared" ca="1" si="193"/>
        <v>32</v>
      </c>
      <c r="P240" s="15"/>
      <c r="Q240" s="34">
        <f t="shared" ca="1" si="208"/>
        <v>0</v>
      </c>
      <c r="R240" s="34">
        <f t="shared" ca="1" si="208"/>
        <v>17559.168141239999</v>
      </c>
      <c r="S240" s="34">
        <f t="shared" ca="1" si="208"/>
        <v>0</v>
      </c>
      <c r="T240" s="34">
        <f t="shared" ca="1" si="209"/>
        <v>17559.168141239999</v>
      </c>
      <c r="U240" s="15"/>
      <c r="V240" s="35">
        <f t="shared" si="210"/>
        <v>0.7</v>
      </c>
      <c r="W240" s="34">
        <f t="shared" ca="1" si="211"/>
        <v>1396.7520112350001</v>
      </c>
      <c r="X240" s="35">
        <f t="shared" si="212"/>
        <v>0.222</v>
      </c>
      <c r="Y240" s="34">
        <f t="shared" ca="1" si="213"/>
        <v>442.96992356310005</v>
      </c>
      <c r="Z240" s="35">
        <f t="shared" si="214"/>
        <v>0.34799999999999998</v>
      </c>
      <c r="AA240" s="34">
        <f t="shared" ca="1" si="215"/>
        <v>694.38528558539997</v>
      </c>
      <c r="AB240" s="34">
        <f t="shared" ca="1" si="216"/>
        <v>2534.1072203835001</v>
      </c>
      <c r="AC240" s="15"/>
      <c r="AD240" s="34">
        <f t="shared" ca="1" si="217"/>
        <v>15025.0609208565</v>
      </c>
      <c r="AE240" s="34">
        <f ca="1"/>
        <v>6270.2086956521734</v>
      </c>
      <c r="AF240" s="34">
        <f t="shared" ca="1" si="218"/>
        <v>8754.8522252043258</v>
      </c>
      <c r="AG240" s="15"/>
      <c r="AH240" s="272">
        <f t="shared" si="223"/>
        <v>45657</v>
      </c>
      <c r="AI240" s="267">
        <f t="shared" si="194"/>
        <v>10.666666666666666</v>
      </c>
      <c r="AJ240" s="267">
        <f t="shared" si="195"/>
        <v>0.36180788302340394</v>
      </c>
      <c r="AK240" s="34">
        <f t="shared" ca="1" si="224"/>
        <v>3167.5745497839143</v>
      </c>
      <c r="AL240" s="233"/>
      <c r="AN240" s="232"/>
      <c r="AO240" s="407">
        <f t="shared" si="219"/>
        <v>11</v>
      </c>
      <c r="AP240" s="34">
        <f t="shared" ca="1" si="219"/>
        <v>0</v>
      </c>
      <c r="AQ240" s="34">
        <f t="shared" ca="1" si="219"/>
        <v>3.7777275027267749</v>
      </c>
      <c r="AR240" s="34">
        <f t="shared" ca="1" si="219"/>
        <v>0</v>
      </c>
      <c r="AS240" s="34">
        <f t="shared" ca="1" si="219"/>
        <v>22.66636501636065</v>
      </c>
      <c r="AT240" s="15"/>
      <c r="AW240" s="34">
        <f t="shared" ca="1" si="197"/>
        <v>0</v>
      </c>
      <c r="AX240" s="34">
        <f t="shared" ca="1" si="198"/>
        <v>3.1166251897495894</v>
      </c>
      <c r="AY240" s="34">
        <f t="shared" ca="1" si="199"/>
        <v>0</v>
      </c>
      <c r="AZ240" s="34">
        <f t="shared" ca="1" si="200"/>
        <v>18.699751138497536</v>
      </c>
      <c r="BB240" s="34">
        <f t="shared" ca="1" si="225"/>
        <v>0</v>
      </c>
      <c r="BC240" s="34">
        <f t="shared" ca="1" si="225"/>
        <v>0</v>
      </c>
      <c r="BD240" s="34">
        <f t="shared" ca="1" si="225"/>
        <v>0</v>
      </c>
      <c r="BE240" s="34">
        <f t="shared" ca="1" si="225"/>
        <v>0</v>
      </c>
      <c r="BF240" s="34">
        <f t="shared" ca="1" si="225"/>
        <v>0</v>
      </c>
      <c r="BG240" s="34">
        <f t="shared" ca="1" si="225"/>
        <v>0</v>
      </c>
      <c r="BH240" s="34">
        <f t="shared" ca="1" si="225"/>
        <v>0</v>
      </c>
      <c r="BI240" s="34">
        <f t="shared" ca="1" si="225"/>
        <v>1681.1509732874999</v>
      </c>
      <c r="BJ240" s="34">
        <f t="shared" ca="1" si="225"/>
        <v>2041.707900375</v>
      </c>
      <c r="BK240" s="34">
        <f t="shared" ca="1" si="225"/>
        <v>2268.5643337499996</v>
      </c>
      <c r="BL240" s="34">
        <f t="shared" ca="1" si="226"/>
        <v>3490.0989749999994</v>
      </c>
      <c r="BM240" s="34">
        <f t="shared" ca="1" si="226"/>
        <v>6980.1979499999989</v>
      </c>
      <c r="BN240" s="34">
        <f t="shared" ca="1" si="226"/>
        <v>0</v>
      </c>
      <c r="BO240" s="34">
        <f t="shared" ca="1" si="226"/>
        <v>0</v>
      </c>
      <c r="BP240" s="34">
        <f t="shared" ca="1" si="226"/>
        <v>0</v>
      </c>
      <c r="BQ240" s="34">
        <f t="shared" ca="1" si="226"/>
        <v>0</v>
      </c>
      <c r="BR240" s="34">
        <f t="shared" ca="1" si="226"/>
        <v>0</v>
      </c>
      <c r="BS240" s="34">
        <f t="shared" ca="1" si="226"/>
        <v>0</v>
      </c>
      <c r="BT240" s="34">
        <f t="shared" ca="1" si="226"/>
        <v>0</v>
      </c>
      <c r="BU240" s="34">
        <f t="shared" ca="1" si="226"/>
        <v>0</v>
      </c>
      <c r="BV240" s="34">
        <f t="shared" ca="1" si="227"/>
        <v>0</v>
      </c>
      <c r="BW240" s="34">
        <f t="shared" ca="1" si="227"/>
        <v>0</v>
      </c>
      <c r="BX240" s="34">
        <f t="shared" ca="1" si="227"/>
        <v>0</v>
      </c>
      <c r="BY240" s="34">
        <f t="shared" ca="1" si="227"/>
        <v>0</v>
      </c>
      <c r="BZ240" s="34">
        <f t="shared" ca="1" si="227"/>
        <v>0</v>
      </c>
      <c r="CA240" s="34">
        <f t="shared" ca="1" si="227"/>
        <v>0</v>
      </c>
      <c r="CB240" s="34">
        <f t="shared" ca="1" si="227"/>
        <v>0</v>
      </c>
      <c r="CC240" s="34">
        <f t="shared" ca="1" si="227"/>
        <v>0</v>
      </c>
      <c r="CD240" s="34">
        <f t="shared" ca="1" si="227"/>
        <v>0</v>
      </c>
      <c r="CE240" s="34">
        <f t="shared" ca="1" si="227"/>
        <v>0</v>
      </c>
      <c r="CF240" s="34">
        <f t="shared" ca="1" si="228"/>
        <v>0</v>
      </c>
      <c r="CG240" s="34">
        <f t="shared" ca="1" si="228"/>
        <v>0</v>
      </c>
      <c r="CH240" s="34">
        <f t="shared" ca="1" si="228"/>
        <v>0</v>
      </c>
      <c r="CI240" s="34">
        <f t="shared" ca="1" si="228"/>
        <v>0</v>
      </c>
      <c r="CJ240" s="34">
        <f t="shared" ca="1" si="228"/>
        <v>0</v>
      </c>
      <c r="CK240" s="34">
        <f t="shared" ca="1" si="228"/>
        <v>0</v>
      </c>
      <c r="CL240" s="34">
        <f t="shared" ca="1" si="228"/>
        <v>0</v>
      </c>
      <c r="CM240" s="34">
        <f t="shared" ca="1" si="228"/>
        <v>0</v>
      </c>
      <c r="CN240" s="34">
        <f t="shared" ca="1" si="228"/>
        <v>0</v>
      </c>
      <c r="CO240" s="34">
        <f t="shared" ca="1" si="228"/>
        <v>0</v>
      </c>
      <c r="CP240" s="34">
        <f t="shared" ca="1" si="228"/>
        <v>0</v>
      </c>
      <c r="CQ240" s="34">
        <f t="shared" ca="1" si="220"/>
        <v>16461.720132412498</v>
      </c>
      <c r="CR240" s="363">
        <v>0</v>
      </c>
      <c r="CS240" s="34">
        <f t="shared" ca="1" si="221"/>
        <v>16461.720132412498</v>
      </c>
      <c r="CT240" s="233"/>
    </row>
    <row r="241" spans="2:98" x14ac:dyDescent="0.3">
      <c r="B241" s="232"/>
      <c r="C241" s="250">
        <f t="shared" si="222"/>
        <v>2025</v>
      </c>
      <c r="D241" s="263">
        <f t="shared" ca="1" si="205"/>
        <v>0</v>
      </c>
      <c r="E241" s="263">
        <f t="shared" ca="1" si="189"/>
        <v>302.18570242368747</v>
      </c>
      <c r="F241" s="263">
        <f t="shared" ca="1" si="190"/>
        <v>0</v>
      </c>
      <c r="G241" s="263">
        <f t="shared" ca="1" si="206"/>
        <v>1813.1142145421247</v>
      </c>
      <c r="H241" s="15"/>
      <c r="I241" s="271">
        <f ca="1">Assumptions!O$68</f>
        <v>4.5</v>
      </c>
      <c r="J241" s="271">
        <f ca="1">Assumptions!P$68</f>
        <v>80</v>
      </c>
      <c r="K241" s="271">
        <f t="shared" ca="1" si="191"/>
        <v>40</v>
      </c>
      <c r="L241" s="15"/>
      <c r="M241" s="35">
        <f t="shared" ca="1" si="207"/>
        <v>4.2299999999999995</v>
      </c>
      <c r="N241" s="35">
        <f t="shared" ca="1" si="192"/>
        <v>64</v>
      </c>
      <c r="O241" s="35">
        <f t="shared" ca="1" si="193"/>
        <v>32</v>
      </c>
      <c r="P241" s="15"/>
      <c r="Q241" s="34">
        <f t="shared" ca="1" si="208"/>
        <v>0</v>
      </c>
      <c r="R241" s="34">
        <f t="shared" ca="1" si="208"/>
        <v>19339.884955115998</v>
      </c>
      <c r="S241" s="34">
        <f t="shared" ca="1" si="208"/>
        <v>0</v>
      </c>
      <c r="T241" s="34">
        <f t="shared" ca="1" si="209"/>
        <v>19339.884955115998</v>
      </c>
      <c r="U241" s="15"/>
      <c r="V241" s="35">
        <f t="shared" si="210"/>
        <v>0.7</v>
      </c>
      <c r="W241" s="34">
        <f t="shared" ca="1" si="211"/>
        <v>1538.3999396114996</v>
      </c>
      <c r="X241" s="35">
        <f t="shared" si="212"/>
        <v>0.222</v>
      </c>
      <c r="Y241" s="34">
        <f t="shared" ca="1" si="213"/>
        <v>487.89255227678996</v>
      </c>
      <c r="Z241" s="35">
        <f t="shared" si="214"/>
        <v>0.34799999999999998</v>
      </c>
      <c r="AA241" s="34">
        <f t="shared" ca="1" si="215"/>
        <v>764.80454140685981</v>
      </c>
      <c r="AB241" s="34">
        <f t="shared" ca="1" si="216"/>
        <v>2791.0970332951492</v>
      </c>
      <c r="AC241" s="15"/>
      <c r="AD241" s="34">
        <f t="shared" ca="1" si="217"/>
        <v>16548.787921820847</v>
      </c>
      <c r="AE241" s="34">
        <f ca="1"/>
        <v>6270.2086956521734</v>
      </c>
      <c r="AF241" s="34">
        <f t="shared" ca="1" si="218"/>
        <v>10278.579226168673</v>
      </c>
      <c r="AG241" s="15"/>
      <c r="AH241" s="272">
        <f t="shared" si="223"/>
        <v>46022</v>
      </c>
      <c r="AI241" s="267">
        <f t="shared" si="194"/>
        <v>11.666666666666666</v>
      </c>
      <c r="AJ241" s="267">
        <f t="shared" si="195"/>
        <v>0.32891625729400353</v>
      </c>
      <c r="AK241" s="34">
        <f t="shared" ca="1" si="224"/>
        <v>3380.7918093712951</v>
      </c>
      <c r="AL241" s="233"/>
      <c r="AN241" s="232"/>
      <c r="AO241" s="407">
        <f t="shared" si="219"/>
        <v>12</v>
      </c>
      <c r="AP241" s="34">
        <f t="shared" ca="1" si="219"/>
        <v>0</v>
      </c>
      <c r="AQ241" s="34">
        <f t="shared" ca="1" si="219"/>
        <v>3.3999547524540978</v>
      </c>
      <c r="AR241" s="34">
        <f t="shared" ca="1" si="219"/>
        <v>0</v>
      </c>
      <c r="AS241" s="34">
        <f t="shared" ca="1" si="219"/>
        <v>20.399728514724586</v>
      </c>
      <c r="AT241" s="15"/>
      <c r="AW241" s="34">
        <f t="shared" ca="1" si="197"/>
        <v>0</v>
      </c>
      <c r="AX241" s="34">
        <f t="shared" ca="1" si="198"/>
        <v>2.8049626707746307</v>
      </c>
      <c r="AY241" s="34">
        <f t="shared" ca="1" si="199"/>
        <v>0</v>
      </c>
      <c r="AZ241" s="34">
        <f t="shared" ca="1" si="200"/>
        <v>16.829776024647781</v>
      </c>
      <c r="BB241" s="34">
        <f t="shared" ca="1" si="225"/>
        <v>0</v>
      </c>
      <c r="BC241" s="34">
        <f t="shared" ca="1" si="225"/>
        <v>0</v>
      </c>
      <c r="BD241" s="34">
        <f t="shared" ca="1" si="225"/>
        <v>0</v>
      </c>
      <c r="BE241" s="34">
        <f t="shared" ca="1" si="225"/>
        <v>0</v>
      </c>
      <c r="BF241" s="34">
        <f t="shared" ca="1" si="225"/>
        <v>0</v>
      </c>
      <c r="BG241" s="34">
        <f t="shared" ca="1" si="225"/>
        <v>0</v>
      </c>
      <c r="BH241" s="34">
        <f t="shared" ca="1" si="225"/>
        <v>0</v>
      </c>
      <c r="BI241" s="34">
        <f t="shared" ca="1" si="225"/>
        <v>1513.0358759587498</v>
      </c>
      <c r="BJ241" s="34">
        <f t="shared" ca="1" si="225"/>
        <v>1837.5371103375001</v>
      </c>
      <c r="BK241" s="34">
        <f t="shared" ca="1" si="225"/>
        <v>2041.707900375</v>
      </c>
      <c r="BL241" s="34">
        <f t="shared" ca="1" si="226"/>
        <v>2268.5643337499996</v>
      </c>
      <c r="BM241" s="34">
        <f t="shared" ca="1" si="226"/>
        <v>3490.0989749999994</v>
      </c>
      <c r="BN241" s="34">
        <f t="shared" ca="1" si="226"/>
        <v>6980.1979499999989</v>
      </c>
      <c r="BO241" s="34">
        <f t="shared" ca="1" si="226"/>
        <v>0</v>
      </c>
      <c r="BP241" s="34">
        <f t="shared" ca="1" si="226"/>
        <v>0</v>
      </c>
      <c r="BQ241" s="34">
        <f t="shared" ca="1" si="226"/>
        <v>0</v>
      </c>
      <c r="BR241" s="34">
        <f t="shared" ca="1" si="226"/>
        <v>0</v>
      </c>
      <c r="BS241" s="34">
        <f t="shared" ca="1" si="226"/>
        <v>0</v>
      </c>
      <c r="BT241" s="34">
        <f t="shared" ca="1" si="226"/>
        <v>0</v>
      </c>
      <c r="BU241" s="34">
        <f t="shared" ca="1" si="226"/>
        <v>0</v>
      </c>
      <c r="BV241" s="34">
        <f t="shared" ca="1" si="227"/>
        <v>0</v>
      </c>
      <c r="BW241" s="34">
        <f t="shared" ca="1" si="227"/>
        <v>0</v>
      </c>
      <c r="BX241" s="34">
        <f t="shared" ca="1" si="227"/>
        <v>0</v>
      </c>
      <c r="BY241" s="34">
        <f t="shared" ca="1" si="227"/>
        <v>0</v>
      </c>
      <c r="BZ241" s="34">
        <f t="shared" ca="1" si="227"/>
        <v>0</v>
      </c>
      <c r="CA241" s="34">
        <f t="shared" ca="1" si="227"/>
        <v>0</v>
      </c>
      <c r="CB241" s="34">
        <f t="shared" ca="1" si="227"/>
        <v>0</v>
      </c>
      <c r="CC241" s="34">
        <f t="shared" ca="1" si="227"/>
        <v>0</v>
      </c>
      <c r="CD241" s="34">
        <f t="shared" ca="1" si="227"/>
        <v>0</v>
      </c>
      <c r="CE241" s="34">
        <f t="shared" ca="1" si="227"/>
        <v>0</v>
      </c>
      <c r="CF241" s="34">
        <f t="shared" ca="1" si="228"/>
        <v>0</v>
      </c>
      <c r="CG241" s="34">
        <f t="shared" ca="1" si="228"/>
        <v>0</v>
      </c>
      <c r="CH241" s="34">
        <f t="shared" ca="1" si="228"/>
        <v>0</v>
      </c>
      <c r="CI241" s="34">
        <f t="shared" ca="1" si="228"/>
        <v>0</v>
      </c>
      <c r="CJ241" s="34">
        <f t="shared" ca="1" si="228"/>
        <v>0</v>
      </c>
      <c r="CK241" s="34">
        <f t="shared" ca="1" si="228"/>
        <v>0</v>
      </c>
      <c r="CL241" s="34">
        <f t="shared" ca="1" si="228"/>
        <v>0</v>
      </c>
      <c r="CM241" s="34">
        <f t="shared" ca="1" si="228"/>
        <v>0</v>
      </c>
      <c r="CN241" s="34">
        <f t="shared" ca="1" si="228"/>
        <v>0</v>
      </c>
      <c r="CO241" s="34">
        <f t="shared" ca="1" si="228"/>
        <v>0</v>
      </c>
      <c r="CP241" s="34">
        <f t="shared" ca="1" si="228"/>
        <v>0</v>
      </c>
      <c r="CQ241" s="34">
        <f t="shared" ca="1" si="220"/>
        <v>18131.142145421247</v>
      </c>
      <c r="CR241" s="363">
        <v>0</v>
      </c>
      <c r="CS241" s="34">
        <f t="shared" ca="1" si="221"/>
        <v>18131.142145421247</v>
      </c>
      <c r="CT241" s="233"/>
    </row>
    <row r="242" spans="2:98" x14ac:dyDescent="0.3">
      <c r="B242" s="232"/>
      <c r="C242" s="250">
        <f t="shared" si="222"/>
        <v>2026</v>
      </c>
      <c r="D242" s="263">
        <f t="shared" ca="1" si="205"/>
        <v>0</v>
      </c>
      <c r="E242" s="263">
        <f t="shared" ca="1" si="189"/>
        <v>210.89040011881875</v>
      </c>
      <c r="F242" s="263">
        <f t="shared" ca="1" si="190"/>
        <v>0</v>
      </c>
      <c r="G242" s="263">
        <f t="shared" ca="1" si="206"/>
        <v>1265.3424007129124</v>
      </c>
      <c r="H242" s="15"/>
      <c r="I242" s="271">
        <f ca="1">Assumptions!O$68</f>
        <v>4.5</v>
      </c>
      <c r="J242" s="271">
        <f ca="1">Assumptions!P$68</f>
        <v>80</v>
      </c>
      <c r="K242" s="271">
        <f t="shared" ca="1" si="191"/>
        <v>40</v>
      </c>
      <c r="L242" s="15"/>
      <c r="M242" s="35">
        <f t="shared" ca="1" si="207"/>
        <v>4.2299999999999995</v>
      </c>
      <c r="N242" s="35">
        <f t="shared" ca="1" si="192"/>
        <v>64</v>
      </c>
      <c r="O242" s="35">
        <f t="shared" ca="1" si="193"/>
        <v>32</v>
      </c>
      <c r="P242" s="15"/>
      <c r="Q242" s="34">
        <f t="shared" ca="1" si="208"/>
        <v>0</v>
      </c>
      <c r="R242" s="34">
        <f t="shared" ca="1" si="208"/>
        <v>13496.9856076044</v>
      </c>
      <c r="S242" s="34">
        <f t="shared" ca="1" si="208"/>
        <v>0</v>
      </c>
      <c r="T242" s="34">
        <f t="shared" ca="1" si="209"/>
        <v>13496.9856076044</v>
      </c>
      <c r="U242" s="15"/>
      <c r="V242" s="35">
        <f t="shared" si="210"/>
        <v>0.7</v>
      </c>
      <c r="W242" s="34">
        <f t="shared" ca="1" si="211"/>
        <v>1073.62385515035</v>
      </c>
      <c r="X242" s="35">
        <f t="shared" si="212"/>
        <v>0.222</v>
      </c>
      <c r="Y242" s="34">
        <f t="shared" ca="1" si="213"/>
        <v>340.49213691911098</v>
      </c>
      <c r="Z242" s="35">
        <f t="shared" si="214"/>
        <v>0.34799999999999998</v>
      </c>
      <c r="AA242" s="34">
        <f t="shared" ca="1" si="215"/>
        <v>533.74443084617394</v>
      </c>
      <c r="AB242" s="34">
        <f t="shared" ca="1" si="216"/>
        <v>1947.8604229156349</v>
      </c>
      <c r="AC242" s="15"/>
      <c r="AD242" s="34">
        <f t="shared" ca="1" si="217"/>
        <v>11549.125184688764</v>
      </c>
      <c r="AE242" s="34">
        <f ca="1"/>
        <v>0</v>
      </c>
      <c r="AF242" s="34">
        <f t="shared" ca="1" si="218"/>
        <v>11549.125184688764</v>
      </c>
      <c r="AG242" s="15"/>
      <c r="AH242" s="272">
        <f t="shared" si="223"/>
        <v>46387</v>
      </c>
      <c r="AI242" s="267">
        <f t="shared" si="194"/>
        <v>12.666666666666666</v>
      </c>
      <c r="AJ242" s="267">
        <f t="shared" si="195"/>
        <v>0.29901477935818499</v>
      </c>
      <c r="AK242" s="34">
        <f t="shared" ca="1" si="224"/>
        <v>3453.3591188797682</v>
      </c>
      <c r="AL242" s="233"/>
      <c r="AN242" s="232"/>
      <c r="AO242" s="407">
        <f t="shared" si="219"/>
        <v>13</v>
      </c>
      <c r="AP242" s="34">
        <f t="shared" ca="1" si="219"/>
        <v>0</v>
      </c>
      <c r="AQ242" s="34">
        <f t="shared" ca="1" si="219"/>
        <v>3.0599592772086877</v>
      </c>
      <c r="AR242" s="34">
        <f t="shared" ca="1" si="219"/>
        <v>0</v>
      </c>
      <c r="AS242" s="34">
        <f t="shared" ca="1" si="219"/>
        <v>18.359755663252127</v>
      </c>
      <c r="AT242" s="15"/>
      <c r="AW242" s="34">
        <f t="shared" ca="1" si="197"/>
        <v>0</v>
      </c>
      <c r="AX242" s="34">
        <f t="shared" ca="1" si="198"/>
        <v>2.5244664036971671</v>
      </c>
      <c r="AY242" s="34">
        <f t="shared" ca="1" si="199"/>
        <v>0</v>
      </c>
      <c r="AZ242" s="34">
        <f t="shared" ca="1" si="200"/>
        <v>15.146798422183004</v>
      </c>
      <c r="BB242" s="34">
        <f t="shared" ca="1" si="225"/>
        <v>0</v>
      </c>
      <c r="BC242" s="34">
        <f t="shared" ca="1" si="225"/>
        <v>0</v>
      </c>
      <c r="BD242" s="34">
        <f t="shared" ca="1" si="225"/>
        <v>0</v>
      </c>
      <c r="BE242" s="34">
        <f t="shared" ca="1" si="225"/>
        <v>0</v>
      </c>
      <c r="BF242" s="34">
        <f t="shared" ca="1" si="225"/>
        <v>0</v>
      </c>
      <c r="BG242" s="34">
        <f t="shared" ca="1" si="225"/>
        <v>0</v>
      </c>
      <c r="BH242" s="34">
        <f t="shared" ca="1" si="225"/>
        <v>0</v>
      </c>
      <c r="BI242" s="34">
        <f t="shared" ca="1" si="225"/>
        <v>1361.7322883628749</v>
      </c>
      <c r="BJ242" s="34">
        <f t="shared" ca="1" si="225"/>
        <v>1653.7833993037498</v>
      </c>
      <c r="BK242" s="34">
        <f t="shared" ca="1" si="225"/>
        <v>1837.5371103375001</v>
      </c>
      <c r="BL242" s="34">
        <f t="shared" ca="1" si="226"/>
        <v>2041.707900375</v>
      </c>
      <c r="BM242" s="34">
        <f t="shared" ca="1" si="226"/>
        <v>2268.5643337499996</v>
      </c>
      <c r="BN242" s="34">
        <f t="shared" ca="1" si="226"/>
        <v>3490.0989749999994</v>
      </c>
      <c r="BO242" s="34">
        <f t="shared" ca="1" si="226"/>
        <v>0</v>
      </c>
      <c r="BP242" s="34">
        <f t="shared" ca="1" si="226"/>
        <v>0</v>
      </c>
      <c r="BQ242" s="34">
        <f t="shared" ca="1" si="226"/>
        <v>0</v>
      </c>
      <c r="BR242" s="34">
        <f t="shared" ca="1" si="226"/>
        <v>0</v>
      </c>
      <c r="BS242" s="34">
        <f t="shared" ca="1" si="226"/>
        <v>0</v>
      </c>
      <c r="BT242" s="34">
        <f t="shared" ca="1" si="226"/>
        <v>0</v>
      </c>
      <c r="BU242" s="34">
        <f t="shared" ca="1" si="226"/>
        <v>0</v>
      </c>
      <c r="BV242" s="34">
        <f t="shared" ca="1" si="227"/>
        <v>0</v>
      </c>
      <c r="BW242" s="34">
        <f t="shared" ca="1" si="227"/>
        <v>0</v>
      </c>
      <c r="BX242" s="34">
        <f t="shared" ca="1" si="227"/>
        <v>0</v>
      </c>
      <c r="BY242" s="34">
        <f t="shared" ca="1" si="227"/>
        <v>0</v>
      </c>
      <c r="BZ242" s="34">
        <f t="shared" ca="1" si="227"/>
        <v>0</v>
      </c>
      <c r="CA242" s="34">
        <f t="shared" ca="1" si="227"/>
        <v>0</v>
      </c>
      <c r="CB242" s="34">
        <f t="shared" ca="1" si="227"/>
        <v>0</v>
      </c>
      <c r="CC242" s="34">
        <f t="shared" ca="1" si="227"/>
        <v>0</v>
      </c>
      <c r="CD242" s="34">
        <f t="shared" ca="1" si="227"/>
        <v>0</v>
      </c>
      <c r="CE242" s="34">
        <f t="shared" ca="1" si="227"/>
        <v>0</v>
      </c>
      <c r="CF242" s="34">
        <f t="shared" ca="1" si="228"/>
        <v>0</v>
      </c>
      <c r="CG242" s="34">
        <f t="shared" ca="1" si="228"/>
        <v>0</v>
      </c>
      <c r="CH242" s="34">
        <f t="shared" ca="1" si="228"/>
        <v>0</v>
      </c>
      <c r="CI242" s="34">
        <f t="shared" ca="1" si="228"/>
        <v>0</v>
      </c>
      <c r="CJ242" s="34">
        <f t="shared" ca="1" si="228"/>
        <v>0</v>
      </c>
      <c r="CK242" s="34">
        <f t="shared" ca="1" si="228"/>
        <v>0</v>
      </c>
      <c r="CL242" s="34">
        <f t="shared" ca="1" si="228"/>
        <v>0</v>
      </c>
      <c r="CM242" s="34">
        <f t="shared" ca="1" si="228"/>
        <v>0</v>
      </c>
      <c r="CN242" s="34">
        <f t="shared" ca="1" si="228"/>
        <v>0</v>
      </c>
      <c r="CO242" s="34">
        <f t="shared" ca="1" si="228"/>
        <v>0</v>
      </c>
      <c r="CP242" s="34">
        <f t="shared" ca="1" si="228"/>
        <v>0</v>
      </c>
      <c r="CQ242" s="34">
        <f t="shared" ca="1" si="220"/>
        <v>12653.424007129122</v>
      </c>
      <c r="CR242" s="363">
        <v>0</v>
      </c>
      <c r="CS242" s="34">
        <f t="shared" ca="1" si="221"/>
        <v>12653.424007129122</v>
      </c>
      <c r="CT242" s="233"/>
    </row>
    <row r="243" spans="2:98" x14ac:dyDescent="0.3">
      <c r="B243" s="232"/>
      <c r="C243" s="250">
        <f t="shared" si="222"/>
        <v>2027</v>
      </c>
      <c r="D243" s="263">
        <f t="shared" ca="1" si="205"/>
        <v>0</v>
      </c>
      <c r="E243" s="263">
        <f t="shared" ca="1" si="189"/>
        <v>175.2592810444369</v>
      </c>
      <c r="F243" s="263">
        <f t="shared" ca="1" si="190"/>
        <v>0</v>
      </c>
      <c r="G243" s="263">
        <f t="shared" ca="1" si="206"/>
        <v>1051.5556862666215</v>
      </c>
      <c r="H243" s="15"/>
      <c r="I243" s="271">
        <f ca="1">Assumptions!O$68</f>
        <v>4.5</v>
      </c>
      <c r="J243" s="271">
        <f ca="1">Assumptions!P$68</f>
        <v>80</v>
      </c>
      <c r="K243" s="271">
        <f t="shared" ca="1" si="191"/>
        <v>40</v>
      </c>
      <c r="L243" s="15"/>
      <c r="M243" s="35">
        <f t="shared" ca="1" si="207"/>
        <v>4.2299999999999995</v>
      </c>
      <c r="N243" s="35">
        <f t="shared" ca="1" si="192"/>
        <v>64</v>
      </c>
      <c r="O243" s="35">
        <f t="shared" ca="1" si="193"/>
        <v>32</v>
      </c>
      <c r="P243" s="15"/>
      <c r="Q243" s="34">
        <f t="shared" ca="1" si="208"/>
        <v>0</v>
      </c>
      <c r="R243" s="34">
        <f t="shared" ca="1" si="208"/>
        <v>11216.593986843962</v>
      </c>
      <c r="S243" s="34">
        <f t="shared" ca="1" si="208"/>
        <v>0</v>
      </c>
      <c r="T243" s="34">
        <f t="shared" ca="1" si="209"/>
        <v>11216.593986843962</v>
      </c>
      <c r="U243" s="15"/>
      <c r="V243" s="35">
        <f t="shared" si="210"/>
        <v>0.7</v>
      </c>
      <c r="W243" s="34">
        <f t="shared" ca="1" si="211"/>
        <v>892.22906713531518</v>
      </c>
      <c r="X243" s="35">
        <f t="shared" si="212"/>
        <v>0.222</v>
      </c>
      <c r="Y243" s="34">
        <f t="shared" ca="1" si="213"/>
        <v>282.96407557719999</v>
      </c>
      <c r="Z243" s="35">
        <f t="shared" si="214"/>
        <v>0.34799999999999998</v>
      </c>
      <c r="AA243" s="34">
        <f t="shared" ca="1" si="215"/>
        <v>443.56530766155663</v>
      </c>
      <c r="AB243" s="34">
        <f t="shared" ca="1" si="216"/>
        <v>1618.7584503740718</v>
      </c>
      <c r="AC243" s="15"/>
      <c r="AD243" s="34">
        <f t="shared" ca="1" si="217"/>
        <v>9597.8355364698909</v>
      </c>
      <c r="AE243" s="34">
        <f ca="1"/>
        <v>0</v>
      </c>
      <c r="AF243" s="34">
        <f t="shared" ca="1" si="218"/>
        <v>9597.8355364698909</v>
      </c>
      <c r="AG243" s="15"/>
      <c r="AH243" s="272">
        <f t="shared" si="223"/>
        <v>46752</v>
      </c>
      <c r="AI243" s="267">
        <f t="shared" si="194"/>
        <v>13.666666666666666</v>
      </c>
      <c r="AJ243" s="267">
        <f t="shared" si="195"/>
        <v>0.27183161759835001</v>
      </c>
      <c r="AK243" s="34">
        <f t="shared" ca="1" si="224"/>
        <v>2608.9951593215378</v>
      </c>
      <c r="AL243" s="233"/>
      <c r="AN243" s="232"/>
      <c r="AO243" s="407">
        <f t="shared" si="219"/>
        <v>14</v>
      </c>
      <c r="AP243" s="34">
        <f t="shared" ca="1" si="219"/>
        <v>0</v>
      </c>
      <c r="AQ243" s="34">
        <f t="shared" ca="1" si="219"/>
        <v>2.7539633494878188</v>
      </c>
      <c r="AR243" s="34">
        <f t="shared" ca="1" si="219"/>
        <v>0</v>
      </c>
      <c r="AS243" s="34">
        <f t="shared" ca="1" si="219"/>
        <v>16.523780096926913</v>
      </c>
      <c r="AT243" s="15"/>
      <c r="AW243" s="34">
        <f t="shared" ca="1" si="197"/>
        <v>0</v>
      </c>
      <c r="AX243" s="34">
        <f t="shared" ca="1" si="198"/>
        <v>2.2720197633274504</v>
      </c>
      <c r="AY243" s="34">
        <f t="shared" ca="1" si="199"/>
        <v>0</v>
      </c>
      <c r="AZ243" s="34">
        <f t="shared" ca="1" si="200"/>
        <v>13.632118579964702</v>
      </c>
      <c r="BB243" s="34">
        <f t="shared" ca="1" si="225"/>
        <v>0</v>
      </c>
      <c r="BC243" s="34">
        <f t="shared" ca="1" si="225"/>
        <v>0</v>
      </c>
      <c r="BD243" s="34">
        <f t="shared" ca="1" si="225"/>
        <v>0</v>
      </c>
      <c r="BE243" s="34">
        <f t="shared" ca="1" si="225"/>
        <v>0</v>
      </c>
      <c r="BF243" s="34">
        <f t="shared" ca="1" si="225"/>
        <v>0</v>
      </c>
      <c r="BG243" s="34">
        <f t="shared" ca="1" si="225"/>
        <v>0</v>
      </c>
      <c r="BH243" s="34">
        <f t="shared" ca="1" si="225"/>
        <v>0</v>
      </c>
      <c r="BI243" s="34">
        <f t="shared" ca="1" si="225"/>
        <v>1225.5590595265874</v>
      </c>
      <c r="BJ243" s="34">
        <f t="shared" ca="1" si="225"/>
        <v>1488.4050593733748</v>
      </c>
      <c r="BK243" s="34">
        <f t="shared" ca="1" si="225"/>
        <v>1653.7833993037498</v>
      </c>
      <c r="BL243" s="34">
        <f t="shared" ca="1" si="226"/>
        <v>1837.5371103375001</v>
      </c>
      <c r="BM243" s="34">
        <f t="shared" ca="1" si="226"/>
        <v>2041.707900375</v>
      </c>
      <c r="BN243" s="34">
        <f t="shared" ca="1" si="226"/>
        <v>2268.5643337499996</v>
      </c>
      <c r="BO243" s="34">
        <f t="shared" ca="1" si="226"/>
        <v>0</v>
      </c>
      <c r="BP243" s="34">
        <f t="shared" ca="1" si="226"/>
        <v>0</v>
      </c>
      <c r="BQ243" s="34">
        <f t="shared" ca="1" si="226"/>
        <v>0</v>
      </c>
      <c r="BR243" s="34">
        <f t="shared" ca="1" si="226"/>
        <v>0</v>
      </c>
      <c r="BS243" s="34">
        <f t="shared" ca="1" si="226"/>
        <v>0</v>
      </c>
      <c r="BT243" s="34">
        <f t="shared" ca="1" si="226"/>
        <v>0</v>
      </c>
      <c r="BU243" s="34">
        <f t="shared" ca="1" si="226"/>
        <v>0</v>
      </c>
      <c r="BV243" s="34">
        <f t="shared" ca="1" si="227"/>
        <v>0</v>
      </c>
      <c r="BW243" s="34">
        <f t="shared" ca="1" si="227"/>
        <v>0</v>
      </c>
      <c r="BX243" s="34">
        <f t="shared" ca="1" si="227"/>
        <v>0</v>
      </c>
      <c r="BY243" s="34">
        <f t="shared" ca="1" si="227"/>
        <v>0</v>
      </c>
      <c r="BZ243" s="34">
        <f t="shared" ca="1" si="227"/>
        <v>0</v>
      </c>
      <c r="CA243" s="34">
        <f t="shared" ca="1" si="227"/>
        <v>0</v>
      </c>
      <c r="CB243" s="34">
        <f t="shared" ca="1" si="227"/>
        <v>0</v>
      </c>
      <c r="CC243" s="34">
        <f t="shared" ca="1" si="227"/>
        <v>0</v>
      </c>
      <c r="CD243" s="34">
        <f t="shared" ca="1" si="227"/>
        <v>0</v>
      </c>
      <c r="CE243" s="34">
        <f t="shared" ca="1" si="227"/>
        <v>0</v>
      </c>
      <c r="CF243" s="34">
        <f t="shared" ca="1" si="228"/>
        <v>0</v>
      </c>
      <c r="CG243" s="34">
        <f t="shared" ca="1" si="228"/>
        <v>0</v>
      </c>
      <c r="CH243" s="34">
        <f t="shared" ca="1" si="228"/>
        <v>0</v>
      </c>
      <c r="CI243" s="34">
        <f t="shared" ca="1" si="228"/>
        <v>0</v>
      </c>
      <c r="CJ243" s="34">
        <f t="shared" ca="1" si="228"/>
        <v>0</v>
      </c>
      <c r="CK243" s="34">
        <f t="shared" ca="1" si="228"/>
        <v>0</v>
      </c>
      <c r="CL243" s="34">
        <f t="shared" ca="1" si="228"/>
        <v>0</v>
      </c>
      <c r="CM243" s="34">
        <f t="shared" ca="1" si="228"/>
        <v>0</v>
      </c>
      <c r="CN243" s="34">
        <f t="shared" ca="1" si="228"/>
        <v>0</v>
      </c>
      <c r="CO243" s="34">
        <f t="shared" ca="1" si="228"/>
        <v>0</v>
      </c>
      <c r="CP243" s="34">
        <f t="shared" ca="1" si="228"/>
        <v>0</v>
      </c>
      <c r="CQ243" s="34">
        <f t="shared" ca="1" si="220"/>
        <v>10515.556862666213</v>
      </c>
      <c r="CR243" s="363">
        <v>0</v>
      </c>
      <c r="CS243" s="34">
        <f t="shared" ca="1" si="221"/>
        <v>10515.556862666213</v>
      </c>
      <c r="CT243" s="233"/>
    </row>
    <row r="244" spans="2:98" x14ac:dyDescent="0.3">
      <c r="B244" s="232"/>
      <c r="C244" s="250">
        <f t="shared" si="222"/>
        <v>2028</v>
      </c>
      <c r="D244" s="263">
        <f t="shared" ca="1" si="205"/>
        <v>0</v>
      </c>
      <c r="E244" s="263">
        <f t="shared" ca="1" si="189"/>
        <v>157.73335293999321</v>
      </c>
      <c r="F244" s="263">
        <f t="shared" ca="1" si="190"/>
        <v>0</v>
      </c>
      <c r="G244" s="263">
        <f t="shared" ca="1" si="206"/>
        <v>946.40011763995926</v>
      </c>
      <c r="H244" s="15"/>
      <c r="I244" s="271">
        <f ca="1">Assumptions!O$68</f>
        <v>4.5</v>
      </c>
      <c r="J244" s="271">
        <f ca="1">Assumptions!P$68</f>
        <v>80</v>
      </c>
      <c r="K244" s="271">
        <f t="shared" ca="1" si="191"/>
        <v>40</v>
      </c>
      <c r="L244" s="15"/>
      <c r="M244" s="35">
        <f t="shared" ca="1" si="207"/>
        <v>4.2299999999999995</v>
      </c>
      <c r="N244" s="35">
        <f t="shared" ca="1" si="192"/>
        <v>64</v>
      </c>
      <c r="O244" s="35">
        <f t="shared" ca="1" si="193"/>
        <v>32</v>
      </c>
      <c r="P244" s="15"/>
      <c r="Q244" s="34">
        <f t="shared" ca="1" si="208"/>
        <v>0</v>
      </c>
      <c r="R244" s="34">
        <f t="shared" ca="1" si="208"/>
        <v>10094.934588159565</v>
      </c>
      <c r="S244" s="34">
        <f t="shared" ca="1" si="208"/>
        <v>0</v>
      </c>
      <c r="T244" s="34">
        <f t="shared" ca="1" si="209"/>
        <v>10094.934588159565</v>
      </c>
      <c r="U244" s="15"/>
      <c r="V244" s="35">
        <f t="shared" si="210"/>
        <v>0.7</v>
      </c>
      <c r="W244" s="34">
        <f t="shared" ca="1" si="211"/>
        <v>803.00616042178365</v>
      </c>
      <c r="X244" s="35">
        <f t="shared" si="212"/>
        <v>0.222</v>
      </c>
      <c r="Y244" s="34">
        <f t="shared" ca="1" si="213"/>
        <v>254.66766801947995</v>
      </c>
      <c r="Z244" s="35">
        <f t="shared" si="214"/>
        <v>0.34799999999999998</v>
      </c>
      <c r="AA244" s="34">
        <f t="shared" ca="1" si="215"/>
        <v>399.208776895401</v>
      </c>
      <c r="AB244" s="34">
        <f t="shared" ca="1" si="216"/>
        <v>1456.8826053366647</v>
      </c>
      <c r="AC244" s="15"/>
      <c r="AD244" s="34">
        <f t="shared" ca="1" si="217"/>
        <v>8638.0519828229008</v>
      </c>
      <c r="AE244" s="34">
        <f ca="1"/>
        <v>0</v>
      </c>
      <c r="AF244" s="34">
        <f t="shared" ca="1" si="218"/>
        <v>8638.0519828229008</v>
      </c>
      <c r="AG244" s="15"/>
      <c r="AH244" s="272">
        <f t="shared" si="223"/>
        <v>47118</v>
      </c>
      <c r="AI244" s="267">
        <f t="shared" si="194"/>
        <v>14.666666666666666</v>
      </c>
      <c r="AJ244" s="267">
        <f t="shared" si="195"/>
        <v>0.24711965236213634</v>
      </c>
      <c r="AK244" s="34">
        <f t="shared" ca="1" si="224"/>
        <v>2134.632403081258</v>
      </c>
      <c r="AL244" s="233"/>
      <c r="AN244" s="232"/>
      <c r="AO244" s="407">
        <f t="shared" si="219"/>
        <v>15</v>
      </c>
      <c r="AP244" s="34">
        <f t="shared" ca="1" si="219"/>
        <v>0</v>
      </c>
      <c r="AQ244" s="34">
        <f t="shared" ca="1" si="219"/>
        <v>2.4785670145390371</v>
      </c>
      <c r="AR244" s="34">
        <f t="shared" ca="1" si="219"/>
        <v>0</v>
      </c>
      <c r="AS244" s="34">
        <f t="shared" ca="1" si="219"/>
        <v>14.871402087234221</v>
      </c>
      <c r="AT244" s="15"/>
      <c r="AW244" s="34">
        <f t="shared" ca="1" si="197"/>
        <v>0</v>
      </c>
      <c r="AX244" s="34">
        <f t="shared" ca="1" si="198"/>
        <v>2.0448177869947055</v>
      </c>
      <c r="AY244" s="34">
        <f t="shared" ca="1" si="199"/>
        <v>0</v>
      </c>
      <c r="AZ244" s="34">
        <f t="shared" ca="1" si="200"/>
        <v>12.268906721968232</v>
      </c>
      <c r="BB244" s="34">
        <f t="shared" ca="1" si="225"/>
        <v>0</v>
      </c>
      <c r="BC244" s="34">
        <f t="shared" ca="1" si="225"/>
        <v>0</v>
      </c>
      <c r="BD244" s="34">
        <f t="shared" ca="1" si="225"/>
        <v>0</v>
      </c>
      <c r="BE244" s="34">
        <f t="shared" ca="1" si="225"/>
        <v>0</v>
      </c>
      <c r="BF244" s="34">
        <f t="shared" ca="1" si="225"/>
        <v>0</v>
      </c>
      <c r="BG244" s="34">
        <f t="shared" ca="1" si="225"/>
        <v>0</v>
      </c>
      <c r="BH244" s="34">
        <f t="shared" ca="1" si="225"/>
        <v>0</v>
      </c>
      <c r="BI244" s="34">
        <f t="shared" ca="1" si="225"/>
        <v>1103.0031535739288</v>
      </c>
      <c r="BJ244" s="34">
        <f t="shared" ca="1" si="225"/>
        <v>1339.5645534360374</v>
      </c>
      <c r="BK244" s="34">
        <f t="shared" ca="1" si="225"/>
        <v>1488.4050593733748</v>
      </c>
      <c r="BL244" s="34">
        <f t="shared" ca="1" si="226"/>
        <v>1653.7833993037498</v>
      </c>
      <c r="BM244" s="34">
        <f t="shared" ca="1" si="226"/>
        <v>1837.5371103375001</v>
      </c>
      <c r="BN244" s="34">
        <f t="shared" ca="1" si="226"/>
        <v>2041.707900375</v>
      </c>
      <c r="BO244" s="34">
        <f t="shared" ca="1" si="226"/>
        <v>0</v>
      </c>
      <c r="BP244" s="34">
        <f t="shared" ca="1" si="226"/>
        <v>0</v>
      </c>
      <c r="BQ244" s="34">
        <f t="shared" ca="1" si="226"/>
        <v>0</v>
      </c>
      <c r="BR244" s="34">
        <f t="shared" ca="1" si="226"/>
        <v>0</v>
      </c>
      <c r="BS244" s="34">
        <f t="shared" ca="1" si="226"/>
        <v>0</v>
      </c>
      <c r="BT244" s="34">
        <f t="shared" ca="1" si="226"/>
        <v>0</v>
      </c>
      <c r="BU244" s="34">
        <f t="shared" ca="1" si="226"/>
        <v>0</v>
      </c>
      <c r="BV244" s="34">
        <f t="shared" ca="1" si="227"/>
        <v>0</v>
      </c>
      <c r="BW244" s="34">
        <f t="shared" ca="1" si="227"/>
        <v>0</v>
      </c>
      <c r="BX244" s="34">
        <f t="shared" ca="1" si="227"/>
        <v>0</v>
      </c>
      <c r="BY244" s="34">
        <f t="shared" ca="1" si="227"/>
        <v>0</v>
      </c>
      <c r="BZ244" s="34">
        <f t="shared" ca="1" si="227"/>
        <v>0</v>
      </c>
      <c r="CA244" s="34">
        <f t="shared" ca="1" si="227"/>
        <v>0</v>
      </c>
      <c r="CB244" s="34">
        <f t="shared" ca="1" si="227"/>
        <v>0</v>
      </c>
      <c r="CC244" s="34">
        <f t="shared" ca="1" si="227"/>
        <v>0</v>
      </c>
      <c r="CD244" s="34">
        <f t="shared" ca="1" si="227"/>
        <v>0</v>
      </c>
      <c r="CE244" s="34">
        <f t="shared" ca="1" si="227"/>
        <v>0</v>
      </c>
      <c r="CF244" s="34">
        <f t="shared" ca="1" si="228"/>
        <v>0</v>
      </c>
      <c r="CG244" s="34">
        <f t="shared" ca="1" si="228"/>
        <v>0</v>
      </c>
      <c r="CH244" s="34">
        <f t="shared" ca="1" si="228"/>
        <v>0</v>
      </c>
      <c r="CI244" s="34">
        <f t="shared" ca="1" si="228"/>
        <v>0</v>
      </c>
      <c r="CJ244" s="34">
        <f t="shared" ca="1" si="228"/>
        <v>0</v>
      </c>
      <c r="CK244" s="34">
        <f t="shared" ca="1" si="228"/>
        <v>0</v>
      </c>
      <c r="CL244" s="34">
        <f t="shared" ca="1" si="228"/>
        <v>0</v>
      </c>
      <c r="CM244" s="34">
        <f t="shared" ca="1" si="228"/>
        <v>0</v>
      </c>
      <c r="CN244" s="34">
        <f t="shared" ca="1" si="228"/>
        <v>0</v>
      </c>
      <c r="CO244" s="34">
        <f t="shared" ca="1" si="228"/>
        <v>0</v>
      </c>
      <c r="CP244" s="34">
        <f t="shared" ca="1" si="228"/>
        <v>0</v>
      </c>
      <c r="CQ244" s="34">
        <f t="shared" ca="1" si="220"/>
        <v>9464.0011763995917</v>
      </c>
      <c r="CR244" s="363">
        <v>0</v>
      </c>
      <c r="CS244" s="34">
        <f t="shared" ca="1" si="221"/>
        <v>9464.0011763995917</v>
      </c>
      <c r="CT244" s="233"/>
    </row>
    <row r="245" spans="2:98" x14ac:dyDescent="0.3">
      <c r="B245" s="232"/>
      <c r="C245" s="250">
        <f t="shared" si="222"/>
        <v>2029</v>
      </c>
      <c r="D245" s="263">
        <f t="shared" ca="1" si="205"/>
        <v>0</v>
      </c>
      <c r="E245" s="263">
        <f t="shared" ca="1" si="189"/>
        <v>141.96001764599387</v>
      </c>
      <c r="F245" s="263">
        <f t="shared" ca="1" si="190"/>
        <v>0</v>
      </c>
      <c r="G245" s="263">
        <f t="shared" ca="1" si="206"/>
        <v>851.76010587596329</v>
      </c>
      <c r="H245" s="15"/>
      <c r="I245" s="271">
        <f ca="1">Assumptions!O$68</f>
        <v>4.5</v>
      </c>
      <c r="J245" s="271">
        <f ca="1">Assumptions!P$68</f>
        <v>80</v>
      </c>
      <c r="K245" s="271">
        <f t="shared" ca="1" si="191"/>
        <v>40</v>
      </c>
      <c r="L245" s="15"/>
      <c r="M245" s="35">
        <f t="shared" ca="1" si="207"/>
        <v>4.2299999999999995</v>
      </c>
      <c r="N245" s="35">
        <f t="shared" ca="1" si="192"/>
        <v>64</v>
      </c>
      <c r="O245" s="35">
        <f t="shared" ca="1" si="193"/>
        <v>32</v>
      </c>
      <c r="P245" s="15"/>
      <c r="Q245" s="34">
        <f t="shared" ca="1" si="208"/>
        <v>0</v>
      </c>
      <c r="R245" s="34">
        <f t="shared" ca="1" si="208"/>
        <v>9085.4411293436078</v>
      </c>
      <c r="S245" s="34">
        <f t="shared" ca="1" si="208"/>
        <v>0</v>
      </c>
      <c r="T245" s="34">
        <f t="shared" ca="1" si="209"/>
        <v>9085.4411293436078</v>
      </c>
      <c r="U245" s="15"/>
      <c r="V245" s="35">
        <f t="shared" si="210"/>
        <v>0.7</v>
      </c>
      <c r="W245" s="34">
        <f t="shared" ca="1" si="211"/>
        <v>722.70554437960516</v>
      </c>
      <c r="X245" s="35">
        <f t="shared" si="212"/>
        <v>0.222</v>
      </c>
      <c r="Y245" s="34">
        <f t="shared" ca="1" si="213"/>
        <v>229.20090121753196</v>
      </c>
      <c r="Z245" s="35">
        <f t="shared" si="214"/>
        <v>0.34799999999999998</v>
      </c>
      <c r="AA245" s="34">
        <f t="shared" ca="1" si="215"/>
        <v>359.28789920586087</v>
      </c>
      <c r="AB245" s="34">
        <f t="shared" ca="1" si="216"/>
        <v>1311.1943448029979</v>
      </c>
      <c r="AC245" s="15"/>
      <c r="AD245" s="34">
        <f t="shared" ca="1" si="217"/>
        <v>7774.24678454061</v>
      </c>
      <c r="AE245" s="34">
        <f ca="1"/>
        <v>0</v>
      </c>
      <c r="AF245" s="34">
        <f t="shared" ca="1" si="218"/>
        <v>7774.24678454061</v>
      </c>
      <c r="AG245" s="15"/>
      <c r="AH245" s="272">
        <f t="shared" si="223"/>
        <v>47483</v>
      </c>
      <c r="AI245" s="267">
        <f t="shared" si="194"/>
        <v>15.666666666666668</v>
      </c>
      <c r="AJ245" s="267">
        <f t="shared" si="195"/>
        <v>0.22465422942012386</v>
      </c>
      <c r="AK245" s="34">
        <f t="shared" ca="1" si="224"/>
        <v>1746.5174207028465</v>
      </c>
      <c r="AL245" s="233"/>
      <c r="AN245" s="232"/>
      <c r="AO245" s="407">
        <f t="shared" si="219"/>
        <v>16</v>
      </c>
      <c r="AP245" s="34">
        <f t="shared" ca="1" si="219"/>
        <v>0</v>
      </c>
      <c r="AQ245" s="34">
        <f t="shared" ca="1" si="219"/>
        <v>2.2307103130851331</v>
      </c>
      <c r="AR245" s="34">
        <f t="shared" ca="1" si="219"/>
        <v>0</v>
      </c>
      <c r="AS245" s="34">
        <f t="shared" ca="1" si="219"/>
        <v>13.384261878510799</v>
      </c>
      <c r="AT245" s="15"/>
      <c r="AW245" s="34">
        <f t="shared" ca="1" si="197"/>
        <v>0</v>
      </c>
      <c r="AX245" s="34">
        <f t="shared" ca="1" si="198"/>
        <v>1.8403360082952347</v>
      </c>
      <c r="AY245" s="34">
        <f t="shared" ca="1" si="199"/>
        <v>0</v>
      </c>
      <c r="AZ245" s="34">
        <f t="shared" ca="1" si="200"/>
        <v>11.042016049771409</v>
      </c>
      <c r="BB245" s="34">
        <f t="shared" ca="1" si="225"/>
        <v>0</v>
      </c>
      <c r="BC245" s="34">
        <f t="shared" ca="1" si="225"/>
        <v>0</v>
      </c>
      <c r="BD245" s="34">
        <f t="shared" ca="1" si="225"/>
        <v>0</v>
      </c>
      <c r="BE245" s="34">
        <f t="shared" ca="1" si="225"/>
        <v>0</v>
      </c>
      <c r="BF245" s="34">
        <f t="shared" ca="1" si="225"/>
        <v>0</v>
      </c>
      <c r="BG245" s="34">
        <f t="shared" ca="1" si="225"/>
        <v>0</v>
      </c>
      <c r="BH245" s="34">
        <f t="shared" ca="1" si="225"/>
        <v>0</v>
      </c>
      <c r="BI245" s="34">
        <f t="shared" ca="1" si="225"/>
        <v>992.70283821653595</v>
      </c>
      <c r="BJ245" s="34">
        <f t="shared" ca="1" si="225"/>
        <v>1205.6080980924337</v>
      </c>
      <c r="BK245" s="34">
        <f t="shared" ca="1" si="225"/>
        <v>1339.5645534360374</v>
      </c>
      <c r="BL245" s="34">
        <f t="shared" ca="1" si="226"/>
        <v>1488.4050593733748</v>
      </c>
      <c r="BM245" s="34">
        <f t="shared" ca="1" si="226"/>
        <v>1653.7833993037498</v>
      </c>
      <c r="BN245" s="34">
        <f t="shared" ca="1" si="226"/>
        <v>1837.5371103375001</v>
      </c>
      <c r="BO245" s="34">
        <f t="shared" ca="1" si="226"/>
        <v>0</v>
      </c>
      <c r="BP245" s="34">
        <f t="shared" ca="1" si="226"/>
        <v>0</v>
      </c>
      <c r="BQ245" s="34">
        <f t="shared" ca="1" si="226"/>
        <v>0</v>
      </c>
      <c r="BR245" s="34">
        <f t="shared" ca="1" si="226"/>
        <v>0</v>
      </c>
      <c r="BS245" s="34">
        <f t="shared" ca="1" si="226"/>
        <v>0</v>
      </c>
      <c r="BT245" s="34">
        <f t="shared" ca="1" si="226"/>
        <v>0</v>
      </c>
      <c r="BU245" s="34">
        <f t="shared" ca="1" si="226"/>
        <v>0</v>
      </c>
      <c r="BV245" s="34">
        <f t="shared" ca="1" si="227"/>
        <v>0</v>
      </c>
      <c r="BW245" s="34">
        <f t="shared" ca="1" si="227"/>
        <v>0</v>
      </c>
      <c r="BX245" s="34">
        <f t="shared" ca="1" si="227"/>
        <v>0</v>
      </c>
      <c r="BY245" s="34">
        <f t="shared" ca="1" si="227"/>
        <v>0</v>
      </c>
      <c r="BZ245" s="34">
        <f t="shared" ca="1" si="227"/>
        <v>0</v>
      </c>
      <c r="CA245" s="34">
        <f t="shared" ca="1" si="227"/>
        <v>0</v>
      </c>
      <c r="CB245" s="34">
        <f t="shared" ca="1" si="227"/>
        <v>0</v>
      </c>
      <c r="CC245" s="34">
        <f t="shared" ca="1" si="227"/>
        <v>0</v>
      </c>
      <c r="CD245" s="34">
        <f t="shared" ca="1" si="227"/>
        <v>0</v>
      </c>
      <c r="CE245" s="34">
        <f t="shared" ca="1" si="227"/>
        <v>0</v>
      </c>
      <c r="CF245" s="34">
        <f t="shared" ca="1" si="228"/>
        <v>0</v>
      </c>
      <c r="CG245" s="34">
        <f t="shared" ca="1" si="228"/>
        <v>0</v>
      </c>
      <c r="CH245" s="34">
        <f t="shared" ca="1" si="228"/>
        <v>0</v>
      </c>
      <c r="CI245" s="34">
        <f t="shared" ca="1" si="228"/>
        <v>0</v>
      </c>
      <c r="CJ245" s="34">
        <f t="shared" ca="1" si="228"/>
        <v>0</v>
      </c>
      <c r="CK245" s="34">
        <f t="shared" ca="1" si="228"/>
        <v>0</v>
      </c>
      <c r="CL245" s="34">
        <f t="shared" ca="1" si="228"/>
        <v>0</v>
      </c>
      <c r="CM245" s="34">
        <f t="shared" ca="1" si="228"/>
        <v>0</v>
      </c>
      <c r="CN245" s="34">
        <f t="shared" ca="1" si="228"/>
        <v>0</v>
      </c>
      <c r="CO245" s="34">
        <f t="shared" ca="1" si="228"/>
        <v>0</v>
      </c>
      <c r="CP245" s="34">
        <f t="shared" ca="1" si="228"/>
        <v>0</v>
      </c>
      <c r="CQ245" s="34">
        <f t="shared" ca="1" si="220"/>
        <v>8517.601058759632</v>
      </c>
      <c r="CR245" s="363">
        <v>0</v>
      </c>
      <c r="CS245" s="34">
        <f t="shared" ca="1" si="221"/>
        <v>8517.601058759632</v>
      </c>
      <c r="CT245" s="233"/>
    </row>
    <row r="246" spans="2:98" x14ac:dyDescent="0.3">
      <c r="B246" s="232"/>
      <c r="C246" s="250">
        <f t="shared" si="222"/>
        <v>2030</v>
      </c>
      <c r="D246" s="263">
        <f t="shared" ca="1" si="205"/>
        <v>0</v>
      </c>
      <c r="E246" s="263">
        <f t="shared" ca="1" si="189"/>
        <v>127.76401588139447</v>
      </c>
      <c r="F246" s="263">
        <f t="shared" ca="1" si="190"/>
        <v>0</v>
      </c>
      <c r="G246" s="263">
        <f t="shared" ca="1" si="206"/>
        <v>766.58409528836683</v>
      </c>
      <c r="H246" s="15"/>
      <c r="I246" s="271">
        <f ca="1">Assumptions!O$68</f>
        <v>4.5</v>
      </c>
      <c r="J246" s="271">
        <f ca="1">Assumptions!P$68</f>
        <v>80</v>
      </c>
      <c r="K246" s="271">
        <f t="shared" ca="1" si="191"/>
        <v>40</v>
      </c>
      <c r="L246" s="15"/>
      <c r="M246" s="35">
        <f t="shared" ca="1" si="207"/>
        <v>4.2299999999999995</v>
      </c>
      <c r="N246" s="35">
        <f t="shared" ca="1" si="192"/>
        <v>64</v>
      </c>
      <c r="O246" s="35">
        <f t="shared" ca="1" si="193"/>
        <v>32</v>
      </c>
      <c r="P246" s="15"/>
      <c r="Q246" s="34">
        <f t="shared" ca="1" si="208"/>
        <v>0</v>
      </c>
      <c r="R246" s="34">
        <f t="shared" ca="1" si="208"/>
        <v>8176.8970164092461</v>
      </c>
      <c r="S246" s="34">
        <f t="shared" ca="1" si="208"/>
        <v>0</v>
      </c>
      <c r="T246" s="34">
        <f t="shared" ca="1" si="209"/>
        <v>8176.8970164092461</v>
      </c>
      <c r="U246" s="15"/>
      <c r="V246" s="35">
        <f t="shared" si="210"/>
        <v>0.7</v>
      </c>
      <c r="W246" s="34">
        <f t="shared" ca="1" si="211"/>
        <v>650.43498994164463</v>
      </c>
      <c r="X246" s="35">
        <f t="shared" si="212"/>
        <v>0.222</v>
      </c>
      <c r="Y246" s="34">
        <f t="shared" ca="1" si="213"/>
        <v>206.28081109577872</v>
      </c>
      <c r="Z246" s="35">
        <f t="shared" si="214"/>
        <v>0.34799999999999998</v>
      </c>
      <c r="AA246" s="34">
        <f t="shared" ca="1" si="215"/>
        <v>323.35910928527471</v>
      </c>
      <c r="AB246" s="34">
        <f t="shared" ca="1" si="216"/>
        <v>1180.0749103226981</v>
      </c>
      <c r="AC246" s="15"/>
      <c r="AD246" s="34">
        <f t="shared" ca="1" si="217"/>
        <v>6996.822106086548</v>
      </c>
      <c r="AE246" s="34">
        <f ca="1"/>
        <v>0</v>
      </c>
      <c r="AF246" s="34">
        <f t="shared" ca="1" si="218"/>
        <v>6996.822106086548</v>
      </c>
      <c r="AG246" s="15"/>
      <c r="AH246" s="272">
        <f t="shared" si="223"/>
        <v>47848</v>
      </c>
      <c r="AI246" s="267">
        <f t="shared" si="194"/>
        <v>16.666666666666668</v>
      </c>
      <c r="AJ246" s="267">
        <f t="shared" si="195"/>
        <v>0.2042311176546581</v>
      </c>
      <c r="AK246" s="34">
        <f t="shared" ca="1" si="224"/>
        <v>1428.9687987568745</v>
      </c>
      <c r="AL246" s="233"/>
      <c r="AN246" s="232"/>
      <c r="AO246" s="407">
        <f t="shared" ref="AO246:AS261" si="229">AO196</f>
        <v>17</v>
      </c>
      <c r="AP246" s="34">
        <f t="shared" ca="1" si="229"/>
        <v>0</v>
      </c>
      <c r="AQ246" s="34">
        <f t="shared" ca="1" si="229"/>
        <v>2.00763928177662</v>
      </c>
      <c r="AR246" s="34">
        <f t="shared" ca="1" si="229"/>
        <v>0</v>
      </c>
      <c r="AS246" s="34">
        <f t="shared" ca="1" si="229"/>
        <v>12.04583569065972</v>
      </c>
      <c r="AT246" s="15"/>
      <c r="AW246" s="34">
        <f t="shared" ca="1" si="197"/>
        <v>0</v>
      </c>
      <c r="AX246" s="34">
        <f t="shared" ca="1" si="198"/>
        <v>1.6563024074657113</v>
      </c>
      <c r="AY246" s="34">
        <f t="shared" ca="1" si="199"/>
        <v>0</v>
      </c>
      <c r="AZ246" s="34">
        <f t="shared" ca="1" si="200"/>
        <v>9.9378144447942685</v>
      </c>
      <c r="BB246" s="34">
        <f t="shared" ca="1" si="225"/>
        <v>0</v>
      </c>
      <c r="BC246" s="34">
        <f t="shared" ca="1" si="225"/>
        <v>0</v>
      </c>
      <c r="BD246" s="34">
        <f t="shared" ca="1" si="225"/>
        <v>0</v>
      </c>
      <c r="BE246" s="34">
        <f t="shared" ca="1" si="225"/>
        <v>0</v>
      </c>
      <c r="BF246" s="34">
        <f t="shared" ca="1" si="225"/>
        <v>0</v>
      </c>
      <c r="BG246" s="34">
        <f t="shared" ca="1" si="225"/>
        <v>0</v>
      </c>
      <c r="BH246" s="34">
        <f t="shared" ca="1" si="225"/>
        <v>0</v>
      </c>
      <c r="BI246" s="34">
        <f t="shared" ca="1" si="225"/>
        <v>893.43255439488223</v>
      </c>
      <c r="BJ246" s="34">
        <f t="shared" ca="1" si="225"/>
        <v>1085.0472882831905</v>
      </c>
      <c r="BK246" s="34">
        <f t="shared" ca="1" si="225"/>
        <v>1205.6080980924337</v>
      </c>
      <c r="BL246" s="34">
        <f t="shared" ca="1" si="226"/>
        <v>1339.5645534360374</v>
      </c>
      <c r="BM246" s="34">
        <f t="shared" ca="1" si="226"/>
        <v>1488.4050593733748</v>
      </c>
      <c r="BN246" s="34">
        <f t="shared" ca="1" si="226"/>
        <v>1653.7833993037498</v>
      </c>
      <c r="BO246" s="34">
        <f t="shared" ca="1" si="226"/>
        <v>0</v>
      </c>
      <c r="BP246" s="34">
        <f t="shared" ca="1" si="226"/>
        <v>0</v>
      </c>
      <c r="BQ246" s="34">
        <f t="shared" ca="1" si="226"/>
        <v>0</v>
      </c>
      <c r="BR246" s="34">
        <f t="shared" ca="1" si="226"/>
        <v>0</v>
      </c>
      <c r="BS246" s="34">
        <f t="shared" ca="1" si="226"/>
        <v>0</v>
      </c>
      <c r="BT246" s="34">
        <f t="shared" ca="1" si="226"/>
        <v>0</v>
      </c>
      <c r="BU246" s="34">
        <f t="shared" ca="1" si="226"/>
        <v>0</v>
      </c>
      <c r="BV246" s="34">
        <f t="shared" ca="1" si="227"/>
        <v>0</v>
      </c>
      <c r="BW246" s="34">
        <f t="shared" ca="1" si="227"/>
        <v>0</v>
      </c>
      <c r="BX246" s="34">
        <f t="shared" ca="1" si="227"/>
        <v>0</v>
      </c>
      <c r="BY246" s="34">
        <f t="shared" ca="1" si="227"/>
        <v>0</v>
      </c>
      <c r="BZ246" s="34">
        <f t="shared" ca="1" si="227"/>
        <v>0</v>
      </c>
      <c r="CA246" s="34">
        <f t="shared" ca="1" si="227"/>
        <v>0</v>
      </c>
      <c r="CB246" s="34">
        <f t="shared" ca="1" si="227"/>
        <v>0</v>
      </c>
      <c r="CC246" s="34">
        <f t="shared" ca="1" si="227"/>
        <v>0</v>
      </c>
      <c r="CD246" s="34">
        <f t="shared" ca="1" si="227"/>
        <v>0</v>
      </c>
      <c r="CE246" s="34">
        <f t="shared" ca="1" si="227"/>
        <v>0</v>
      </c>
      <c r="CF246" s="34">
        <f t="shared" ca="1" si="228"/>
        <v>0</v>
      </c>
      <c r="CG246" s="34">
        <f t="shared" ca="1" si="228"/>
        <v>0</v>
      </c>
      <c r="CH246" s="34">
        <f t="shared" ca="1" si="228"/>
        <v>0</v>
      </c>
      <c r="CI246" s="34">
        <f t="shared" ca="1" si="228"/>
        <v>0</v>
      </c>
      <c r="CJ246" s="34">
        <f t="shared" ca="1" si="228"/>
        <v>0</v>
      </c>
      <c r="CK246" s="34">
        <f t="shared" ca="1" si="228"/>
        <v>0</v>
      </c>
      <c r="CL246" s="34">
        <f t="shared" ca="1" si="228"/>
        <v>0</v>
      </c>
      <c r="CM246" s="34">
        <f t="shared" ca="1" si="228"/>
        <v>0</v>
      </c>
      <c r="CN246" s="34">
        <f t="shared" ca="1" si="228"/>
        <v>0</v>
      </c>
      <c r="CO246" s="34">
        <f t="shared" ca="1" si="228"/>
        <v>0</v>
      </c>
      <c r="CP246" s="34">
        <f t="shared" ca="1" si="228"/>
        <v>0</v>
      </c>
      <c r="CQ246" s="34">
        <f t="shared" ca="1" si="220"/>
        <v>7665.8409528836673</v>
      </c>
      <c r="CR246" s="363">
        <v>0</v>
      </c>
      <c r="CS246" s="34">
        <f t="shared" ca="1" si="221"/>
        <v>7665.8409528836673</v>
      </c>
      <c r="CT246" s="233"/>
    </row>
    <row r="247" spans="2:98" x14ac:dyDescent="0.3">
      <c r="B247" s="232"/>
      <c r="C247" s="250">
        <f t="shared" si="222"/>
        <v>2031</v>
      </c>
      <c r="D247" s="263">
        <f t="shared" ca="1" si="205"/>
        <v>0</v>
      </c>
      <c r="E247" s="263">
        <f t="shared" ca="1" si="189"/>
        <v>114.98761429325504</v>
      </c>
      <c r="F247" s="263">
        <f t="shared" ca="1" si="190"/>
        <v>0</v>
      </c>
      <c r="G247" s="263">
        <f t="shared" ca="1" si="206"/>
        <v>689.92568575953021</v>
      </c>
      <c r="H247" s="15"/>
      <c r="I247" s="271">
        <f ca="1">Assumptions!O$68</f>
        <v>4.5</v>
      </c>
      <c r="J247" s="271">
        <f ca="1">Assumptions!P$68</f>
        <v>80</v>
      </c>
      <c r="K247" s="271">
        <f t="shared" ca="1" si="191"/>
        <v>40</v>
      </c>
      <c r="L247" s="15"/>
      <c r="M247" s="35">
        <f t="shared" ca="1" si="207"/>
        <v>4.2299999999999995</v>
      </c>
      <c r="N247" s="35">
        <f t="shared" ca="1" si="192"/>
        <v>64</v>
      </c>
      <c r="O247" s="35">
        <f t="shared" ca="1" si="193"/>
        <v>32</v>
      </c>
      <c r="P247" s="15"/>
      <c r="Q247" s="34">
        <f t="shared" ca="1" si="208"/>
        <v>0</v>
      </c>
      <c r="R247" s="34">
        <f t="shared" ca="1" si="208"/>
        <v>7359.2073147683222</v>
      </c>
      <c r="S247" s="34">
        <f t="shared" ca="1" si="208"/>
        <v>0</v>
      </c>
      <c r="T247" s="34">
        <f t="shared" ca="1" si="209"/>
        <v>7359.2073147683222</v>
      </c>
      <c r="U247" s="15"/>
      <c r="V247" s="35">
        <f t="shared" si="210"/>
        <v>0.7</v>
      </c>
      <c r="W247" s="34">
        <f t="shared" ca="1" si="211"/>
        <v>585.39149094748018</v>
      </c>
      <c r="X247" s="35">
        <f t="shared" si="212"/>
        <v>0.222</v>
      </c>
      <c r="Y247" s="34">
        <f t="shared" ca="1" si="213"/>
        <v>185.65272998620085</v>
      </c>
      <c r="Z247" s="35">
        <f t="shared" si="214"/>
        <v>0.34799999999999998</v>
      </c>
      <c r="AA247" s="34">
        <f t="shared" ca="1" si="215"/>
        <v>291.02319835674729</v>
      </c>
      <c r="AB247" s="34">
        <f t="shared" ca="1" si="216"/>
        <v>1062.0674192904282</v>
      </c>
      <c r="AC247" s="15"/>
      <c r="AD247" s="34">
        <f t="shared" ca="1" si="217"/>
        <v>6297.1398954778942</v>
      </c>
      <c r="AE247" s="34">
        <f ca="1"/>
        <v>0</v>
      </c>
      <c r="AF247" s="34">
        <f t="shared" ca="1" si="218"/>
        <v>6297.1398954778942</v>
      </c>
      <c r="AG247" s="15"/>
      <c r="AH247" s="272">
        <f t="shared" si="223"/>
        <v>48213</v>
      </c>
      <c r="AI247" s="267">
        <f t="shared" si="194"/>
        <v>17.666666666666668</v>
      </c>
      <c r="AJ247" s="267">
        <f t="shared" si="195"/>
        <v>0.1856646524133255</v>
      </c>
      <c r="AK247" s="34">
        <f t="shared" ca="1" si="224"/>
        <v>1169.1562898919881</v>
      </c>
      <c r="AL247" s="233"/>
      <c r="AN247" s="232"/>
      <c r="AO247" s="407">
        <f t="shared" si="229"/>
        <v>18</v>
      </c>
      <c r="AP247" s="34">
        <f t="shared" ca="1" si="229"/>
        <v>0</v>
      </c>
      <c r="AQ247" s="34">
        <f t="shared" ca="1" si="229"/>
        <v>1.8068753535989579</v>
      </c>
      <c r="AR247" s="34">
        <f t="shared" ca="1" si="229"/>
        <v>0</v>
      </c>
      <c r="AS247" s="34">
        <f t="shared" ca="1" si="229"/>
        <v>10.841252121593747</v>
      </c>
      <c r="AT247" s="15"/>
      <c r="AW247" s="34">
        <f t="shared" ca="1" si="197"/>
        <v>0</v>
      </c>
      <c r="AX247" s="34">
        <f t="shared" ca="1" si="198"/>
        <v>1.4906721667191403</v>
      </c>
      <c r="AY247" s="34">
        <f t="shared" ca="1" si="199"/>
        <v>0</v>
      </c>
      <c r="AZ247" s="34">
        <f t="shared" ca="1" si="200"/>
        <v>8.9440330003148407</v>
      </c>
      <c r="BB247" s="34">
        <f t="shared" ca="1" si="225"/>
        <v>0</v>
      </c>
      <c r="BC247" s="34">
        <f t="shared" ca="1" si="225"/>
        <v>0</v>
      </c>
      <c r="BD247" s="34">
        <f t="shared" ca="1" si="225"/>
        <v>0</v>
      </c>
      <c r="BE247" s="34">
        <f t="shared" ca="1" si="225"/>
        <v>0</v>
      </c>
      <c r="BF247" s="34">
        <f t="shared" ca="1" si="225"/>
        <v>0</v>
      </c>
      <c r="BG247" s="34">
        <f t="shared" ca="1" si="225"/>
        <v>0</v>
      </c>
      <c r="BH247" s="34">
        <f t="shared" ca="1" si="225"/>
        <v>0</v>
      </c>
      <c r="BI247" s="34">
        <f t="shared" ca="1" si="225"/>
        <v>804.08929895539404</v>
      </c>
      <c r="BJ247" s="34">
        <f t="shared" ca="1" si="225"/>
        <v>976.54255945487137</v>
      </c>
      <c r="BK247" s="34">
        <f t="shared" ca="1" si="225"/>
        <v>1085.0472882831905</v>
      </c>
      <c r="BL247" s="34">
        <f t="shared" ca="1" si="226"/>
        <v>1205.6080980924337</v>
      </c>
      <c r="BM247" s="34">
        <f t="shared" ca="1" si="226"/>
        <v>1339.5645534360374</v>
      </c>
      <c r="BN247" s="34">
        <f t="shared" ca="1" si="226"/>
        <v>1488.4050593733748</v>
      </c>
      <c r="BO247" s="34">
        <f t="shared" ca="1" si="226"/>
        <v>0</v>
      </c>
      <c r="BP247" s="34">
        <f t="shared" ca="1" si="226"/>
        <v>0</v>
      </c>
      <c r="BQ247" s="34">
        <f t="shared" ca="1" si="226"/>
        <v>0</v>
      </c>
      <c r="BR247" s="34">
        <f t="shared" ca="1" si="226"/>
        <v>0</v>
      </c>
      <c r="BS247" s="34">
        <f t="shared" ca="1" si="226"/>
        <v>0</v>
      </c>
      <c r="BT247" s="34">
        <f t="shared" ca="1" si="226"/>
        <v>0</v>
      </c>
      <c r="BU247" s="34">
        <f t="shared" ca="1" si="226"/>
        <v>0</v>
      </c>
      <c r="BV247" s="34">
        <f t="shared" ca="1" si="227"/>
        <v>0</v>
      </c>
      <c r="BW247" s="34">
        <f t="shared" ca="1" si="227"/>
        <v>0</v>
      </c>
      <c r="BX247" s="34">
        <f t="shared" ca="1" si="227"/>
        <v>0</v>
      </c>
      <c r="BY247" s="34">
        <f t="shared" ca="1" si="227"/>
        <v>0</v>
      </c>
      <c r="BZ247" s="34">
        <f t="shared" ca="1" si="227"/>
        <v>0</v>
      </c>
      <c r="CA247" s="34">
        <f t="shared" ca="1" si="227"/>
        <v>0</v>
      </c>
      <c r="CB247" s="34">
        <f t="shared" ca="1" si="227"/>
        <v>0</v>
      </c>
      <c r="CC247" s="34">
        <f t="shared" ca="1" si="227"/>
        <v>0</v>
      </c>
      <c r="CD247" s="34">
        <f t="shared" ca="1" si="227"/>
        <v>0</v>
      </c>
      <c r="CE247" s="34">
        <f t="shared" ca="1" si="227"/>
        <v>0</v>
      </c>
      <c r="CF247" s="34">
        <f t="shared" ca="1" si="228"/>
        <v>0</v>
      </c>
      <c r="CG247" s="34">
        <f t="shared" ca="1" si="228"/>
        <v>0</v>
      </c>
      <c r="CH247" s="34">
        <f t="shared" ca="1" si="228"/>
        <v>0</v>
      </c>
      <c r="CI247" s="34">
        <f t="shared" ca="1" si="228"/>
        <v>0</v>
      </c>
      <c r="CJ247" s="34">
        <f t="shared" ca="1" si="228"/>
        <v>0</v>
      </c>
      <c r="CK247" s="34">
        <f t="shared" ca="1" si="228"/>
        <v>0</v>
      </c>
      <c r="CL247" s="34">
        <f t="shared" ca="1" si="228"/>
        <v>0</v>
      </c>
      <c r="CM247" s="34">
        <f t="shared" ca="1" si="228"/>
        <v>0</v>
      </c>
      <c r="CN247" s="34">
        <f t="shared" ca="1" si="228"/>
        <v>0</v>
      </c>
      <c r="CO247" s="34">
        <f t="shared" ca="1" si="228"/>
        <v>0</v>
      </c>
      <c r="CP247" s="34">
        <f t="shared" ca="1" si="228"/>
        <v>0</v>
      </c>
      <c r="CQ247" s="34">
        <f t="shared" ca="1" si="220"/>
        <v>6899.2568575953019</v>
      </c>
      <c r="CR247" s="363">
        <v>0</v>
      </c>
      <c r="CS247" s="34">
        <f t="shared" ca="1" si="221"/>
        <v>6899.2568575953019</v>
      </c>
      <c r="CT247" s="233"/>
    </row>
    <row r="248" spans="2:98" x14ac:dyDescent="0.3">
      <c r="B248" s="232"/>
      <c r="C248" s="250">
        <f t="shared" si="222"/>
        <v>2032</v>
      </c>
      <c r="D248" s="263">
        <f t="shared" ca="1" si="205"/>
        <v>0</v>
      </c>
      <c r="E248" s="263">
        <f t="shared" ca="1" si="189"/>
        <v>103.48885286392954</v>
      </c>
      <c r="F248" s="263">
        <f t="shared" ca="1" si="190"/>
        <v>0</v>
      </c>
      <c r="G248" s="263">
        <f t="shared" ca="1" si="206"/>
        <v>620.93311718357722</v>
      </c>
      <c r="H248" s="15"/>
      <c r="I248" s="271">
        <f ca="1">Assumptions!O$68</f>
        <v>4.5</v>
      </c>
      <c r="J248" s="271">
        <f ca="1">Assumptions!P$68</f>
        <v>80</v>
      </c>
      <c r="K248" s="271">
        <f t="shared" ca="1" si="191"/>
        <v>40</v>
      </c>
      <c r="L248" s="15"/>
      <c r="M248" s="35">
        <f t="shared" ca="1" si="207"/>
        <v>4.2299999999999995</v>
      </c>
      <c r="N248" s="35">
        <f t="shared" ca="1" si="192"/>
        <v>64</v>
      </c>
      <c r="O248" s="35">
        <f t="shared" ca="1" si="193"/>
        <v>32</v>
      </c>
      <c r="P248" s="15"/>
      <c r="Q248" s="34">
        <f t="shared" ca="1" si="208"/>
        <v>0</v>
      </c>
      <c r="R248" s="34">
        <f t="shared" ca="1" si="208"/>
        <v>6623.2865832914904</v>
      </c>
      <c r="S248" s="34">
        <f t="shared" ca="1" si="208"/>
        <v>0</v>
      </c>
      <c r="T248" s="34">
        <f t="shared" ca="1" si="209"/>
        <v>6623.2865832914904</v>
      </c>
      <c r="U248" s="15"/>
      <c r="V248" s="35">
        <f t="shared" si="210"/>
        <v>0.7</v>
      </c>
      <c r="W248" s="34">
        <f t="shared" ca="1" si="211"/>
        <v>526.85234185273214</v>
      </c>
      <c r="X248" s="35">
        <f t="shared" si="212"/>
        <v>0.222</v>
      </c>
      <c r="Y248" s="34">
        <f t="shared" ca="1" si="213"/>
        <v>167.08745698758079</v>
      </c>
      <c r="Z248" s="35">
        <f t="shared" si="214"/>
        <v>0.34799999999999998</v>
      </c>
      <c r="AA248" s="34">
        <f t="shared" ca="1" si="215"/>
        <v>261.92087852107255</v>
      </c>
      <c r="AB248" s="34">
        <f t="shared" ca="1" si="216"/>
        <v>955.86067736138557</v>
      </c>
      <c r="AC248" s="15"/>
      <c r="AD248" s="34">
        <f t="shared" ca="1" si="217"/>
        <v>5667.4259059301048</v>
      </c>
      <c r="AE248" s="34">
        <f ca="1"/>
        <v>0</v>
      </c>
      <c r="AF248" s="34">
        <f t="shared" ca="1" si="218"/>
        <v>5667.4259059301048</v>
      </c>
      <c r="AG248" s="15"/>
      <c r="AH248" s="272">
        <f t="shared" si="223"/>
        <v>48579</v>
      </c>
      <c r="AI248" s="267">
        <f t="shared" si="194"/>
        <v>18.666666666666668</v>
      </c>
      <c r="AJ248" s="267">
        <f t="shared" si="195"/>
        <v>0.16878604764847771</v>
      </c>
      <c r="AK248" s="34">
        <f t="shared" ca="1" si="224"/>
        <v>956.58241900253563</v>
      </c>
      <c r="AL248" s="233"/>
      <c r="AN248" s="232"/>
      <c r="AO248" s="407">
        <f t="shared" si="229"/>
        <v>19</v>
      </c>
      <c r="AP248" s="34">
        <f t="shared" ca="1" si="229"/>
        <v>0</v>
      </c>
      <c r="AQ248" s="34">
        <f t="shared" ca="1" si="229"/>
        <v>1.6261878182390621</v>
      </c>
      <c r="AR248" s="34">
        <f t="shared" ca="1" si="229"/>
        <v>0</v>
      </c>
      <c r="AS248" s="34">
        <f t="shared" ca="1" si="229"/>
        <v>9.7571269094343727</v>
      </c>
      <c r="AT248" s="15"/>
      <c r="AW248" s="34">
        <f t="shared" ca="1" si="197"/>
        <v>0</v>
      </c>
      <c r="AX248" s="34">
        <f t="shared" ca="1" si="198"/>
        <v>1.3416049500472262</v>
      </c>
      <c r="AY248" s="34">
        <f t="shared" ca="1" si="199"/>
        <v>0</v>
      </c>
      <c r="AZ248" s="34">
        <f t="shared" ca="1" si="200"/>
        <v>8.0496297002833579</v>
      </c>
      <c r="BB248" s="34">
        <f t="shared" ca="1" si="225"/>
        <v>0</v>
      </c>
      <c r="BC248" s="34">
        <f t="shared" ca="1" si="225"/>
        <v>0</v>
      </c>
      <c r="BD248" s="34">
        <f t="shared" ca="1" si="225"/>
        <v>0</v>
      </c>
      <c r="BE248" s="34">
        <f t="shared" ca="1" si="225"/>
        <v>0</v>
      </c>
      <c r="BF248" s="34">
        <f t="shared" ca="1" si="225"/>
        <v>0</v>
      </c>
      <c r="BG248" s="34">
        <f t="shared" ca="1" si="225"/>
        <v>0</v>
      </c>
      <c r="BH248" s="34">
        <f t="shared" ca="1" si="225"/>
        <v>0</v>
      </c>
      <c r="BI248" s="34">
        <f t="shared" ca="1" si="225"/>
        <v>723.68036905985457</v>
      </c>
      <c r="BJ248" s="34">
        <f t="shared" ca="1" si="225"/>
        <v>878.88830350938417</v>
      </c>
      <c r="BK248" s="34">
        <f t="shared" ca="1" si="225"/>
        <v>976.54255945487137</v>
      </c>
      <c r="BL248" s="34">
        <f t="shared" ca="1" si="226"/>
        <v>1085.0472882831905</v>
      </c>
      <c r="BM248" s="34">
        <f t="shared" ca="1" si="226"/>
        <v>1205.6080980924337</v>
      </c>
      <c r="BN248" s="34">
        <f t="shared" ca="1" si="226"/>
        <v>1339.5645534360374</v>
      </c>
      <c r="BO248" s="34">
        <f t="shared" ca="1" si="226"/>
        <v>0</v>
      </c>
      <c r="BP248" s="34">
        <f t="shared" ca="1" si="226"/>
        <v>0</v>
      </c>
      <c r="BQ248" s="34">
        <f t="shared" ca="1" si="226"/>
        <v>0</v>
      </c>
      <c r="BR248" s="34">
        <f t="shared" ca="1" si="226"/>
        <v>0</v>
      </c>
      <c r="BS248" s="34">
        <f t="shared" ca="1" si="226"/>
        <v>0</v>
      </c>
      <c r="BT248" s="34">
        <f t="shared" ca="1" si="226"/>
        <v>0</v>
      </c>
      <c r="BU248" s="34">
        <f t="shared" ca="1" si="226"/>
        <v>0</v>
      </c>
      <c r="BV248" s="34">
        <f t="shared" ca="1" si="227"/>
        <v>0</v>
      </c>
      <c r="BW248" s="34">
        <f t="shared" ca="1" si="227"/>
        <v>0</v>
      </c>
      <c r="BX248" s="34">
        <f t="shared" ca="1" si="227"/>
        <v>0</v>
      </c>
      <c r="BY248" s="34">
        <f t="shared" ca="1" si="227"/>
        <v>0</v>
      </c>
      <c r="BZ248" s="34">
        <f t="shared" ca="1" si="227"/>
        <v>0</v>
      </c>
      <c r="CA248" s="34">
        <f t="shared" ca="1" si="227"/>
        <v>0</v>
      </c>
      <c r="CB248" s="34">
        <f t="shared" ca="1" si="227"/>
        <v>0</v>
      </c>
      <c r="CC248" s="34">
        <f t="shared" ca="1" si="227"/>
        <v>0</v>
      </c>
      <c r="CD248" s="34">
        <f t="shared" ca="1" si="227"/>
        <v>0</v>
      </c>
      <c r="CE248" s="34">
        <f t="shared" ca="1" si="227"/>
        <v>0</v>
      </c>
      <c r="CF248" s="34">
        <f t="shared" ca="1" si="228"/>
        <v>0</v>
      </c>
      <c r="CG248" s="34">
        <f t="shared" ca="1" si="228"/>
        <v>0</v>
      </c>
      <c r="CH248" s="34">
        <f t="shared" ca="1" si="228"/>
        <v>0</v>
      </c>
      <c r="CI248" s="34">
        <f t="shared" ca="1" si="228"/>
        <v>0</v>
      </c>
      <c r="CJ248" s="34">
        <f t="shared" ca="1" si="228"/>
        <v>0</v>
      </c>
      <c r="CK248" s="34">
        <f t="shared" ca="1" si="228"/>
        <v>0</v>
      </c>
      <c r="CL248" s="34">
        <f t="shared" ca="1" si="228"/>
        <v>0</v>
      </c>
      <c r="CM248" s="34">
        <f t="shared" ca="1" si="228"/>
        <v>0</v>
      </c>
      <c r="CN248" s="34">
        <f t="shared" ca="1" si="228"/>
        <v>0</v>
      </c>
      <c r="CO248" s="34">
        <f t="shared" ca="1" si="228"/>
        <v>0</v>
      </c>
      <c r="CP248" s="34">
        <f t="shared" ca="1" si="228"/>
        <v>0</v>
      </c>
      <c r="CQ248" s="34">
        <f t="shared" ca="1" si="220"/>
        <v>6209.3311718357718</v>
      </c>
      <c r="CR248" s="363">
        <v>0</v>
      </c>
      <c r="CS248" s="34">
        <f t="shared" ca="1" si="221"/>
        <v>6209.3311718357718</v>
      </c>
      <c r="CT248" s="233"/>
    </row>
    <row r="249" spans="2:98" x14ac:dyDescent="0.3">
      <c r="B249" s="232"/>
      <c r="C249" s="250">
        <f t="shared" si="222"/>
        <v>2033</v>
      </c>
      <c r="D249" s="263">
        <f t="shared" ca="1" si="205"/>
        <v>0</v>
      </c>
      <c r="E249" s="263">
        <f t="shared" ca="1" si="189"/>
        <v>93.139967577536581</v>
      </c>
      <c r="F249" s="263">
        <f t="shared" ca="1" si="190"/>
        <v>0</v>
      </c>
      <c r="G249" s="263">
        <f t="shared" ca="1" si="206"/>
        <v>558.83980546521946</v>
      </c>
      <c r="H249" s="15"/>
      <c r="I249" s="271">
        <f ca="1">Assumptions!O$68</f>
        <v>4.5</v>
      </c>
      <c r="J249" s="271">
        <f ca="1">Assumptions!P$68</f>
        <v>80</v>
      </c>
      <c r="K249" s="271">
        <f t="shared" ca="1" si="191"/>
        <v>40</v>
      </c>
      <c r="L249" s="15"/>
      <c r="M249" s="35">
        <f t="shared" ca="1" si="207"/>
        <v>4.2299999999999995</v>
      </c>
      <c r="N249" s="35">
        <f t="shared" ca="1" si="192"/>
        <v>64</v>
      </c>
      <c r="O249" s="35">
        <f t="shared" ca="1" si="193"/>
        <v>32</v>
      </c>
      <c r="P249" s="15"/>
      <c r="Q249" s="34">
        <f t="shared" ca="1" si="208"/>
        <v>0</v>
      </c>
      <c r="R249" s="34">
        <f t="shared" ca="1" si="208"/>
        <v>5960.9579249623412</v>
      </c>
      <c r="S249" s="34">
        <f t="shared" ca="1" si="208"/>
        <v>0</v>
      </c>
      <c r="T249" s="34">
        <f t="shared" ca="1" si="209"/>
        <v>5960.9579249623412</v>
      </c>
      <c r="U249" s="15"/>
      <c r="V249" s="35">
        <f t="shared" si="210"/>
        <v>0.7</v>
      </c>
      <c r="W249" s="34">
        <f t="shared" ca="1" si="211"/>
        <v>474.16710766745894</v>
      </c>
      <c r="X249" s="35">
        <f t="shared" si="212"/>
        <v>0.222</v>
      </c>
      <c r="Y249" s="34">
        <f t="shared" ca="1" si="213"/>
        <v>150.3787112888227</v>
      </c>
      <c r="Z249" s="35">
        <f t="shared" si="214"/>
        <v>0.34799999999999998</v>
      </c>
      <c r="AA249" s="34">
        <f t="shared" ca="1" si="215"/>
        <v>235.72879066896527</v>
      </c>
      <c r="AB249" s="34">
        <f t="shared" ca="1" si="216"/>
        <v>860.27460962524697</v>
      </c>
      <c r="AC249" s="15"/>
      <c r="AD249" s="34">
        <f t="shared" ca="1" si="217"/>
        <v>5100.6833153370944</v>
      </c>
      <c r="AE249" s="34">
        <f ca="1"/>
        <v>0</v>
      </c>
      <c r="AF249" s="34">
        <f t="shared" ca="1" si="218"/>
        <v>5100.6833153370944</v>
      </c>
      <c r="AG249" s="15"/>
      <c r="AH249" s="272">
        <f t="shared" si="223"/>
        <v>48944</v>
      </c>
      <c r="AI249" s="267">
        <f t="shared" si="194"/>
        <v>19.666666666666668</v>
      </c>
      <c r="AJ249" s="267">
        <f t="shared" si="195"/>
        <v>0.15344186149861608</v>
      </c>
      <c r="AK249" s="34">
        <f t="shared" ca="1" si="224"/>
        <v>782.65834282025628</v>
      </c>
      <c r="AL249" s="233"/>
      <c r="AN249" s="232"/>
      <c r="AO249" s="407">
        <f t="shared" si="229"/>
        <v>20</v>
      </c>
      <c r="AP249" s="34">
        <f t="shared" ca="1" si="229"/>
        <v>0</v>
      </c>
      <c r="AQ249" s="34">
        <f t="shared" ca="1" si="229"/>
        <v>1.4635690364151559</v>
      </c>
      <c r="AR249" s="34">
        <f t="shared" ca="1" si="229"/>
        <v>0</v>
      </c>
      <c r="AS249" s="34">
        <f t="shared" ca="1" si="229"/>
        <v>8.7814142184909354</v>
      </c>
      <c r="AT249" s="15"/>
      <c r="AW249" s="34">
        <f t="shared" ca="1" si="197"/>
        <v>0</v>
      </c>
      <c r="AX249" s="34">
        <f t="shared" ca="1" si="198"/>
        <v>1.2074444550425036</v>
      </c>
      <c r="AY249" s="34">
        <f t="shared" ca="1" si="199"/>
        <v>0</v>
      </c>
      <c r="AZ249" s="34">
        <f t="shared" ca="1" si="200"/>
        <v>7.2446667302550214</v>
      </c>
      <c r="BB249" s="34">
        <f t="shared" ref="BB249:BK258" ca="1" si="230">IF($AO249&lt;BB$228,0,OFFSET($AZ$228,$AO249-BB$228+1,0)*BB$226)</f>
        <v>0</v>
      </c>
      <c r="BC249" s="34">
        <f t="shared" ca="1" si="230"/>
        <v>0</v>
      </c>
      <c r="BD249" s="34">
        <f t="shared" ca="1" si="230"/>
        <v>0</v>
      </c>
      <c r="BE249" s="34">
        <f t="shared" ca="1" si="230"/>
        <v>0</v>
      </c>
      <c r="BF249" s="34">
        <f t="shared" ca="1" si="230"/>
        <v>0</v>
      </c>
      <c r="BG249" s="34">
        <f t="shared" ca="1" si="230"/>
        <v>0</v>
      </c>
      <c r="BH249" s="34">
        <f t="shared" ca="1" si="230"/>
        <v>0</v>
      </c>
      <c r="BI249" s="34">
        <f t="shared" ca="1" si="230"/>
        <v>651.31233215386919</v>
      </c>
      <c r="BJ249" s="34">
        <f t="shared" ca="1" si="230"/>
        <v>790.99947315844577</v>
      </c>
      <c r="BK249" s="34">
        <f t="shared" ca="1" si="230"/>
        <v>878.88830350938417</v>
      </c>
      <c r="BL249" s="34">
        <f t="shared" ref="BL249:BU258" ca="1" si="231">IF($AO249&lt;BL$228,0,OFFSET($AZ$228,$AO249-BL$228+1,0)*BL$226)</f>
        <v>976.54255945487137</v>
      </c>
      <c r="BM249" s="34">
        <f t="shared" ca="1" si="231"/>
        <v>1085.0472882831905</v>
      </c>
      <c r="BN249" s="34">
        <f t="shared" ca="1" si="231"/>
        <v>1205.6080980924337</v>
      </c>
      <c r="BO249" s="34">
        <f t="shared" ca="1" si="231"/>
        <v>0</v>
      </c>
      <c r="BP249" s="34">
        <f t="shared" ca="1" si="231"/>
        <v>0</v>
      </c>
      <c r="BQ249" s="34">
        <f t="shared" ca="1" si="231"/>
        <v>0</v>
      </c>
      <c r="BR249" s="34">
        <f t="shared" ca="1" si="231"/>
        <v>0</v>
      </c>
      <c r="BS249" s="34">
        <f t="shared" ca="1" si="231"/>
        <v>0</v>
      </c>
      <c r="BT249" s="34">
        <f t="shared" ca="1" si="231"/>
        <v>0</v>
      </c>
      <c r="BU249" s="34">
        <f t="shared" ca="1" si="231"/>
        <v>0</v>
      </c>
      <c r="BV249" s="34">
        <f t="shared" ref="BV249:CE258" ca="1" si="232">IF($AO249&lt;BV$228,0,OFFSET($AZ$228,$AO249-BV$228+1,0)*BV$226)</f>
        <v>0</v>
      </c>
      <c r="BW249" s="34">
        <f t="shared" ca="1" si="232"/>
        <v>0</v>
      </c>
      <c r="BX249" s="34">
        <f t="shared" ca="1" si="232"/>
        <v>0</v>
      </c>
      <c r="BY249" s="34">
        <f t="shared" ca="1" si="232"/>
        <v>0</v>
      </c>
      <c r="BZ249" s="34">
        <f t="shared" ca="1" si="232"/>
        <v>0</v>
      </c>
      <c r="CA249" s="34">
        <f t="shared" ca="1" si="232"/>
        <v>0</v>
      </c>
      <c r="CB249" s="34">
        <f t="shared" ca="1" si="232"/>
        <v>0</v>
      </c>
      <c r="CC249" s="34">
        <f t="shared" ca="1" si="232"/>
        <v>0</v>
      </c>
      <c r="CD249" s="34">
        <f t="shared" ca="1" si="232"/>
        <v>0</v>
      </c>
      <c r="CE249" s="34">
        <f t="shared" ca="1" si="232"/>
        <v>0</v>
      </c>
      <c r="CF249" s="34">
        <f t="shared" ref="CF249:CP258" ca="1" si="233">IF($AO249&lt;CF$228,0,OFFSET($AZ$228,$AO249-CF$228+1,0)*CF$226)</f>
        <v>0</v>
      </c>
      <c r="CG249" s="34">
        <f t="shared" ca="1" si="233"/>
        <v>0</v>
      </c>
      <c r="CH249" s="34">
        <f t="shared" ca="1" si="233"/>
        <v>0</v>
      </c>
      <c r="CI249" s="34">
        <f t="shared" ca="1" si="233"/>
        <v>0</v>
      </c>
      <c r="CJ249" s="34">
        <f t="shared" ca="1" si="233"/>
        <v>0</v>
      </c>
      <c r="CK249" s="34">
        <f t="shared" ca="1" si="233"/>
        <v>0</v>
      </c>
      <c r="CL249" s="34">
        <f t="shared" ca="1" si="233"/>
        <v>0</v>
      </c>
      <c r="CM249" s="34">
        <f t="shared" ca="1" si="233"/>
        <v>0</v>
      </c>
      <c r="CN249" s="34">
        <f t="shared" ca="1" si="233"/>
        <v>0</v>
      </c>
      <c r="CO249" s="34">
        <f t="shared" ca="1" si="233"/>
        <v>0</v>
      </c>
      <c r="CP249" s="34">
        <f t="shared" ca="1" si="233"/>
        <v>0</v>
      </c>
      <c r="CQ249" s="34">
        <f t="shared" ca="1" si="220"/>
        <v>5588.3980546521943</v>
      </c>
      <c r="CR249" s="363">
        <v>0</v>
      </c>
      <c r="CS249" s="34">
        <f t="shared" ca="1" si="221"/>
        <v>5588.3980546521943</v>
      </c>
      <c r="CT249" s="233"/>
    </row>
    <row r="250" spans="2:98" x14ac:dyDescent="0.3">
      <c r="B250" s="232"/>
      <c r="C250" s="250">
        <f t="shared" si="222"/>
        <v>2034</v>
      </c>
      <c r="D250" s="263">
        <f t="shared" ca="1" si="205"/>
        <v>0</v>
      </c>
      <c r="E250" s="263">
        <f t="shared" ca="1" si="189"/>
        <v>83.825970819782924</v>
      </c>
      <c r="F250" s="263">
        <f t="shared" ca="1" si="190"/>
        <v>0</v>
      </c>
      <c r="G250" s="263">
        <f t="shared" ca="1" si="206"/>
        <v>502.95582491869754</v>
      </c>
      <c r="H250" s="15"/>
      <c r="I250" s="271">
        <f ca="1">Assumptions!O$68</f>
        <v>4.5</v>
      </c>
      <c r="J250" s="271">
        <f ca="1">Assumptions!P$68</f>
        <v>80</v>
      </c>
      <c r="K250" s="271">
        <f t="shared" ca="1" si="191"/>
        <v>40</v>
      </c>
      <c r="L250" s="15"/>
      <c r="M250" s="35">
        <f t="shared" ca="1" si="207"/>
        <v>4.2299999999999995</v>
      </c>
      <c r="N250" s="35">
        <f t="shared" ca="1" si="192"/>
        <v>64</v>
      </c>
      <c r="O250" s="35">
        <f t="shared" ca="1" si="193"/>
        <v>32</v>
      </c>
      <c r="P250" s="15"/>
      <c r="Q250" s="34">
        <f t="shared" ca="1" si="208"/>
        <v>0</v>
      </c>
      <c r="R250" s="34">
        <f t="shared" ca="1" si="208"/>
        <v>5364.8621324661071</v>
      </c>
      <c r="S250" s="34">
        <f t="shared" ca="1" si="208"/>
        <v>0</v>
      </c>
      <c r="T250" s="34">
        <f t="shared" ca="1" si="209"/>
        <v>5364.8621324661071</v>
      </c>
      <c r="U250" s="15"/>
      <c r="V250" s="35">
        <f t="shared" si="210"/>
        <v>0.7</v>
      </c>
      <c r="W250" s="34">
        <f t="shared" ca="1" si="211"/>
        <v>426.75039690071304</v>
      </c>
      <c r="X250" s="35">
        <f t="shared" si="212"/>
        <v>0.222</v>
      </c>
      <c r="Y250" s="34">
        <f t="shared" ca="1" si="213"/>
        <v>135.34084015994043</v>
      </c>
      <c r="Z250" s="35">
        <f t="shared" si="214"/>
        <v>0.34799999999999998</v>
      </c>
      <c r="AA250" s="34">
        <f t="shared" ca="1" si="215"/>
        <v>212.15591160206876</v>
      </c>
      <c r="AB250" s="34">
        <f t="shared" ca="1" si="216"/>
        <v>774.24714866272222</v>
      </c>
      <c r="AC250" s="15"/>
      <c r="AD250" s="34">
        <f t="shared" ca="1" si="217"/>
        <v>4590.6149838033853</v>
      </c>
      <c r="AE250" s="34">
        <f ca="1"/>
        <v>0</v>
      </c>
      <c r="AF250" s="34">
        <f t="shared" ca="1" si="218"/>
        <v>4590.6149838033853</v>
      </c>
      <c r="AG250" s="15"/>
      <c r="AH250" s="272">
        <f t="shared" si="223"/>
        <v>49309</v>
      </c>
      <c r="AI250" s="267">
        <f t="shared" si="194"/>
        <v>20.666666666666668</v>
      </c>
      <c r="AJ250" s="267">
        <f t="shared" si="195"/>
        <v>0.13949260136237826</v>
      </c>
      <c r="AK250" s="34">
        <f t="shared" ca="1" si="224"/>
        <v>640.35682594384616</v>
      </c>
      <c r="AL250" s="233"/>
      <c r="AN250" s="232"/>
      <c r="AO250" s="407">
        <f t="shared" si="229"/>
        <v>21</v>
      </c>
      <c r="AP250" s="34">
        <f t="shared" ca="1" si="229"/>
        <v>0</v>
      </c>
      <c r="AQ250" s="34">
        <f t="shared" ca="1" si="229"/>
        <v>1.3172121327736404</v>
      </c>
      <c r="AR250" s="34">
        <f t="shared" ca="1" si="229"/>
        <v>0</v>
      </c>
      <c r="AS250" s="34">
        <f t="shared" ca="1" si="229"/>
        <v>7.9032727966418417</v>
      </c>
      <c r="AT250" s="15"/>
      <c r="AW250" s="34">
        <f t="shared" ca="1" si="197"/>
        <v>0</v>
      </c>
      <c r="AX250" s="34">
        <f t="shared" ca="1" si="198"/>
        <v>1.0867000095382533</v>
      </c>
      <c r="AY250" s="34">
        <f t="shared" ca="1" si="199"/>
        <v>0</v>
      </c>
      <c r="AZ250" s="34">
        <f t="shared" ca="1" si="200"/>
        <v>6.5202000572295189</v>
      </c>
      <c r="BB250" s="34">
        <f t="shared" ca="1" si="230"/>
        <v>0</v>
      </c>
      <c r="BC250" s="34">
        <f t="shared" ca="1" si="230"/>
        <v>0</v>
      </c>
      <c r="BD250" s="34">
        <f t="shared" ca="1" si="230"/>
        <v>0</v>
      </c>
      <c r="BE250" s="34">
        <f t="shared" ca="1" si="230"/>
        <v>0</v>
      </c>
      <c r="BF250" s="34">
        <f t="shared" ca="1" si="230"/>
        <v>0</v>
      </c>
      <c r="BG250" s="34">
        <f t="shared" ca="1" si="230"/>
        <v>0</v>
      </c>
      <c r="BH250" s="34">
        <f t="shared" ca="1" si="230"/>
        <v>0</v>
      </c>
      <c r="BI250" s="34">
        <f t="shared" ca="1" si="230"/>
        <v>586.18109893848225</v>
      </c>
      <c r="BJ250" s="34">
        <f t="shared" ca="1" si="230"/>
        <v>711.89952584260118</v>
      </c>
      <c r="BK250" s="34">
        <f t="shared" ca="1" si="230"/>
        <v>790.99947315844577</v>
      </c>
      <c r="BL250" s="34">
        <f t="shared" ca="1" si="231"/>
        <v>878.88830350938417</v>
      </c>
      <c r="BM250" s="34">
        <f t="shared" ca="1" si="231"/>
        <v>976.54255945487137</v>
      </c>
      <c r="BN250" s="34">
        <f t="shared" ca="1" si="231"/>
        <v>1085.0472882831905</v>
      </c>
      <c r="BO250" s="34">
        <f t="shared" ca="1" si="231"/>
        <v>0</v>
      </c>
      <c r="BP250" s="34">
        <f t="shared" ca="1" si="231"/>
        <v>0</v>
      </c>
      <c r="BQ250" s="34">
        <f t="shared" ca="1" si="231"/>
        <v>0</v>
      </c>
      <c r="BR250" s="34">
        <f t="shared" ca="1" si="231"/>
        <v>0</v>
      </c>
      <c r="BS250" s="34">
        <f t="shared" ca="1" si="231"/>
        <v>0</v>
      </c>
      <c r="BT250" s="34">
        <f t="shared" ca="1" si="231"/>
        <v>0</v>
      </c>
      <c r="BU250" s="34">
        <f t="shared" ca="1" si="231"/>
        <v>0</v>
      </c>
      <c r="BV250" s="34">
        <f t="shared" ca="1" si="232"/>
        <v>0</v>
      </c>
      <c r="BW250" s="34">
        <f t="shared" ca="1" si="232"/>
        <v>0</v>
      </c>
      <c r="BX250" s="34">
        <f t="shared" ca="1" si="232"/>
        <v>0</v>
      </c>
      <c r="BY250" s="34">
        <f t="shared" ca="1" si="232"/>
        <v>0</v>
      </c>
      <c r="BZ250" s="34">
        <f t="shared" ca="1" si="232"/>
        <v>0</v>
      </c>
      <c r="CA250" s="34">
        <f t="shared" ca="1" si="232"/>
        <v>0</v>
      </c>
      <c r="CB250" s="34">
        <f t="shared" ca="1" si="232"/>
        <v>0</v>
      </c>
      <c r="CC250" s="34">
        <f t="shared" ca="1" si="232"/>
        <v>0</v>
      </c>
      <c r="CD250" s="34">
        <f t="shared" ca="1" si="232"/>
        <v>0</v>
      </c>
      <c r="CE250" s="34">
        <f t="shared" ca="1" si="232"/>
        <v>0</v>
      </c>
      <c r="CF250" s="34">
        <f t="shared" ca="1" si="233"/>
        <v>0</v>
      </c>
      <c r="CG250" s="34">
        <f t="shared" ca="1" si="233"/>
        <v>0</v>
      </c>
      <c r="CH250" s="34">
        <f t="shared" ca="1" si="233"/>
        <v>0</v>
      </c>
      <c r="CI250" s="34">
        <f t="shared" ca="1" si="233"/>
        <v>0</v>
      </c>
      <c r="CJ250" s="34">
        <f t="shared" ca="1" si="233"/>
        <v>0</v>
      </c>
      <c r="CK250" s="34">
        <f t="shared" ca="1" si="233"/>
        <v>0</v>
      </c>
      <c r="CL250" s="34">
        <f t="shared" ca="1" si="233"/>
        <v>0</v>
      </c>
      <c r="CM250" s="34">
        <f t="shared" ca="1" si="233"/>
        <v>0</v>
      </c>
      <c r="CN250" s="34">
        <f t="shared" ca="1" si="233"/>
        <v>0</v>
      </c>
      <c r="CO250" s="34">
        <f t="shared" ca="1" si="233"/>
        <v>0</v>
      </c>
      <c r="CP250" s="34">
        <f t="shared" ca="1" si="233"/>
        <v>0</v>
      </c>
      <c r="CQ250" s="34">
        <f t="shared" ca="1" si="220"/>
        <v>5029.5582491869754</v>
      </c>
      <c r="CR250" s="363">
        <v>0</v>
      </c>
      <c r="CS250" s="34">
        <f t="shared" ca="1" si="221"/>
        <v>5029.5582491869754</v>
      </c>
      <c r="CT250" s="233"/>
    </row>
    <row r="251" spans="2:98" x14ac:dyDescent="0.3">
      <c r="B251" s="232"/>
      <c r="C251" s="250">
        <f t="shared" si="222"/>
        <v>2035</v>
      </c>
      <c r="D251" s="263">
        <f t="shared" ca="1" si="205"/>
        <v>0</v>
      </c>
      <c r="E251" s="263">
        <f t="shared" ca="1" si="189"/>
        <v>75.44337373780462</v>
      </c>
      <c r="F251" s="263">
        <f t="shared" ca="1" si="190"/>
        <v>0</v>
      </c>
      <c r="G251" s="263">
        <f t="shared" ca="1" si="206"/>
        <v>452.66024242682772</v>
      </c>
      <c r="H251" s="15"/>
      <c r="I251" s="271">
        <f ca="1">Assumptions!O$68</f>
        <v>4.5</v>
      </c>
      <c r="J251" s="271">
        <f ca="1">Assumptions!P$68</f>
        <v>80</v>
      </c>
      <c r="K251" s="271">
        <f t="shared" ca="1" si="191"/>
        <v>40</v>
      </c>
      <c r="L251" s="15"/>
      <c r="M251" s="35">
        <f t="shared" ca="1" si="207"/>
        <v>4.2299999999999995</v>
      </c>
      <c r="N251" s="35">
        <f t="shared" ca="1" si="192"/>
        <v>64</v>
      </c>
      <c r="O251" s="35">
        <f t="shared" ca="1" si="193"/>
        <v>32</v>
      </c>
      <c r="P251" s="15"/>
      <c r="Q251" s="34">
        <f t="shared" ca="1" si="208"/>
        <v>0</v>
      </c>
      <c r="R251" s="34">
        <f t="shared" ca="1" si="208"/>
        <v>4828.3759192194957</v>
      </c>
      <c r="S251" s="34">
        <f t="shared" ca="1" si="208"/>
        <v>0</v>
      </c>
      <c r="T251" s="34">
        <f t="shared" ca="1" si="209"/>
        <v>4828.3759192194957</v>
      </c>
      <c r="U251" s="15"/>
      <c r="V251" s="35">
        <f t="shared" si="210"/>
        <v>0.7</v>
      </c>
      <c r="W251" s="34">
        <f t="shared" ca="1" si="211"/>
        <v>384.0753572106417</v>
      </c>
      <c r="X251" s="35">
        <f t="shared" si="212"/>
        <v>0.222</v>
      </c>
      <c r="Y251" s="34">
        <f t="shared" ca="1" si="213"/>
        <v>121.80675614394637</v>
      </c>
      <c r="Z251" s="35">
        <f t="shared" si="214"/>
        <v>0.34799999999999998</v>
      </c>
      <c r="AA251" s="34">
        <f t="shared" ca="1" si="215"/>
        <v>190.94032044186187</v>
      </c>
      <c r="AB251" s="34">
        <f t="shared" ca="1" si="216"/>
        <v>696.8224337964499</v>
      </c>
      <c r="AC251" s="15"/>
      <c r="AD251" s="34">
        <f t="shared" ca="1" si="217"/>
        <v>4131.5534854230455</v>
      </c>
      <c r="AE251" s="34">
        <f ca="1"/>
        <v>0</v>
      </c>
      <c r="AF251" s="34">
        <f t="shared" ca="1" si="218"/>
        <v>4131.5534854230455</v>
      </c>
      <c r="AG251" s="15"/>
      <c r="AH251" s="272">
        <f t="shared" si="223"/>
        <v>49674</v>
      </c>
      <c r="AI251" s="267">
        <f t="shared" si="194"/>
        <v>21.666666666666668</v>
      </c>
      <c r="AJ251" s="267">
        <f t="shared" si="195"/>
        <v>0.12681145578398023</v>
      </c>
      <c r="AK251" s="34">
        <f t="shared" ca="1" si="224"/>
        <v>523.92831213587397</v>
      </c>
      <c r="AL251" s="233"/>
      <c r="AN251" s="232"/>
      <c r="AO251" s="407">
        <f t="shared" si="229"/>
        <v>22</v>
      </c>
      <c r="AP251" s="34">
        <f t="shared" ca="1" si="229"/>
        <v>0</v>
      </c>
      <c r="AQ251" s="34">
        <f t="shared" ca="1" si="229"/>
        <v>1.1854909194962764</v>
      </c>
      <c r="AR251" s="34">
        <f t="shared" ca="1" si="229"/>
        <v>0</v>
      </c>
      <c r="AS251" s="34">
        <f t="shared" ca="1" si="229"/>
        <v>7.1129455169776579</v>
      </c>
      <c r="AT251" s="15"/>
      <c r="AW251" s="34">
        <f t="shared" ca="1" si="197"/>
        <v>0</v>
      </c>
      <c r="AX251" s="34">
        <f t="shared" ca="1" si="198"/>
        <v>0.97803000858442801</v>
      </c>
      <c r="AY251" s="34">
        <f t="shared" ca="1" si="199"/>
        <v>0</v>
      </c>
      <c r="AZ251" s="34">
        <f t="shared" ca="1" si="200"/>
        <v>5.8681800515065676</v>
      </c>
      <c r="BB251" s="34">
        <f t="shared" ca="1" si="230"/>
        <v>0</v>
      </c>
      <c r="BC251" s="34">
        <f t="shared" ca="1" si="230"/>
        <v>0</v>
      </c>
      <c r="BD251" s="34">
        <f t="shared" ca="1" si="230"/>
        <v>0</v>
      </c>
      <c r="BE251" s="34">
        <f t="shared" ca="1" si="230"/>
        <v>0</v>
      </c>
      <c r="BF251" s="34">
        <f t="shared" ca="1" si="230"/>
        <v>0</v>
      </c>
      <c r="BG251" s="34">
        <f t="shared" ca="1" si="230"/>
        <v>0</v>
      </c>
      <c r="BH251" s="34">
        <f t="shared" ca="1" si="230"/>
        <v>0</v>
      </c>
      <c r="BI251" s="34">
        <f t="shared" ca="1" si="230"/>
        <v>527.56298904463404</v>
      </c>
      <c r="BJ251" s="34">
        <f t="shared" ca="1" si="230"/>
        <v>640.70957325834104</v>
      </c>
      <c r="BK251" s="34">
        <f t="shared" ca="1" si="230"/>
        <v>711.89952584260118</v>
      </c>
      <c r="BL251" s="34">
        <f t="shared" ca="1" si="231"/>
        <v>790.99947315844577</v>
      </c>
      <c r="BM251" s="34">
        <f t="shared" ca="1" si="231"/>
        <v>878.88830350938417</v>
      </c>
      <c r="BN251" s="34">
        <f t="shared" ca="1" si="231"/>
        <v>976.54255945487137</v>
      </c>
      <c r="BO251" s="34">
        <f t="shared" ca="1" si="231"/>
        <v>0</v>
      </c>
      <c r="BP251" s="34">
        <f t="shared" ca="1" si="231"/>
        <v>0</v>
      </c>
      <c r="BQ251" s="34">
        <f t="shared" ca="1" si="231"/>
        <v>0</v>
      </c>
      <c r="BR251" s="34">
        <f t="shared" ca="1" si="231"/>
        <v>0</v>
      </c>
      <c r="BS251" s="34">
        <f t="shared" ca="1" si="231"/>
        <v>0</v>
      </c>
      <c r="BT251" s="34">
        <f t="shared" ca="1" si="231"/>
        <v>0</v>
      </c>
      <c r="BU251" s="34">
        <f t="shared" ca="1" si="231"/>
        <v>0</v>
      </c>
      <c r="BV251" s="34">
        <f t="shared" ca="1" si="232"/>
        <v>0</v>
      </c>
      <c r="BW251" s="34">
        <f t="shared" ca="1" si="232"/>
        <v>0</v>
      </c>
      <c r="BX251" s="34">
        <f t="shared" ca="1" si="232"/>
        <v>0</v>
      </c>
      <c r="BY251" s="34">
        <f t="shared" ca="1" si="232"/>
        <v>0</v>
      </c>
      <c r="BZ251" s="34">
        <f t="shared" ca="1" si="232"/>
        <v>0</v>
      </c>
      <c r="CA251" s="34">
        <f t="shared" ca="1" si="232"/>
        <v>0</v>
      </c>
      <c r="CB251" s="34">
        <f t="shared" ca="1" si="232"/>
        <v>0</v>
      </c>
      <c r="CC251" s="34">
        <f t="shared" ca="1" si="232"/>
        <v>0</v>
      </c>
      <c r="CD251" s="34">
        <f t="shared" ca="1" si="232"/>
        <v>0</v>
      </c>
      <c r="CE251" s="34">
        <f t="shared" ca="1" si="232"/>
        <v>0</v>
      </c>
      <c r="CF251" s="34">
        <f t="shared" ca="1" si="233"/>
        <v>0</v>
      </c>
      <c r="CG251" s="34">
        <f t="shared" ca="1" si="233"/>
        <v>0</v>
      </c>
      <c r="CH251" s="34">
        <f t="shared" ca="1" si="233"/>
        <v>0</v>
      </c>
      <c r="CI251" s="34">
        <f t="shared" ca="1" si="233"/>
        <v>0</v>
      </c>
      <c r="CJ251" s="34">
        <f t="shared" ca="1" si="233"/>
        <v>0</v>
      </c>
      <c r="CK251" s="34">
        <f t="shared" ca="1" si="233"/>
        <v>0</v>
      </c>
      <c r="CL251" s="34">
        <f t="shared" ca="1" si="233"/>
        <v>0</v>
      </c>
      <c r="CM251" s="34">
        <f t="shared" ca="1" si="233"/>
        <v>0</v>
      </c>
      <c r="CN251" s="34">
        <f t="shared" ca="1" si="233"/>
        <v>0</v>
      </c>
      <c r="CO251" s="34">
        <f t="shared" ca="1" si="233"/>
        <v>0</v>
      </c>
      <c r="CP251" s="34">
        <f t="shared" ca="1" si="233"/>
        <v>0</v>
      </c>
      <c r="CQ251" s="34">
        <f t="shared" ca="1" si="220"/>
        <v>4526.602424268277</v>
      </c>
      <c r="CR251" s="363">
        <v>0</v>
      </c>
      <c r="CS251" s="34">
        <f t="shared" ca="1" si="221"/>
        <v>4526.602424268277</v>
      </c>
      <c r="CT251" s="233"/>
    </row>
    <row r="252" spans="2:98" x14ac:dyDescent="0.3">
      <c r="B252" s="232"/>
      <c r="C252" s="250">
        <f t="shared" si="222"/>
        <v>2036</v>
      </c>
      <c r="D252" s="263">
        <f t="shared" ca="1" si="205"/>
        <v>0</v>
      </c>
      <c r="E252" s="263">
        <f t="shared" ca="1" si="189"/>
        <v>67.899036364024155</v>
      </c>
      <c r="F252" s="263">
        <f t="shared" ca="1" si="190"/>
        <v>0</v>
      </c>
      <c r="G252" s="263">
        <f t="shared" ca="1" si="206"/>
        <v>407.39421818414496</v>
      </c>
      <c r="H252" s="15"/>
      <c r="I252" s="271">
        <f ca="1">Assumptions!O$68</f>
        <v>4.5</v>
      </c>
      <c r="J252" s="271">
        <f ca="1">Assumptions!P$68</f>
        <v>80</v>
      </c>
      <c r="K252" s="271">
        <f t="shared" ca="1" si="191"/>
        <v>40</v>
      </c>
      <c r="L252" s="15"/>
      <c r="M252" s="35">
        <f t="shared" ca="1" si="207"/>
        <v>4.2299999999999995</v>
      </c>
      <c r="N252" s="35">
        <f t="shared" ca="1" si="192"/>
        <v>64</v>
      </c>
      <c r="O252" s="35">
        <f t="shared" ca="1" si="193"/>
        <v>32</v>
      </c>
      <c r="P252" s="15"/>
      <c r="Q252" s="34">
        <f t="shared" ca="1" si="208"/>
        <v>0</v>
      </c>
      <c r="R252" s="34">
        <f t="shared" ca="1" si="208"/>
        <v>4345.5383272975459</v>
      </c>
      <c r="S252" s="34">
        <f t="shared" ca="1" si="208"/>
        <v>0</v>
      </c>
      <c r="T252" s="34">
        <f t="shared" ca="1" si="209"/>
        <v>4345.5383272975459</v>
      </c>
      <c r="U252" s="15"/>
      <c r="V252" s="35">
        <f t="shared" si="210"/>
        <v>0.7</v>
      </c>
      <c r="W252" s="34">
        <f t="shared" ca="1" si="211"/>
        <v>345.66782148957753</v>
      </c>
      <c r="X252" s="35">
        <f t="shared" si="212"/>
        <v>0.222</v>
      </c>
      <c r="Y252" s="34">
        <f t="shared" ca="1" si="213"/>
        <v>109.62608052955174</v>
      </c>
      <c r="Z252" s="35">
        <f t="shared" si="214"/>
        <v>0.34799999999999998</v>
      </c>
      <c r="AA252" s="34">
        <f t="shared" ca="1" si="215"/>
        <v>171.84628839767569</v>
      </c>
      <c r="AB252" s="34">
        <f t="shared" ca="1" si="216"/>
        <v>627.14019041680501</v>
      </c>
      <c r="AC252" s="15"/>
      <c r="AD252" s="34">
        <f t="shared" ca="1" si="217"/>
        <v>3718.3981368807408</v>
      </c>
      <c r="AE252" s="34">
        <f ca="1"/>
        <v>0</v>
      </c>
      <c r="AF252" s="34">
        <f t="shared" ca="1" si="218"/>
        <v>3718.3981368807408</v>
      </c>
      <c r="AG252" s="15"/>
      <c r="AH252" s="272">
        <f t="shared" si="223"/>
        <v>50040</v>
      </c>
      <c r="AI252" s="267">
        <f t="shared" si="194"/>
        <v>22.666666666666668</v>
      </c>
      <c r="AJ252" s="267">
        <f t="shared" si="195"/>
        <v>0.11528314162180023</v>
      </c>
      <c r="AK252" s="34">
        <f t="shared" ca="1" si="224"/>
        <v>428.66861902026056</v>
      </c>
      <c r="AL252" s="233"/>
      <c r="AN252" s="232"/>
      <c r="AO252" s="407">
        <f t="shared" si="229"/>
        <v>23</v>
      </c>
      <c r="AP252" s="34">
        <f t="shared" ca="1" si="229"/>
        <v>0</v>
      </c>
      <c r="AQ252" s="34">
        <f t="shared" ca="1" si="229"/>
        <v>1.0669418275466487</v>
      </c>
      <c r="AR252" s="34">
        <f t="shared" ca="1" si="229"/>
        <v>0</v>
      </c>
      <c r="AS252" s="34">
        <f t="shared" ca="1" si="229"/>
        <v>6.4016509652798925</v>
      </c>
      <c r="AT252" s="15"/>
      <c r="AW252" s="34">
        <f t="shared" ca="1" si="197"/>
        <v>0</v>
      </c>
      <c r="AX252" s="34">
        <f t="shared" ca="1" si="198"/>
        <v>0.88022700772598517</v>
      </c>
      <c r="AY252" s="34">
        <f t="shared" ca="1" si="199"/>
        <v>0</v>
      </c>
      <c r="AZ252" s="34">
        <f t="shared" ca="1" si="200"/>
        <v>5.2813620463559108</v>
      </c>
      <c r="BB252" s="34">
        <f t="shared" ca="1" si="230"/>
        <v>0</v>
      </c>
      <c r="BC252" s="34">
        <f t="shared" ca="1" si="230"/>
        <v>0</v>
      </c>
      <c r="BD252" s="34">
        <f t="shared" ca="1" si="230"/>
        <v>0</v>
      </c>
      <c r="BE252" s="34">
        <f t="shared" ca="1" si="230"/>
        <v>0</v>
      </c>
      <c r="BF252" s="34">
        <f t="shared" ca="1" si="230"/>
        <v>0</v>
      </c>
      <c r="BG252" s="34">
        <f t="shared" ca="1" si="230"/>
        <v>0</v>
      </c>
      <c r="BH252" s="34">
        <f t="shared" ca="1" si="230"/>
        <v>0</v>
      </c>
      <c r="BI252" s="34">
        <f t="shared" ca="1" si="230"/>
        <v>474.80669014017059</v>
      </c>
      <c r="BJ252" s="34">
        <f t="shared" ca="1" si="230"/>
        <v>576.63861593250692</v>
      </c>
      <c r="BK252" s="34">
        <f t="shared" ca="1" si="230"/>
        <v>640.70957325834104</v>
      </c>
      <c r="BL252" s="34">
        <f t="shared" ca="1" si="231"/>
        <v>711.89952584260118</v>
      </c>
      <c r="BM252" s="34">
        <f t="shared" ca="1" si="231"/>
        <v>790.99947315844577</v>
      </c>
      <c r="BN252" s="34">
        <f t="shared" ca="1" si="231"/>
        <v>878.88830350938417</v>
      </c>
      <c r="BO252" s="34">
        <f t="shared" ca="1" si="231"/>
        <v>0</v>
      </c>
      <c r="BP252" s="34">
        <f t="shared" ca="1" si="231"/>
        <v>0</v>
      </c>
      <c r="BQ252" s="34">
        <f t="shared" ca="1" si="231"/>
        <v>0</v>
      </c>
      <c r="BR252" s="34">
        <f t="shared" ca="1" si="231"/>
        <v>0</v>
      </c>
      <c r="BS252" s="34">
        <f t="shared" ca="1" si="231"/>
        <v>0</v>
      </c>
      <c r="BT252" s="34">
        <f t="shared" ca="1" si="231"/>
        <v>0</v>
      </c>
      <c r="BU252" s="34">
        <f t="shared" ca="1" si="231"/>
        <v>0</v>
      </c>
      <c r="BV252" s="34">
        <f t="shared" ca="1" si="232"/>
        <v>0</v>
      </c>
      <c r="BW252" s="34">
        <f t="shared" ca="1" si="232"/>
        <v>0</v>
      </c>
      <c r="BX252" s="34">
        <f t="shared" ca="1" si="232"/>
        <v>0</v>
      </c>
      <c r="BY252" s="34">
        <f t="shared" ca="1" si="232"/>
        <v>0</v>
      </c>
      <c r="BZ252" s="34">
        <f t="shared" ca="1" si="232"/>
        <v>0</v>
      </c>
      <c r="CA252" s="34">
        <f t="shared" ca="1" si="232"/>
        <v>0</v>
      </c>
      <c r="CB252" s="34">
        <f t="shared" ca="1" si="232"/>
        <v>0</v>
      </c>
      <c r="CC252" s="34">
        <f t="shared" ca="1" si="232"/>
        <v>0</v>
      </c>
      <c r="CD252" s="34">
        <f t="shared" ca="1" si="232"/>
        <v>0</v>
      </c>
      <c r="CE252" s="34">
        <f t="shared" ca="1" si="232"/>
        <v>0</v>
      </c>
      <c r="CF252" s="34">
        <f t="shared" ca="1" si="233"/>
        <v>0</v>
      </c>
      <c r="CG252" s="34">
        <f t="shared" ca="1" si="233"/>
        <v>0</v>
      </c>
      <c r="CH252" s="34">
        <f t="shared" ca="1" si="233"/>
        <v>0</v>
      </c>
      <c r="CI252" s="34">
        <f t="shared" ca="1" si="233"/>
        <v>0</v>
      </c>
      <c r="CJ252" s="34">
        <f t="shared" ca="1" si="233"/>
        <v>0</v>
      </c>
      <c r="CK252" s="34">
        <f t="shared" ca="1" si="233"/>
        <v>0</v>
      </c>
      <c r="CL252" s="34">
        <f t="shared" ca="1" si="233"/>
        <v>0</v>
      </c>
      <c r="CM252" s="34">
        <f t="shared" ca="1" si="233"/>
        <v>0</v>
      </c>
      <c r="CN252" s="34">
        <f t="shared" ca="1" si="233"/>
        <v>0</v>
      </c>
      <c r="CO252" s="34">
        <f t="shared" ca="1" si="233"/>
        <v>0</v>
      </c>
      <c r="CP252" s="34">
        <f t="shared" ca="1" si="233"/>
        <v>0</v>
      </c>
      <c r="CQ252" s="34">
        <f t="shared" ca="1" si="220"/>
        <v>4073.9421818414494</v>
      </c>
      <c r="CR252" s="363">
        <v>0</v>
      </c>
      <c r="CS252" s="34">
        <f t="shared" ca="1" si="221"/>
        <v>4073.9421818414494</v>
      </c>
      <c r="CT252" s="233"/>
    </row>
    <row r="253" spans="2:98" x14ac:dyDescent="0.3">
      <c r="B253" s="232"/>
      <c r="C253" s="250">
        <f t="shared" si="222"/>
        <v>2037</v>
      </c>
      <c r="D253" s="263">
        <f t="shared" ca="1" si="205"/>
        <v>0</v>
      </c>
      <c r="E253" s="263">
        <f t="shared" ca="1" si="189"/>
        <v>61.109132727621748</v>
      </c>
      <c r="F253" s="263">
        <f t="shared" ca="1" si="190"/>
        <v>0</v>
      </c>
      <c r="G253" s="263">
        <f t="shared" ca="1" si="206"/>
        <v>366.65479636573048</v>
      </c>
      <c r="H253" s="15"/>
      <c r="I253" s="271">
        <f ca="1">Assumptions!O$68</f>
        <v>4.5</v>
      </c>
      <c r="J253" s="271">
        <f ca="1">Assumptions!P$68</f>
        <v>80</v>
      </c>
      <c r="K253" s="271">
        <f t="shared" ca="1" si="191"/>
        <v>40</v>
      </c>
      <c r="L253" s="15"/>
      <c r="M253" s="35">
        <f t="shared" ca="1" si="207"/>
        <v>4.2299999999999995</v>
      </c>
      <c r="N253" s="35">
        <f t="shared" ca="1" si="192"/>
        <v>64</v>
      </c>
      <c r="O253" s="35">
        <f t="shared" ca="1" si="193"/>
        <v>32</v>
      </c>
      <c r="P253" s="15"/>
      <c r="Q253" s="34">
        <f t="shared" ca="1" si="208"/>
        <v>0</v>
      </c>
      <c r="R253" s="34">
        <f t="shared" ca="1" si="208"/>
        <v>3910.9844945677919</v>
      </c>
      <c r="S253" s="34">
        <f t="shared" ca="1" si="208"/>
        <v>0</v>
      </c>
      <c r="T253" s="34">
        <f t="shared" ca="1" si="209"/>
        <v>3910.9844945677919</v>
      </c>
      <c r="U253" s="15"/>
      <c r="V253" s="35">
        <f t="shared" si="210"/>
        <v>0.7</v>
      </c>
      <c r="W253" s="34">
        <f t="shared" ca="1" si="211"/>
        <v>311.10103934061982</v>
      </c>
      <c r="X253" s="35">
        <f t="shared" si="212"/>
        <v>0.222</v>
      </c>
      <c r="Y253" s="34">
        <f t="shared" ca="1" si="213"/>
        <v>98.663472476596567</v>
      </c>
      <c r="Z253" s="35">
        <f t="shared" si="214"/>
        <v>0.34799999999999998</v>
      </c>
      <c r="AA253" s="34">
        <f t="shared" ca="1" si="215"/>
        <v>154.66165955790814</v>
      </c>
      <c r="AB253" s="34">
        <f t="shared" ca="1" si="216"/>
        <v>564.42617137512457</v>
      </c>
      <c r="AC253" s="15"/>
      <c r="AD253" s="34">
        <f t="shared" ca="1" si="217"/>
        <v>3346.5583231926676</v>
      </c>
      <c r="AE253" s="34">
        <f ca="1"/>
        <v>0</v>
      </c>
      <c r="AF253" s="34">
        <f t="shared" ca="1" si="218"/>
        <v>3346.5583231926676</v>
      </c>
      <c r="AG253" s="15"/>
      <c r="AH253" s="272">
        <f t="shared" si="223"/>
        <v>50405</v>
      </c>
      <c r="AI253" s="267">
        <f t="shared" si="194"/>
        <v>23.666666666666668</v>
      </c>
      <c r="AJ253" s="267">
        <f t="shared" si="195"/>
        <v>0.10480285601981834</v>
      </c>
      <c r="AK253" s="34">
        <f t="shared" ca="1" si="224"/>
        <v>350.72887010748582</v>
      </c>
      <c r="AL253" s="233"/>
      <c r="AN253" s="232"/>
      <c r="AO253" s="407">
        <f t="shared" si="229"/>
        <v>24</v>
      </c>
      <c r="AP253" s="34">
        <f t="shared" ca="1" si="229"/>
        <v>0</v>
      </c>
      <c r="AQ253" s="34">
        <f t="shared" ca="1" si="229"/>
        <v>0.96024764479198399</v>
      </c>
      <c r="AR253" s="34">
        <f t="shared" ca="1" si="229"/>
        <v>0</v>
      </c>
      <c r="AS253" s="34">
        <f t="shared" ca="1" si="229"/>
        <v>5.7614858687519037</v>
      </c>
      <c r="AT253" s="15"/>
      <c r="AW253" s="34">
        <f t="shared" ca="1" si="197"/>
        <v>0</v>
      </c>
      <c r="AX253" s="34">
        <f t="shared" ca="1" si="198"/>
        <v>0.79220430695338673</v>
      </c>
      <c r="AY253" s="34">
        <f t="shared" ca="1" si="199"/>
        <v>0</v>
      </c>
      <c r="AZ253" s="34">
        <f t="shared" ca="1" si="200"/>
        <v>4.7532258417203206</v>
      </c>
      <c r="BB253" s="34">
        <f t="shared" ca="1" si="230"/>
        <v>0</v>
      </c>
      <c r="BC253" s="34">
        <f t="shared" ca="1" si="230"/>
        <v>0</v>
      </c>
      <c r="BD253" s="34">
        <f t="shared" ca="1" si="230"/>
        <v>0</v>
      </c>
      <c r="BE253" s="34">
        <f t="shared" ca="1" si="230"/>
        <v>0</v>
      </c>
      <c r="BF253" s="34">
        <f t="shared" ca="1" si="230"/>
        <v>0</v>
      </c>
      <c r="BG253" s="34">
        <f t="shared" ca="1" si="230"/>
        <v>0</v>
      </c>
      <c r="BH253" s="34">
        <f t="shared" ca="1" si="230"/>
        <v>0</v>
      </c>
      <c r="BI253" s="34">
        <f t="shared" ca="1" si="230"/>
        <v>427.32602112615353</v>
      </c>
      <c r="BJ253" s="34">
        <f t="shared" ca="1" si="230"/>
        <v>518.97475433925615</v>
      </c>
      <c r="BK253" s="34">
        <f t="shared" ca="1" si="230"/>
        <v>576.63861593250692</v>
      </c>
      <c r="BL253" s="34">
        <f t="shared" ca="1" si="231"/>
        <v>640.70957325834104</v>
      </c>
      <c r="BM253" s="34">
        <f t="shared" ca="1" si="231"/>
        <v>711.89952584260118</v>
      </c>
      <c r="BN253" s="34">
        <f t="shared" ca="1" si="231"/>
        <v>790.99947315844577</v>
      </c>
      <c r="BO253" s="34">
        <f t="shared" ca="1" si="231"/>
        <v>0</v>
      </c>
      <c r="BP253" s="34">
        <f t="shared" ca="1" si="231"/>
        <v>0</v>
      </c>
      <c r="BQ253" s="34">
        <f t="shared" ca="1" si="231"/>
        <v>0</v>
      </c>
      <c r="BR253" s="34">
        <f t="shared" ca="1" si="231"/>
        <v>0</v>
      </c>
      <c r="BS253" s="34">
        <f t="shared" ca="1" si="231"/>
        <v>0</v>
      </c>
      <c r="BT253" s="34">
        <f t="shared" ca="1" si="231"/>
        <v>0</v>
      </c>
      <c r="BU253" s="34">
        <f t="shared" ca="1" si="231"/>
        <v>0</v>
      </c>
      <c r="BV253" s="34">
        <f t="shared" ca="1" si="232"/>
        <v>0</v>
      </c>
      <c r="BW253" s="34">
        <f t="shared" ca="1" si="232"/>
        <v>0</v>
      </c>
      <c r="BX253" s="34">
        <f t="shared" ca="1" si="232"/>
        <v>0</v>
      </c>
      <c r="BY253" s="34">
        <f t="shared" ca="1" si="232"/>
        <v>0</v>
      </c>
      <c r="BZ253" s="34">
        <f t="shared" ca="1" si="232"/>
        <v>0</v>
      </c>
      <c r="CA253" s="34">
        <f t="shared" ca="1" si="232"/>
        <v>0</v>
      </c>
      <c r="CB253" s="34">
        <f t="shared" ca="1" si="232"/>
        <v>0</v>
      </c>
      <c r="CC253" s="34">
        <f t="shared" ca="1" si="232"/>
        <v>0</v>
      </c>
      <c r="CD253" s="34">
        <f t="shared" ca="1" si="232"/>
        <v>0</v>
      </c>
      <c r="CE253" s="34">
        <f t="shared" ca="1" si="232"/>
        <v>0</v>
      </c>
      <c r="CF253" s="34">
        <f t="shared" ca="1" si="233"/>
        <v>0</v>
      </c>
      <c r="CG253" s="34">
        <f t="shared" ca="1" si="233"/>
        <v>0</v>
      </c>
      <c r="CH253" s="34">
        <f t="shared" ca="1" si="233"/>
        <v>0</v>
      </c>
      <c r="CI253" s="34">
        <f t="shared" ca="1" si="233"/>
        <v>0</v>
      </c>
      <c r="CJ253" s="34">
        <f t="shared" ca="1" si="233"/>
        <v>0</v>
      </c>
      <c r="CK253" s="34">
        <f t="shared" ca="1" si="233"/>
        <v>0</v>
      </c>
      <c r="CL253" s="34">
        <f t="shared" ca="1" si="233"/>
        <v>0</v>
      </c>
      <c r="CM253" s="34">
        <f t="shared" ca="1" si="233"/>
        <v>0</v>
      </c>
      <c r="CN253" s="34">
        <f t="shared" ca="1" si="233"/>
        <v>0</v>
      </c>
      <c r="CO253" s="34">
        <f t="shared" ca="1" si="233"/>
        <v>0</v>
      </c>
      <c r="CP253" s="34">
        <f t="shared" ca="1" si="233"/>
        <v>0</v>
      </c>
      <c r="CQ253" s="34">
        <f t="shared" ca="1" si="220"/>
        <v>3666.5479636573045</v>
      </c>
      <c r="CR253" s="363">
        <v>0</v>
      </c>
      <c r="CS253" s="34">
        <f t="shared" ca="1" si="221"/>
        <v>3666.5479636573045</v>
      </c>
      <c r="CT253" s="233"/>
    </row>
    <row r="254" spans="2:98" x14ac:dyDescent="0.3">
      <c r="B254" s="232"/>
      <c r="C254" s="250">
        <f t="shared" si="222"/>
        <v>2038</v>
      </c>
      <c r="D254" s="263">
        <f t="shared" ca="1" si="205"/>
        <v>0</v>
      </c>
      <c r="E254" s="263">
        <f t="shared" ca="1" si="189"/>
        <v>54.998219454859573</v>
      </c>
      <c r="F254" s="263">
        <f t="shared" ca="1" si="190"/>
        <v>0</v>
      </c>
      <c r="G254" s="263">
        <f t="shared" ca="1" si="206"/>
        <v>329.98931672915745</v>
      </c>
      <c r="H254" s="15"/>
      <c r="I254" s="271">
        <f ca="1">Assumptions!O$68</f>
        <v>4.5</v>
      </c>
      <c r="J254" s="271">
        <f ca="1">Assumptions!P$68</f>
        <v>80</v>
      </c>
      <c r="K254" s="271">
        <f t="shared" ca="1" si="191"/>
        <v>40</v>
      </c>
      <c r="L254" s="15"/>
      <c r="M254" s="35">
        <f t="shared" ca="1" si="207"/>
        <v>4.2299999999999995</v>
      </c>
      <c r="N254" s="35">
        <f t="shared" ca="1" si="192"/>
        <v>64</v>
      </c>
      <c r="O254" s="35">
        <f t="shared" ca="1" si="193"/>
        <v>32</v>
      </c>
      <c r="P254" s="15"/>
      <c r="Q254" s="34">
        <f t="shared" ca="1" si="208"/>
        <v>0</v>
      </c>
      <c r="R254" s="34">
        <f t="shared" ca="1" si="208"/>
        <v>3519.8860451110127</v>
      </c>
      <c r="S254" s="34">
        <f t="shared" ca="1" si="208"/>
        <v>0</v>
      </c>
      <c r="T254" s="34">
        <f t="shared" ca="1" si="209"/>
        <v>3519.8860451110127</v>
      </c>
      <c r="U254" s="15"/>
      <c r="V254" s="35">
        <f t="shared" si="210"/>
        <v>0.7</v>
      </c>
      <c r="W254" s="34">
        <f t="shared" ca="1" si="211"/>
        <v>279.99093540655781</v>
      </c>
      <c r="X254" s="35">
        <f t="shared" si="212"/>
        <v>0.222</v>
      </c>
      <c r="Y254" s="34">
        <f t="shared" ca="1" si="213"/>
        <v>88.79712522893692</v>
      </c>
      <c r="Z254" s="35">
        <f t="shared" si="214"/>
        <v>0.34799999999999998</v>
      </c>
      <c r="AA254" s="34">
        <f t="shared" ca="1" si="215"/>
        <v>139.19549360211732</v>
      </c>
      <c r="AB254" s="34">
        <f t="shared" ca="1" si="216"/>
        <v>507.98355423761205</v>
      </c>
      <c r="AC254" s="15"/>
      <c r="AD254" s="34">
        <f t="shared" ca="1" si="217"/>
        <v>3011.9024908734004</v>
      </c>
      <c r="AE254" s="34">
        <f ca="1"/>
        <v>0</v>
      </c>
      <c r="AF254" s="34">
        <f t="shared" ca="1" si="218"/>
        <v>3011.9024908734004</v>
      </c>
      <c r="AG254" s="15"/>
      <c r="AH254" s="272">
        <f t="shared" si="223"/>
        <v>50770</v>
      </c>
      <c r="AI254" s="267">
        <f t="shared" si="194"/>
        <v>24.666666666666668</v>
      </c>
      <c r="AJ254" s="267">
        <f t="shared" si="195"/>
        <v>9.5275323654380323E-2</v>
      </c>
      <c r="AK254" s="34">
        <f t="shared" ca="1" si="224"/>
        <v>286.95998463339748</v>
      </c>
      <c r="AL254" s="233"/>
      <c r="AN254" s="232"/>
      <c r="AO254" s="407">
        <f t="shared" si="229"/>
        <v>25</v>
      </c>
      <c r="AP254" s="34">
        <f t="shared" ca="1" si="229"/>
        <v>0</v>
      </c>
      <c r="AQ254" s="34">
        <f t="shared" ca="1" si="229"/>
        <v>0.8642228803127856</v>
      </c>
      <c r="AR254" s="34">
        <f t="shared" ca="1" si="229"/>
        <v>0</v>
      </c>
      <c r="AS254" s="34">
        <f t="shared" ca="1" si="229"/>
        <v>5.1853372818767136</v>
      </c>
      <c r="AT254" s="15"/>
      <c r="AW254" s="34">
        <f t="shared" ca="1" si="197"/>
        <v>0</v>
      </c>
      <c r="AX254" s="34">
        <f t="shared" ca="1" si="198"/>
        <v>0.71298387625804804</v>
      </c>
      <c r="AY254" s="34">
        <f t="shared" ca="1" si="199"/>
        <v>0</v>
      </c>
      <c r="AZ254" s="34">
        <f t="shared" ca="1" si="200"/>
        <v>4.2779032575482887</v>
      </c>
      <c r="BB254" s="34">
        <f t="shared" ca="1" si="230"/>
        <v>0</v>
      </c>
      <c r="BC254" s="34">
        <f t="shared" ca="1" si="230"/>
        <v>0</v>
      </c>
      <c r="BD254" s="34">
        <f t="shared" ca="1" si="230"/>
        <v>0</v>
      </c>
      <c r="BE254" s="34">
        <f t="shared" ca="1" si="230"/>
        <v>0</v>
      </c>
      <c r="BF254" s="34">
        <f t="shared" ca="1" si="230"/>
        <v>0</v>
      </c>
      <c r="BG254" s="34">
        <f t="shared" ca="1" si="230"/>
        <v>0</v>
      </c>
      <c r="BH254" s="34">
        <f t="shared" ca="1" si="230"/>
        <v>0</v>
      </c>
      <c r="BI254" s="34">
        <f t="shared" ca="1" si="230"/>
        <v>384.59341901353815</v>
      </c>
      <c r="BJ254" s="34">
        <f t="shared" ca="1" si="230"/>
        <v>467.07727890533062</v>
      </c>
      <c r="BK254" s="34">
        <f t="shared" ca="1" si="230"/>
        <v>518.97475433925615</v>
      </c>
      <c r="BL254" s="34">
        <f t="shared" ca="1" si="231"/>
        <v>576.63861593250692</v>
      </c>
      <c r="BM254" s="34">
        <f t="shared" ca="1" si="231"/>
        <v>640.70957325834104</v>
      </c>
      <c r="BN254" s="34">
        <f t="shared" ca="1" si="231"/>
        <v>711.89952584260118</v>
      </c>
      <c r="BO254" s="34">
        <f t="shared" ca="1" si="231"/>
        <v>0</v>
      </c>
      <c r="BP254" s="34">
        <f t="shared" ca="1" si="231"/>
        <v>0</v>
      </c>
      <c r="BQ254" s="34">
        <f t="shared" ca="1" si="231"/>
        <v>0</v>
      </c>
      <c r="BR254" s="34">
        <f t="shared" ca="1" si="231"/>
        <v>0</v>
      </c>
      <c r="BS254" s="34">
        <f t="shared" ca="1" si="231"/>
        <v>0</v>
      </c>
      <c r="BT254" s="34">
        <f t="shared" ca="1" si="231"/>
        <v>0</v>
      </c>
      <c r="BU254" s="34">
        <f t="shared" ca="1" si="231"/>
        <v>0</v>
      </c>
      <c r="BV254" s="34">
        <f t="shared" ca="1" si="232"/>
        <v>0</v>
      </c>
      <c r="BW254" s="34">
        <f t="shared" ca="1" si="232"/>
        <v>0</v>
      </c>
      <c r="BX254" s="34">
        <f t="shared" ca="1" si="232"/>
        <v>0</v>
      </c>
      <c r="BY254" s="34">
        <f t="shared" ca="1" si="232"/>
        <v>0</v>
      </c>
      <c r="BZ254" s="34">
        <f t="shared" ca="1" si="232"/>
        <v>0</v>
      </c>
      <c r="CA254" s="34">
        <f t="shared" ca="1" si="232"/>
        <v>0</v>
      </c>
      <c r="CB254" s="34">
        <f t="shared" ca="1" si="232"/>
        <v>0</v>
      </c>
      <c r="CC254" s="34">
        <f t="shared" ca="1" si="232"/>
        <v>0</v>
      </c>
      <c r="CD254" s="34">
        <f t="shared" ca="1" si="232"/>
        <v>0</v>
      </c>
      <c r="CE254" s="34">
        <f t="shared" ca="1" si="232"/>
        <v>0</v>
      </c>
      <c r="CF254" s="34">
        <f t="shared" ca="1" si="233"/>
        <v>0</v>
      </c>
      <c r="CG254" s="34">
        <f t="shared" ca="1" si="233"/>
        <v>0</v>
      </c>
      <c r="CH254" s="34">
        <f t="shared" ca="1" si="233"/>
        <v>0</v>
      </c>
      <c r="CI254" s="34">
        <f t="shared" ca="1" si="233"/>
        <v>0</v>
      </c>
      <c r="CJ254" s="34">
        <f t="shared" ca="1" si="233"/>
        <v>0</v>
      </c>
      <c r="CK254" s="34">
        <f t="shared" ca="1" si="233"/>
        <v>0</v>
      </c>
      <c r="CL254" s="34">
        <f t="shared" ca="1" si="233"/>
        <v>0</v>
      </c>
      <c r="CM254" s="34">
        <f t="shared" ca="1" si="233"/>
        <v>0</v>
      </c>
      <c r="CN254" s="34">
        <f t="shared" ca="1" si="233"/>
        <v>0</v>
      </c>
      <c r="CO254" s="34">
        <f t="shared" ca="1" si="233"/>
        <v>0</v>
      </c>
      <c r="CP254" s="34">
        <f t="shared" ca="1" si="233"/>
        <v>0</v>
      </c>
      <c r="CQ254" s="34">
        <f t="shared" ca="1" si="220"/>
        <v>3299.8931672915742</v>
      </c>
      <c r="CR254" s="363">
        <v>0</v>
      </c>
      <c r="CS254" s="34">
        <f t="shared" ca="1" si="221"/>
        <v>3299.8931672915742</v>
      </c>
      <c r="CT254" s="233"/>
    </row>
    <row r="255" spans="2:98" x14ac:dyDescent="0.3">
      <c r="B255" s="232"/>
      <c r="C255" s="250">
        <f t="shared" si="222"/>
        <v>2039</v>
      </c>
      <c r="D255" s="263">
        <f t="shared" ca="1" si="205"/>
        <v>0</v>
      </c>
      <c r="E255" s="263">
        <f t="shared" ca="1" si="189"/>
        <v>49.498397509373611</v>
      </c>
      <c r="F255" s="263">
        <f t="shared" ca="1" si="190"/>
        <v>0</v>
      </c>
      <c r="G255" s="263">
        <f t="shared" ca="1" si="206"/>
        <v>296.99038505624168</v>
      </c>
      <c r="H255" s="15"/>
      <c r="I255" s="271">
        <f ca="1">Assumptions!O$68</f>
        <v>4.5</v>
      </c>
      <c r="J255" s="271">
        <f ca="1">Assumptions!P$68</f>
        <v>80</v>
      </c>
      <c r="K255" s="271">
        <f t="shared" ca="1" si="191"/>
        <v>40</v>
      </c>
      <c r="L255" s="15"/>
      <c r="M255" s="35">
        <f t="shared" ca="1" si="207"/>
        <v>4.2299999999999995</v>
      </c>
      <c r="N255" s="35">
        <f t="shared" ca="1" si="192"/>
        <v>64</v>
      </c>
      <c r="O255" s="35">
        <f t="shared" ca="1" si="193"/>
        <v>32</v>
      </c>
      <c r="P255" s="15"/>
      <c r="Q255" s="34">
        <f t="shared" ca="1" si="208"/>
        <v>0</v>
      </c>
      <c r="R255" s="34">
        <f t="shared" ca="1" si="208"/>
        <v>3167.8974405999111</v>
      </c>
      <c r="S255" s="34">
        <f t="shared" ca="1" si="208"/>
        <v>0</v>
      </c>
      <c r="T255" s="34">
        <f t="shared" ca="1" si="209"/>
        <v>3167.8974405999111</v>
      </c>
      <c r="U255" s="15"/>
      <c r="V255" s="35">
        <f t="shared" si="210"/>
        <v>0.7</v>
      </c>
      <c r="W255" s="34">
        <f t="shared" ca="1" si="211"/>
        <v>251.99184186590202</v>
      </c>
      <c r="X255" s="35">
        <f t="shared" si="212"/>
        <v>0.222</v>
      </c>
      <c r="Y255" s="34">
        <f t="shared" ca="1" si="213"/>
        <v>79.917412706043208</v>
      </c>
      <c r="Z255" s="35">
        <f t="shared" si="214"/>
        <v>0.34799999999999998</v>
      </c>
      <c r="AA255" s="34">
        <f t="shared" ca="1" si="215"/>
        <v>125.27594424190558</v>
      </c>
      <c r="AB255" s="34">
        <f t="shared" ca="1" si="216"/>
        <v>457.18519881385077</v>
      </c>
      <c r="AC255" s="15"/>
      <c r="AD255" s="34">
        <f t="shared" ca="1" si="217"/>
        <v>2710.7122417860601</v>
      </c>
      <c r="AE255" s="34">
        <f ca="1"/>
        <v>0</v>
      </c>
      <c r="AF255" s="34">
        <f t="shared" ca="1" si="218"/>
        <v>2710.7122417860601</v>
      </c>
      <c r="AG255" s="15"/>
      <c r="AH255" s="272">
        <f t="shared" si="223"/>
        <v>51135</v>
      </c>
      <c r="AI255" s="267">
        <f t="shared" si="194"/>
        <v>25.666666666666668</v>
      </c>
      <c r="AJ255" s="267">
        <f t="shared" si="195"/>
        <v>8.661393059489117E-2</v>
      </c>
      <c r="AK255" s="34">
        <f t="shared" ca="1" si="224"/>
        <v>234.78544197277967</v>
      </c>
      <c r="AL255" s="233"/>
      <c r="AN255" s="232"/>
      <c r="AO255" s="407">
        <f t="shared" si="229"/>
        <v>26</v>
      </c>
      <c r="AP255" s="34">
        <f t="shared" ca="1" si="229"/>
        <v>0</v>
      </c>
      <c r="AQ255" s="34">
        <f t="shared" ca="1" si="229"/>
        <v>0.777800592281507</v>
      </c>
      <c r="AR255" s="34">
        <f t="shared" ca="1" si="229"/>
        <v>0</v>
      </c>
      <c r="AS255" s="34">
        <f t="shared" ca="1" si="229"/>
        <v>4.666803553689042</v>
      </c>
      <c r="AT255" s="15"/>
      <c r="AW255" s="34">
        <f t="shared" ca="1" si="197"/>
        <v>0</v>
      </c>
      <c r="AX255" s="34">
        <f t="shared" ca="1" si="198"/>
        <v>0.64168548863224328</v>
      </c>
      <c r="AY255" s="34">
        <f t="shared" ca="1" si="199"/>
        <v>0</v>
      </c>
      <c r="AZ255" s="34">
        <f t="shared" ca="1" si="200"/>
        <v>3.8501129317934595</v>
      </c>
      <c r="BB255" s="34">
        <f t="shared" ca="1" si="230"/>
        <v>0</v>
      </c>
      <c r="BC255" s="34">
        <f t="shared" ca="1" si="230"/>
        <v>0</v>
      </c>
      <c r="BD255" s="34">
        <f t="shared" ca="1" si="230"/>
        <v>0</v>
      </c>
      <c r="BE255" s="34">
        <f t="shared" ca="1" si="230"/>
        <v>0</v>
      </c>
      <c r="BF255" s="34">
        <f t="shared" ca="1" si="230"/>
        <v>0</v>
      </c>
      <c r="BG255" s="34">
        <f t="shared" ca="1" si="230"/>
        <v>0</v>
      </c>
      <c r="BH255" s="34">
        <f t="shared" ca="1" si="230"/>
        <v>0</v>
      </c>
      <c r="BI255" s="34">
        <f t="shared" ca="1" si="230"/>
        <v>346.1340771121844</v>
      </c>
      <c r="BJ255" s="34">
        <f t="shared" ca="1" si="230"/>
        <v>420.36955101479754</v>
      </c>
      <c r="BK255" s="34">
        <f t="shared" ca="1" si="230"/>
        <v>467.07727890533062</v>
      </c>
      <c r="BL255" s="34">
        <f t="shared" ca="1" si="231"/>
        <v>518.97475433925615</v>
      </c>
      <c r="BM255" s="34">
        <f t="shared" ca="1" si="231"/>
        <v>576.63861593250692</v>
      </c>
      <c r="BN255" s="34">
        <f t="shared" ca="1" si="231"/>
        <v>640.70957325834104</v>
      </c>
      <c r="BO255" s="34">
        <f t="shared" ca="1" si="231"/>
        <v>0</v>
      </c>
      <c r="BP255" s="34">
        <f t="shared" ca="1" si="231"/>
        <v>0</v>
      </c>
      <c r="BQ255" s="34">
        <f t="shared" ca="1" si="231"/>
        <v>0</v>
      </c>
      <c r="BR255" s="34">
        <f t="shared" ca="1" si="231"/>
        <v>0</v>
      </c>
      <c r="BS255" s="34">
        <f t="shared" ca="1" si="231"/>
        <v>0</v>
      </c>
      <c r="BT255" s="34">
        <f t="shared" ca="1" si="231"/>
        <v>0</v>
      </c>
      <c r="BU255" s="34">
        <f t="shared" ca="1" si="231"/>
        <v>0</v>
      </c>
      <c r="BV255" s="34">
        <f t="shared" ca="1" si="232"/>
        <v>0</v>
      </c>
      <c r="BW255" s="34">
        <f t="shared" ca="1" si="232"/>
        <v>0</v>
      </c>
      <c r="BX255" s="34">
        <f t="shared" ca="1" si="232"/>
        <v>0</v>
      </c>
      <c r="BY255" s="34">
        <f t="shared" ca="1" si="232"/>
        <v>0</v>
      </c>
      <c r="BZ255" s="34">
        <f t="shared" ca="1" si="232"/>
        <v>0</v>
      </c>
      <c r="CA255" s="34">
        <f t="shared" ca="1" si="232"/>
        <v>0</v>
      </c>
      <c r="CB255" s="34">
        <f t="shared" ca="1" si="232"/>
        <v>0</v>
      </c>
      <c r="CC255" s="34">
        <f t="shared" ca="1" si="232"/>
        <v>0</v>
      </c>
      <c r="CD255" s="34">
        <f t="shared" ca="1" si="232"/>
        <v>0</v>
      </c>
      <c r="CE255" s="34">
        <f t="shared" ca="1" si="232"/>
        <v>0</v>
      </c>
      <c r="CF255" s="34">
        <f t="shared" ca="1" si="233"/>
        <v>0</v>
      </c>
      <c r="CG255" s="34">
        <f t="shared" ca="1" si="233"/>
        <v>0</v>
      </c>
      <c r="CH255" s="34">
        <f t="shared" ca="1" si="233"/>
        <v>0</v>
      </c>
      <c r="CI255" s="34">
        <f t="shared" ca="1" si="233"/>
        <v>0</v>
      </c>
      <c r="CJ255" s="34">
        <f t="shared" ca="1" si="233"/>
        <v>0</v>
      </c>
      <c r="CK255" s="34">
        <f t="shared" ca="1" si="233"/>
        <v>0</v>
      </c>
      <c r="CL255" s="34">
        <f t="shared" ca="1" si="233"/>
        <v>0</v>
      </c>
      <c r="CM255" s="34">
        <f t="shared" ca="1" si="233"/>
        <v>0</v>
      </c>
      <c r="CN255" s="34">
        <f t="shared" ca="1" si="233"/>
        <v>0</v>
      </c>
      <c r="CO255" s="34">
        <f t="shared" ca="1" si="233"/>
        <v>0</v>
      </c>
      <c r="CP255" s="34">
        <f t="shared" ca="1" si="233"/>
        <v>0</v>
      </c>
      <c r="CQ255" s="34">
        <f t="shared" ca="1" si="220"/>
        <v>2969.9038505624167</v>
      </c>
      <c r="CR255" s="363">
        <v>0</v>
      </c>
      <c r="CS255" s="34">
        <f t="shared" ca="1" si="221"/>
        <v>2969.9038505624167</v>
      </c>
      <c r="CT255" s="233"/>
    </row>
    <row r="256" spans="2:98" x14ac:dyDescent="0.3">
      <c r="B256" s="232"/>
      <c r="C256" s="250">
        <f t="shared" si="222"/>
        <v>2040</v>
      </c>
      <c r="D256" s="263">
        <f t="shared" ca="1" si="205"/>
        <v>0</v>
      </c>
      <c r="E256" s="263">
        <f t="shared" ca="1" si="189"/>
        <v>44.548557758436253</v>
      </c>
      <c r="F256" s="263">
        <f t="shared" ca="1" si="190"/>
        <v>0</v>
      </c>
      <c r="G256" s="263">
        <f t="shared" ca="1" si="206"/>
        <v>267.2913465506175</v>
      </c>
      <c r="H256" s="15"/>
      <c r="I256" s="271">
        <f ca="1">Assumptions!O$68</f>
        <v>4.5</v>
      </c>
      <c r="J256" s="271">
        <f ca="1">Assumptions!P$68</f>
        <v>80</v>
      </c>
      <c r="K256" s="271">
        <f t="shared" ca="1" si="191"/>
        <v>40</v>
      </c>
      <c r="L256" s="15"/>
      <c r="M256" s="35">
        <f t="shared" ca="1" si="207"/>
        <v>4.2299999999999995</v>
      </c>
      <c r="N256" s="35">
        <f t="shared" ca="1" si="192"/>
        <v>64</v>
      </c>
      <c r="O256" s="35">
        <f t="shared" ca="1" si="193"/>
        <v>32</v>
      </c>
      <c r="P256" s="15"/>
      <c r="Q256" s="34">
        <f t="shared" ca="1" si="208"/>
        <v>0</v>
      </c>
      <c r="R256" s="34">
        <f t="shared" ca="1" si="208"/>
        <v>2851.1076965399202</v>
      </c>
      <c r="S256" s="34">
        <f t="shared" ca="1" si="208"/>
        <v>0</v>
      </c>
      <c r="T256" s="34">
        <f t="shared" ca="1" si="209"/>
        <v>2851.1076965399202</v>
      </c>
      <c r="U256" s="15"/>
      <c r="V256" s="35">
        <f t="shared" si="210"/>
        <v>0.7</v>
      </c>
      <c r="W256" s="34">
        <f t="shared" ca="1" si="211"/>
        <v>226.79265767931182</v>
      </c>
      <c r="X256" s="35">
        <f t="shared" si="212"/>
        <v>0.222</v>
      </c>
      <c r="Y256" s="34">
        <f t="shared" ca="1" si="213"/>
        <v>71.9256714354389</v>
      </c>
      <c r="Z256" s="35">
        <f t="shared" si="214"/>
        <v>0.34799999999999998</v>
      </c>
      <c r="AA256" s="34">
        <f t="shared" ca="1" si="215"/>
        <v>112.74834981771502</v>
      </c>
      <c r="AB256" s="34">
        <f t="shared" ca="1" si="216"/>
        <v>411.4666789324657</v>
      </c>
      <c r="AC256" s="15"/>
      <c r="AD256" s="34">
        <f t="shared" ca="1" si="217"/>
        <v>2439.6410176074546</v>
      </c>
      <c r="AE256" s="34">
        <f ca="1"/>
        <v>0</v>
      </c>
      <c r="AF256" s="34">
        <f t="shared" ca="1" si="218"/>
        <v>2439.6410176074546</v>
      </c>
      <c r="AG256" s="15"/>
      <c r="AH256" s="272">
        <f t="shared" si="223"/>
        <v>51501</v>
      </c>
      <c r="AI256" s="267">
        <f t="shared" si="194"/>
        <v>26.666666666666668</v>
      </c>
      <c r="AJ256" s="267">
        <f t="shared" si="195"/>
        <v>7.8739936904446528E-2</v>
      </c>
      <c r="AK256" s="34">
        <f t="shared" ca="1" si="224"/>
        <v>192.09717979591071</v>
      </c>
      <c r="AL256" s="233"/>
      <c r="AN256" s="232"/>
      <c r="AO256" s="407">
        <f t="shared" si="229"/>
        <v>27</v>
      </c>
      <c r="AP256" s="34">
        <f t="shared" ca="1" si="229"/>
        <v>0</v>
      </c>
      <c r="AQ256" s="34">
        <f t="shared" ca="1" si="229"/>
        <v>0.70002053305335632</v>
      </c>
      <c r="AR256" s="34">
        <f t="shared" ca="1" si="229"/>
        <v>0</v>
      </c>
      <c r="AS256" s="34">
        <f t="shared" ca="1" si="229"/>
        <v>4.2001231983201377</v>
      </c>
      <c r="AT256" s="15"/>
      <c r="AW256" s="34">
        <f t="shared" ca="1" si="197"/>
        <v>0</v>
      </c>
      <c r="AX256" s="34">
        <f t="shared" ca="1" si="198"/>
        <v>0.57751693976901897</v>
      </c>
      <c r="AY256" s="34">
        <f t="shared" ca="1" si="199"/>
        <v>0</v>
      </c>
      <c r="AZ256" s="34">
        <f t="shared" ca="1" si="200"/>
        <v>3.4651016386141134</v>
      </c>
      <c r="BB256" s="34">
        <f t="shared" ca="1" si="230"/>
        <v>0</v>
      </c>
      <c r="BC256" s="34">
        <f t="shared" ca="1" si="230"/>
        <v>0</v>
      </c>
      <c r="BD256" s="34">
        <f t="shared" ca="1" si="230"/>
        <v>0</v>
      </c>
      <c r="BE256" s="34">
        <f t="shared" ca="1" si="230"/>
        <v>0</v>
      </c>
      <c r="BF256" s="34">
        <f t="shared" ca="1" si="230"/>
        <v>0</v>
      </c>
      <c r="BG256" s="34">
        <f t="shared" ca="1" si="230"/>
        <v>0</v>
      </c>
      <c r="BH256" s="34">
        <f t="shared" ca="1" si="230"/>
        <v>0</v>
      </c>
      <c r="BI256" s="34">
        <f t="shared" ca="1" si="230"/>
        <v>311.52066940096591</v>
      </c>
      <c r="BJ256" s="34">
        <f t="shared" ca="1" si="230"/>
        <v>378.33259591331785</v>
      </c>
      <c r="BK256" s="34">
        <f t="shared" ca="1" si="230"/>
        <v>420.36955101479754</v>
      </c>
      <c r="BL256" s="34">
        <f t="shared" ca="1" si="231"/>
        <v>467.07727890533062</v>
      </c>
      <c r="BM256" s="34">
        <f t="shared" ca="1" si="231"/>
        <v>518.97475433925615</v>
      </c>
      <c r="BN256" s="34">
        <f t="shared" ca="1" si="231"/>
        <v>576.63861593250692</v>
      </c>
      <c r="BO256" s="34">
        <f t="shared" ca="1" si="231"/>
        <v>0</v>
      </c>
      <c r="BP256" s="34">
        <f t="shared" ca="1" si="231"/>
        <v>0</v>
      </c>
      <c r="BQ256" s="34">
        <f t="shared" ca="1" si="231"/>
        <v>0</v>
      </c>
      <c r="BR256" s="34">
        <f t="shared" ca="1" si="231"/>
        <v>0</v>
      </c>
      <c r="BS256" s="34">
        <f t="shared" ca="1" si="231"/>
        <v>0</v>
      </c>
      <c r="BT256" s="34">
        <f t="shared" ca="1" si="231"/>
        <v>0</v>
      </c>
      <c r="BU256" s="34">
        <f t="shared" ca="1" si="231"/>
        <v>0</v>
      </c>
      <c r="BV256" s="34">
        <f t="shared" ca="1" si="232"/>
        <v>0</v>
      </c>
      <c r="BW256" s="34">
        <f t="shared" ca="1" si="232"/>
        <v>0</v>
      </c>
      <c r="BX256" s="34">
        <f t="shared" ca="1" si="232"/>
        <v>0</v>
      </c>
      <c r="BY256" s="34">
        <f t="shared" ca="1" si="232"/>
        <v>0</v>
      </c>
      <c r="BZ256" s="34">
        <f t="shared" ca="1" si="232"/>
        <v>0</v>
      </c>
      <c r="CA256" s="34">
        <f t="shared" ca="1" si="232"/>
        <v>0</v>
      </c>
      <c r="CB256" s="34">
        <f t="shared" ca="1" si="232"/>
        <v>0</v>
      </c>
      <c r="CC256" s="34">
        <f t="shared" ca="1" si="232"/>
        <v>0</v>
      </c>
      <c r="CD256" s="34">
        <f t="shared" ca="1" si="232"/>
        <v>0</v>
      </c>
      <c r="CE256" s="34">
        <f t="shared" ca="1" si="232"/>
        <v>0</v>
      </c>
      <c r="CF256" s="34">
        <f t="shared" ca="1" si="233"/>
        <v>0</v>
      </c>
      <c r="CG256" s="34">
        <f t="shared" ca="1" si="233"/>
        <v>0</v>
      </c>
      <c r="CH256" s="34">
        <f t="shared" ca="1" si="233"/>
        <v>0</v>
      </c>
      <c r="CI256" s="34">
        <f t="shared" ca="1" si="233"/>
        <v>0</v>
      </c>
      <c r="CJ256" s="34">
        <f t="shared" ca="1" si="233"/>
        <v>0</v>
      </c>
      <c r="CK256" s="34">
        <f t="shared" ca="1" si="233"/>
        <v>0</v>
      </c>
      <c r="CL256" s="34">
        <f t="shared" ca="1" si="233"/>
        <v>0</v>
      </c>
      <c r="CM256" s="34">
        <f t="shared" ca="1" si="233"/>
        <v>0</v>
      </c>
      <c r="CN256" s="34">
        <f t="shared" ca="1" si="233"/>
        <v>0</v>
      </c>
      <c r="CO256" s="34">
        <f t="shared" ca="1" si="233"/>
        <v>0</v>
      </c>
      <c r="CP256" s="34">
        <f t="shared" ca="1" si="233"/>
        <v>0</v>
      </c>
      <c r="CQ256" s="34">
        <f t="shared" ca="1" si="220"/>
        <v>2672.9134655061748</v>
      </c>
      <c r="CR256" s="363">
        <v>0</v>
      </c>
      <c r="CS256" s="34">
        <f t="shared" ca="1" si="221"/>
        <v>2672.9134655061748</v>
      </c>
      <c r="CT256" s="233"/>
    </row>
    <row r="257" spans="2:98" x14ac:dyDescent="0.3">
      <c r="B257" s="232"/>
      <c r="C257" s="250">
        <f t="shared" si="222"/>
        <v>2041</v>
      </c>
      <c r="D257" s="263">
        <f t="shared" ca="1" si="205"/>
        <v>0</v>
      </c>
      <c r="E257" s="263">
        <f t="shared" ca="1" si="189"/>
        <v>40.09370198259262</v>
      </c>
      <c r="F257" s="263">
        <f t="shared" ca="1" si="190"/>
        <v>0</v>
      </c>
      <c r="G257" s="263">
        <f t="shared" ca="1" si="206"/>
        <v>240.56221189555572</v>
      </c>
      <c r="H257" s="15"/>
      <c r="I257" s="271">
        <f ca="1">Assumptions!O$68</f>
        <v>4.5</v>
      </c>
      <c r="J257" s="271">
        <f ca="1">Assumptions!P$68</f>
        <v>80</v>
      </c>
      <c r="K257" s="271">
        <f t="shared" ca="1" si="191"/>
        <v>40</v>
      </c>
      <c r="L257" s="15"/>
      <c r="M257" s="35">
        <f t="shared" ca="1" si="207"/>
        <v>4.2299999999999995</v>
      </c>
      <c r="N257" s="35">
        <f t="shared" ca="1" si="192"/>
        <v>64</v>
      </c>
      <c r="O257" s="35">
        <f t="shared" ca="1" si="193"/>
        <v>32</v>
      </c>
      <c r="P257" s="15"/>
      <c r="Q257" s="34">
        <f t="shared" ca="1" si="208"/>
        <v>0</v>
      </c>
      <c r="R257" s="34">
        <f t="shared" ca="1" si="208"/>
        <v>2565.9969268859277</v>
      </c>
      <c r="S257" s="34">
        <f t="shared" ca="1" si="208"/>
        <v>0</v>
      </c>
      <c r="T257" s="34">
        <f t="shared" ca="1" si="209"/>
        <v>2565.9969268859277</v>
      </c>
      <c r="U257" s="15"/>
      <c r="V257" s="35">
        <f t="shared" si="210"/>
        <v>0.7</v>
      </c>
      <c r="W257" s="34">
        <f t="shared" ca="1" si="211"/>
        <v>204.11339191138063</v>
      </c>
      <c r="X257" s="35">
        <f t="shared" si="212"/>
        <v>0.222</v>
      </c>
      <c r="Y257" s="34">
        <f t="shared" ca="1" si="213"/>
        <v>64.733104291895003</v>
      </c>
      <c r="Z257" s="35">
        <f t="shared" si="214"/>
        <v>0.34799999999999998</v>
      </c>
      <c r="AA257" s="34">
        <f t="shared" ca="1" si="215"/>
        <v>101.4735148359435</v>
      </c>
      <c r="AB257" s="34">
        <f t="shared" ca="1" si="216"/>
        <v>370.32001103921914</v>
      </c>
      <c r="AC257" s="15"/>
      <c r="AD257" s="34">
        <f t="shared" ca="1" si="217"/>
        <v>2195.6769158467087</v>
      </c>
      <c r="AE257" s="34">
        <f ca="1"/>
        <v>0</v>
      </c>
      <c r="AF257" s="34">
        <f t="shared" ca="1" si="218"/>
        <v>2195.6769158467087</v>
      </c>
      <c r="AG257" s="15"/>
      <c r="AH257" s="272">
        <f t="shared" si="223"/>
        <v>51866</v>
      </c>
      <c r="AI257" s="267">
        <f t="shared" si="194"/>
        <v>27.666666666666668</v>
      </c>
      <c r="AJ257" s="267">
        <f t="shared" si="195"/>
        <v>7.1581760822224116E-2</v>
      </c>
      <c r="AK257" s="34">
        <f t="shared" ca="1" si="224"/>
        <v>157.1704198330178</v>
      </c>
      <c r="AL257" s="233"/>
      <c r="AN257" s="232"/>
      <c r="AO257" s="407">
        <f t="shared" si="229"/>
        <v>28</v>
      </c>
      <c r="AP257" s="34">
        <f t="shared" ca="1" si="229"/>
        <v>0</v>
      </c>
      <c r="AQ257" s="34">
        <f t="shared" ca="1" si="229"/>
        <v>0.63001847974802072</v>
      </c>
      <c r="AR257" s="34">
        <f t="shared" ca="1" si="229"/>
        <v>0</v>
      </c>
      <c r="AS257" s="34">
        <f t="shared" ca="1" si="229"/>
        <v>3.7801108784881241</v>
      </c>
      <c r="AT257" s="15"/>
      <c r="AW257" s="34">
        <f t="shared" ca="1" si="197"/>
        <v>0</v>
      </c>
      <c r="AX257" s="34">
        <f t="shared" ca="1" si="198"/>
        <v>0.51976524579211703</v>
      </c>
      <c r="AY257" s="34">
        <f t="shared" ca="1" si="199"/>
        <v>0</v>
      </c>
      <c r="AZ257" s="34">
        <f t="shared" ca="1" si="200"/>
        <v>3.1185914747527024</v>
      </c>
      <c r="BB257" s="34">
        <f t="shared" ca="1" si="230"/>
        <v>0</v>
      </c>
      <c r="BC257" s="34">
        <f t="shared" ca="1" si="230"/>
        <v>0</v>
      </c>
      <c r="BD257" s="34">
        <f t="shared" ca="1" si="230"/>
        <v>0</v>
      </c>
      <c r="BE257" s="34">
        <f t="shared" ca="1" si="230"/>
        <v>0</v>
      </c>
      <c r="BF257" s="34">
        <f t="shared" ca="1" si="230"/>
        <v>0</v>
      </c>
      <c r="BG257" s="34">
        <f t="shared" ca="1" si="230"/>
        <v>0</v>
      </c>
      <c r="BH257" s="34">
        <f t="shared" ca="1" si="230"/>
        <v>0</v>
      </c>
      <c r="BI257" s="34">
        <f t="shared" ca="1" si="230"/>
        <v>280.36860246086934</v>
      </c>
      <c r="BJ257" s="34">
        <f t="shared" ca="1" si="230"/>
        <v>340.49933632198599</v>
      </c>
      <c r="BK257" s="34">
        <f t="shared" ca="1" si="230"/>
        <v>378.33259591331785</v>
      </c>
      <c r="BL257" s="34">
        <f t="shared" ca="1" si="231"/>
        <v>420.36955101479754</v>
      </c>
      <c r="BM257" s="34">
        <f t="shared" ca="1" si="231"/>
        <v>467.07727890533062</v>
      </c>
      <c r="BN257" s="34">
        <f t="shared" ca="1" si="231"/>
        <v>518.97475433925615</v>
      </c>
      <c r="BO257" s="34">
        <f t="shared" ca="1" si="231"/>
        <v>0</v>
      </c>
      <c r="BP257" s="34">
        <f t="shared" ca="1" si="231"/>
        <v>0</v>
      </c>
      <c r="BQ257" s="34">
        <f t="shared" ca="1" si="231"/>
        <v>0</v>
      </c>
      <c r="BR257" s="34">
        <f t="shared" ca="1" si="231"/>
        <v>0</v>
      </c>
      <c r="BS257" s="34">
        <f t="shared" ca="1" si="231"/>
        <v>0</v>
      </c>
      <c r="BT257" s="34">
        <f t="shared" ca="1" si="231"/>
        <v>0</v>
      </c>
      <c r="BU257" s="34">
        <f t="shared" ca="1" si="231"/>
        <v>0</v>
      </c>
      <c r="BV257" s="34">
        <f t="shared" ca="1" si="232"/>
        <v>0</v>
      </c>
      <c r="BW257" s="34">
        <f t="shared" ca="1" si="232"/>
        <v>0</v>
      </c>
      <c r="BX257" s="34">
        <f t="shared" ca="1" si="232"/>
        <v>0</v>
      </c>
      <c r="BY257" s="34">
        <f t="shared" ca="1" si="232"/>
        <v>0</v>
      </c>
      <c r="BZ257" s="34">
        <f t="shared" ca="1" si="232"/>
        <v>0</v>
      </c>
      <c r="CA257" s="34">
        <f t="shared" ca="1" si="232"/>
        <v>0</v>
      </c>
      <c r="CB257" s="34">
        <f t="shared" ca="1" si="232"/>
        <v>0</v>
      </c>
      <c r="CC257" s="34">
        <f t="shared" ca="1" si="232"/>
        <v>0</v>
      </c>
      <c r="CD257" s="34">
        <f t="shared" ca="1" si="232"/>
        <v>0</v>
      </c>
      <c r="CE257" s="34">
        <f t="shared" ca="1" si="232"/>
        <v>0</v>
      </c>
      <c r="CF257" s="34">
        <f t="shared" ca="1" si="233"/>
        <v>0</v>
      </c>
      <c r="CG257" s="34">
        <f t="shared" ca="1" si="233"/>
        <v>0</v>
      </c>
      <c r="CH257" s="34">
        <f t="shared" ca="1" si="233"/>
        <v>0</v>
      </c>
      <c r="CI257" s="34">
        <f t="shared" ca="1" si="233"/>
        <v>0</v>
      </c>
      <c r="CJ257" s="34">
        <f t="shared" ca="1" si="233"/>
        <v>0</v>
      </c>
      <c r="CK257" s="34">
        <f t="shared" ca="1" si="233"/>
        <v>0</v>
      </c>
      <c r="CL257" s="34">
        <f t="shared" ca="1" si="233"/>
        <v>0</v>
      </c>
      <c r="CM257" s="34">
        <f t="shared" ca="1" si="233"/>
        <v>0</v>
      </c>
      <c r="CN257" s="34">
        <f t="shared" ca="1" si="233"/>
        <v>0</v>
      </c>
      <c r="CO257" s="34">
        <f t="shared" ca="1" si="233"/>
        <v>0</v>
      </c>
      <c r="CP257" s="34">
        <f t="shared" ca="1" si="233"/>
        <v>0</v>
      </c>
      <c r="CQ257" s="34">
        <f t="shared" ca="1" si="220"/>
        <v>2405.6221189555572</v>
      </c>
      <c r="CR257" s="363">
        <v>0</v>
      </c>
      <c r="CS257" s="34">
        <f t="shared" ca="1" si="221"/>
        <v>2405.6221189555572</v>
      </c>
      <c r="CT257" s="233"/>
    </row>
    <row r="258" spans="2:98" x14ac:dyDescent="0.3">
      <c r="B258" s="232"/>
      <c r="C258" s="250">
        <f t="shared" si="222"/>
        <v>2042</v>
      </c>
      <c r="D258" s="263">
        <f t="shared" ca="1" si="205"/>
        <v>0</v>
      </c>
      <c r="E258" s="263">
        <f t="shared" ca="1" si="189"/>
        <v>36.084331784333365</v>
      </c>
      <c r="F258" s="263">
        <f t="shared" ca="1" si="190"/>
        <v>0</v>
      </c>
      <c r="G258" s="263">
        <f t="shared" ca="1" si="206"/>
        <v>216.5059907060002</v>
      </c>
      <c r="H258" s="15"/>
      <c r="I258" s="271">
        <f ca="1">Assumptions!O$68</f>
        <v>4.5</v>
      </c>
      <c r="J258" s="271">
        <f ca="1">Assumptions!P$68</f>
        <v>80</v>
      </c>
      <c r="K258" s="271">
        <f t="shared" ca="1" si="191"/>
        <v>40</v>
      </c>
      <c r="L258" s="15"/>
      <c r="M258" s="35">
        <f t="shared" ca="1" si="207"/>
        <v>4.2299999999999995</v>
      </c>
      <c r="N258" s="35">
        <f t="shared" ca="1" si="192"/>
        <v>64</v>
      </c>
      <c r="O258" s="35">
        <f t="shared" ca="1" si="193"/>
        <v>32</v>
      </c>
      <c r="P258" s="15"/>
      <c r="Q258" s="34">
        <f t="shared" ca="1" si="208"/>
        <v>0</v>
      </c>
      <c r="R258" s="34">
        <f t="shared" ca="1" si="208"/>
        <v>2309.3972341973354</v>
      </c>
      <c r="S258" s="34">
        <f t="shared" ca="1" si="208"/>
        <v>0</v>
      </c>
      <c r="T258" s="34">
        <f t="shared" ca="1" si="209"/>
        <v>2309.3972341973354</v>
      </c>
      <c r="U258" s="15"/>
      <c r="V258" s="35">
        <f t="shared" si="210"/>
        <v>0.7</v>
      </c>
      <c r="W258" s="34">
        <f t="shared" ca="1" si="211"/>
        <v>183.70205272024259</v>
      </c>
      <c r="X258" s="35">
        <f t="shared" si="212"/>
        <v>0.222</v>
      </c>
      <c r="Y258" s="34">
        <f t="shared" ca="1" si="213"/>
        <v>58.259793862705514</v>
      </c>
      <c r="Z258" s="35">
        <f t="shared" si="214"/>
        <v>0.34799999999999998</v>
      </c>
      <c r="AA258" s="34">
        <f t="shared" ca="1" si="215"/>
        <v>91.32616335234917</v>
      </c>
      <c r="AB258" s="34">
        <f t="shared" ca="1" si="216"/>
        <v>333.28800993529728</v>
      </c>
      <c r="AC258" s="15"/>
      <c r="AD258" s="34">
        <f t="shared" ca="1" si="217"/>
        <v>1976.109224262038</v>
      </c>
      <c r="AE258" s="34">
        <f ca="1"/>
        <v>0</v>
      </c>
      <c r="AF258" s="34">
        <f t="shared" ca="1" si="218"/>
        <v>1976.109224262038</v>
      </c>
      <c r="AG258" s="15"/>
      <c r="AH258" s="272">
        <f t="shared" si="223"/>
        <v>52231</v>
      </c>
      <c r="AI258" s="267">
        <f t="shared" si="194"/>
        <v>28.666666666666668</v>
      </c>
      <c r="AJ258" s="267">
        <f t="shared" si="195"/>
        <v>6.5074328020203728E-2</v>
      </c>
      <c r="AK258" s="34">
        <f t="shared" ca="1" si="224"/>
        <v>128.59397986337819</v>
      </c>
      <c r="AL258" s="233"/>
      <c r="AN258" s="232"/>
      <c r="AO258" s="407">
        <f t="shared" si="229"/>
        <v>29</v>
      </c>
      <c r="AP258" s="34">
        <f t="shared" ca="1" si="229"/>
        <v>0</v>
      </c>
      <c r="AQ258" s="34">
        <f t="shared" ca="1" si="229"/>
        <v>0.56701663177321859</v>
      </c>
      <c r="AR258" s="34">
        <f t="shared" ca="1" si="229"/>
        <v>0</v>
      </c>
      <c r="AS258" s="34">
        <f t="shared" ca="1" si="229"/>
        <v>3.4020997906393116</v>
      </c>
      <c r="AT258" s="15"/>
      <c r="AW258" s="34">
        <f t="shared" ca="1" si="197"/>
        <v>0</v>
      </c>
      <c r="AX258" s="34">
        <f t="shared" ca="1" si="198"/>
        <v>0.46778872121290532</v>
      </c>
      <c r="AY258" s="34">
        <f t="shared" ca="1" si="199"/>
        <v>0</v>
      </c>
      <c r="AZ258" s="34">
        <f t="shared" ca="1" si="200"/>
        <v>2.806732327277432</v>
      </c>
      <c r="BB258" s="34">
        <f t="shared" ca="1" si="230"/>
        <v>0</v>
      </c>
      <c r="BC258" s="34">
        <f t="shared" ca="1" si="230"/>
        <v>0</v>
      </c>
      <c r="BD258" s="34">
        <f t="shared" ca="1" si="230"/>
        <v>0</v>
      </c>
      <c r="BE258" s="34">
        <f t="shared" ca="1" si="230"/>
        <v>0</v>
      </c>
      <c r="BF258" s="34">
        <f t="shared" ca="1" si="230"/>
        <v>0</v>
      </c>
      <c r="BG258" s="34">
        <f t="shared" ca="1" si="230"/>
        <v>0</v>
      </c>
      <c r="BH258" s="34">
        <f t="shared" ca="1" si="230"/>
        <v>0</v>
      </c>
      <c r="BI258" s="34">
        <f t="shared" ca="1" si="230"/>
        <v>252.33174221478239</v>
      </c>
      <c r="BJ258" s="34">
        <f t="shared" ca="1" si="230"/>
        <v>306.44940268978741</v>
      </c>
      <c r="BK258" s="34">
        <f t="shared" ca="1" si="230"/>
        <v>340.49933632198599</v>
      </c>
      <c r="BL258" s="34">
        <f t="shared" ca="1" si="231"/>
        <v>378.33259591331785</v>
      </c>
      <c r="BM258" s="34">
        <f t="shared" ca="1" si="231"/>
        <v>420.36955101479754</v>
      </c>
      <c r="BN258" s="34">
        <f t="shared" ca="1" si="231"/>
        <v>467.07727890533062</v>
      </c>
      <c r="BO258" s="34">
        <f t="shared" ca="1" si="231"/>
        <v>0</v>
      </c>
      <c r="BP258" s="34">
        <f t="shared" ca="1" si="231"/>
        <v>0</v>
      </c>
      <c r="BQ258" s="34">
        <f t="shared" ca="1" si="231"/>
        <v>0</v>
      </c>
      <c r="BR258" s="34">
        <f t="shared" ca="1" si="231"/>
        <v>0</v>
      </c>
      <c r="BS258" s="34">
        <f t="shared" ca="1" si="231"/>
        <v>0</v>
      </c>
      <c r="BT258" s="34">
        <f t="shared" ca="1" si="231"/>
        <v>0</v>
      </c>
      <c r="BU258" s="34">
        <f t="shared" ca="1" si="231"/>
        <v>0</v>
      </c>
      <c r="BV258" s="34">
        <f t="shared" ca="1" si="232"/>
        <v>0</v>
      </c>
      <c r="BW258" s="34">
        <f t="shared" ca="1" si="232"/>
        <v>0</v>
      </c>
      <c r="BX258" s="34">
        <f t="shared" ca="1" si="232"/>
        <v>0</v>
      </c>
      <c r="BY258" s="34">
        <f t="shared" ca="1" si="232"/>
        <v>0</v>
      </c>
      <c r="BZ258" s="34">
        <f t="shared" ca="1" si="232"/>
        <v>0</v>
      </c>
      <c r="CA258" s="34">
        <f t="shared" ca="1" si="232"/>
        <v>0</v>
      </c>
      <c r="CB258" s="34">
        <f t="shared" ca="1" si="232"/>
        <v>0</v>
      </c>
      <c r="CC258" s="34">
        <f t="shared" ca="1" si="232"/>
        <v>0</v>
      </c>
      <c r="CD258" s="34">
        <f t="shared" ca="1" si="232"/>
        <v>0</v>
      </c>
      <c r="CE258" s="34">
        <f t="shared" ca="1" si="232"/>
        <v>0</v>
      </c>
      <c r="CF258" s="34">
        <f t="shared" ca="1" si="233"/>
        <v>0</v>
      </c>
      <c r="CG258" s="34">
        <f t="shared" ca="1" si="233"/>
        <v>0</v>
      </c>
      <c r="CH258" s="34">
        <f t="shared" ca="1" si="233"/>
        <v>0</v>
      </c>
      <c r="CI258" s="34">
        <f t="shared" ca="1" si="233"/>
        <v>0</v>
      </c>
      <c r="CJ258" s="34">
        <f t="shared" ca="1" si="233"/>
        <v>0</v>
      </c>
      <c r="CK258" s="34">
        <f t="shared" ca="1" si="233"/>
        <v>0</v>
      </c>
      <c r="CL258" s="34">
        <f t="shared" ca="1" si="233"/>
        <v>0</v>
      </c>
      <c r="CM258" s="34">
        <f t="shared" ca="1" si="233"/>
        <v>0</v>
      </c>
      <c r="CN258" s="34">
        <f t="shared" ca="1" si="233"/>
        <v>0</v>
      </c>
      <c r="CO258" s="34">
        <f t="shared" ca="1" si="233"/>
        <v>0</v>
      </c>
      <c r="CP258" s="34">
        <f t="shared" ca="1" si="233"/>
        <v>0</v>
      </c>
      <c r="CQ258" s="34">
        <f t="shared" ca="1" si="220"/>
        <v>2165.0599070600019</v>
      </c>
      <c r="CR258" s="363">
        <v>0</v>
      </c>
      <c r="CS258" s="34">
        <f t="shared" ca="1" si="221"/>
        <v>2165.0599070600019</v>
      </c>
      <c r="CT258" s="233"/>
    </row>
    <row r="259" spans="2:98" x14ac:dyDescent="0.3">
      <c r="B259" s="232"/>
      <c r="C259" s="250">
        <f t="shared" si="222"/>
        <v>2043</v>
      </c>
      <c r="D259" s="263">
        <f t="shared" ca="1" si="205"/>
        <v>0</v>
      </c>
      <c r="E259" s="263">
        <f t="shared" ca="1" si="189"/>
        <v>32.475898605900028</v>
      </c>
      <c r="F259" s="263">
        <f t="shared" ca="1" si="190"/>
        <v>0</v>
      </c>
      <c r="G259" s="263">
        <f t="shared" ca="1" si="206"/>
        <v>194.85539163540017</v>
      </c>
      <c r="H259" s="15"/>
      <c r="I259" s="271">
        <f ca="1">Assumptions!O$68</f>
        <v>4.5</v>
      </c>
      <c r="J259" s="271">
        <f ca="1">Assumptions!P$68</f>
        <v>80</v>
      </c>
      <c r="K259" s="271">
        <f t="shared" ca="1" si="191"/>
        <v>40</v>
      </c>
      <c r="L259" s="15"/>
      <c r="M259" s="35">
        <f t="shared" ca="1" si="207"/>
        <v>4.2299999999999995</v>
      </c>
      <c r="N259" s="35">
        <f t="shared" ca="1" si="192"/>
        <v>64</v>
      </c>
      <c r="O259" s="35">
        <f t="shared" ca="1" si="193"/>
        <v>32</v>
      </c>
      <c r="P259" s="15"/>
      <c r="Q259" s="34">
        <f t="shared" ca="1" si="208"/>
        <v>0</v>
      </c>
      <c r="R259" s="34">
        <f t="shared" ca="1" si="208"/>
        <v>2078.4575107776018</v>
      </c>
      <c r="S259" s="34">
        <f t="shared" ca="1" si="208"/>
        <v>0</v>
      </c>
      <c r="T259" s="34">
        <f t="shared" ca="1" si="209"/>
        <v>2078.4575107776018</v>
      </c>
      <c r="U259" s="15"/>
      <c r="V259" s="35">
        <f t="shared" si="210"/>
        <v>0.7</v>
      </c>
      <c r="W259" s="34">
        <f t="shared" ca="1" si="211"/>
        <v>165.33184744821833</v>
      </c>
      <c r="X259" s="35">
        <f t="shared" si="212"/>
        <v>0.222</v>
      </c>
      <c r="Y259" s="34">
        <f t="shared" ca="1" si="213"/>
        <v>52.433814476434961</v>
      </c>
      <c r="Z259" s="35">
        <f t="shared" si="214"/>
        <v>0.34799999999999998</v>
      </c>
      <c r="AA259" s="34">
        <f t="shared" ca="1" si="215"/>
        <v>82.193547017114255</v>
      </c>
      <c r="AB259" s="34">
        <f t="shared" ca="1" si="216"/>
        <v>299.95920894176754</v>
      </c>
      <c r="AC259" s="15"/>
      <c r="AD259" s="34">
        <f t="shared" ca="1" si="217"/>
        <v>1778.4983018358344</v>
      </c>
      <c r="AE259" s="34">
        <f ca="1"/>
        <v>0</v>
      </c>
      <c r="AF259" s="34">
        <f t="shared" ca="1" si="218"/>
        <v>1778.4983018358344</v>
      </c>
      <c r="AG259" s="15"/>
      <c r="AH259" s="272">
        <f t="shared" si="223"/>
        <v>52596</v>
      </c>
      <c r="AI259" s="267">
        <f t="shared" si="194"/>
        <v>29.666666666666668</v>
      </c>
      <c r="AJ259" s="267">
        <f t="shared" si="195"/>
        <v>5.915848001836703E-2</v>
      </c>
      <c r="AK259" s="34">
        <f t="shared" ca="1" si="224"/>
        <v>105.2132562518549</v>
      </c>
      <c r="AL259" s="233"/>
      <c r="AN259" s="232"/>
      <c r="AO259" s="407">
        <f t="shared" si="229"/>
        <v>30</v>
      </c>
      <c r="AP259" s="34">
        <f t="shared" ca="1" si="229"/>
        <v>0</v>
      </c>
      <c r="AQ259" s="34">
        <f t="shared" ca="1" si="229"/>
        <v>0.51031496859589676</v>
      </c>
      <c r="AR259" s="34">
        <f t="shared" ca="1" si="229"/>
        <v>0</v>
      </c>
      <c r="AS259" s="34">
        <f t="shared" ca="1" si="229"/>
        <v>3.0618898115753805</v>
      </c>
      <c r="AT259" s="15"/>
      <c r="AW259" s="34">
        <f t="shared" ca="1" si="197"/>
        <v>0</v>
      </c>
      <c r="AX259" s="34">
        <f t="shared" ca="1" si="198"/>
        <v>0.42100984909161482</v>
      </c>
      <c r="AY259" s="34">
        <f t="shared" ca="1" si="199"/>
        <v>0</v>
      </c>
      <c r="AZ259" s="34">
        <f t="shared" ca="1" si="200"/>
        <v>2.526059094549689</v>
      </c>
      <c r="BB259" s="34">
        <f t="shared" ref="BB259:BK269" ca="1" si="234">IF($AO259&lt;BB$228,0,OFFSET($AZ$228,$AO259-BB$228+1,0)*BB$226)</f>
        <v>0</v>
      </c>
      <c r="BC259" s="34">
        <f t="shared" ca="1" si="234"/>
        <v>0</v>
      </c>
      <c r="BD259" s="34">
        <f t="shared" ca="1" si="234"/>
        <v>0</v>
      </c>
      <c r="BE259" s="34">
        <f t="shared" ca="1" si="234"/>
        <v>0</v>
      </c>
      <c r="BF259" s="34">
        <f t="shared" ca="1" si="234"/>
        <v>0</v>
      </c>
      <c r="BG259" s="34">
        <f t="shared" ca="1" si="234"/>
        <v>0</v>
      </c>
      <c r="BH259" s="34">
        <f t="shared" ca="1" si="234"/>
        <v>0</v>
      </c>
      <c r="BI259" s="34">
        <f t="shared" ca="1" si="234"/>
        <v>227.09856799330416</v>
      </c>
      <c r="BJ259" s="34">
        <f t="shared" ca="1" si="234"/>
        <v>275.8044624208087</v>
      </c>
      <c r="BK259" s="34">
        <f t="shared" ca="1" si="234"/>
        <v>306.44940268978741</v>
      </c>
      <c r="BL259" s="34">
        <f t="shared" ref="BL259:BU269" ca="1" si="235">IF($AO259&lt;BL$228,0,OFFSET($AZ$228,$AO259-BL$228+1,0)*BL$226)</f>
        <v>340.49933632198599</v>
      </c>
      <c r="BM259" s="34">
        <f t="shared" ca="1" si="235"/>
        <v>378.33259591331785</v>
      </c>
      <c r="BN259" s="34">
        <f t="shared" ca="1" si="235"/>
        <v>420.36955101479754</v>
      </c>
      <c r="BO259" s="34">
        <f t="shared" ca="1" si="235"/>
        <v>0</v>
      </c>
      <c r="BP259" s="34">
        <f t="shared" ca="1" si="235"/>
        <v>0</v>
      </c>
      <c r="BQ259" s="34">
        <f t="shared" ca="1" si="235"/>
        <v>0</v>
      </c>
      <c r="BR259" s="34">
        <f t="shared" ca="1" si="235"/>
        <v>0</v>
      </c>
      <c r="BS259" s="34">
        <f t="shared" ca="1" si="235"/>
        <v>0</v>
      </c>
      <c r="BT259" s="34">
        <f t="shared" ca="1" si="235"/>
        <v>0</v>
      </c>
      <c r="BU259" s="34">
        <f t="shared" ca="1" si="235"/>
        <v>0</v>
      </c>
      <c r="BV259" s="34">
        <f t="shared" ref="BV259:CE269" ca="1" si="236">IF($AO259&lt;BV$228,0,OFFSET($AZ$228,$AO259-BV$228+1,0)*BV$226)</f>
        <v>0</v>
      </c>
      <c r="BW259" s="34">
        <f t="shared" ca="1" si="236"/>
        <v>0</v>
      </c>
      <c r="BX259" s="34">
        <f t="shared" ca="1" si="236"/>
        <v>0</v>
      </c>
      <c r="BY259" s="34">
        <f t="shared" ca="1" si="236"/>
        <v>0</v>
      </c>
      <c r="BZ259" s="34">
        <f t="shared" ca="1" si="236"/>
        <v>0</v>
      </c>
      <c r="CA259" s="34">
        <f t="shared" ca="1" si="236"/>
        <v>0</v>
      </c>
      <c r="CB259" s="34">
        <f t="shared" ca="1" si="236"/>
        <v>0</v>
      </c>
      <c r="CC259" s="34">
        <f t="shared" ca="1" si="236"/>
        <v>0</v>
      </c>
      <c r="CD259" s="34">
        <f t="shared" ca="1" si="236"/>
        <v>0</v>
      </c>
      <c r="CE259" s="34">
        <f t="shared" ca="1" si="236"/>
        <v>0</v>
      </c>
      <c r="CF259" s="34">
        <f t="shared" ref="CF259:CP269" ca="1" si="237">IF($AO259&lt;CF$228,0,OFFSET($AZ$228,$AO259-CF$228+1,0)*CF$226)</f>
        <v>0</v>
      </c>
      <c r="CG259" s="34">
        <f t="shared" ca="1" si="237"/>
        <v>0</v>
      </c>
      <c r="CH259" s="34">
        <f t="shared" ca="1" si="237"/>
        <v>0</v>
      </c>
      <c r="CI259" s="34">
        <f t="shared" ca="1" si="237"/>
        <v>0</v>
      </c>
      <c r="CJ259" s="34">
        <f t="shared" ca="1" si="237"/>
        <v>0</v>
      </c>
      <c r="CK259" s="34">
        <f t="shared" ca="1" si="237"/>
        <v>0</v>
      </c>
      <c r="CL259" s="34">
        <f t="shared" ca="1" si="237"/>
        <v>0</v>
      </c>
      <c r="CM259" s="34">
        <f t="shared" ca="1" si="237"/>
        <v>0</v>
      </c>
      <c r="CN259" s="34">
        <f t="shared" ca="1" si="237"/>
        <v>0</v>
      </c>
      <c r="CO259" s="34">
        <f t="shared" ca="1" si="237"/>
        <v>0</v>
      </c>
      <c r="CP259" s="34">
        <f t="shared" ca="1" si="237"/>
        <v>0</v>
      </c>
      <c r="CQ259" s="34">
        <f t="shared" ca="1" si="220"/>
        <v>1948.5539163540016</v>
      </c>
      <c r="CR259" s="363">
        <v>0</v>
      </c>
      <c r="CS259" s="34">
        <f t="shared" ca="1" si="221"/>
        <v>1948.5539163540016</v>
      </c>
      <c r="CT259" s="233"/>
    </row>
    <row r="260" spans="2:98" x14ac:dyDescent="0.3">
      <c r="B260" s="232"/>
      <c r="C260" s="250">
        <f t="shared" si="222"/>
        <v>2044</v>
      </c>
      <c r="D260" s="263">
        <f t="shared" ca="1" si="205"/>
        <v>0</v>
      </c>
      <c r="E260" s="263">
        <f t="shared" ca="1" si="189"/>
        <v>29.228308745310027</v>
      </c>
      <c r="F260" s="263">
        <f t="shared" ca="1" si="190"/>
        <v>0</v>
      </c>
      <c r="G260" s="263">
        <f t="shared" ca="1" si="206"/>
        <v>175.36985247186016</v>
      </c>
      <c r="H260" s="15"/>
      <c r="I260" s="271">
        <f ca="1">Assumptions!O$68</f>
        <v>4.5</v>
      </c>
      <c r="J260" s="271">
        <f ca="1">Assumptions!P$68</f>
        <v>80</v>
      </c>
      <c r="K260" s="271">
        <f t="shared" ca="1" si="191"/>
        <v>40</v>
      </c>
      <c r="L260" s="15"/>
      <c r="M260" s="35">
        <f t="shared" ca="1" si="207"/>
        <v>4.2299999999999995</v>
      </c>
      <c r="N260" s="35">
        <f t="shared" ca="1" si="192"/>
        <v>64</v>
      </c>
      <c r="O260" s="35">
        <f t="shared" ca="1" si="193"/>
        <v>32</v>
      </c>
      <c r="P260" s="15"/>
      <c r="Q260" s="34">
        <f t="shared" ca="1" si="208"/>
        <v>0</v>
      </c>
      <c r="R260" s="34">
        <f t="shared" ca="1" si="208"/>
        <v>1870.6117596998417</v>
      </c>
      <c r="S260" s="34">
        <f t="shared" ca="1" si="208"/>
        <v>0</v>
      </c>
      <c r="T260" s="34">
        <f t="shared" ca="1" si="209"/>
        <v>1870.6117596998417</v>
      </c>
      <c r="U260" s="15"/>
      <c r="V260" s="35">
        <f t="shared" si="210"/>
        <v>0.7</v>
      </c>
      <c r="W260" s="34">
        <f t="shared" ca="1" si="211"/>
        <v>148.7986627033965</v>
      </c>
      <c r="X260" s="35">
        <f t="shared" si="212"/>
        <v>0.222</v>
      </c>
      <c r="Y260" s="34">
        <f t="shared" ca="1" si="213"/>
        <v>47.190433028791468</v>
      </c>
      <c r="Z260" s="35">
        <f t="shared" si="214"/>
        <v>0.34799999999999998</v>
      </c>
      <c r="AA260" s="34">
        <f t="shared" ca="1" si="215"/>
        <v>73.974192315402831</v>
      </c>
      <c r="AB260" s="34">
        <f t="shared" ca="1" si="216"/>
        <v>269.96328804759082</v>
      </c>
      <c r="AC260" s="15"/>
      <c r="AD260" s="34">
        <f t="shared" ca="1" si="217"/>
        <v>1600.6484716522509</v>
      </c>
      <c r="AE260" s="34">
        <f ca="1"/>
        <v>0</v>
      </c>
      <c r="AF260" s="34">
        <f t="shared" ca="1" si="218"/>
        <v>1600.6484716522509</v>
      </c>
      <c r="AG260" s="15"/>
      <c r="AH260" s="272">
        <f t="shared" si="223"/>
        <v>52962</v>
      </c>
      <c r="AI260" s="267">
        <f t="shared" si="194"/>
        <v>30.666666666666668</v>
      </c>
      <c r="AJ260" s="267">
        <f t="shared" si="195"/>
        <v>5.3780436380333668E-2</v>
      </c>
      <c r="AK260" s="34">
        <f t="shared" ca="1" si="224"/>
        <v>86.083573296972205</v>
      </c>
      <c r="AL260" s="233"/>
      <c r="AN260" s="232"/>
      <c r="AO260" s="407">
        <f t="shared" si="229"/>
        <v>31</v>
      </c>
      <c r="AP260" s="34">
        <f t="shared" ca="1" si="229"/>
        <v>0</v>
      </c>
      <c r="AQ260" s="34">
        <f t="shared" ca="1" si="229"/>
        <v>0.45928347173630707</v>
      </c>
      <c r="AR260" s="34">
        <f t="shared" ca="1" si="229"/>
        <v>0</v>
      </c>
      <c r="AS260" s="34">
        <f t="shared" ca="1" si="229"/>
        <v>2.7557008304178425</v>
      </c>
      <c r="AT260" s="15"/>
      <c r="AW260" s="34">
        <f t="shared" ca="1" si="197"/>
        <v>0</v>
      </c>
      <c r="AX260" s="34">
        <f t="shared" ca="1" si="198"/>
        <v>0.37890886418245329</v>
      </c>
      <c r="AY260" s="34">
        <f t="shared" ca="1" si="199"/>
        <v>0</v>
      </c>
      <c r="AZ260" s="34">
        <f t="shared" ca="1" si="200"/>
        <v>2.2734531850947199</v>
      </c>
      <c r="BB260" s="34">
        <f t="shared" ca="1" si="234"/>
        <v>0</v>
      </c>
      <c r="BC260" s="34">
        <f t="shared" ca="1" si="234"/>
        <v>0</v>
      </c>
      <c r="BD260" s="34">
        <f t="shared" ca="1" si="234"/>
        <v>0</v>
      </c>
      <c r="BE260" s="34">
        <f t="shared" ca="1" si="234"/>
        <v>0</v>
      </c>
      <c r="BF260" s="34">
        <f t="shared" ca="1" si="234"/>
        <v>0</v>
      </c>
      <c r="BG260" s="34">
        <f t="shared" ca="1" si="234"/>
        <v>0</v>
      </c>
      <c r="BH260" s="34">
        <f t="shared" ca="1" si="234"/>
        <v>0</v>
      </c>
      <c r="BI260" s="34">
        <f t="shared" ca="1" si="234"/>
        <v>204.38871119397379</v>
      </c>
      <c r="BJ260" s="34">
        <f t="shared" ca="1" si="234"/>
        <v>248.22401617872779</v>
      </c>
      <c r="BK260" s="34">
        <f t="shared" ca="1" si="234"/>
        <v>275.8044624208087</v>
      </c>
      <c r="BL260" s="34">
        <f t="shared" ca="1" si="235"/>
        <v>306.44940268978741</v>
      </c>
      <c r="BM260" s="34">
        <f t="shared" ca="1" si="235"/>
        <v>340.49933632198599</v>
      </c>
      <c r="BN260" s="34">
        <f t="shared" ca="1" si="235"/>
        <v>378.33259591331785</v>
      </c>
      <c r="BO260" s="34">
        <f t="shared" ca="1" si="235"/>
        <v>0</v>
      </c>
      <c r="BP260" s="34">
        <f t="shared" ca="1" si="235"/>
        <v>0</v>
      </c>
      <c r="BQ260" s="34">
        <f t="shared" ca="1" si="235"/>
        <v>0</v>
      </c>
      <c r="BR260" s="34">
        <f t="shared" ca="1" si="235"/>
        <v>0</v>
      </c>
      <c r="BS260" s="34">
        <f t="shared" ca="1" si="235"/>
        <v>0</v>
      </c>
      <c r="BT260" s="34">
        <f t="shared" ca="1" si="235"/>
        <v>0</v>
      </c>
      <c r="BU260" s="34">
        <f t="shared" ca="1" si="235"/>
        <v>0</v>
      </c>
      <c r="BV260" s="34">
        <f t="shared" ca="1" si="236"/>
        <v>0</v>
      </c>
      <c r="BW260" s="34">
        <f t="shared" ca="1" si="236"/>
        <v>0</v>
      </c>
      <c r="BX260" s="34">
        <f t="shared" ca="1" si="236"/>
        <v>0</v>
      </c>
      <c r="BY260" s="34">
        <f t="shared" ca="1" si="236"/>
        <v>0</v>
      </c>
      <c r="BZ260" s="34">
        <f t="shared" ca="1" si="236"/>
        <v>0</v>
      </c>
      <c r="CA260" s="34">
        <f t="shared" ca="1" si="236"/>
        <v>0</v>
      </c>
      <c r="CB260" s="34">
        <f t="shared" ca="1" si="236"/>
        <v>0</v>
      </c>
      <c r="CC260" s="34">
        <f t="shared" ca="1" si="236"/>
        <v>0</v>
      </c>
      <c r="CD260" s="34">
        <f t="shared" ca="1" si="236"/>
        <v>0</v>
      </c>
      <c r="CE260" s="34">
        <f t="shared" ca="1" si="236"/>
        <v>0</v>
      </c>
      <c r="CF260" s="34">
        <f t="shared" ca="1" si="237"/>
        <v>0</v>
      </c>
      <c r="CG260" s="34">
        <f t="shared" ca="1" si="237"/>
        <v>0</v>
      </c>
      <c r="CH260" s="34">
        <f t="shared" ca="1" si="237"/>
        <v>0</v>
      </c>
      <c r="CI260" s="34">
        <f t="shared" ca="1" si="237"/>
        <v>0</v>
      </c>
      <c r="CJ260" s="34">
        <f t="shared" ca="1" si="237"/>
        <v>0</v>
      </c>
      <c r="CK260" s="34">
        <f t="shared" ca="1" si="237"/>
        <v>0</v>
      </c>
      <c r="CL260" s="34">
        <f t="shared" ca="1" si="237"/>
        <v>0</v>
      </c>
      <c r="CM260" s="34">
        <f t="shared" ca="1" si="237"/>
        <v>0</v>
      </c>
      <c r="CN260" s="34">
        <f t="shared" ca="1" si="237"/>
        <v>0</v>
      </c>
      <c r="CO260" s="34">
        <f t="shared" ca="1" si="237"/>
        <v>0</v>
      </c>
      <c r="CP260" s="34">
        <f t="shared" ca="1" si="237"/>
        <v>0</v>
      </c>
      <c r="CQ260" s="34">
        <f t="shared" ca="1" si="220"/>
        <v>1753.6985247186014</v>
      </c>
      <c r="CR260" s="363">
        <v>0</v>
      </c>
      <c r="CS260" s="34">
        <f t="shared" ca="1" si="221"/>
        <v>1753.6985247186014</v>
      </c>
      <c r="CT260" s="233"/>
    </row>
    <row r="261" spans="2:98" x14ac:dyDescent="0.3">
      <c r="B261" s="232"/>
      <c r="C261" s="250">
        <f t="shared" si="222"/>
        <v>2045</v>
      </c>
      <c r="D261" s="263">
        <f t="shared" ca="1" si="205"/>
        <v>0</v>
      </c>
      <c r="E261" s="263">
        <f t="shared" ca="1" si="189"/>
        <v>26.305477870779026</v>
      </c>
      <c r="F261" s="263">
        <f t="shared" ca="1" si="190"/>
        <v>0</v>
      </c>
      <c r="G261" s="263">
        <f t="shared" ca="1" si="206"/>
        <v>157.83286722467415</v>
      </c>
      <c r="H261" s="15"/>
      <c r="I261" s="271">
        <f ca="1">Assumptions!O$68</f>
        <v>4.5</v>
      </c>
      <c r="J261" s="271">
        <f ca="1">Assumptions!P$68</f>
        <v>80</v>
      </c>
      <c r="K261" s="271">
        <f t="shared" ca="1" si="191"/>
        <v>40</v>
      </c>
      <c r="L261" s="15"/>
      <c r="M261" s="35">
        <f t="shared" ca="1" si="207"/>
        <v>4.2299999999999995</v>
      </c>
      <c r="N261" s="35">
        <f t="shared" ca="1" si="192"/>
        <v>64</v>
      </c>
      <c r="O261" s="35">
        <f t="shared" ca="1" si="193"/>
        <v>32</v>
      </c>
      <c r="P261" s="15"/>
      <c r="Q261" s="34">
        <f t="shared" ca="1" si="208"/>
        <v>0</v>
      </c>
      <c r="R261" s="34">
        <f t="shared" ca="1" si="208"/>
        <v>1683.5505837298576</v>
      </c>
      <c r="S261" s="34">
        <f t="shared" ca="1" si="208"/>
        <v>0</v>
      </c>
      <c r="T261" s="34">
        <f t="shared" ca="1" si="209"/>
        <v>1683.5505837298576</v>
      </c>
      <c r="U261" s="15"/>
      <c r="V261" s="35">
        <f t="shared" si="210"/>
        <v>0.7</v>
      </c>
      <c r="W261" s="34">
        <f t="shared" ca="1" si="211"/>
        <v>133.91879643305685</v>
      </c>
      <c r="X261" s="35">
        <f t="shared" si="212"/>
        <v>0.222</v>
      </c>
      <c r="Y261" s="34">
        <f t="shared" ca="1" si="213"/>
        <v>42.471389725912317</v>
      </c>
      <c r="Z261" s="35">
        <f t="shared" si="214"/>
        <v>0.34799999999999998</v>
      </c>
      <c r="AA261" s="34">
        <f t="shared" ca="1" si="215"/>
        <v>66.576773083862548</v>
      </c>
      <c r="AB261" s="34">
        <f t="shared" ca="1" si="216"/>
        <v>242.96695924283173</v>
      </c>
      <c r="AC261" s="15"/>
      <c r="AD261" s="34">
        <f t="shared" ca="1" si="217"/>
        <v>1440.5836244870259</v>
      </c>
      <c r="AE261" s="34">
        <f ca="1"/>
        <v>0</v>
      </c>
      <c r="AF261" s="34">
        <f t="shared" ca="1" si="218"/>
        <v>1440.5836244870259</v>
      </c>
      <c r="AG261" s="15"/>
      <c r="AH261" s="272">
        <f t="shared" si="223"/>
        <v>53327</v>
      </c>
      <c r="AI261" s="267">
        <f t="shared" si="194"/>
        <v>31.666666666666664</v>
      </c>
      <c r="AJ261" s="267">
        <f t="shared" si="195"/>
        <v>4.889130580030334E-2</v>
      </c>
      <c r="AK261" s="34">
        <f t="shared" ca="1" si="224"/>
        <v>70.432014515704537</v>
      </c>
      <c r="AL261" s="233"/>
      <c r="AN261" s="232"/>
      <c r="AO261" s="407">
        <f t="shared" si="229"/>
        <v>32</v>
      </c>
      <c r="AP261" s="34">
        <f t="shared" ca="1" si="229"/>
        <v>0</v>
      </c>
      <c r="AQ261" s="34">
        <f t="shared" ca="1" si="229"/>
        <v>0.41335512456267637</v>
      </c>
      <c r="AR261" s="34">
        <f t="shared" ca="1" si="229"/>
        <v>0</v>
      </c>
      <c r="AS261" s="34">
        <f t="shared" ca="1" si="229"/>
        <v>2.4801307473760583</v>
      </c>
      <c r="AT261" s="15"/>
      <c r="AW261" s="34">
        <f t="shared" ca="1" si="197"/>
        <v>0</v>
      </c>
      <c r="AX261" s="34">
        <f t="shared" ca="1" si="198"/>
        <v>0.341017977764208</v>
      </c>
      <c r="AY261" s="34">
        <f t="shared" ca="1" si="199"/>
        <v>0</v>
      </c>
      <c r="AZ261" s="34">
        <f t="shared" ca="1" si="200"/>
        <v>2.0461078665852481</v>
      </c>
      <c r="BB261" s="34">
        <f t="shared" ca="1" si="234"/>
        <v>0</v>
      </c>
      <c r="BC261" s="34">
        <f t="shared" ca="1" si="234"/>
        <v>0</v>
      </c>
      <c r="BD261" s="34">
        <f t="shared" ca="1" si="234"/>
        <v>0</v>
      </c>
      <c r="BE261" s="34">
        <f t="shared" ca="1" si="234"/>
        <v>0</v>
      </c>
      <c r="BF261" s="34">
        <f t="shared" ca="1" si="234"/>
        <v>0</v>
      </c>
      <c r="BG261" s="34">
        <f t="shared" ca="1" si="234"/>
        <v>0</v>
      </c>
      <c r="BH261" s="34">
        <f t="shared" ca="1" si="234"/>
        <v>0</v>
      </c>
      <c r="BI261" s="34">
        <f t="shared" ca="1" si="234"/>
        <v>183.9498400745764</v>
      </c>
      <c r="BJ261" s="34">
        <f t="shared" ca="1" si="234"/>
        <v>223.40161456085508</v>
      </c>
      <c r="BK261" s="34">
        <f t="shared" ca="1" si="234"/>
        <v>248.22401617872779</v>
      </c>
      <c r="BL261" s="34">
        <f t="shared" ca="1" si="235"/>
        <v>275.8044624208087</v>
      </c>
      <c r="BM261" s="34">
        <f t="shared" ca="1" si="235"/>
        <v>306.44940268978741</v>
      </c>
      <c r="BN261" s="34">
        <f t="shared" ca="1" si="235"/>
        <v>340.49933632198599</v>
      </c>
      <c r="BO261" s="34">
        <f t="shared" ca="1" si="235"/>
        <v>0</v>
      </c>
      <c r="BP261" s="34">
        <f t="shared" ca="1" si="235"/>
        <v>0</v>
      </c>
      <c r="BQ261" s="34">
        <f t="shared" ca="1" si="235"/>
        <v>0</v>
      </c>
      <c r="BR261" s="34">
        <f t="shared" ca="1" si="235"/>
        <v>0</v>
      </c>
      <c r="BS261" s="34">
        <f t="shared" ca="1" si="235"/>
        <v>0</v>
      </c>
      <c r="BT261" s="34">
        <f t="shared" ca="1" si="235"/>
        <v>0</v>
      </c>
      <c r="BU261" s="34">
        <f t="shared" ca="1" si="235"/>
        <v>0</v>
      </c>
      <c r="BV261" s="34">
        <f t="shared" ca="1" si="236"/>
        <v>0</v>
      </c>
      <c r="BW261" s="34">
        <f t="shared" ca="1" si="236"/>
        <v>0</v>
      </c>
      <c r="BX261" s="34">
        <f t="shared" ca="1" si="236"/>
        <v>0</v>
      </c>
      <c r="BY261" s="34">
        <f t="shared" ca="1" si="236"/>
        <v>0</v>
      </c>
      <c r="BZ261" s="34">
        <f t="shared" ca="1" si="236"/>
        <v>0</v>
      </c>
      <c r="CA261" s="34">
        <f t="shared" ca="1" si="236"/>
        <v>0</v>
      </c>
      <c r="CB261" s="34">
        <f t="shared" ca="1" si="236"/>
        <v>0</v>
      </c>
      <c r="CC261" s="34">
        <f t="shared" ca="1" si="236"/>
        <v>0</v>
      </c>
      <c r="CD261" s="34">
        <f t="shared" ca="1" si="236"/>
        <v>0</v>
      </c>
      <c r="CE261" s="34">
        <f t="shared" ca="1" si="236"/>
        <v>0</v>
      </c>
      <c r="CF261" s="34">
        <f t="shared" ca="1" si="237"/>
        <v>0</v>
      </c>
      <c r="CG261" s="34">
        <f t="shared" ca="1" si="237"/>
        <v>0</v>
      </c>
      <c r="CH261" s="34">
        <f t="shared" ca="1" si="237"/>
        <v>0</v>
      </c>
      <c r="CI261" s="34">
        <f t="shared" ca="1" si="237"/>
        <v>0</v>
      </c>
      <c r="CJ261" s="34">
        <f t="shared" ca="1" si="237"/>
        <v>0</v>
      </c>
      <c r="CK261" s="34">
        <f t="shared" ca="1" si="237"/>
        <v>0</v>
      </c>
      <c r="CL261" s="34">
        <f t="shared" ca="1" si="237"/>
        <v>0</v>
      </c>
      <c r="CM261" s="34">
        <f t="shared" ca="1" si="237"/>
        <v>0</v>
      </c>
      <c r="CN261" s="34">
        <f t="shared" ca="1" si="237"/>
        <v>0</v>
      </c>
      <c r="CO261" s="34">
        <f t="shared" ca="1" si="237"/>
        <v>0</v>
      </c>
      <c r="CP261" s="34">
        <f t="shared" ca="1" si="237"/>
        <v>0</v>
      </c>
      <c r="CQ261" s="34">
        <f t="shared" ca="1" si="220"/>
        <v>1578.3286722467415</v>
      </c>
      <c r="CR261" s="363">
        <v>0</v>
      </c>
      <c r="CS261" s="34">
        <f t="shared" ca="1" si="221"/>
        <v>1578.3286722467415</v>
      </c>
      <c r="CT261" s="233"/>
    </row>
    <row r="262" spans="2:98" x14ac:dyDescent="0.3">
      <c r="B262" s="232"/>
      <c r="C262" s="250">
        <f t="shared" si="222"/>
        <v>2046</v>
      </c>
      <c r="D262" s="263">
        <f t="shared" ca="1" si="205"/>
        <v>0</v>
      </c>
      <c r="E262" s="263">
        <f t="shared" ca="1" si="189"/>
        <v>23.674930083701117</v>
      </c>
      <c r="F262" s="263">
        <f t="shared" ca="1" si="190"/>
        <v>0</v>
      </c>
      <c r="G262" s="263">
        <f t="shared" ca="1" si="206"/>
        <v>142.04958050220671</v>
      </c>
      <c r="H262" s="15"/>
      <c r="I262" s="271">
        <f ca="1">Assumptions!O$68</f>
        <v>4.5</v>
      </c>
      <c r="J262" s="271">
        <f ca="1">Assumptions!P$68</f>
        <v>80</v>
      </c>
      <c r="K262" s="271">
        <f t="shared" ca="1" si="191"/>
        <v>40</v>
      </c>
      <c r="L262" s="15"/>
      <c r="M262" s="35">
        <f t="shared" ca="1" si="207"/>
        <v>4.2299999999999995</v>
      </c>
      <c r="N262" s="35">
        <f t="shared" ca="1" si="192"/>
        <v>64</v>
      </c>
      <c r="O262" s="35">
        <f t="shared" ca="1" si="193"/>
        <v>32</v>
      </c>
      <c r="P262" s="15"/>
      <c r="Q262" s="34">
        <f t="shared" ca="1" si="208"/>
        <v>0</v>
      </c>
      <c r="R262" s="34">
        <f t="shared" ca="1" si="208"/>
        <v>1515.1955253568715</v>
      </c>
      <c r="S262" s="34">
        <f t="shared" ca="1" si="208"/>
        <v>0</v>
      </c>
      <c r="T262" s="34">
        <f t="shared" ca="1" si="209"/>
        <v>1515.1955253568715</v>
      </c>
      <c r="U262" s="15"/>
      <c r="V262" s="35">
        <f t="shared" si="210"/>
        <v>0.7</v>
      </c>
      <c r="W262" s="34">
        <f t="shared" ca="1" si="211"/>
        <v>120.52691678975114</v>
      </c>
      <c r="X262" s="35">
        <f t="shared" si="212"/>
        <v>0.222</v>
      </c>
      <c r="Y262" s="34">
        <f t="shared" ca="1" si="213"/>
        <v>38.22425075332108</v>
      </c>
      <c r="Z262" s="35">
        <f t="shared" si="214"/>
        <v>0.34799999999999998</v>
      </c>
      <c r="AA262" s="34">
        <f t="shared" ca="1" si="215"/>
        <v>59.919095775476286</v>
      </c>
      <c r="AB262" s="34">
        <f t="shared" ca="1" si="216"/>
        <v>218.67026331854851</v>
      </c>
      <c r="AC262" s="15"/>
      <c r="AD262" s="34">
        <f t="shared" ca="1" si="217"/>
        <v>1296.525262038323</v>
      </c>
      <c r="AE262" s="34">
        <f ca="1"/>
        <v>0</v>
      </c>
      <c r="AF262" s="34">
        <f t="shared" ca="1" si="218"/>
        <v>1296.525262038323</v>
      </c>
      <c r="AG262" s="15"/>
      <c r="AH262" s="272">
        <f t="shared" si="223"/>
        <v>53692</v>
      </c>
      <c r="AI262" s="267">
        <f t="shared" si="194"/>
        <v>32.666666666666664</v>
      </c>
      <c r="AJ262" s="267">
        <f t="shared" si="195"/>
        <v>4.4446641636639403E-2</v>
      </c>
      <c r="AK262" s="34">
        <f t="shared" ca="1" si="224"/>
        <v>57.626193694667343</v>
      </c>
      <c r="AL262" s="233"/>
      <c r="AN262" s="232"/>
      <c r="AO262" s="407">
        <f t="shared" ref="AO262:AS269" si="238">AO212</f>
        <v>33</v>
      </c>
      <c r="AP262" s="34">
        <f t="shared" ca="1" si="238"/>
        <v>0</v>
      </c>
      <c r="AQ262" s="34">
        <f t="shared" ca="1" si="238"/>
        <v>0.37201961210640877</v>
      </c>
      <c r="AR262" s="34">
        <f t="shared" ca="1" si="238"/>
        <v>0</v>
      </c>
      <c r="AS262" s="34">
        <f t="shared" ca="1" si="238"/>
        <v>2.2321176726384526</v>
      </c>
      <c r="AT262" s="15"/>
      <c r="AW262" s="34">
        <f t="shared" ca="1" si="197"/>
        <v>0</v>
      </c>
      <c r="AX262" s="34">
        <f t="shared" ca="1" si="198"/>
        <v>0.3069161799877872</v>
      </c>
      <c r="AY262" s="34">
        <f t="shared" ca="1" si="199"/>
        <v>0</v>
      </c>
      <c r="AZ262" s="34">
        <f t="shared" ca="1" si="200"/>
        <v>1.8414970799267234</v>
      </c>
      <c r="BB262" s="34">
        <f t="shared" ca="1" si="234"/>
        <v>0</v>
      </c>
      <c r="BC262" s="34">
        <f t="shared" ca="1" si="234"/>
        <v>0</v>
      </c>
      <c r="BD262" s="34">
        <f t="shared" ca="1" si="234"/>
        <v>0</v>
      </c>
      <c r="BE262" s="34">
        <f t="shared" ca="1" si="234"/>
        <v>0</v>
      </c>
      <c r="BF262" s="34">
        <f t="shared" ca="1" si="234"/>
        <v>0</v>
      </c>
      <c r="BG262" s="34">
        <f t="shared" ca="1" si="234"/>
        <v>0</v>
      </c>
      <c r="BH262" s="34">
        <f t="shared" ca="1" si="234"/>
        <v>0</v>
      </c>
      <c r="BI262" s="34">
        <f t="shared" ca="1" si="234"/>
        <v>165.55485606711875</v>
      </c>
      <c r="BJ262" s="34">
        <f t="shared" ca="1" si="234"/>
        <v>201.06145310476956</v>
      </c>
      <c r="BK262" s="34">
        <f t="shared" ca="1" si="234"/>
        <v>223.40161456085508</v>
      </c>
      <c r="BL262" s="34">
        <f t="shared" ca="1" si="235"/>
        <v>248.22401617872779</v>
      </c>
      <c r="BM262" s="34">
        <f t="shared" ca="1" si="235"/>
        <v>275.8044624208087</v>
      </c>
      <c r="BN262" s="34">
        <f t="shared" ca="1" si="235"/>
        <v>306.44940268978741</v>
      </c>
      <c r="BO262" s="34">
        <f t="shared" ca="1" si="235"/>
        <v>0</v>
      </c>
      <c r="BP262" s="34">
        <f t="shared" ca="1" si="235"/>
        <v>0</v>
      </c>
      <c r="BQ262" s="34">
        <f t="shared" ca="1" si="235"/>
        <v>0</v>
      </c>
      <c r="BR262" s="34">
        <f t="shared" ca="1" si="235"/>
        <v>0</v>
      </c>
      <c r="BS262" s="34">
        <f t="shared" ca="1" si="235"/>
        <v>0</v>
      </c>
      <c r="BT262" s="34">
        <f t="shared" ca="1" si="235"/>
        <v>0</v>
      </c>
      <c r="BU262" s="34">
        <f t="shared" ca="1" si="235"/>
        <v>0</v>
      </c>
      <c r="BV262" s="34">
        <f t="shared" ca="1" si="236"/>
        <v>0</v>
      </c>
      <c r="BW262" s="34">
        <f t="shared" ca="1" si="236"/>
        <v>0</v>
      </c>
      <c r="BX262" s="34">
        <f t="shared" ca="1" si="236"/>
        <v>0</v>
      </c>
      <c r="BY262" s="34">
        <f t="shared" ca="1" si="236"/>
        <v>0</v>
      </c>
      <c r="BZ262" s="34">
        <f t="shared" ca="1" si="236"/>
        <v>0</v>
      </c>
      <c r="CA262" s="34">
        <f t="shared" ca="1" si="236"/>
        <v>0</v>
      </c>
      <c r="CB262" s="34">
        <f t="shared" ca="1" si="236"/>
        <v>0</v>
      </c>
      <c r="CC262" s="34">
        <f t="shared" ca="1" si="236"/>
        <v>0</v>
      </c>
      <c r="CD262" s="34">
        <f t="shared" ca="1" si="236"/>
        <v>0</v>
      </c>
      <c r="CE262" s="34">
        <f t="shared" ca="1" si="236"/>
        <v>0</v>
      </c>
      <c r="CF262" s="34">
        <f t="shared" ca="1" si="237"/>
        <v>0</v>
      </c>
      <c r="CG262" s="34">
        <f t="shared" ca="1" si="237"/>
        <v>0</v>
      </c>
      <c r="CH262" s="34">
        <f t="shared" ca="1" si="237"/>
        <v>0</v>
      </c>
      <c r="CI262" s="34">
        <f t="shared" ca="1" si="237"/>
        <v>0</v>
      </c>
      <c r="CJ262" s="34">
        <f t="shared" ca="1" si="237"/>
        <v>0</v>
      </c>
      <c r="CK262" s="34">
        <f t="shared" ca="1" si="237"/>
        <v>0</v>
      </c>
      <c r="CL262" s="34">
        <f t="shared" ca="1" si="237"/>
        <v>0</v>
      </c>
      <c r="CM262" s="34">
        <f t="shared" ca="1" si="237"/>
        <v>0</v>
      </c>
      <c r="CN262" s="34">
        <f t="shared" ca="1" si="237"/>
        <v>0</v>
      </c>
      <c r="CO262" s="34">
        <f t="shared" ca="1" si="237"/>
        <v>0</v>
      </c>
      <c r="CP262" s="34">
        <f t="shared" ca="1" si="237"/>
        <v>0</v>
      </c>
      <c r="CQ262" s="34">
        <f t="shared" ca="1" si="220"/>
        <v>1420.4958050220671</v>
      </c>
      <c r="CR262" s="363">
        <v>0</v>
      </c>
      <c r="CS262" s="34">
        <f t="shared" ca="1" si="221"/>
        <v>1420.4958050220671</v>
      </c>
      <c r="CT262" s="233"/>
    </row>
    <row r="263" spans="2:98" x14ac:dyDescent="0.3">
      <c r="B263" s="232"/>
      <c r="C263" s="250">
        <f t="shared" si="222"/>
        <v>2047</v>
      </c>
      <c r="D263" s="263">
        <f t="shared" ca="1" si="205"/>
        <v>0</v>
      </c>
      <c r="E263" s="263">
        <f t="shared" ca="1" si="189"/>
        <v>21.307437075331013</v>
      </c>
      <c r="F263" s="263">
        <f t="shared" ca="1" si="190"/>
        <v>0</v>
      </c>
      <c r="G263" s="263">
        <f t="shared" ca="1" si="206"/>
        <v>127.84462245198607</v>
      </c>
      <c r="H263" s="15"/>
      <c r="I263" s="271">
        <f ca="1">Assumptions!O$68</f>
        <v>4.5</v>
      </c>
      <c r="J263" s="271">
        <f ca="1">Assumptions!P$68</f>
        <v>80</v>
      </c>
      <c r="K263" s="271">
        <f t="shared" ca="1" si="191"/>
        <v>40</v>
      </c>
      <c r="L263" s="15"/>
      <c r="M263" s="35">
        <f t="shared" ca="1" si="207"/>
        <v>4.2299999999999995</v>
      </c>
      <c r="N263" s="35">
        <f t="shared" ca="1" si="192"/>
        <v>64</v>
      </c>
      <c r="O263" s="35">
        <f t="shared" ca="1" si="193"/>
        <v>32</v>
      </c>
      <c r="P263" s="15"/>
      <c r="Q263" s="34">
        <f t="shared" ca="1" si="208"/>
        <v>0</v>
      </c>
      <c r="R263" s="34">
        <f t="shared" ca="1" si="208"/>
        <v>1363.6759728211848</v>
      </c>
      <c r="S263" s="34">
        <f t="shared" ca="1" si="208"/>
        <v>0</v>
      </c>
      <c r="T263" s="34">
        <f t="shared" ca="1" si="209"/>
        <v>1363.6759728211848</v>
      </c>
      <c r="U263" s="15"/>
      <c r="V263" s="35">
        <f t="shared" si="210"/>
        <v>0.7</v>
      </c>
      <c r="W263" s="34">
        <f t="shared" ca="1" si="211"/>
        <v>108.47422511077606</v>
      </c>
      <c r="X263" s="35">
        <f t="shared" si="212"/>
        <v>0.222</v>
      </c>
      <c r="Y263" s="34">
        <f t="shared" ca="1" si="213"/>
        <v>34.401825677988981</v>
      </c>
      <c r="Z263" s="35">
        <f t="shared" si="214"/>
        <v>0.34799999999999998</v>
      </c>
      <c r="AA263" s="34">
        <f t="shared" ca="1" si="215"/>
        <v>53.92718619792867</v>
      </c>
      <c r="AB263" s="34">
        <f t="shared" ca="1" si="216"/>
        <v>196.80323698669372</v>
      </c>
      <c r="AC263" s="15"/>
      <c r="AD263" s="34">
        <f t="shared" ca="1" si="217"/>
        <v>1166.8727358344911</v>
      </c>
      <c r="AE263" s="34">
        <f ca="1"/>
        <v>0</v>
      </c>
      <c r="AF263" s="34">
        <f t="shared" ca="1" si="218"/>
        <v>1166.8727358344911</v>
      </c>
      <c r="AG263" s="15"/>
      <c r="AH263" s="272">
        <f t="shared" si="223"/>
        <v>54057</v>
      </c>
      <c r="AI263" s="267">
        <f t="shared" si="194"/>
        <v>33.666666666666664</v>
      </c>
      <c r="AJ263" s="267">
        <f t="shared" si="195"/>
        <v>4.0406037851490349E-2</v>
      </c>
      <c r="AK263" s="34">
        <f t="shared" ca="1" si="224"/>
        <v>47.148703932000544</v>
      </c>
      <c r="AL263" s="233"/>
      <c r="AN263" s="232"/>
      <c r="AO263" s="407">
        <f t="shared" si="238"/>
        <v>34</v>
      </c>
      <c r="AP263" s="34">
        <f t="shared" ca="1" si="238"/>
        <v>0</v>
      </c>
      <c r="AQ263" s="34">
        <f t="shared" ca="1" si="238"/>
        <v>0.33481765089576787</v>
      </c>
      <c r="AR263" s="34">
        <f t="shared" ca="1" si="238"/>
        <v>0</v>
      </c>
      <c r="AS263" s="34">
        <f t="shared" ca="1" si="238"/>
        <v>2.0089059053746072</v>
      </c>
      <c r="AT263" s="15"/>
      <c r="AW263" s="34">
        <f t="shared" ca="1" si="197"/>
        <v>0</v>
      </c>
      <c r="AX263" s="34">
        <f t="shared" ca="1" si="198"/>
        <v>0.27622456198900847</v>
      </c>
      <c r="AY263" s="34">
        <f t="shared" ca="1" si="199"/>
        <v>0</v>
      </c>
      <c r="AZ263" s="34">
        <f t="shared" ca="1" si="200"/>
        <v>1.6573473719340508</v>
      </c>
      <c r="BB263" s="34">
        <f t="shared" ca="1" si="234"/>
        <v>0</v>
      </c>
      <c r="BC263" s="34">
        <f t="shared" ca="1" si="234"/>
        <v>0</v>
      </c>
      <c r="BD263" s="34">
        <f t="shared" ca="1" si="234"/>
        <v>0</v>
      </c>
      <c r="BE263" s="34">
        <f t="shared" ca="1" si="234"/>
        <v>0</v>
      </c>
      <c r="BF263" s="34">
        <f t="shared" ca="1" si="234"/>
        <v>0</v>
      </c>
      <c r="BG263" s="34">
        <f t="shared" ca="1" si="234"/>
        <v>0</v>
      </c>
      <c r="BH263" s="34">
        <f t="shared" ca="1" si="234"/>
        <v>0</v>
      </c>
      <c r="BI263" s="34">
        <f t="shared" ca="1" si="234"/>
        <v>148.99937046040688</v>
      </c>
      <c r="BJ263" s="34">
        <f t="shared" ca="1" si="234"/>
        <v>180.95530779429259</v>
      </c>
      <c r="BK263" s="34">
        <f t="shared" ca="1" si="234"/>
        <v>201.06145310476956</v>
      </c>
      <c r="BL263" s="34">
        <f t="shared" ca="1" si="235"/>
        <v>223.40161456085508</v>
      </c>
      <c r="BM263" s="34">
        <f t="shared" ca="1" si="235"/>
        <v>248.22401617872779</v>
      </c>
      <c r="BN263" s="34">
        <f t="shared" ca="1" si="235"/>
        <v>275.8044624208087</v>
      </c>
      <c r="BO263" s="34">
        <f t="shared" ca="1" si="235"/>
        <v>0</v>
      </c>
      <c r="BP263" s="34">
        <f t="shared" ca="1" si="235"/>
        <v>0</v>
      </c>
      <c r="BQ263" s="34">
        <f t="shared" ca="1" si="235"/>
        <v>0</v>
      </c>
      <c r="BR263" s="34">
        <f t="shared" ca="1" si="235"/>
        <v>0</v>
      </c>
      <c r="BS263" s="34">
        <f t="shared" ca="1" si="235"/>
        <v>0</v>
      </c>
      <c r="BT263" s="34">
        <f t="shared" ca="1" si="235"/>
        <v>0</v>
      </c>
      <c r="BU263" s="34">
        <f t="shared" ca="1" si="235"/>
        <v>0</v>
      </c>
      <c r="BV263" s="34">
        <f t="shared" ca="1" si="236"/>
        <v>0</v>
      </c>
      <c r="BW263" s="34">
        <f t="shared" ca="1" si="236"/>
        <v>0</v>
      </c>
      <c r="BX263" s="34">
        <f t="shared" ca="1" si="236"/>
        <v>0</v>
      </c>
      <c r="BY263" s="34">
        <f t="shared" ca="1" si="236"/>
        <v>0</v>
      </c>
      <c r="BZ263" s="34">
        <f t="shared" ca="1" si="236"/>
        <v>0</v>
      </c>
      <c r="CA263" s="34">
        <f t="shared" ca="1" si="236"/>
        <v>0</v>
      </c>
      <c r="CB263" s="34">
        <f t="shared" ca="1" si="236"/>
        <v>0</v>
      </c>
      <c r="CC263" s="34">
        <f t="shared" ca="1" si="236"/>
        <v>0</v>
      </c>
      <c r="CD263" s="34">
        <f t="shared" ca="1" si="236"/>
        <v>0</v>
      </c>
      <c r="CE263" s="34">
        <f t="shared" ca="1" si="236"/>
        <v>0</v>
      </c>
      <c r="CF263" s="34">
        <f t="shared" ca="1" si="237"/>
        <v>0</v>
      </c>
      <c r="CG263" s="34">
        <f t="shared" ca="1" si="237"/>
        <v>0</v>
      </c>
      <c r="CH263" s="34">
        <f t="shared" ca="1" si="237"/>
        <v>0</v>
      </c>
      <c r="CI263" s="34">
        <f t="shared" ca="1" si="237"/>
        <v>0</v>
      </c>
      <c r="CJ263" s="34">
        <f t="shared" ca="1" si="237"/>
        <v>0</v>
      </c>
      <c r="CK263" s="34">
        <f t="shared" ca="1" si="237"/>
        <v>0</v>
      </c>
      <c r="CL263" s="34">
        <f t="shared" ca="1" si="237"/>
        <v>0</v>
      </c>
      <c r="CM263" s="34">
        <f t="shared" ca="1" si="237"/>
        <v>0</v>
      </c>
      <c r="CN263" s="34">
        <f t="shared" ca="1" si="237"/>
        <v>0</v>
      </c>
      <c r="CO263" s="34">
        <f t="shared" ca="1" si="237"/>
        <v>0</v>
      </c>
      <c r="CP263" s="34">
        <f t="shared" ca="1" si="237"/>
        <v>0</v>
      </c>
      <c r="CQ263" s="34">
        <f t="shared" ca="1" si="220"/>
        <v>1278.4462245198606</v>
      </c>
      <c r="CR263" s="363">
        <v>0</v>
      </c>
      <c r="CS263" s="34">
        <f t="shared" ca="1" si="221"/>
        <v>1278.4462245198606</v>
      </c>
      <c r="CT263" s="233"/>
    </row>
    <row r="264" spans="2:98" x14ac:dyDescent="0.3">
      <c r="B264" s="232"/>
      <c r="C264" s="250">
        <f t="shared" si="222"/>
        <v>2048</v>
      </c>
      <c r="D264" s="263">
        <f t="shared" ca="1" si="205"/>
        <v>0</v>
      </c>
      <c r="E264" s="263">
        <f t="shared" ca="1" si="189"/>
        <v>19.176693367797913</v>
      </c>
      <c r="F264" s="263">
        <f t="shared" ca="1" si="190"/>
        <v>0</v>
      </c>
      <c r="G264" s="263">
        <f t="shared" ca="1" si="206"/>
        <v>115.06016020678747</v>
      </c>
      <c r="H264" s="15"/>
      <c r="I264" s="271">
        <f ca="1">Assumptions!O$68</f>
        <v>4.5</v>
      </c>
      <c r="J264" s="271">
        <f ca="1">Assumptions!P$68</f>
        <v>80</v>
      </c>
      <c r="K264" s="271">
        <f t="shared" ca="1" si="191"/>
        <v>40</v>
      </c>
      <c r="L264" s="15"/>
      <c r="M264" s="35">
        <f t="shared" ca="1" si="207"/>
        <v>4.2299999999999995</v>
      </c>
      <c r="N264" s="35">
        <f t="shared" ca="1" si="192"/>
        <v>64</v>
      </c>
      <c r="O264" s="35">
        <f t="shared" ca="1" si="193"/>
        <v>32</v>
      </c>
      <c r="P264" s="15"/>
      <c r="Q264" s="34">
        <f t="shared" ca="1" si="208"/>
        <v>0</v>
      </c>
      <c r="R264" s="34">
        <f t="shared" ca="1" si="208"/>
        <v>1227.3083755390664</v>
      </c>
      <c r="S264" s="34">
        <f t="shared" ca="1" si="208"/>
        <v>0</v>
      </c>
      <c r="T264" s="34">
        <f t="shared" ca="1" si="209"/>
        <v>1227.3083755390664</v>
      </c>
      <c r="U264" s="15"/>
      <c r="V264" s="35">
        <f t="shared" si="210"/>
        <v>0.7</v>
      </c>
      <c r="W264" s="34">
        <f t="shared" ca="1" si="211"/>
        <v>97.626802599698465</v>
      </c>
      <c r="X264" s="35">
        <f t="shared" si="212"/>
        <v>0.222</v>
      </c>
      <c r="Y264" s="34">
        <f t="shared" ca="1" si="213"/>
        <v>30.961643110190085</v>
      </c>
      <c r="Z264" s="35">
        <f t="shared" si="214"/>
        <v>0.34799999999999998</v>
      </c>
      <c r="AA264" s="34">
        <f t="shared" ca="1" si="215"/>
        <v>48.534467578135803</v>
      </c>
      <c r="AB264" s="34">
        <f t="shared" ca="1" si="216"/>
        <v>177.12291328802436</v>
      </c>
      <c r="AC264" s="15"/>
      <c r="AD264" s="34">
        <f t="shared" ca="1" si="217"/>
        <v>1050.1854622510421</v>
      </c>
      <c r="AE264" s="34">
        <f ca="1"/>
        <v>0</v>
      </c>
      <c r="AF264" s="34">
        <f t="shared" ca="1" si="218"/>
        <v>1050.1854622510421</v>
      </c>
      <c r="AG264" s="15"/>
      <c r="AH264" s="272">
        <f t="shared" si="223"/>
        <v>54423</v>
      </c>
      <c r="AI264" s="267">
        <f t="shared" si="194"/>
        <v>34.666666666666664</v>
      </c>
      <c r="AJ264" s="267">
        <f t="shared" si="195"/>
        <v>3.6732761683173049E-2</v>
      </c>
      <c r="AK264" s="34">
        <f t="shared" ca="1" si="224"/>
        <v>38.576212308000457</v>
      </c>
      <c r="AL264" s="233"/>
      <c r="AN264" s="232"/>
      <c r="AO264" s="407">
        <f t="shared" si="238"/>
        <v>35</v>
      </c>
      <c r="AP264" s="34">
        <f t="shared" ca="1" si="238"/>
        <v>0</v>
      </c>
      <c r="AQ264" s="34">
        <f t="shared" ca="1" si="238"/>
        <v>0.30133588580619108</v>
      </c>
      <c r="AR264" s="34">
        <f t="shared" ca="1" si="238"/>
        <v>0</v>
      </c>
      <c r="AS264" s="34">
        <f t="shared" ca="1" si="238"/>
        <v>1.8080153148371465</v>
      </c>
      <c r="AT264" s="15"/>
      <c r="AW264" s="34">
        <f t="shared" ca="1" si="197"/>
        <v>0</v>
      </c>
      <c r="AX264" s="34">
        <f t="shared" ca="1" si="198"/>
        <v>0.24860210579010764</v>
      </c>
      <c r="AY264" s="34">
        <f t="shared" ca="1" si="199"/>
        <v>0</v>
      </c>
      <c r="AZ264" s="34">
        <f t="shared" ca="1" si="200"/>
        <v>1.4916126347406458</v>
      </c>
      <c r="BB264" s="34">
        <f t="shared" ca="1" si="234"/>
        <v>0</v>
      </c>
      <c r="BC264" s="34">
        <f t="shared" ca="1" si="234"/>
        <v>0</v>
      </c>
      <c r="BD264" s="34">
        <f t="shared" ca="1" si="234"/>
        <v>0</v>
      </c>
      <c r="BE264" s="34">
        <f t="shared" ca="1" si="234"/>
        <v>0</v>
      </c>
      <c r="BF264" s="34">
        <f t="shared" ca="1" si="234"/>
        <v>0</v>
      </c>
      <c r="BG264" s="34">
        <f t="shared" ca="1" si="234"/>
        <v>0</v>
      </c>
      <c r="BH264" s="34">
        <f t="shared" ca="1" si="234"/>
        <v>0</v>
      </c>
      <c r="BI264" s="34">
        <f t="shared" ca="1" si="234"/>
        <v>134.09943341436619</v>
      </c>
      <c r="BJ264" s="34">
        <f t="shared" ca="1" si="234"/>
        <v>162.85977701486334</v>
      </c>
      <c r="BK264" s="34">
        <f t="shared" ca="1" si="234"/>
        <v>180.95530779429259</v>
      </c>
      <c r="BL264" s="34">
        <f t="shared" ca="1" si="235"/>
        <v>201.06145310476956</v>
      </c>
      <c r="BM264" s="34">
        <f t="shared" ca="1" si="235"/>
        <v>223.40161456085508</v>
      </c>
      <c r="BN264" s="34">
        <f t="shared" ca="1" si="235"/>
        <v>248.22401617872779</v>
      </c>
      <c r="BO264" s="34">
        <f t="shared" ca="1" si="235"/>
        <v>0</v>
      </c>
      <c r="BP264" s="34">
        <f t="shared" ca="1" si="235"/>
        <v>0</v>
      </c>
      <c r="BQ264" s="34">
        <f t="shared" ca="1" si="235"/>
        <v>0</v>
      </c>
      <c r="BR264" s="34">
        <f t="shared" ca="1" si="235"/>
        <v>0</v>
      </c>
      <c r="BS264" s="34">
        <f t="shared" ca="1" si="235"/>
        <v>0</v>
      </c>
      <c r="BT264" s="34">
        <f t="shared" ca="1" si="235"/>
        <v>0</v>
      </c>
      <c r="BU264" s="34">
        <f t="shared" ca="1" si="235"/>
        <v>0</v>
      </c>
      <c r="BV264" s="34">
        <f t="shared" ca="1" si="236"/>
        <v>0</v>
      </c>
      <c r="BW264" s="34">
        <f t="shared" ca="1" si="236"/>
        <v>0</v>
      </c>
      <c r="BX264" s="34">
        <f t="shared" ca="1" si="236"/>
        <v>0</v>
      </c>
      <c r="BY264" s="34">
        <f t="shared" ca="1" si="236"/>
        <v>0</v>
      </c>
      <c r="BZ264" s="34">
        <f t="shared" ca="1" si="236"/>
        <v>0</v>
      </c>
      <c r="CA264" s="34">
        <f t="shared" ca="1" si="236"/>
        <v>0</v>
      </c>
      <c r="CB264" s="34">
        <f t="shared" ca="1" si="236"/>
        <v>0</v>
      </c>
      <c r="CC264" s="34">
        <f t="shared" ca="1" si="236"/>
        <v>0</v>
      </c>
      <c r="CD264" s="34">
        <f t="shared" ca="1" si="236"/>
        <v>0</v>
      </c>
      <c r="CE264" s="34">
        <f t="shared" ca="1" si="236"/>
        <v>0</v>
      </c>
      <c r="CF264" s="34">
        <f t="shared" ca="1" si="237"/>
        <v>0</v>
      </c>
      <c r="CG264" s="34">
        <f t="shared" ca="1" si="237"/>
        <v>0</v>
      </c>
      <c r="CH264" s="34">
        <f t="shared" ca="1" si="237"/>
        <v>0</v>
      </c>
      <c r="CI264" s="34">
        <f t="shared" ca="1" si="237"/>
        <v>0</v>
      </c>
      <c r="CJ264" s="34">
        <f t="shared" ca="1" si="237"/>
        <v>0</v>
      </c>
      <c r="CK264" s="34">
        <f t="shared" ca="1" si="237"/>
        <v>0</v>
      </c>
      <c r="CL264" s="34">
        <f t="shared" ca="1" si="237"/>
        <v>0</v>
      </c>
      <c r="CM264" s="34">
        <f t="shared" ca="1" si="237"/>
        <v>0</v>
      </c>
      <c r="CN264" s="34">
        <f t="shared" ca="1" si="237"/>
        <v>0</v>
      </c>
      <c r="CO264" s="34">
        <f t="shared" ca="1" si="237"/>
        <v>0</v>
      </c>
      <c r="CP264" s="34">
        <f t="shared" ca="1" si="237"/>
        <v>0</v>
      </c>
      <c r="CQ264" s="34">
        <f t="shared" ca="1" si="220"/>
        <v>1150.6016020678746</v>
      </c>
      <c r="CR264" s="363">
        <v>0</v>
      </c>
      <c r="CS264" s="34">
        <f t="shared" ca="1" si="221"/>
        <v>1150.6016020678746</v>
      </c>
      <c r="CT264" s="233"/>
    </row>
    <row r="265" spans="2:98" x14ac:dyDescent="0.3">
      <c r="B265" s="232"/>
      <c r="C265" s="250">
        <f t="shared" si="222"/>
        <v>2049</v>
      </c>
      <c r="D265" s="263">
        <f t="shared" ca="1" si="205"/>
        <v>0</v>
      </c>
      <c r="E265" s="263">
        <f t="shared" ca="1" si="189"/>
        <v>17.259024031018118</v>
      </c>
      <c r="F265" s="263">
        <f t="shared" ca="1" si="190"/>
        <v>0</v>
      </c>
      <c r="G265" s="263">
        <f t="shared" ca="1" si="206"/>
        <v>103.55414418610872</v>
      </c>
      <c r="H265" s="15"/>
      <c r="I265" s="271">
        <f ca="1">Assumptions!O$68</f>
        <v>4.5</v>
      </c>
      <c r="J265" s="271">
        <f ca="1">Assumptions!P$68</f>
        <v>80</v>
      </c>
      <c r="K265" s="271">
        <f t="shared" ca="1" si="191"/>
        <v>40</v>
      </c>
      <c r="L265" s="15"/>
      <c r="M265" s="35">
        <f t="shared" ca="1" si="207"/>
        <v>4.2299999999999995</v>
      </c>
      <c r="N265" s="35">
        <f t="shared" ca="1" si="192"/>
        <v>64</v>
      </c>
      <c r="O265" s="35">
        <f t="shared" ca="1" si="193"/>
        <v>32</v>
      </c>
      <c r="P265" s="15"/>
      <c r="Q265" s="34">
        <f t="shared" ca="1" si="208"/>
        <v>0</v>
      </c>
      <c r="R265" s="34">
        <f t="shared" ca="1" si="208"/>
        <v>1104.5775379851596</v>
      </c>
      <c r="S265" s="34">
        <f t="shared" ca="1" si="208"/>
        <v>0</v>
      </c>
      <c r="T265" s="34">
        <f t="shared" ca="1" si="209"/>
        <v>1104.5775379851596</v>
      </c>
      <c r="U265" s="15"/>
      <c r="V265" s="35">
        <f t="shared" si="210"/>
        <v>0.7</v>
      </c>
      <c r="W265" s="34">
        <f t="shared" ca="1" si="211"/>
        <v>87.86412233972861</v>
      </c>
      <c r="X265" s="35">
        <f t="shared" si="212"/>
        <v>0.222</v>
      </c>
      <c r="Y265" s="34">
        <f t="shared" ca="1" si="213"/>
        <v>27.865478799171076</v>
      </c>
      <c r="Z265" s="35">
        <f t="shared" si="214"/>
        <v>0.34799999999999998</v>
      </c>
      <c r="AA265" s="34">
        <f t="shared" ca="1" si="215"/>
        <v>43.681020820322225</v>
      </c>
      <c r="AB265" s="34">
        <f t="shared" ca="1" si="216"/>
        <v>159.41062195922191</v>
      </c>
      <c r="AC265" s="15"/>
      <c r="AD265" s="34">
        <f t="shared" ca="1" si="217"/>
        <v>945.16691602593767</v>
      </c>
      <c r="AE265" s="34">
        <f ca="1"/>
        <v>0</v>
      </c>
      <c r="AF265" s="34">
        <f t="shared" ca="1" si="218"/>
        <v>945.16691602593767</v>
      </c>
      <c r="AG265" s="15"/>
      <c r="AH265" s="272">
        <f t="shared" si="223"/>
        <v>54788</v>
      </c>
      <c r="AI265" s="267">
        <f t="shared" si="194"/>
        <v>35.666666666666664</v>
      </c>
      <c r="AJ265" s="267">
        <f t="shared" si="195"/>
        <v>3.3393419711975486E-2</v>
      </c>
      <c r="AK265" s="34">
        <f t="shared" ca="1" si="224"/>
        <v>31.562355524727625</v>
      </c>
      <c r="AL265" s="233"/>
      <c r="AN265" s="232"/>
      <c r="AO265" s="407">
        <f t="shared" si="238"/>
        <v>36</v>
      </c>
      <c r="AP265" s="34">
        <f t="shared" ca="1" si="238"/>
        <v>0</v>
      </c>
      <c r="AQ265" s="34">
        <f t="shared" ca="1" si="238"/>
        <v>0.27120229722557199</v>
      </c>
      <c r="AR265" s="34">
        <f t="shared" ca="1" si="238"/>
        <v>0</v>
      </c>
      <c r="AS265" s="34">
        <f t="shared" ca="1" si="238"/>
        <v>1.6272137833534319</v>
      </c>
      <c r="AT265" s="15"/>
      <c r="AW265" s="34">
        <f t="shared" ca="1" si="197"/>
        <v>0</v>
      </c>
      <c r="AX265" s="34">
        <f t="shared" ca="1" si="198"/>
        <v>0.22374189521109689</v>
      </c>
      <c r="AY265" s="34">
        <f t="shared" ca="1" si="199"/>
        <v>0</v>
      </c>
      <c r="AZ265" s="34">
        <f t="shared" ca="1" si="200"/>
        <v>1.3424513712665813</v>
      </c>
      <c r="BB265" s="34">
        <f t="shared" ca="1" si="234"/>
        <v>0</v>
      </c>
      <c r="BC265" s="34">
        <f t="shared" ca="1" si="234"/>
        <v>0</v>
      </c>
      <c r="BD265" s="34">
        <f t="shared" ca="1" si="234"/>
        <v>0</v>
      </c>
      <c r="BE265" s="34">
        <f t="shared" ca="1" si="234"/>
        <v>0</v>
      </c>
      <c r="BF265" s="34">
        <f t="shared" ca="1" si="234"/>
        <v>0</v>
      </c>
      <c r="BG265" s="34">
        <f t="shared" ca="1" si="234"/>
        <v>0</v>
      </c>
      <c r="BH265" s="34">
        <f t="shared" ca="1" si="234"/>
        <v>0</v>
      </c>
      <c r="BI265" s="34">
        <f t="shared" ca="1" si="234"/>
        <v>120.68949007292957</v>
      </c>
      <c r="BJ265" s="34">
        <f t="shared" ca="1" si="234"/>
        <v>146.57379931337701</v>
      </c>
      <c r="BK265" s="34">
        <f t="shared" ca="1" si="234"/>
        <v>162.85977701486334</v>
      </c>
      <c r="BL265" s="34">
        <f t="shared" ca="1" si="235"/>
        <v>180.95530779429259</v>
      </c>
      <c r="BM265" s="34">
        <f t="shared" ca="1" si="235"/>
        <v>201.06145310476956</v>
      </c>
      <c r="BN265" s="34">
        <f t="shared" ca="1" si="235"/>
        <v>223.40161456085508</v>
      </c>
      <c r="BO265" s="34">
        <f t="shared" ca="1" si="235"/>
        <v>0</v>
      </c>
      <c r="BP265" s="34">
        <f t="shared" ca="1" si="235"/>
        <v>0</v>
      </c>
      <c r="BQ265" s="34">
        <f t="shared" ca="1" si="235"/>
        <v>0</v>
      </c>
      <c r="BR265" s="34">
        <f t="shared" ca="1" si="235"/>
        <v>0</v>
      </c>
      <c r="BS265" s="34">
        <f t="shared" ca="1" si="235"/>
        <v>0</v>
      </c>
      <c r="BT265" s="34">
        <f t="shared" ca="1" si="235"/>
        <v>0</v>
      </c>
      <c r="BU265" s="34">
        <f t="shared" ca="1" si="235"/>
        <v>0</v>
      </c>
      <c r="BV265" s="34">
        <f t="shared" ca="1" si="236"/>
        <v>0</v>
      </c>
      <c r="BW265" s="34">
        <f t="shared" ca="1" si="236"/>
        <v>0</v>
      </c>
      <c r="BX265" s="34">
        <f t="shared" ca="1" si="236"/>
        <v>0</v>
      </c>
      <c r="BY265" s="34">
        <f t="shared" ca="1" si="236"/>
        <v>0</v>
      </c>
      <c r="BZ265" s="34">
        <f t="shared" ca="1" si="236"/>
        <v>0</v>
      </c>
      <c r="CA265" s="34">
        <f t="shared" ca="1" si="236"/>
        <v>0</v>
      </c>
      <c r="CB265" s="34">
        <f t="shared" ca="1" si="236"/>
        <v>0</v>
      </c>
      <c r="CC265" s="34">
        <f t="shared" ca="1" si="236"/>
        <v>0</v>
      </c>
      <c r="CD265" s="34">
        <f t="shared" ca="1" si="236"/>
        <v>0</v>
      </c>
      <c r="CE265" s="34">
        <f t="shared" ca="1" si="236"/>
        <v>0</v>
      </c>
      <c r="CF265" s="34">
        <f t="shared" ca="1" si="237"/>
        <v>0</v>
      </c>
      <c r="CG265" s="34">
        <f t="shared" ca="1" si="237"/>
        <v>0</v>
      </c>
      <c r="CH265" s="34">
        <f t="shared" ca="1" si="237"/>
        <v>0</v>
      </c>
      <c r="CI265" s="34">
        <f t="shared" ca="1" si="237"/>
        <v>0</v>
      </c>
      <c r="CJ265" s="34">
        <f t="shared" ca="1" si="237"/>
        <v>0</v>
      </c>
      <c r="CK265" s="34">
        <f t="shared" ca="1" si="237"/>
        <v>0</v>
      </c>
      <c r="CL265" s="34">
        <f t="shared" ca="1" si="237"/>
        <v>0</v>
      </c>
      <c r="CM265" s="34">
        <f t="shared" ca="1" si="237"/>
        <v>0</v>
      </c>
      <c r="CN265" s="34">
        <f t="shared" ca="1" si="237"/>
        <v>0</v>
      </c>
      <c r="CO265" s="34">
        <f t="shared" ca="1" si="237"/>
        <v>0</v>
      </c>
      <c r="CP265" s="34">
        <f t="shared" ca="1" si="237"/>
        <v>0</v>
      </c>
      <c r="CQ265" s="34">
        <f t="shared" ca="1" si="220"/>
        <v>1035.5414418610872</v>
      </c>
      <c r="CR265" s="363">
        <v>0</v>
      </c>
      <c r="CS265" s="34">
        <f t="shared" ca="1" si="221"/>
        <v>1035.5414418610872</v>
      </c>
      <c r="CT265" s="233"/>
    </row>
    <row r="266" spans="2:98" x14ac:dyDescent="0.3">
      <c r="B266" s="232"/>
      <c r="C266" s="250">
        <f t="shared" si="222"/>
        <v>2050</v>
      </c>
      <c r="D266" s="263">
        <f t="shared" ca="1" si="205"/>
        <v>0</v>
      </c>
      <c r="E266" s="263">
        <f t="shared" ca="1" si="189"/>
        <v>15.533121627916309</v>
      </c>
      <c r="F266" s="263">
        <f t="shared" ca="1" si="190"/>
        <v>0</v>
      </c>
      <c r="G266" s="263">
        <f t="shared" ca="1" si="206"/>
        <v>93.198729767497852</v>
      </c>
      <c r="H266" s="15"/>
      <c r="I266" s="271">
        <f ca="1">Assumptions!O$68</f>
        <v>4.5</v>
      </c>
      <c r="J266" s="271">
        <f ca="1">Assumptions!P$68</f>
        <v>80</v>
      </c>
      <c r="K266" s="271">
        <f t="shared" ca="1" si="191"/>
        <v>40</v>
      </c>
      <c r="L266" s="15"/>
      <c r="M266" s="35">
        <f t="shared" ca="1" si="207"/>
        <v>4.2299999999999995</v>
      </c>
      <c r="N266" s="35">
        <f t="shared" ca="1" si="192"/>
        <v>64</v>
      </c>
      <c r="O266" s="35">
        <f t="shared" ca="1" si="193"/>
        <v>32</v>
      </c>
      <c r="P266" s="15"/>
      <c r="Q266" s="34">
        <f t="shared" ca="1" si="208"/>
        <v>0</v>
      </c>
      <c r="R266" s="34">
        <f t="shared" ca="1" si="208"/>
        <v>994.11978418664376</v>
      </c>
      <c r="S266" s="34">
        <f t="shared" ca="1" si="208"/>
        <v>0</v>
      </c>
      <c r="T266" s="34">
        <f t="shared" ca="1" si="209"/>
        <v>994.11978418664376</v>
      </c>
      <c r="U266" s="15"/>
      <c r="V266" s="35">
        <f t="shared" si="210"/>
        <v>0.7</v>
      </c>
      <c r="W266" s="34">
        <f t="shared" ca="1" si="211"/>
        <v>79.077710105755756</v>
      </c>
      <c r="X266" s="35">
        <f t="shared" si="212"/>
        <v>0.222</v>
      </c>
      <c r="Y266" s="34">
        <f t="shared" ca="1" si="213"/>
        <v>25.07893091925397</v>
      </c>
      <c r="Z266" s="35">
        <f t="shared" si="214"/>
        <v>0.34799999999999998</v>
      </c>
      <c r="AA266" s="34">
        <f t="shared" ca="1" si="215"/>
        <v>39.312918738290001</v>
      </c>
      <c r="AB266" s="34">
        <f t="shared" ca="1" si="216"/>
        <v>143.46955976329971</v>
      </c>
      <c r="AC266" s="15"/>
      <c r="AD266" s="34">
        <f t="shared" ca="1" si="217"/>
        <v>850.65022442334407</v>
      </c>
      <c r="AE266" s="34">
        <f ca="1"/>
        <v>0</v>
      </c>
      <c r="AF266" s="34">
        <f t="shared" ca="1" si="218"/>
        <v>850.65022442334407</v>
      </c>
      <c r="AG266" s="15"/>
      <c r="AH266" s="272">
        <f t="shared" si="223"/>
        <v>55153</v>
      </c>
      <c r="AI266" s="267">
        <f t="shared" si="194"/>
        <v>36.666666666666664</v>
      </c>
      <c r="AJ266" s="267">
        <f t="shared" si="195"/>
        <v>3.0357654283614078E-2</v>
      </c>
      <c r="AK266" s="34">
        <f t="shared" ca="1" si="224"/>
        <v>25.823745429322607</v>
      </c>
      <c r="AL266" s="233"/>
      <c r="AN266" s="232"/>
      <c r="AO266" s="407">
        <f t="shared" si="238"/>
        <v>37</v>
      </c>
      <c r="AP266" s="34">
        <f t="shared" ca="1" si="238"/>
        <v>0</v>
      </c>
      <c r="AQ266" s="34">
        <f t="shared" ca="1" si="238"/>
        <v>0.24408206750301478</v>
      </c>
      <c r="AR266" s="34">
        <f t="shared" ca="1" si="238"/>
        <v>0</v>
      </c>
      <c r="AS266" s="34">
        <f t="shared" ca="1" si="238"/>
        <v>1.4644924050180887</v>
      </c>
      <c r="AT266" s="15"/>
      <c r="AW266" s="34">
        <f t="shared" ca="1" si="197"/>
        <v>0</v>
      </c>
      <c r="AX266" s="34">
        <f t="shared" ca="1" si="198"/>
        <v>0.20136770568998719</v>
      </c>
      <c r="AY266" s="34">
        <f t="shared" ca="1" si="199"/>
        <v>0</v>
      </c>
      <c r="AZ266" s="34">
        <f t="shared" ca="1" si="200"/>
        <v>1.2082062341399231</v>
      </c>
      <c r="BB266" s="34">
        <f t="shared" ca="1" si="234"/>
        <v>0</v>
      </c>
      <c r="BC266" s="34">
        <f t="shared" ca="1" si="234"/>
        <v>0</v>
      </c>
      <c r="BD266" s="34">
        <f t="shared" ca="1" si="234"/>
        <v>0</v>
      </c>
      <c r="BE266" s="34">
        <f t="shared" ca="1" si="234"/>
        <v>0</v>
      </c>
      <c r="BF266" s="34">
        <f t="shared" ca="1" si="234"/>
        <v>0</v>
      </c>
      <c r="BG266" s="34">
        <f t="shared" ca="1" si="234"/>
        <v>0</v>
      </c>
      <c r="BH266" s="34">
        <f t="shared" ca="1" si="234"/>
        <v>0</v>
      </c>
      <c r="BI266" s="34">
        <f t="shared" ca="1" si="234"/>
        <v>108.62054106563663</v>
      </c>
      <c r="BJ266" s="34">
        <f t="shared" ca="1" si="234"/>
        <v>131.91641938203929</v>
      </c>
      <c r="BK266" s="34">
        <f t="shared" ca="1" si="234"/>
        <v>146.57379931337701</v>
      </c>
      <c r="BL266" s="34">
        <f t="shared" ca="1" si="235"/>
        <v>162.85977701486334</v>
      </c>
      <c r="BM266" s="34">
        <f t="shared" ca="1" si="235"/>
        <v>180.95530779429259</v>
      </c>
      <c r="BN266" s="34">
        <f t="shared" ca="1" si="235"/>
        <v>201.06145310476956</v>
      </c>
      <c r="BO266" s="34">
        <f t="shared" ca="1" si="235"/>
        <v>0</v>
      </c>
      <c r="BP266" s="34">
        <f t="shared" ca="1" si="235"/>
        <v>0</v>
      </c>
      <c r="BQ266" s="34">
        <f t="shared" ca="1" si="235"/>
        <v>0</v>
      </c>
      <c r="BR266" s="34">
        <f t="shared" ca="1" si="235"/>
        <v>0</v>
      </c>
      <c r="BS266" s="34">
        <f t="shared" ca="1" si="235"/>
        <v>0</v>
      </c>
      <c r="BT266" s="34">
        <f t="shared" ca="1" si="235"/>
        <v>0</v>
      </c>
      <c r="BU266" s="34">
        <f t="shared" ca="1" si="235"/>
        <v>0</v>
      </c>
      <c r="BV266" s="34">
        <f t="shared" ca="1" si="236"/>
        <v>0</v>
      </c>
      <c r="BW266" s="34">
        <f t="shared" ca="1" si="236"/>
        <v>0</v>
      </c>
      <c r="BX266" s="34">
        <f t="shared" ca="1" si="236"/>
        <v>0</v>
      </c>
      <c r="BY266" s="34">
        <f t="shared" ca="1" si="236"/>
        <v>0</v>
      </c>
      <c r="BZ266" s="34">
        <f t="shared" ca="1" si="236"/>
        <v>0</v>
      </c>
      <c r="CA266" s="34">
        <f t="shared" ca="1" si="236"/>
        <v>0</v>
      </c>
      <c r="CB266" s="34">
        <f t="shared" ca="1" si="236"/>
        <v>0</v>
      </c>
      <c r="CC266" s="34">
        <f t="shared" ca="1" si="236"/>
        <v>0</v>
      </c>
      <c r="CD266" s="34">
        <f t="shared" ca="1" si="236"/>
        <v>0</v>
      </c>
      <c r="CE266" s="34">
        <f t="shared" ca="1" si="236"/>
        <v>0</v>
      </c>
      <c r="CF266" s="34">
        <f t="shared" ca="1" si="237"/>
        <v>0</v>
      </c>
      <c r="CG266" s="34">
        <f t="shared" ca="1" si="237"/>
        <v>0</v>
      </c>
      <c r="CH266" s="34">
        <f t="shared" ca="1" si="237"/>
        <v>0</v>
      </c>
      <c r="CI266" s="34">
        <f t="shared" ca="1" si="237"/>
        <v>0</v>
      </c>
      <c r="CJ266" s="34">
        <f t="shared" ca="1" si="237"/>
        <v>0</v>
      </c>
      <c r="CK266" s="34">
        <f t="shared" ca="1" si="237"/>
        <v>0</v>
      </c>
      <c r="CL266" s="34">
        <f t="shared" ca="1" si="237"/>
        <v>0</v>
      </c>
      <c r="CM266" s="34">
        <f t="shared" ca="1" si="237"/>
        <v>0</v>
      </c>
      <c r="CN266" s="34">
        <f t="shared" ca="1" si="237"/>
        <v>0</v>
      </c>
      <c r="CO266" s="34">
        <f t="shared" ca="1" si="237"/>
        <v>0</v>
      </c>
      <c r="CP266" s="34">
        <f t="shared" ca="1" si="237"/>
        <v>0</v>
      </c>
      <c r="CQ266" s="34">
        <f t="shared" ca="1" si="220"/>
        <v>931.98729767497844</v>
      </c>
      <c r="CR266" s="363">
        <v>0</v>
      </c>
      <c r="CS266" s="34">
        <f t="shared" ca="1" si="221"/>
        <v>931.98729767497844</v>
      </c>
      <c r="CT266" s="233"/>
    </row>
    <row r="267" spans="2:98" x14ac:dyDescent="0.3">
      <c r="B267" s="232"/>
      <c r="C267" s="250">
        <f t="shared" si="222"/>
        <v>2051</v>
      </c>
      <c r="D267" s="263">
        <f t="shared" ca="1" si="205"/>
        <v>0</v>
      </c>
      <c r="E267" s="263">
        <f t="shared" ca="1" si="189"/>
        <v>13.979809465124676</v>
      </c>
      <c r="F267" s="263">
        <f t="shared" ca="1" si="190"/>
        <v>0</v>
      </c>
      <c r="G267" s="263">
        <f t="shared" ca="1" si="206"/>
        <v>83.87885679074806</v>
      </c>
      <c r="H267" s="15"/>
      <c r="I267" s="271">
        <f ca="1">Assumptions!O$68</f>
        <v>4.5</v>
      </c>
      <c r="J267" s="271">
        <f ca="1">Assumptions!P$68</f>
        <v>80</v>
      </c>
      <c r="K267" s="271">
        <f t="shared" ca="1" si="191"/>
        <v>40</v>
      </c>
      <c r="L267" s="15"/>
      <c r="M267" s="35">
        <f t="shared" ca="1" si="207"/>
        <v>4.2299999999999995</v>
      </c>
      <c r="N267" s="35">
        <f t="shared" ca="1" si="192"/>
        <v>64</v>
      </c>
      <c r="O267" s="35">
        <f t="shared" ca="1" si="193"/>
        <v>32</v>
      </c>
      <c r="P267" s="15"/>
      <c r="Q267" s="34">
        <f t="shared" ca="1" si="208"/>
        <v>0</v>
      </c>
      <c r="R267" s="34">
        <f t="shared" ca="1" si="208"/>
        <v>894.70780576797927</v>
      </c>
      <c r="S267" s="34">
        <f t="shared" ca="1" si="208"/>
        <v>0</v>
      </c>
      <c r="T267" s="34">
        <f t="shared" ca="1" si="209"/>
        <v>894.70780576797927</v>
      </c>
      <c r="U267" s="15"/>
      <c r="V267" s="35">
        <f t="shared" si="210"/>
        <v>0.7</v>
      </c>
      <c r="W267" s="34">
        <f t="shared" ca="1" si="211"/>
        <v>71.169939095180169</v>
      </c>
      <c r="X267" s="35">
        <f t="shared" si="212"/>
        <v>0.222</v>
      </c>
      <c r="Y267" s="34">
        <f t="shared" ca="1" si="213"/>
        <v>22.571037827328571</v>
      </c>
      <c r="Z267" s="35">
        <f t="shared" si="214"/>
        <v>0.34799999999999998</v>
      </c>
      <c r="AA267" s="34">
        <f t="shared" ca="1" si="215"/>
        <v>35.381626864460998</v>
      </c>
      <c r="AB267" s="34">
        <f t="shared" ca="1" si="216"/>
        <v>129.12260378696973</v>
      </c>
      <c r="AC267" s="15"/>
      <c r="AD267" s="34">
        <f t="shared" ca="1" si="217"/>
        <v>765.5852019810095</v>
      </c>
      <c r="AE267" s="34">
        <f ca="1"/>
        <v>0</v>
      </c>
      <c r="AF267" s="34">
        <f t="shared" ca="1" si="218"/>
        <v>765.5852019810095</v>
      </c>
      <c r="AG267" s="15"/>
      <c r="AH267" s="272">
        <f t="shared" si="223"/>
        <v>55518</v>
      </c>
      <c r="AI267" s="267">
        <f t="shared" si="194"/>
        <v>37.666666666666664</v>
      </c>
      <c r="AJ267" s="267">
        <f t="shared" si="195"/>
        <v>2.7597867530558259E-2</v>
      </c>
      <c r="AK267" s="34">
        <f t="shared" ca="1" si="224"/>
        <v>21.12851898762759</v>
      </c>
      <c r="AL267" s="233"/>
      <c r="AN267" s="232"/>
      <c r="AO267" s="408">
        <f t="shared" si="238"/>
        <v>38</v>
      </c>
      <c r="AP267" s="34">
        <f t="shared" ca="1" si="238"/>
        <v>0</v>
      </c>
      <c r="AQ267" s="34">
        <f t="shared" ca="1" si="238"/>
        <v>0.21967386075271333</v>
      </c>
      <c r="AR267" s="34">
        <f t="shared" ca="1" si="238"/>
        <v>0</v>
      </c>
      <c r="AS267" s="34">
        <f t="shared" ca="1" si="238"/>
        <v>1.31804316451628</v>
      </c>
      <c r="AT267" s="15"/>
      <c r="AW267" s="34">
        <f t="shared" ca="1" si="197"/>
        <v>0</v>
      </c>
      <c r="AX267" s="34">
        <f t="shared" ca="1" si="198"/>
        <v>0.18123093512098848</v>
      </c>
      <c r="AY267" s="34">
        <f t="shared" ca="1" si="199"/>
        <v>0</v>
      </c>
      <c r="AZ267" s="34">
        <f t="shared" ca="1" si="200"/>
        <v>1.087385610725931</v>
      </c>
      <c r="BB267" s="34">
        <f t="shared" ca="1" si="234"/>
        <v>0</v>
      </c>
      <c r="BC267" s="34">
        <f t="shared" ca="1" si="234"/>
        <v>0</v>
      </c>
      <c r="BD267" s="34">
        <f t="shared" ca="1" si="234"/>
        <v>0</v>
      </c>
      <c r="BE267" s="34">
        <f t="shared" ca="1" si="234"/>
        <v>0</v>
      </c>
      <c r="BF267" s="34">
        <f t="shared" ca="1" si="234"/>
        <v>0</v>
      </c>
      <c r="BG267" s="34">
        <f t="shared" ca="1" si="234"/>
        <v>0</v>
      </c>
      <c r="BH267" s="34">
        <f t="shared" ca="1" si="234"/>
        <v>0</v>
      </c>
      <c r="BI267" s="34">
        <f t="shared" ca="1" si="234"/>
        <v>97.758486959072954</v>
      </c>
      <c r="BJ267" s="34">
        <f t="shared" ca="1" si="234"/>
        <v>118.72477744383538</v>
      </c>
      <c r="BK267" s="34">
        <f t="shared" ca="1" si="234"/>
        <v>131.91641938203929</v>
      </c>
      <c r="BL267" s="34">
        <f t="shared" ca="1" si="235"/>
        <v>146.57379931337701</v>
      </c>
      <c r="BM267" s="34">
        <f t="shared" ca="1" si="235"/>
        <v>162.85977701486334</v>
      </c>
      <c r="BN267" s="34">
        <f t="shared" ca="1" si="235"/>
        <v>180.95530779429259</v>
      </c>
      <c r="BO267" s="34">
        <f t="shared" ca="1" si="235"/>
        <v>0</v>
      </c>
      <c r="BP267" s="34">
        <f t="shared" ca="1" si="235"/>
        <v>0</v>
      </c>
      <c r="BQ267" s="34">
        <f t="shared" ca="1" si="235"/>
        <v>0</v>
      </c>
      <c r="BR267" s="34">
        <f t="shared" ca="1" si="235"/>
        <v>0</v>
      </c>
      <c r="BS267" s="34">
        <f t="shared" ca="1" si="235"/>
        <v>0</v>
      </c>
      <c r="BT267" s="34">
        <f t="shared" ca="1" si="235"/>
        <v>0</v>
      </c>
      <c r="BU267" s="34">
        <f t="shared" ca="1" si="235"/>
        <v>0</v>
      </c>
      <c r="BV267" s="34">
        <f t="shared" ca="1" si="236"/>
        <v>0</v>
      </c>
      <c r="BW267" s="34">
        <f t="shared" ca="1" si="236"/>
        <v>0</v>
      </c>
      <c r="BX267" s="34">
        <f t="shared" ca="1" si="236"/>
        <v>0</v>
      </c>
      <c r="BY267" s="34">
        <f t="shared" ca="1" si="236"/>
        <v>0</v>
      </c>
      <c r="BZ267" s="34">
        <f t="shared" ca="1" si="236"/>
        <v>0</v>
      </c>
      <c r="CA267" s="34">
        <f t="shared" ca="1" si="236"/>
        <v>0</v>
      </c>
      <c r="CB267" s="34">
        <f t="shared" ca="1" si="236"/>
        <v>0</v>
      </c>
      <c r="CC267" s="34">
        <f t="shared" ca="1" si="236"/>
        <v>0</v>
      </c>
      <c r="CD267" s="34">
        <f t="shared" ca="1" si="236"/>
        <v>0</v>
      </c>
      <c r="CE267" s="34">
        <f t="shared" ca="1" si="236"/>
        <v>0</v>
      </c>
      <c r="CF267" s="34">
        <f t="shared" ca="1" si="237"/>
        <v>0</v>
      </c>
      <c r="CG267" s="34">
        <f t="shared" ca="1" si="237"/>
        <v>0</v>
      </c>
      <c r="CH267" s="34">
        <f t="shared" ca="1" si="237"/>
        <v>0</v>
      </c>
      <c r="CI267" s="34">
        <f t="shared" ca="1" si="237"/>
        <v>0</v>
      </c>
      <c r="CJ267" s="34">
        <f t="shared" ca="1" si="237"/>
        <v>0</v>
      </c>
      <c r="CK267" s="34">
        <f t="shared" ca="1" si="237"/>
        <v>0</v>
      </c>
      <c r="CL267" s="34">
        <f t="shared" ca="1" si="237"/>
        <v>0</v>
      </c>
      <c r="CM267" s="34">
        <f t="shared" ca="1" si="237"/>
        <v>0</v>
      </c>
      <c r="CN267" s="34">
        <f t="shared" ca="1" si="237"/>
        <v>0</v>
      </c>
      <c r="CO267" s="34">
        <f t="shared" ca="1" si="237"/>
        <v>0</v>
      </c>
      <c r="CP267" s="34">
        <f t="shared" ca="1" si="237"/>
        <v>0</v>
      </c>
      <c r="CQ267" s="34">
        <f t="shared" ca="1" si="220"/>
        <v>838.78856790748057</v>
      </c>
      <c r="CR267" s="363">
        <v>0</v>
      </c>
      <c r="CS267" s="34">
        <f t="shared" ca="1" si="221"/>
        <v>838.78856790748057</v>
      </c>
      <c r="CT267" s="233"/>
    </row>
    <row r="268" spans="2:98" x14ac:dyDescent="0.3">
      <c r="B268" s="232"/>
      <c r="C268" s="250">
        <f t="shared" si="222"/>
        <v>2052</v>
      </c>
      <c r="D268" s="263">
        <f t="shared" ca="1" si="205"/>
        <v>0</v>
      </c>
      <c r="E268" s="263">
        <f t="shared" ca="1" si="189"/>
        <v>12.581828518612211</v>
      </c>
      <c r="F268" s="263">
        <f t="shared" ca="1" si="190"/>
        <v>0</v>
      </c>
      <c r="G268" s="263">
        <f t="shared" ca="1" si="206"/>
        <v>75.490971111673261</v>
      </c>
      <c r="H268" s="15"/>
      <c r="I268" s="271">
        <f ca="1">Assumptions!O$68</f>
        <v>4.5</v>
      </c>
      <c r="J268" s="271">
        <f ca="1">Assumptions!P$68</f>
        <v>80</v>
      </c>
      <c r="K268" s="271">
        <f t="shared" ca="1" si="191"/>
        <v>40</v>
      </c>
      <c r="L268" s="15"/>
      <c r="M268" s="35">
        <f t="shared" ca="1" si="207"/>
        <v>4.2299999999999995</v>
      </c>
      <c r="N268" s="35">
        <f t="shared" ca="1" si="192"/>
        <v>64</v>
      </c>
      <c r="O268" s="35">
        <f t="shared" ca="1" si="193"/>
        <v>32</v>
      </c>
      <c r="P268" s="15"/>
      <c r="Q268" s="34">
        <f t="shared" ca="1" si="208"/>
        <v>0</v>
      </c>
      <c r="R268" s="34">
        <f t="shared" ca="1" si="208"/>
        <v>805.23702519118149</v>
      </c>
      <c r="S268" s="34">
        <f t="shared" ca="1" si="208"/>
        <v>0</v>
      </c>
      <c r="T268" s="34">
        <f t="shared" ca="1" si="209"/>
        <v>805.23702519118149</v>
      </c>
      <c r="U268" s="15"/>
      <c r="V268" s="35">
        <f t="shared" si="210"/>
        <v>0.7</v>
      </c>
      <c r="W268" s="34">
        <f ca="1">V268*$G268/(1-$M$6)</f>
        <v>64.052945185662153</v>
      </c>
      <c r="X268" s="35">
        <f t="shared" si="212"/>
        <v>0.222</v>
      </c>
      <c r="Y268" s="34">
        <f t="shared" ca="1" si="213"/>
        <v>20.313934044595715</v>
      </c>
      <c r="Z268" s="35">
        <f t="shared" si="214"/>
        <v>0.34799999999999998</v>
      </c>
      <c r="AA268" s="34">
        <f t="shared" ca="1" si="215"/>
        <v>31.843464178014901</v>
      </c>
      <c r="AB268" s="34">
        <f t="shared" ca="1" si="216"/>
        <v>116.21034340827276</v>
      </c>
      <c r="AC268" s="15"/>
      <c r="AD268" s="34">
        <f t="shared" ca="1" si="217"/>
        <v>689.02668178290878</v>
      </c>
      <c r="AE268" s="34">
        <f ca="1"/>
        <v>0</v>
      </c>
      <c r="AF268" s="34">
        <f t="shared" ca="1" si="218"/>
        <v>689.02668178290878</v>
      </c>
      <c r="AG268" s="15"/>
      <c r="AH268" s="272">
        <f t="shared" si="223"/>
        <v>55884</v>
      </c>
      <c r="AI268" s="267">
        <f t="shared" si="194"/>
        <v>38.666666666666664</v>
      </c>
      <c r="AJ268" s="267">
        <f t="shared" si="195"/>
        <v>2.5088970482325681E-2</v>
      </c>
      <c r="AK268" s="34">
        <f t="shared" ca="1" si="224"/>
        <v>17.286970080786208</v>
      </c>
      <c r="AL268" s="233"/>
      <c r="AN268" s="232"/>
      <c r="AO268" s="408">
        <f t="shared" si="238"/>
        <v>39</v>
      </c>
      <c r="AP268" s="34">
        <f t="shared" ca="1" si="238"/>
        <v>0</v>
      </c>
      <c r="AQ268" s="34">
        <f t="shared" ca="1" si="238"/>
        <v>0.19770647467744198</v>
      </c>
      <c r="AR268" s="34">
        <f t="shared" ca="1" si="238"/>
        <v>0</v>
      </c>
      <c r="AS268" s="34">
        <f t="shared" ca="1" si="238"/>
        <v>1.186238848064652</v>
      </c>
      <c r="AT268" s="15"/>
      <c r="AW268" s="34">
        <f t="shared" ca="1" si="197"/>
        <v>0</v>
      </c>
      <c r="AX268" s="34">
        <f t="shared" ca="1" si="198"/>
        <v>0.16310784160888964</v>
      </c>
      <c r="AY268" s="34">
        <f t="shared" ca="1" si="199"/>
        <v>0</v>
      </c>
      <c r="AZ268" s="34">
        <f t="shared" ca="1" si="200"/>
        <v>0.97864704965333782</v>
      </c>
      <c r="BB268" s="34">
        <f t="shared" ca="1" si="234"/>
        <v>0</v>
      </c>
      <c r="BC268" s="34">
        <f t="shared" ca="1" si="234"/>
        <v>0</v>
      </c>
      <c r="BD268" s="34">
        <f t="shared" ca="1" si="234"/>
        <v>0</v>
      </c>
      <c r="BE268" s="34">
        <f t="shared" ca="1" si="234"/>
        <v>0</v>
      </c>
      <c r="BF268" s="34">
        <f t="shared" ca="1" si="234"/>
        <v>0</v>
      </c>
      <c r="BG268" s="34">
        <f t="shared" ca="1" si="234"/>
        <v>0</v>
      </c>
      <c r="BH268" s="34">
        <f t="shared" ca="1" si="234"/>
        <v>0</v>
      </c>
      <c r="BI268" s="34">
        <f t="shared" ca="1" si="234"/>
        <v>87.982638263165668</v>
      </c>
      <c r="BJ268" s="34">
        <f t="shared" ca="1" si="234"/>
        <v>106.85229969945183</v>
      </c>
      <c r="BK268" s="34">
        <f t="shared" ca="1" si="234"/>
        <v>118.72477744383538</v>
      </c>
      <c r="BL268" s="34">
        <f t="shared" ca="1" si="235"/>
        <v>131.91641938203929</v>
      </c>
      <c r="BM268" s="34">
        <f t="shared" ca="1" si="235"/>
        <v>146.57379931337701</v>
      </c>
      <c r="BN268" s="34">
        <f t="shared" ca="1" si="235"/>
        <v>162.85977701486334</v>
      </c>
      <c r="BO268" s="34">
        <f t="shared" ca="1" si="235"/>
        <v>0</v>
      </c>
      <c r="BP268" s="34">
        <f t="shared" ca="1" si="235"/>
        <v>0</v>
      </c>
      <c r="BQ268" s="34">
        <f t="shared" ca="1" si="235"/>
        <v>0</v>
      </c>
      <c r="BR268" s="34">
        <f t="shared" ca="1" si="235"/>
        <v>0</v>
      </c>
      <c r="BS268" s="34">
        <f t="shared" ca="1" si="235"/>
        <v>0</v>
      </c>
      <c r="BT268" s="34">
        <f t="shared" ca="1" si="235"/>
        <v>0</v>
      </c>
      <c r="BU268" s="34">
        <f t="shared" ca="1" si="235"/>
        <v>0</v>
      </c>
      <c r="BV268" s="34">
        <f t="shared" ca="1" si="236"/>
        <v>0</v>
      </c>
      <c r="BW268" s="34">
        <f t="shared" ca="1" si="236"/>
        <v>0</v>
      </c>
      <c r="BX268" s="34">
        <f t="shared" ca="1" si="236"/>
        <v>0</v>
      </c>
      <c r="BY268" s="34">
        <f t="shared" ca="1" si="236"/>
        <v>0</v>
      </c>
      <c r="BZ268" s="34">
        <f t="shared" ca="1" si="236"/>
        <v>0</v>
      </c>
      <c r="CA268" s="34">
        <f t="shared" ca="1" si="236"/>
        <v>0</v>
      </c>
      <c r="CB268" s="34">
        <f t="shared" ca="1" si="236"/>
        <v>0</v>
      </c>
      <c r="CC268" s="34">
        <f t="shared" ca="1" si="236"/>
        <v>0</v>
      </c>
      <c r="CD268" s="34">
        <f t="shared" ca="1" si="236"/>
        <v>0</v>
      </c>
      <c r="CE268" s="34">
        <f t="shared" ca="1" si="236"/>
        <v>0</v>
      </c>
      <c r="CF268" s="34">
        <f t="shared" ca="1" si="237"/>
        <v>0</v>
      </c>
      <c r="CG268" s="34">
        <f t="shared" ca="1" si="237"/>
        <v>0</v>
      </c>
      <c r="CH268" s="34">
        <f t="shared" ca="1" si="237"/>
        <v>0</v>
      </c>
      <c r="CI268" s="34">
        <f t="shared" ca="1" si="237"/>
        <v>0</v>
      </c>
      <c r="CJ268" s="34">
        <f t="shared" ca="1" si="237"/>
        <v>0</v>
      </c>
      <c r="CK268" s="34">
        <f t="shared" ca="1" si="237"/>
        <v>0</v>
      </c>
      <c r="CL268" s="34">
        <f t="shared" ca="1" si="237"/>
        <v>0</v>
      </c>
      <c r="CM268" s="34">
        <f t="shared" ca="1" si="237"/>
        <v>0</v>
      </c>
      <c r="CN268" s="34">
        <f t="shared" ca="1" si="237"/>
        <v>0</v>
      </c>
      <c r="CO268" s="34">
        <f t="shared" ca="1" si="237"/>
        <v>0</v>
      </c>
      <c r="CP268" s="34">
        <f t="shared" ca="1" si="237"/>
        <v>0</v>
      </c>
      <c r="CQ268" s="34">
        <f t="shared" ca="1" si="220"/>
        <v>754.90971111673252</v>
      </c>
      <c r="CR268" s="363">
        <v>0</v>
      </c>
      <c r="CS268" s="34">
        <f t="shared" ca="1" si="221"/>
        <v>754.90971111673252</v>
      </c>
      <c r="CT268" s="233"/>
    </row>
    <row r="269" spans="2:98" x14ac:dyDescent="0.3">
      <c r="B269" s="232"/>
      <c r="C269" s="250">
        <f t="shared" si="222"/>
        <v>2053</v>
      </c>
      <c r="D269" s="263">
        <f t="shared" ca="1" si="205"/>
        <v>0</v>
      </c>
      <c r="E269" s="263">
        <f t="shared" ca="1" si="189"/>
        <v>11.323645666750989</v>
      </c>
      <c r="F269" s="263">
        <f t="shared" ca="1" si="190"/>
        <v>0</v>
      </c>
      <c r="G269" s="263">
        <f t="shared" ca="1" si="206"/>
        <v>67.941874000505933</v>
      </c>
      <c r="H269" s="15"/>
      <c r="I269" s="271">
        <f ca="1">Assumptions!O$68</f>
        <v>4.5</v>
      </c>
      <c r="J269" s="271">
        <f ca="1">Assumptions!P$68</f>
        <v>80</v>
      </c>
      <c r="K269" s="271">
        <f t="shared" ca="1" si="191"/>
        <v>40</v>
      </c>
      <c r="L269" s="15"/>
      <c r="M269" s="35">
        <f t="shared" ca="1" si="207"/>
        <v>4.2299999999999995</v>
      </c>
      <c r="N269" s="35">
        <f t="shared" ca="1" si="192"/>
        <v>64</v>
      </c>
      <c r="O269" s="35">
        <f t="shared" ca="1" si="193"/>
        <v>32</v>
      </c>
      <c r="P269" s="15"/>
      <c r="Q269" s="34">
        <f t="shared" ca="1" si="208"/>
        <v>0</v>
      </c>
      <c r="R269" s="34">
        <f t="shared" ca="1" si="208"/>
        <v>724.71332267206333</v>
      </c>
      <c r="S269" s="34">
        <f t="shared" ca="1" si="208"/>
        <v>0</v>
      </c>
      <c r="T269" s="34">
        <f t="shared" ca="1" si="209"/>
        <v>724.71332267206333</v>
      </c>
      <c r="U269" s="15"/>
      <c r="V269" s="35">
        <f t="shared" si="210"/>
        <v>0.7</v>
      </c>
      <c r="W269" s="34">
        <f t="shared" ref="W269" ca="1" si="239">V269*$G269/(1-$M$6)</f>
        <v>57.647650667095945</v>
      </c>
      <c r="X269" s="35">
        <f t="shared" si="212"/>
        <v>0.222</v>
      </c>
      <c r="Y269" s="34">
        <f t="shared" ca="1" si="213"/>
        <v>18.282540640136144</v>
      </c>
      <c r="Z269" s="35">
        <f t="shared" si="214"/>
        <v>0.34799999999999998</v>
      </c>
      <c r="AA269" s="34">
        <f t="shared" ca="1" si="215"/>
        <v>28.659117760213409</v>
      </c>
      <c r="AB269" s="34">
        <f t="shared" ca="1" si="216"/>
        <v>104.5893090674455</v>
      </c>
      <c r="AC269" s="15"/>
      <c r="AD269" s="34">
        <f t="shared" ca="1" si="217"/>
        <v>620.12401360461786</v>
      </c>
      <c r="AE269" s="34">
        <f ca="1"/>
        <v>0</v>
      </c>
      <c r="AF269" s="34">
        <f t="shared" ca="1" si="218"/>
        <v>620.12401360461786</v>
      </c>
      <c r="AG269" s="15"/>
      <c r="AH269" s="272">
        <f t="shared" si="223"/>
        <v>56249</v>
      </c>
      <c r="AI269" s="267">
        <f t="shared" si="194"/>
        <v>39.666666666666664</v>
      </c>
      <c r="AJ269" s="267">
        <f t="shared" si="195"/>
        <v>2.280815498393244E-2</v>
      </c>
      <c r="AK269" s="34">
        <f t="shared" ca="1" si="224"/>
        <v>14.143884611552354</v>
      </c>
      <c r="AL269" s="233"/>
      <c r="AN269" s="232"/>
      <c r="AO269" s="408">
        <f t="shared" si="238"/>
        <v>40</v>
      </c>
      <c r="AP269" s="34">
        <f t="shared" ca="1" si="238"/>
        <v>0</v>
      </c>
      <c r="AQ269" s="34">
        <f t="shared" ca="1" si="238"/>
        <v>0.17793582720969781</v>
      </c>
      <c r="AR269" s="34">
        <f t="shared" ca="1" si="238"/>
        <v>0</v>
      </c>
      <c r="AS269" s="34">
        <f t="shared" ca="1" si="238"/>
        <v>1.0676149632581868</v>
      </c>
      <c r="AT269" s="15"/>
      <c r="AW269" s="34">
        <f t="shared" ca="1" si="197"/>
        <v>0</v>
      </c>
      <c r="AX269" s="34">
        <f t="shared" ca="1" si="198"/>
        <v>0.14679705744800067</v>
      </c>
      <c r="AY269" s="34">
        <f t="shared" ca="1" si="199"/>
        <v>0</v>
      </c>
      <c r="AZ269" s="34">
        <f t="shared" ca="1" si="200"/>
        <v>0.88078234468800409</v>
      </c>
      <c r="BB269" s="34">
        <f t="shared" ca="1" si="234"/>
        <v>0</v>
      </c>
      <c r="BC269" s="34">
        <f t="shared" ca="1" si="234"/>
        <v>0</v>
      </c>
      <c r="BD269" s="34">
        <f t="shared" ca="1" si="234"/>
        <v>0</v>
      </c>
      <c r="BE269" s="34">
        <f t="shared" ca="1" si="234"/>
        <v>0</v>
      </c>
      <c r="BF269" s="34">
        <f t="shared" ca="1" si="234"/>
        <v>0</v>
      </c>
      <c r="BG269" s="34">
        <f t="shared" ca="1" si="234"/>
        <v>0</v>
      </c>
      <c r="BH269" s="34">
        <f t="shared" ca="1" si="234"/>
        <v>0</v>
      </c>
      <c r="BI269" s="34">
        <f t="shared" ca="1" si="234"/>
        <v>79.184374436849112</v>
      </c>
      <c r="BJ269" s="34">
        <f t="shared" ca="1" si="234"/>
        <v>96.167069729506665</v>
      </c>
      <c r="BK269" s="34">
        <f t="shared" ca="1" si="234"/>
        <v>106.85229969945183</v>
      </c>
      <c r="BL269" s="34">
        <f t="shared" ca="1" si="235"/>
        <v>118.72477744383538</v>
      </c>
      <c r="BM269" s="34">
        <f t="shared" ca="1" si="235"/>
        <v>131.91641938203929</v>
      </c>
      <c r="BN269" s="34">
        <f t="shared" ca="1" si="235"/>
        <v>146.57379931337701</v>
      </c>
      <c r="BO269" s="34">
        <f t="shared" ca="1" si="235"/>
        <v>0</v>
      </c>
      <c r="BP269" s="34">
        <f t="shared" ca="1" si="235"/>
        <v>0</v>
      </c>
      <c r="BQ269" s="34">
        <f t="shared" ca="1" si="235"/>
        <v>0</v>
      </c>
      <c r="BR269" s="34">
        <f t="shared" ca="1" si="235"/>
        <v>0</v>
      </c>
      <c r="BS269" s="34">
        <f t="shared" ca="1" si="235"/>
        <v>0</v>
      </c>
      <c r="BT269" s="34">
        <f t="shared" ca="1" si="235"/>
        <v>0</v>
      </c>
      <c r="BU269" s="34">
        <f t="shared" ca="1" si="235"/>
        <v>0</v>
      </c>
      <c r="BV269" s="34">
        <f t="shared" ca="1" si="236"/>
        <v>0</v>
      </c>
      <c r="BW269" s="34">
        <f t="shared" ca="1" si="236"/>
        <v>0</v>
      </c>
      <c r="BX269" s="34">
        <f t="shared" ca="1" si="236"/>
        <v>0</v>
      </c>
      <c r="BY269" s="34">
        <f t="shared" ca="1" si="236"/>
        <v>0</v>
      </c>
      <c r="BZ269" s="34">
        <f t="shared" ca="1" si="236"/>
        <v>0</v>
      </c>
      <c r="CA269" s="34">
        <f t="shared" ca="1" si="236"/>
        <v>0</v>
      </c>
      <c r="CB269" s="34">
        <f t="shared" ca="1" si="236"/>
        <v>0</v>
      </c>
      <c r="CC269" s="34">
        <f t="shared" ca="1" si="236"/>
        <v>0</v>
      </c>
      <c r="CD269" s="34">
        <f t="shared" ca="1" si="236"/>
        <v>0</v>
      </c>
      <c r="CE269" s="34">
        <f t="shared" ca="1" si="236"/>
        <v>0</v>
      </c>
      <c r="CF269" s="34">
        <f t="shared" ca="1" si="237"/>
        <v>0</v>
      </c>
      <c r="CG269" s="34">
        <f t="shared" ca="1" si="237"/>
        <v>0</v>
      </c>
      <c r="CH269" s="34">
        <f t="shared" ca="1" si="237"/>
        <v>0</v>
      </c>
      <c r="CI269" s="34">
        <f t="shared" ca="1" si="237"/>
        <v>0</v>
      </c>
      <c r="CJ269" s="34">
        <f t="shared" ca="1" si="237"/>
        <v>0</v>
      </c>
      <c r="CK269" s="34">
        <f t="shared" ca="1" si="237"/>
        <v>0</v>
      </c>
      <c r="CL269" s="34">
        <f t="shared" ca="1" si="237"/>
        <v>0</v>
      </c>
      <c r="CM269" s="34">
        <f t="shared" ca="1" si="237"/>
        <v>0</v>
      </c>
      <c r="CN269" s="34">
        <f t="shared" ca="1" si="237"/>
        <v>0</v>
      </c>
      <c r="CO269" s="34">
        <f t="shared" ca="1" si="237"/>
        <v>0</v>
      </c>
      <c r="CP269" s="34">
        <f t="shared" ca="1" si="237"/>
        <v>0</v>
      </c>
      <c r="CQ269" s="34">
        <f t="shared" ca="1" si="220"/>
        <v>679.41874000505925</v>
      </c>
      <c r="CR269" s="363">
        <v>0</v>
      </c>
      <c r="CS269" s="34">
        <f t="shared" ca="1" si="221"/>
        <v>679.41874000505925</v>
      </c>
      <c r="CT269" s="233"/>
    </row>
    <row r="270" spans="2:98" x14ac:dyDescent="0.3">
      <c r="B270" s="232"/>
      <c r="C270" s="274" t="s">
        <v>302</v>
      </c>
      <c r="D270" s="39">
        <f ca="1">SUM(D229:D269)</f>
        <v>0</v>
      </c>
      <c r="E270" s="39">
        <f t="shared" ref="E270:F270" ca="1" si="240">SUM(E229:E269)</f>
        <v>3166.6515127492407</v>
      </c>
      <c r="F270" s="39">
        <f t="shared" ca="1" si="240"/>
        <v>0</v>
      </c>
      <c r="G270" s="39">
        <f ca="1">SUM(G229:G269)</f>
        <v>18999.909076495442</v>
      </c>
      <c r="H270" s="15"/>
      <c r="I270" s="15"/>
      <c r="J270" s="15"/>
      <c r="K270" s="15"/>
      <c r="L270" s="15"/>
      <c r="M270" s="35"/>
      <c r="N270" s="35"/>
      <c r="O270" s="35"/>
      <c r="P270" s="15"/>
      <c r="Q270" s="8">
        <f ca="1">SUM(Q229:Q269)</f>
        <v>0</v>
      </c>
      <c r="R270" s="8">
        <f ca="1">SUM(R229:R269)</f>
        <v>202665.69681595141</v>
      </c>
      <c r="S270" s="8">
        <f ca="1">SUM(S229:S269)</f>
        <v>0</v>
      </c>
      <c r="T270" s="8">
        <f t="shared" ca="1" si="209"/>
        <v>202665.69681595141</v>
      </c>
      <c r="U270" s="15"/>
      <c r="V270" s="275"/>
      <c r="W270" s="276">
        <f ca="1">SUM(W229:W269)</f>
        <v>16121.134973996141</v>
      </c>
      <c r="X270" s="275"/>
      <c r="Y270" s="276">
        <f ca="1">SUM(Y229:Y269)</f>
        <v>5112.7028060387765</v>
      </c>
      <c r="Z270" s="275"/>
      <c r="AA270" s="276">
        <f ca="1">SUM(AA229:AA269)</f>
        <v>8014.5071013580782</v>
      </c>
      <c r="AB270" s="276">
        <f ca="1">SUM(AB229:AB269)</f>
        <v>29248.344881393001</v>
      </c>
      <c r="AC270" s="15"/>
      <c r="AD270" s="276">
        <f ca="1">SUM(AD229:AD269)</f>
        <v>173417.35193455845</v>
      </c>
      <c r="AE270" s="276">
        <f ca="1">SUM(AE229:AE269)</f>
        <v>37087.617391304346</v>
      </c>
      <c r="AF270" s="276">
        <f ca="1">SUM(AF229:AF269)</f>
        <v>136329.73454325416</v>
      </c>
      <c r="AG270" s="15"/>
      <c r="AH270" s="277"/>
      <c r="AI270" s="278"/>
      <c r="AJ270" s="278"/>
      <c r="AK270" s="279">
        <f ca="1">SUM(AK229:AK269)</f>
        <v>30866.991938408381</v>
      </c>
      <c r="AL270" s="233"/>
      <c r="AN270" s="232"/>
      <c r="AO270" s="409" t="s">
        <v>302</v>
      </c>
      <c r="AP270" s="8">
        <f ca="1">SUM(AP229:AP269)</f>
        <v>0</v>
      </c>
      <c r="AQ270" s="8">
        <f ca="1">SUM(AQ229:AQ269)</f>
        <v>140.91282755511276</v>
      </c>
      <c r="AR270" s="8">
        <f ca="1">SUM(AR229:AR269)</f>
        <v>0</v>
      </c>
      <c r="AS270" s="8">
        <f ca="1">SUM(AS229:AS269)</f>
        <v>845.47696533067642</v>
      </c>
      <c r="AT270" s="15"/>
      <c r="AW270" s="8">
        <f ca="1">SUM(AW229:AW268)</f>
        <v>0</v>
      </c>
      <c r="AX270" s="8">
        <f ca="1">SUM(AX229:AX268)</f>
        <v>116.10628567551997</v>
      </c>
      <c r="AY270" s="8">
        <f ca="1">SUM(AY229:AY268)</f>
        <v>0</v>
      </c>
      <c r="AZ270" s="8">
        <f ca="1">SUM(AZ229:AZ268)</f>
        <v>696.63771405311991</v>
      </c>
      <c r="BB270" s="8">
        <f t="shared" ref="BB270:CP270" ca="1" si="241">SUM(BB229:BB269)</f>
        <v>0</v>
      </c>
      <c r="BC270" s="8">
        <f t="shared" ca="1" si="241"/>
        <v>0</v>
      </c>
      <c r="BD270" s="8">
        <f t="shared" ca="1" si="241"/>
        <v>0</v>
      </c>
      <c r="BE270" s="8">
        <f t="shared" ca="1" si="241"/>
        <v>0</v>
      </c>
      <c r="BF270" s="8">
        <f t="shared" ca="1" si="241"/>
        <v>0</v>
      </c>
      <c r="BG270" s="8">
        <f t="shared" ca="1" si="241"/>
        <v>0</v>
      </c>
      <c r="BH270" s="8">
        <f t="shared" ca="1" si="241"/>
        <v>0</v>
      </c>
      <c r="BI270" s="8">
        <f t="shared" ca="1" si="241"/>
        <v>29621.498742568347</v>
      </c>
      <c r="BJ270" s="8">
        <f t="shared" ca="1" si="241"/>
        <v>32290.436634934435</v>
      </c>
      <c r="BK270" s="8">
        <f t="shared" ca="1" si="241"/>
        <v>32194.26956520493</v>
      </c>
      <c r="BL270" s="8">
        <f t="shared" ca="1" si="241"/>
        <v>32087.417265505479</v>
      </c>
      <c r="BM270" s="8">
        <f t="shared" ca="1" si="241"/>
        <v>31968.692488061643</v>
      </c>
      <c r="BN270" s="8">
        <f t="shared" ca="1" si="241"/>
        <v>31836.776068679603</v>
      </c>
      <c r="BO270" s="8">
        <f t="shared" ca="1" si="241"/>
        <v>0</v>
      </c>
      <c r="BP270" s="8">
        <f t="shared" ca="1" si="241"/>
        <v>0</v>
      </c>
      <c r="BQ270" s="8">
        <f t="shared" ca="1" si="241"/>
        <v>0</v>
      </c>
      <c r="BR270" s="8">
        <f t="shared" ca="1" si="241"/>
        <v>0</v>
      </c>
      <c r="BS270" s="8">
        <f t="shared" ca="1" si="241"/>
        <v>0</v>
      </c>
      <c r="BT270" s="8">
        <f t="shared" ca="1" si="241"/>
        <v>0</v>
      </c>
      <c r="BU270" s="8">
        <f t="shared" ca="1" si="241"/>
        <v>0</v>
      </c>
      <c r="BV270" s="8">
        <f t="shared" ca="1" si="241"/>
        <v>0</v>
      </c>
      <c r="BW270" s="8">
        <f t="shared" ca="1" si="241"/>
        <v>0</v>
      </c>
      <c r="BX270" s="8">
        <f t="shared" ca="1" si="241"/>
        <v>0</v>
      </c>
      <c r="BY270" s="8">
        <f t="shared" ca="1" si="241"/>
        <v>0</v>
      </c>
      <c r="BZ270" s="8">
        <f t="shared" ca="1" si="241"/>
        <v>0</v>
      </c>
      <c r="CA270" s="8">
        <f t="shared" ca="1" si="241"/>
        <v>0</v>
      </c>
      <c r="CB270" s="8">
        <f t="shared" ca="1" si="241"/>
        <v>0</v>
      </c>
      <c r="CC270" s="8">
        <f t="shared" ca="1" si="241"/>
        <v>0</v>
      </c>
      <c r="CD270" s="8">
        <f t="shared" ca="1" si="241"/>
        <v>0</v>
      </c>
      <c r="CE270" s="8">
        <f t="shared" ca="1" si="241"/>
        <v>0</v>
      </c>
      <c r="CF270" s="8">
        <f t="shared" ca="1" si="241"/>
        <v>0</v>
      </c>
      <c r="CG270" s="8">
        <f t="shared" ca="1" si="241"/>
        <v>0</v>
      </c>
      <c r="CH270" s="8">
        <f t="shared" ca="1" si="241"/>
        <v>0</v>
      </c>
      <c r="CI270" s="8">
        <f t="shared" ca="1" si="241"/>
        <v>0</v>
      </c>
      <c r="CJ270" s="8">
        <f t="shared" ca="1" si="241"/>
        <v>0</v>
      </c>
      <c r="CK270" s="8">
        <f t="shared" ca="1" si="241"/>
        <v>0</v>
      </c>
      <c r="CL270" s="8">
        <f t="shared" ca="1" si="241"/>
        <v>0</v>
      </c>
      <c r="CM270" s="8">
        <f t="shared" ca="1" si="241"/>
        <v>0</v>
      </c>
      <c r="CN270" s="8">
        <f t="shared" ca="1" si="241"/>
        <v>0</v>
      </c>
      <c r="CO270" s="8">
        <f t="shared" ca="1" si="241"/>
        <v>0</v>
      </c>
      <c r="CP270" s="8">
        <f t="shared" ca="1" si="241"/>
        <v>0</v>
      </c>
      <c r="CQ270" s="8">
        <f ca="1">SUM(CQ229:CQ269)</f>
        <v>189999.09076495445</v>
      </c>
      <c r="CR270" s="8">
        <f>SUM(CR229:CR269)</f>
        <v>0</v>
      </c>
      <c r="CS270" s="8">
        <f ca="1">SUM(CS229:CS269)</f>
        <v>189999.09076495445</v>
      </c>
      <c r="CT270" s="233"/>
    </row>
    <row r="271" spans="2:98" x14ac:dyDescent="0.3">
      <c r="B271" s="232"/>
      <c r="C271" s="283" t="s">
        <v>303</v>
      </c>
      <c r="D271" s="263">
        <f t="shared" ref="D271:F271" ca="1" si="242">D272-D270</f>
        <v>0</v>
      </c>
      <c r="E271" s="263">
        <f t="shared" ca="1" si="242"/>
        <v>351.47633741362506</v>
      </c>
      <c r="F271" s="263">
        <f t="shared" ca="1" si="242"/>
        <v>0</v>
      </c>
      <c r="G271" s="263">
        <f ca="1">G272-G270</f>
        <v>2108.8580244817531</v>
      </c>
      <c r="H271" s="15"/>
      <c r="I271" s="35"/>
      <c r="J271" s="35"/>
      <c r="K271" s="35"/>
      <c r="L271" s="15"/>
      <c r="M271" s="35">
        <f ca="1">M269</f>
        <v>4.2299999999999995</v>
      </c>
      <c r="N271" s="35">
        <f t="shared" ref="N271:O271" ca="1" si="243">N269</f>
        <v>64</v>
      </c>
      <c r="O271" s="35">
        <f t="shared" ca="1" si="243"/>
        <v>32</v>
      </c>
      <c r="P271" s="15"/>
      <c r="Q271" s="34">
        <f t="shared" ref="Q271:S271" ca="1" si="244">D271*M271</f>
        <v>0</v>
      </c>
      <c r="R271" s="34">
        <f t="shared" ca="1" si="244"/>
        <v>22494.485594472004</v>
      </c>
      <c r="S271" s="34">
        <f t="shared" ca="1" si="244"/>
        <v>0</v>
      </c>
      <c r="T271" s="34">
        <f t="shared" ref="T271" ca="1" si="245">SUM(Q271:S271)</f>
        <v>22494.485594472004</v>
      </c>
      <c r="U271" s="15"/>
      <c r="V271" s="35">
        <f>V269</f>
        <v>0.7</v>
      </c>
      <c r="W271" s="34">
        <f ca="1">V271*$G271/(1-$M$6)</f>
        <v>1789.3340813784571</v>
      </c>
      <c r="X271" s="35">
        <f>X269</f>
        <v>0.222</v>
      </c>
      <c r="Y271" s="34">
        <f ca="1">X271*$G271/(1-$M$6)</f>
        <v>567.47452295145365</v>
      </c>
      <c r="Z271" s="35">
        <f>Z269</f>
        <v>0.34799999999999998</v>
      </c>
      <c r="AA271" s="34">
        <f ca="1">Z271*$G271/(1-$M$6)</f>
        <v>889.55465759957588</v>
      </c>
      <c r="AB271" s="34">
        <f ca="1">W271+Y271+AA271</f>
        <v>3246.3632619294867</v>
      </c>
      <c r="AC271" s="15"/>
      <c r="AD271" s="34">
        <f ca="1">T271-AB271</f>
        <v>19248.122332542516</v>
      </c>
      <c r="AE271" s="62">
        <f ca="1">CR226*$M$9*$AQ$11*Units</f>
        <v>1467.4956521739132</v>
      </c>
      <c r="AF271" s="34">
        <f ca="1">AD271-AE271</f>
        <v>17780.626680368601</v>
      </c>
      <c r="AG271" s="15"/>
      <c r="AH271" s="266">
        <f>Remainder_Date</f>
        <v>56249</v>
      </c>
      <c r="AI271" s="267">
        <f t="shared" ref="AI271" si="246">DAYS360(Valuation_Date,AH271)/360-MIN(0.5,0.5*DAYS360(Valuation_Date,AH271)/360)</f>
        <v>39.666666666666664</v>
      </c>
      <c r="AJ271" s="267">
        <f t="shared" ref="AJ271" si="247">1/((1+Discount_Rate)^AI271)</f>
        <v>2.280815498393244E-2</v>
      </c>
      <c r="AK271" s="34">
        <f t="shared" ref="AK271" ca="1" si="248">AJ271*AF271</f>
        <v>405.54328903729123</v>
      </c>
      <c r="AL271" s="233"/>
      <c r="AN271" s="232"/>
      <c r="AO271" s="410" t="s">
        <v>303</v>
      </c>
      <c r="AP271" s="34">
        <f ca="1">AP272-AP270</f>
        <v>0</v>
      </c>
      <c r="AQ271" s="34">
        <f t="shared" ref="AQ271:AS271" ca="1" si="249">AQ272-AQ270</f>
        <v>744.42919198886102</v>
      </c>
      <c r="AR271" s="34">
        <f t="shared" ca="1" si="249"/>
        <v>0</v>
      </c>
      <c r="AS271" s="34">
        <f t="shared" ca="1" si="249"/>
        <v>39.865054213297412</v>
      </c>
      <c r="AT271" s="15"/>
      <c r="AW271" s="34">
        <f ca="1">AW272-AW270</f>
        <v>0</v>
      </c>
      <c r="AX271" s="34">
        <f t="shared" ref="AX271:AZ271" ca="1" si="250">AX272-AX270</f>
        <v>614.30088044825834</v>
      </c>
      <c r="AY271" s="34">
        <f t="shared" ca="1" si="250"/>
        <v>0</v>
      </c>
      <c r="AZ271" s="34">
        <f t="shared" ca="1" si="250"/>
        <v>33.769452070658417</v>
      </c>
      <c r="BB271" s="180">
        <f ca="1">BB272-BB270</f>
        <v>0</v>
      </c>
      <c r="BC271" s="180">
        <f t="shared" ref="BC271:CP271" ca="1" si="251">BC272-BC270</f>
        <v>0</v>
      </c>
      <c r="BD271" s="180">
        <f t="shared" ca="1" si="251"/>
        <v>0</v>
      </c>
      <c r="BE271" s="180">
        <f t="shared" ca="1" si="251"/>
        <v>0</v>
      </c>
      <c r="BF271" s="180">
        <f t="shared" ca="1" si="251"/>
        <v>0</v>
      </c>
      <c r="BG271" s="180">
        <f t="shared" ca="1" si="251"/>
        <v>0</v>
      </c>
      <c r="BH271" s="180">
        <f t="shared" ca="1" si="251"/>
        <v>0</v>
      </c>
      <c r="BI271" s="180">
        <f t="shared" ca="1" si="251"/>
        <v>1786.0094007541229</v>
      </c>
      <c r="BJ271" s="180">
        <f t="shared" ca="1" si="251"/>
        <v>2038.7001728831456</v>
      </c>
      <c r="BK271" s="180">
        <f t="shared" ca="1" si="251"/>
        <v>2134.8672426126504</v>
      </c>
      <c r="BL271" s="180">
        <f t="shared" ca="1" si="251"/>
        <v>2241.7195423121011</v>
      </c>
      <c r="BM271" s="180">
        <f t="shared" ca="1" si="251"/>
        <v>2360.4443197559376</v>
      </c>
      <c r="BN271" s="180">
        <f t="shared" ca="1" si="251"/>
        <v>2492.3607391379774</v>
      </c>
      <c r="BO271" s="180">
        <f t="shared" ca="1" si="251"/>
        <v>0</v>
      </c>
      <c r="BP271" s="180">
        <f t="shared" ca="1" si="251"/>
        <v>0</v>
      </c>
      <c r="BQ271" s="180">
        <f t="shared" ca="1" si="251"/>
        <v>0</v>
      </c>
      <c r="BR271" s="180">
        <f t="shared" ca="1" si="251"/>
        <v>0</v>
      </c>
      <c r="BS271" s="180">
        <f t="shared" ca="1" si="251"/>
        <v>0</v>
      </c>
      <c r="BT271" s="180">
        <f t="shared" ca="1" si="251"/>
        <v>0</v>
      </c>
      <c r="BU271" s="180">
        <f t="shared" ca="1" si="251"/>
        <v>0</v>
      </c>
      <c r="BV271" s="180">
        <f t="shared" ca="1" si="251"/>
        <v>0</v>
      </c>
      <c r="BW271" s="180">
        <f t="shared" ca="1" si="251"/>
        <v>0</v>
      </c>
      <c r="BX271" s="180">
        <f t="shared" ca="1" si="251"/>
        <v>0</v>
      </c>
      <c r="BY271" s="180">
        <f t="shared" ca="1" si="251"/>
        <v>0</v>
      </c>
      <c r="BZ271" s="180">
        <f t="shared" ca="1" si="251"/>
        <v>0</v>
      </c>
      <c r="CA271" s="180">
        <f t="shared" ca="1" si="251"/>
        <v>0</v>
      </c>
      <c r="CB271" s="180">
        <f t="shared" ca="1" si="251"/>
        <v>0</v>
      </c>
      <c r="CC271" s="180">
        <f t="shared" ca="1" si="251"/>
        <v>0</v>
      </c>
      <c r="CD271" s="180">
        <f t="shared" ca="1" si="251"/>
        <v>0</v>
      </c>
      <c r="CE271" s="180">
        <f t="shared" ca="1" si="251"/>
        <v>0</v>
      </c>
      <c r="CF271" s="180">
        <f t="shared" ca="1" si="251"/>
        <v>0</v>
      </c>
      <c r="CG271" s="180">
        <f t="shared" ca="1" si="251"/>
        <v>0</v>
      </c>
      <c r="CH271" s="180">
        <f t="shared" ca="1" si="251"/>
        <v>0</v>
      </c>
      <c r="CI271" s="180">
        <f t="shared" ca="1" si="251"/>
        <v>0</v>
      </c>
      <c r="CJ271" s="180">
        <f t="shared" ca="1" si="251"/>
        <v>0</v>
      </c>
      <c r="CK271" s="180">
        <f t="shared" ca="1" si="251"/>
        <v>0</v>
      </c>
      <c r="CL271" s="180">
        <f t="shared" ca="1" si="251"/>
        <v>0</v>
      </c>
      <c r="CM271" s="180">
        <f t="shared" ca="1" si="251"/>
        <v>0</v>
      </c>
      <c r="CN271" s="180">
        <f t="shared" ca="1" si="251"/>
        <v>0</v>
      </c>
      <c r="CO271" s="180">
        <f t="shared" ca="1" si="251"/>
        <v>0</v>
      </c>
      <c r="CP271" s="180">
        <f t="shared" ca="1" si="251"/>
        <v>0</v>
      </c>
      <c r="CQ271" s="34">
        <f ca="1">SUM(BB271:CP271)</f>
        <v>13054.101417455935</v>
      </c>
      <c r="CR271" s="180">
        <f ca="1">CR272-CR270</f>
        <v>8034.4788273615613</v>
      </c>
      <c r="CS271" s="180">
        <f ca="1">SUM(CQ271:CR271)</f>
        <v>21088.580244817495</v>
      </c>
      <c r="CT271" s="233"/>
    </row>
    <row r="272" spans="2:98" x14ac:dyDescent="0.3">
      <c r="B272" s="232"/>
      <c r="C272" s="60" t="s">
        <v>26</v>
      </c>
      <c r="D272" s="39">
        <f t="shared" ca="1" si="205"/>
        <v>0</v>
      </c>
      <c r="E272" s="39">
        <f ca="1">$G272*$M$14/Bbl_to_Mcfe</f>
        <v>3518.1278501628658</v>
      </c>
      <c r="F272" s="39">
        <f ca="1">$G272*$M$13/Bbl_to_Mcfe</f>
        <v>0</v>
      </c>
      <c r="G272" s="39">
        <f ca="1">CS272*$AQ$11</f>
        <v>21108.767100977195</v>
      </c>
      <c r="H272" s="15"/>
      <c r="I272" s="15"/>
      <c r="J272" s="15"/>
      <c r="K272" s="15"/>
      <c r="L272" s="15"/>
      <c r="M272" s="15"/>
      <c r="N272" s="15"/>
      <c r="O272" s="15"/>
      <c r="P272" s="15"/>
      <c r="Q272" s="8">
        <f ca="1">Q271+Q270</f>
        <v>0</v>
      </c>
      <c r="R272" s="8">
        <f t="shared" ref="R272:T272" ca="1" si="252">R271+R270</f>
        <v>225160.18241042341</v>
      </c>
      <c r="S272" s="8">
        <f t="shared" ca="1" si="252"/>
        <v>0</v>
      </c>
      <c r="T272" s="8">
        <f t="shared" ca="1" si="252"/>
        <v>225160.18241042341</v>
      </c>
      <c r="U272" s="15"/>
      <c r="V272" s="9"/>
      <c r="W272" s="8">
        <f ca="1">W271+W270</f>
        <v>17910.469055374597</v>
      </c>
      <c r="X272" s="9"/>
      <c r="Y272" s="8">
        <f ca="1">Y271+Y270</f>
        <v>5680.1773289902303</v>
      </c>
      <c r="Z272" s="9"/>
      <c r="AA272" s="8">
        <f ca="1">AA271+AA270</f>
        <v>8904.0617589576541</v>
      </c>
      <c r="AB272" s="8">
        <f ca="1">AB271+AB270</f>
        <v>32494.708143322488</v>
      </c>
      <c r="AC272" s="15"/>
      <c r="AD272" s="8">
        <f ca="1">AD271+AD270</f>
        <v>192665.47426710097</v>
      </c>
      <c r="AE272" s="8">
        <f ca="1">AE271+AE270</f>
        <v>38555.113043478261</v>
      </c>
      <c r="AF272" s="8">
        <f ca="1">AF271+AF270</f>
        <v>154110.36122362275</v>
      </c>
      <c r="AG272" s="15"/>
      <c r="AH272" s="9"/>
      <c r="AI272" s="9"/>
      <c r="AJ272" s="9"/>
      <c r="AK272" s="65">
        <f ca="1">SUM(AK270:AK271)</f>
        <v>31272.535227445671</v>
      </c>
      <c r="AL272" s="233"/>
      <c r="AN272" s="232"/>
      <c r="AO272" s="411" t="s">
        <v>26</v>
      </c>
      <c r="AP272" s="8">
        <f ca="1">$AS272*$M$12</f>
        <v>0</v>
      </c>
      <c r="AQ272" s="8">
        <f ca="1">$AS272*$M$14</f>
        <v>885.34201954397383</v>
      </c>
      <c r="AR272" s="8">
        <f ca="1">$AS272*$M$13</f>
        <v>0</v>
      </c>
      <c r="AS272" s="8">
        <f ca="1">$M$7</f>
        <v>885.34201954397383</v>
      </c>
      <c r="AT272" s="15"/>
      <c r="AW272" s="8">
        <f ca="1">AP272*(1-$M$6)</f>
        <v>0</v>
      </c>
      <c r="AX272" s="8">
        <f ca="1">AQ272*(1-$M$6)</f>
        <v>730.40716612377832</v>
      </c>
      <c r="AY272" s="8">
        <f ca="1">AR272*(1-$M$6)</f>
        <v>0</v>
      </c>
      <c r="AZ272" s="8">
        <f ca="1">AS272*(1-$M$6)</f>
        <v>730.40716612377832</v>
      </c>
      <c r="BB272" s="364">
        <f t="shared" ref="BB272:CS272" ca="1" si="253">$AZ272*BB226</f>
        <v>0</v>
      </c>
      <c r="BC272" s="364">
        <f t="shared" ca="1" si="253"/>
        <v>0</v>
      </c>
      <c r="BD272" s="364">
        <f t="shared" ca="1" si="253"/>
        <v>0</v>
      </c>
      <c r="BE272" s="364">
        <f t="shared" ca="1" si="253"/>
        <v>0</v>
      </c>
      <c r="BF272" s="364">
        <f t="shared" ca="1" si="253"/>
        <v>0</v>
      </c>
      <c r="BG272" s="364">
        <f t="shared" ca="1" si="253"/>
        <v>0</v>
      </c>
      <c r="BH272" s="364">
        <f t="shared" ca="1" si="253"/>
        <v>0</v>
      </c>
      <c r="BI272" s="364">
        <f t="shared" ca="1" si="253"/>
        <v>31407.50814332247</v>
      </c>
      <c r="BJ272" s="364">
        <f t="shared" ca="1" si="253"/>
        <v>34329.13680781758</v>
      </c>
      <c r="BK272" s="364">
        <f t="shared" ca="1" si="253"/>
        <v>34329.13680781758</v>
      </c>
      <c r="BL272" s="364">
        <f t="shared" ca="1" si="253"/>
        <v>34329.13680781758</v>
      </c>
      <c r="BM272" s="364">
        <f t="shared" ca="1" si="253"/>
        <v>34329.13680781758</v>
      </c>
      <c r="BN272" s="364">
        <f t="shared" ca="1" si="253"/>
        <v>34329.13680781758</v>
      </c>
      <c r="BO272" s="364">
        <f t="shared" ca="1" si="253"/>
        <v>0</v>
      </c>
      <c r="BP272" s="364">
        <f t="shared" ca="1" si="253"/>
        <v>0</v>
      </c>
      <c r="BQ272" s="364">
        <f t="shared" ca="1" si="253"/>
        <v>0</v>
      </c>
      <c r="BR272" s="364">
        <f t="shared" ca="1" si="253"/>
        <v>0</v>
      </c>
      <c r="BS272" s="364">
        <f t="shared" ca="1" si="253"/>
        <v>0</v>
      </c>
      <c r="BT272" s="364">
        <f t="shared" ca="1" si="253"/>
        <v>0</v>
      </c>
      <c r="BU272" s="364">
        <f t="shared" ca="1" si="253"/>
        <v>0</v>
      </c>
      <c r="BV272" s="364">
        <f t="shared" ca="1" si="253"/>
        <v>0</v>
      </c>
      <c r="BW272" s="364">
        <f t="shared" ca="1" si="253"/>
        <v>0</v>
      </c>
      <c r="BX272" s="364">
        <f t="shared" ca="1" si="253"/>
        <v>0</v>
      </c>
      <c r="BY272" s="364">
        <f t="shared" ca="1" si="253"/>
        <v>0</v>
      </c>
      <c r="BZ272" s="364">
        <f t="shared" ca="1" si="253"/>
        <v>0</v>
      </c>
      <c r="CA272" s="364">
        <f t="shared" ca="1" si="253"/>
        <v>0</v>
      </c>
      <c r="CB272" s="364">
        <f t="shared" ca="1" si="253"/>
        <v>0</v>
      </c>
      <c r="CC272" s="364">
        <f t="shared" ca="1" si="253"/>
        <v>0</v>
      </c>
      <c r="CD272" s="364">
        <f t="shared" ca="1" si="253"/>
        <v>0</v>
      </c>
      <c r="CE272" s="364">
        <f t="shared" ca="1" si="253"/>
        <v>0</v>
      </c>
      <c r="CF272" s="364">
        <f t="shared" ca="1" si="253"/>
        <v>0</v>
      </c>
      <c r="CG272" s="364">
        <f t="shared" ca="1" si="253"/>
        <v>0</v>
      </c>
      <c r="CH272" s="364">
        <f t="shared" ca="1" si="253"/>
        <v>0</v>
      </c>
      <c r="CI272" s="364">
        <f t="shared" ca="1" si="253"/>
        <v>0</v>
      </c>
      <c r="CJ272" s="364">
        <f t="shared" ca="1" si="253"/>
        <v>0</v>
      </c>
      <c r="CK272" s="364">
        <f t="shared" ca="1" si="253"/>
        <v>0</v>
      </c>
      <c r="CL272" s="364">
        <f t="shared" ca="1" si="253"/>
        <v>0</v>
      </c>
      <c r="CM272" s="364">
        <f t="shared" ca="1" si="253"/>
        <v>0</v>
      </c>
      <c r="CN272" s="364">
        <f t="shared" ca="1" si="253"/>
        <v>0</v>
      </c>
      <c r="CO272" s="364">
        <f t="shared" ca="1" si="253"/>
        <v>0</v>
      </c>
      <c r="CP272" s="364">
        <f t="shared" ca="1" si="253"/>
        <v>0</v>
      </c>
      <c r="CQ272" s="8">
        <f t="shared" ca="1" si="253"/>
        <v>203053.19218241036</v>
      </c>
      <c r="CR272" s="364">
        <f t="shared" ca="1" si="253"/>
        <v>8034.4788273615613</v>
      </c>
      <c r="CS272" s="364">
        <f t="shared" ca="1" si="253"/>
        <v>211087.67100977193</v>
      </c>
      <c r="CT272" s="233"/>
    </row>
    <row r="273" spans="2:98" x14ac:dyDescent="0.3">
      <c r="B273" s="232"/>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233"/>
      <c r="AN273" s="232"/>
      <c r="AO273" s="15"/>
      <c r="AP273" s="15"/>
      <c r="AQ273" s="15"/>
      <c r="AR273" s="15"/>
      <c r="AS273" s="15"/>
      <c r="AT273" s="15"/>
      <c r="AU273" s="15"/>
      <c r="AW273" s="15"/>
      <c r="AX273" s="15"/>
      <c r="AY273" s="15"/>
      <c r="AZ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34"/>
      <c r="CQ273" s="15"/>
      <c r="CR273" s="15"/>
      <c r="CS273" s="15"/>
      <c r="CT273" s="233"/>
    </row>
    <row r="274" spans="2:98" x14ac:dyDescent="0.3">
      <c r="B274" s="285" t="s">
        <v>306</v>
      </c>
      <c r="C274" s="286"/>
      <c r="D274" s="287"/>
      <c r="E274" s="287"/>
      <c r="F274" s="287"/>
      <c r="G274" s="287"/>
      <c r="H274" s="287"/>
      <c r="I274" s="287"/>
      <c r="J274" s="287"/>
      <c r="K274" s="287"/>
      <c r="L274" s="287"/>
      <c r="M274" s="287"/>
      <c r="N274" s="287"/>
      <c r="O274" s="287"/>
      <c r="P274" s="287"/>
      <c r="Q274" s="286" t="str">
        <f>B274</f>
        <v>TOTAL</v>
      </c>
      <c r="R274" s="287"/>
      <c r="S274" s="287"/>
      <c r="T274" s="287"/>
      <c r="U274" s="287"/>
      <c r="V274" s="287"/>
      <c r="W274" s="287"/>
      <c r="X274" s="287"/>
      <c r="Y274" s="287"/>
      <c r="Z274" s="287"/>
      <c r="AA274" s="287"/>
      <c r="AB274" s="287"/>
      <c r="AC274" s="287"/>
      <c r="AD274" s="286" t="str">
        <f>Q274</f>
        <v>TOTAL</v>
      </c>
      <c r="AE274" s="287"/>
      <c r="AF274" s="287"/>
      <c r="AG274" s="287"/>
      <c r="AH274" s="287"/>
      <c r="AI274" s="287"/>
      <c r="AJ274" s="287"/>
      <c r="AK274" s="287"/>
      <c r="AL274" s="288"/>
      <c r="AN274" s="256"/>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258"/>
    </row>
    <row r="275" spans="2:98" x14ac:dyDescent="0.3">
      <c r="B275" s="232"/>
      <c r="C275" s="292"/>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233"/>
    </row>
    <row r="276" spans="2:98" x14ac:dyDescent="0.3">
      <c r="B276" s="232"/>
      <c r="C276" s="37" t="s">
        <v>277</v>
      </c>
      <c r="D276" s="23"/>
      <c r="E276" s="23"/>
      <c r="F276" s="23"/>
      <c r="G276" s="23"/>
      <c r="H276" s="261"/>
      <c r="I276" s="37" t="s">
        <v>15</v>
      </c>
      <c r="J276" s="23"/>
      <c r="K276" s="23"/>
      <c r="L276" s="15"/>
      <c r="M276" s="37" t="s">
        <v>278</v>
      </c>
      <c r="N276" s="23"/>
      <c r="O276" s="23"/>
      <c r="P276" s="15"/>
      <c r="Q276" s="37" t="s">
        <v>279</v>
      </c>
      <c r="R276" s="23"/>
      <c r="S276" s="23"/>
      <c r="T276" s="23"/>
      <c r="U276" s="15"/>
      <c r="V276" s="37" t="s">
        <v>280</v>
      </c>
      <c r="W276" s="23"/>
      <c r="X276" s="23"/>
      <c r="Y276" s="23"/>
      <c r="Z276" s="23"/>
      <c r="AA276" s="23"/>
      <c r="AB276" s="4"/>
      <c r="AC276" s="15"/>
      <c r="AD276" s="37" t="s">
        <v>281</v>
      </c>
      <c r="AE276" s="23"/>
      <c r="AF276" s="23"/>
      <c r="AG276" s="15"/>
      <c r="AH276" s="37" t="s">
        <v>282</v>
      </c>
      <c r="AI276" s="23"/>
      <c r="AJ276" s="23"/>
      <c r="AK276" s="23"/>
      <c r="AL276" s="233"/>
    </row>
    <row r="277" spans="2:98" x14ac:dyDescent="0.3">
      <c r="B277" s="232"/>
      <c r="C277" s="250"/>
      <c r="D277" s="250" t="s">
        <v>10</v>
      </c>
      <c r="E277" s="250" t="s">
        <v>11</v>
      </c>
      <c r="F277" s="250" t="s">
        <v>245</v>
      </c>
      <c r="G277" s="250" t="s">
        <v>12</v>
      </c>
      <c r="H277" s="261"/>
      <c r="I277" s="262" t="s">
        <v>10</v>
      </c>
      <c r="J277" s="262" t="s">
        <v>11</v>
      </c>
      <c r="K277" s="262" t="s">
        <v>245</v>
      </c>
      <c r="L277" s="15"/>
      <c r="M277" s="262" t="s">
        <v>10</v>
      </c>
      <c r="N277" s="262" t="s">
        <v>11</v>
      </c>
      <c r="O277" s="262" t="s">
        <v>245</v>
      </c>
      <c r="P277" s="15"/>
      <c r="Q277" s="262" t="s">
        <v>10</v>
      </c>
      <c r="R277" s="262" t="s">
        <v>11</v>
      </c>
      <c r="S277" s="262" t="s">
        <v>245</v>
      </c>
      <c r="T277" s="262" t="s">
        <v>12</v>
      </c>
      <c r="U277" s="15"/>
      <c r="V277" s="262" t="s">
        <v>283</v>
      </c>
      <c r="W277" s="262" t="s">
        <v>283</v>
      </c>
      <c r="X277" s="262" t="s">
        <v>284</v>
      </c>
      <c r="Y277" s="262" t="s">
        <v>284</v>
      </c>
      <c r="Z277" s="262" t="s">
        <v>285</v>
      </c>
      <c r="AA277" s="262" t="s">
        <v>285</v>
      </c>
      <c r="AB277" s="262" t="s">
        <v>12</v>
      </c>
      <c r="AC277" s="15"/>
      <c r="AD277" s="262" t="s">
        <v>286</v>
      </c>
      <c r="AE277" s="262" t="s">
        <v>287</v>
      </c>
      <c r="AF277" s="262" t="s">
        <v>281</v>
      </c>
      <c r="AG277" s="15"/>
      <c r="AH277" s="262"/>
      <c r="AI277" s="262" t="s">
        <v>288</v>
      </c>
      <c r="AJ277" s="262" t="s">
        <v>288</v>
      </c>
      <c r="AK277" s="262" t="s">
        <v>289</v>
      </c>
      <c r="AL277" s="233"/>
    </row>
    <row r="278" spans="2:98" x14ac:dyDescent="0.3">
      <c r="B278" s="232"/>
      <c r="C278" s="13" t="s">
        <v>9</v>
      </c>
      <c r="D278" s="13" t="s">
        <v>307</v>
      </c>
      <c r="E278" s="13" t="s">
        <v>308</v>
      </c>
      <c r="F278" s="13" t="s">
        <v>308</v>
      </c>
      <c r="G278" s="13" t="s">
        <v>248</v>
      </c>
      <c r="H278" s="4"/>
      <c r="I278" s="13" t="s">
        <v>24</v>
      </c>
      <c r="J278" s="13" t="s">
        <v>25</v>
      </c>
      <c r="K278" s="13" t="s">
        <v>25</v>
      </c>
      <c r="L278" s="4"/>
      <c r="M278" s="13" t="s">
        <v>24</v>
      </c>
      <c r="N278" s="13" t="s">
        <v>25</v>
      </c>
      <c r="O278" s="13" t="s">
        <v>25</v>
      </c>
      <c r="P278" s="4"/>
      <c r="Q278" s="13" t="s">
        <v>293</v>
      </c>
      <c r="R278" s="13" t="s">
        <v>293</v>
      </c>
      <c r="S278" s="13" t="s">
        <v>293</v>
      </c>
      <c r="T278" s="13" t="s">
        <v>293</v>
      </c>
      <c r="U278" s="4"/>
      <c r="V278" s="13" t="s">
        <v>294</v>
      </c>
      <c r="W278" s="13" t="s">
        <v>293</v>
      </c>
      <c r="X278" s="13" t="s">
        <v>294</v>
      </c>
      <c r="Y278" s="13" t="s">
        <v>293</v>
      </c>
      <c r="Z278" s="13" t="s">
        <v>294</v>
      </c>
      <c r="AA278" s="13" t="s">
        <v>293</v>
      </c>
      <c r="AB278" s="13" t="s">
        <v>293</v>
      </c>
      <c r="AC278" s="4"/>
      <c r="AD278" s="13" t="s">
        <v>293</v>
      </c>
      <c r="AE278" s="13" t="s">
        <v>293</v>
      </c>
      <c r="AF278" s="13" t="s">
        <v>293</v>
      </c>
      <c r="AG278" s="4"/>
      <c r="AH278" s="13" t="s">
        <v>295</v>
      </c>
      <c r="AI278" s="13" t="s">
        <v>296</v>
      </c>
      <c r="AJ278" s="13" t="s">
        <v>297</v>
      </c>
      <c r="AK278" s="13" t="s">
        <v>293</v>
      </c>
      <c r="AL278" s="233"/>
    </row>
    <row r="279" spans="2:98" x14ac:dyDescent="0.3">
      <c r="B279" s="232"/>
      <c r="C279" s="250">
        <f>YEAR(FY_Date)</f>
        <v>2013</v>
      </c>
      <c r="D279" s="263">
        <f ca="1">+D29+D79+D129+D179+D229</f>
        <v>0</v>
      </c>
      <c r="E279" s="263">
        <f t="shared" ref="E279:G279" ca="1" si="254">+E29+E79+E129+E179+E229</f>
        <v>0</v>
      </c>
      <c r="F279" s="263">
        <f t="shared" ca="1" si="254"/>
        <v>0</v>
      </c>
      <c r="G279" s="263">
        <f t="shared" ca="1" si="254"/>
        <v>0</v>
      </c>
      <c r="H279" s="15"/>
      <c r="I279" s="51">
        <f ca="1">I229</f>
        <v>3.7</v>
      </c>
      <c r="J279" s="51">
        <f t="shared" ref="J279:K279" ca="1" si="255">J229</f>
        <v>101</v>
      </c>
      <c r="K279" s="51">
        <f t="shared" ca="1" si="255"/>
        <v>50.5</v>
      </c>
      <c r="L279" s="15"/>
      <c r="M279" s="51">
        <f ca="1">M229</f>
        <v>3.4779999999999998</v>
      </c>
      <c r="N279" s="51">
        <f t="shared" ref="N279:O279" ca="1" si="256">N229</f>
        <v>80.800000000000011</v>
      </c>
      <c r="O279" s="51">
        <f t="shared" ca="1" si="256"/>
        <v>40.400000000000006</v>
      </c>
      <c r="P279" s="15"/>
      <c r="Q279" s="265">
        <f ca="1">+Q29+Q79+Q129+Q179+Q229</f>
        <v>0</v>
      </c>
      <c r="R279" s="265">
        <f t="shared" ref="R279:T279" ca="1" si="257">+R29+R79+R129+R179+R229</f>
        <v>0</v>
      </c>
      <c r="S279" s="265">
        <f t="shared" ca="1" si="257"/>
        <v>0</v>
      </c>
      <c r="T279" s="265">
        <f t="shared" ca="1" si="257"/>
        <v>0</v>
      </c>
      <c r="U279" s="15"/>
      <c r="V279" s="51">
        <f>V229</f>
        <v>0.7</v>
      </c>
      <c r="W279" s="265">
        <f t="shared" ref="W279:Y294" ca="1" si="258">+W29+W79+W129+W179+W229</f>
        <v>0</v>
      </c>
      <c r="X279" s="51">
        <f>X229</f>
        <v>0.222</v>
      </c>
      <c r="Y279" s="265">
        <f t="shared" ca="1" si="258"/>
        <v>0</v>
      </c>
      <c r="Z279" s="51">
        <f>Z229</f>
        <v>0.34799999999999998</v>
      </c>
      <c r="AA279" s="265">
        <f t="shared" ref="AA279:AB294" ca="1" si="259">+AA29+AA79+AA129+AA179+AA229</f>
        <v>0</v>
      </c>
      <c r="AB279" s="265">
        <f t="shared" ca="1" si="259"/>
        <v>0</v>
      </c>
      <c r="AC279" s="15"/>
      <c r="AD279" s="265">
        <f t="shared" ref="AD279:AF294" ca="1" si="260">+AD29+AD79+AD129+AD179+AD229</f>
        <v>0</v>
      </c>
      <c r="AE279" s="265">
        <f t="shared" ca="1" si="260"/>
        <v>0</v>
      </c>
      <c r="AF279" s="265">
        <f t="shared" ca="1" si="260"/>
        <v>0</v>
      </c>
      <c r="AG279" s="15"/>
      <c r="AH279" s="266"/>
      <c r="AI279" s="267"/>
      <c r="AJ279" s="267"/>
      <c r="AK279" s="265">
        <f t="shared" ref="AK279:AK319" ca="1" si="261">+AK29+AK79+AK129+AK179+AK229</f>
        <v>0</v>
      </c>
      <c r="AL279" s="233"/>
    </row>
    <row r="280" spans="2:98" x14ac:dyDescent="0.3">
      <c r="B280" s="232"/>
      <c r="C280" s="270">
        <f>C279+1</f>
        <v>2014</v>
      </c>
      <c r="D280" s="263">
        <f t="shared" ref="D280:G295" ca="1" si="262">+D30+D80+D130+D180+D230</f>
        <v>0</v>
      </c>
      <c r="E280" s="263">
        <f t="shared" ca="1" si="262"/>
        <v>2477.2521213858349</v>
      </c>
      <c r="F280" s="263">
        <f t="shared" ca="1" si="262"/>
        <v>0</v>
      </c>
      <c r="G280" s="263">
        <f t="shared" ca="1" si="262"/>
        <v>14863.51272831501</v>
      </c>
      <c r="H280" s="15"/>
      <c r="I280" s="35">
        <f t="shared" ref="I280:K295" ca="1" si="263">I230</f>
        <v>3.8</v>
      </c>
      <c r="J280" s="35">
        <f t="shared" ca="1" si="263"/>
        <v>92</v>
      </c>
      <c r="K280" s="35">
        <f t="shared" ca="1" si="263"/>
        <v>46</v>
      </c>
      <c r="L280" s="15"/>
      <c r="M280" s="35">
        <f t="shared" ref="M280:O295" ca="1" si="264">M230</f>
        <v>3.5719999999999996</v>
      </c>
      <c r="N280" s="35">
        <f t="shared" ca="1" si="264"/>
        <v>73.600000000000009</v>
      </c>
      <c r="O280" s="35">
        <f t="shared" ca="1" si="264"/>
        <v>36.800000000000004</v>
      </c>
      <c r="P280" s="15"/>
      <c r="Q280" s="34">
        <f t="shared" ref="Q280:T295" ca="1" si="265">+Q30+Q80+Q130+Q180+Q230</f>
        <v>0</v>
      </c>
      <c r="R280" s="34">
        <f t="shared" ca="1" si="265"/>
        <v>182325.75613399746</v>
      </c>
      <c r="S280" s="34">
        <f t="shared" ca="1" si="265"/>
        <v>0</v>
      </c>
      <c r="T280" s="34">
        <f t="shared" ca="1" si="265"/>
        <v>182325.75613399746</v>
      </c>
      <c r="U280" s="15"/>
      <c r="V280" s="35">
        <f t="shared" ref="V280:X295" si="266">V230</f>
        <v>0.7</v>
      </c>
      <c r="W280" s="34">
        <f t="shared" ca="1" si="258"/>
        <v>12611.465345236978</v>
      </c>
      <c r="X280" s="35">
        <f t="shared" si="266"/>
        <v>0.222</v>
      </c>
      <c r="Y280" s="34">
        <f t="shared" ca="1" si="258"/>
        <v>3999.6361523465848</v>
      </c>
      <c r="Z280" s="35">
        <f t="shared" ref="Z280:Z319" si="267">Z230</f>
        <v>0.34799999999999998</v>
      </c>
      <c r="AA280" s="34">
        <f t="shared" ca="1" si="259"/>
        <v>6269.6999144892407</v>
      </c>
      <c r="AB280" s="34">
        <f t="shared" ca="1" si="259"/>
        <v>22880.801412072804</v>
      </c>
      <c r="AC280" s="15"/>
      <c r="AD280" s="34">
        <f t="shared" ca="1" si="260"/>
        <v>159444.95472192467</v>
      </c>
      <c r="AE280" s="34">
        <f t="shared" ca="1" si="260"/>
        <v>64294.675800625773</v>
      </c>
      <c r="AF280" s="34">
        <f t="shared" ca="1" si="260"/>
        <v>95150.278921298886</v>
      </c>
      <c r="AG280" s="15"/>
      <c r="AH280" s="272"/>
      <c r="AI280" s="267"/>
      <c r="AJ280" s="267"/>
      <c r="AK280" s="34">
        <f t="shared" ca="1" si="261"/>
        <v>89292.491736894503</v>
      </c>
      <c r="AL280" s="233"/>
    </row>
    <row r="281" spans="2:98" x14ac:dyDescent="0.3">
      <c r="B281" s="232"/>
      <c r="C281" s="250">
        <f t="shared" ref="C281:C319" si="268">C280+1</f>
        <v>2015</v>
      </c>
      <c r="D281" s="263">
        <f t="shared" ca="1" si="262"/>
        <v>0</v>
      </c>
      <c r="E281" s="263">
        <f t="shared" ca="1" si="262"/>
        <v>2927.4439299276987</v>
      </c>
      <c r="F281" s="263">
        <f t="shared" ca="1" si="262"/>
        <v>0</v>
      </c>
      <c r="G281" s="263">
        <f t="shared" ca="1" si="262"/>
        <v>17564.663579566193</v>
      </c>
      <c r="H281" s="15"/>
      <c r="I281" s="35">
        <f t="shared" ca="1" si="263"/>
        <v>4</v>
      </c>
      <c r="J281" s="35">
        <f t="shared" ca="1" si="263"/>
        <v>88</v>
      </c>
      <c r="K281" s="35">
        <f t="shared" ca="1" si="263"/>
        <v>44</v>
      </c>
      <c r="L281" s="15"/>
      <c r="M281" s="35">
        <f t="shared" ca="1" si="264"/>
        <v>3.76</v>
      </c>
      <c r="N281" s="35">
        <f t="shared" ca="1" si="264"/>
        <v>70.400000000000006</v>
      </c>
      <c r="O281" s="35">
        <f t="shared" ca="1" si="264"/>
        <v>35.200000000000003</v>
      </c>
      <c r="P281" s="15"/>
      <c r="Q281" s="34">
        <f t="shared" ca="1" si="265"/>
        <v>0</v>
      </c>
      <c r="R281" s="34">
        <f t="shared" ca="1" si="265"/>
        <v>206092.05266690999</v>
      </c>
      <c r="S281" s="34">
        <f t="shared" ca="1" si="265"/>
        <v>0</v>
      </c>
      <c r="T281" s="34">
        <f t="shared" ca="1" si="265"/>
        <v>206092.05266690999</v>
      </c>
      <c r="U281" s="15"/>
      <c r="V281" s="35">
        <f t="shared" si="266"/>
        <v>0.7</v>
      </c>
      <c r="W281" s="34">
        <f t="shared" ca="1" si="258"/>
        <v>14903.350915995557</v>
      </c>
      <c r="X281" s="35">
        <f t="shared" si="266"/>
        <v>0.222</v>
      </c>
      <c r="Y281" s="34">
        <f t="shared" ca="1" si="258"/>
        <v>4726.491290501448</v>
      </c>
      <c r="Z281" s="35">
        <f t="shared" si="267"/>
        <v>0.34799999999999998</v>
      </c>
      <c r="AA281" s="34">
        <f t="shared" ca="1" si="259"/>
        <v>7409.0944553806485</v>
      </c>
      <c r="AB281" s="34">
        <f t="shared" ca="1" si="259"/>
        <v>27038.936661877655</v>
      </c>
      <c r="AC281" s="15"/>
      <c r="AD281" s="34">
        <f t="shared" ca="1" si="260"/>
        <v>179053.11600503235</v>
      </c>
      <c r="AE281" s="34">
        <f t="shared" ca="1" si="260"/>
        <v>64135.292341282577</v>
      </c>
      <c r="AF281" s="34">
        <f t="shared" ca="1" si="260"/>
        <v>114917.82366374978</v>
      </c>
      <c r="AG281" s="15"/>
      <c r="AH281" s="273"/>
      <c r="AI281" s="267"/>
      <c r="AJ281" s="267"/>
      <c r="AK281" s="34">
        <f t="shared" ca="1" si="261"/>
        <v>98039.160561661207</v>
      </c>
      <c r="AL281" s="233"/>
    </row>
    <row r="282" spans="2:98" x14ac:dyDescent="0.3">
      <c r="B282" s="232"/>
      <c r="C282" s="250">
        <f t="shared" si="268"/>
        <v>2016</v>
      </c>
      <c r="D282" s="263">
        <f t="shared" ca="1" si="262"/>
        <v>0</v>
      </c>
      <c r="E282" s="263">
        <f t="shared" ca="1" si="262"/>
        <v>3051.0674399615082</v>
      </c>
      <c r="F282" s="263">
        <f t="shared" ca="1" si="262"/>
        <v>0</v>
      </c>
      <c r="G282" s="263">
        <f t="shared" ca="1" si="262"/>
        <v>18306.404639769054</v>
      </c>
      <c r="H282" s="15"/>
      <c r="I282" s="35">
        <f t="shared" ca="1" si="263"/>
        <v>4.0999999999999996</v>
      </c>
      <c r="J282" s="35">
        <f t="shared" ca="1" si="263"/>
        <v>84</v>
      </c>
      <c r="K282" s="35">
        <f t="shared" ca="1" si="263"/>
        <v>42</v>
      </c>
      <c r="L282" s="15"/>
      <c r="M282" s="35">
        <f t="shared" ca="1" si="264"/>
        <v>3.8539999999999996</v>
      </c>
      <c r="N282" s="35">
        <f t="shared" ca="1" si="264"/>
        <v>67.2</v>
      </c>
      <c r="O282" s="35">
        <f t="shared" ca="1" si="264"/>
        <v>33.6</v>
      </c>
      <c r="P282" s="15"/>
      <c r="Q282" s="34">
        <f t="shared" ca="1" si="265"/>
        <v>0</v>
      </c>
      <c r="R282" s="34">
        <f t="shared" ca="1" si="265"/>
        <v>205031.73196541338</v>
      </c>
      <c r="S282" s="34">
        <f t="shared" ca="1" si="265"/>
        <v>0</v>
      </c>
      <c r="T282" s="34">
        <f t="shared" ca="1" si="265"/>
        <v>205031.73196541338</v>
      </c>
      <c r="U282" s="15"/>
      <c r="V282" s="35">
        <f t="shared" si="266"/>
        <v>0.7</v>
      </c>
      <c r="W282" s="34">
        <f t="shared" ca="1" si="258"/>
        <v>15532.706967076771</v>
      </c>
      <c r="X282" s="35">
        <f t="shared" si="266"/>
        <v>0.222</v>
      </c>
      <c r="Y282" s="34">
        <f t="shared" ca="1" si="258"/>
        <v>4926.0870667014906</v>
      </c>
      <c r="Z282" s="35">
        <f t="shared" si="267"/>
        <v>0.34799999999999998</v>
      </c>
      <c r="AA282" s="34">
        <f t="shared" ca="1" si="259"/>
        <v>7721.974320775309</v>
      </c>
      <c r="AB282" s="34">
        <f t="shared" ca="1" si="259"/>
        <v>28180.768354553569</v>
      </c>
      <c r="AC282" s="15"/>
      <c r="AD282" s="34">
        <f t="shared" ca="1" si="260"/>
        <v>176850.96361085979</v>
      </c>
      <c r="AE282" s="34">
        <f t="shared" ca="1" si="260"/>
        <v>56654.381434241885</v>
      </c>
      <c r="AF282" s="34">
        <f t="shared" ca="1" si="260"/>
        <v>120196.58217661793</v>
      </c>
      <c r="AG282" s="15"/>
      <c r="AH282" s="273"/>
      <c r="AI282" s="267"/>
      <c r="AJ282" s="267"/>
      <c r="AK282" s="34">
        <f t="shared" ca="1" si="261"/>
        <v>93220.54224398185</v>
      </c>
      <c r="AL282" s="233"/>
    </row>
    <row r="283" spans="2:98" x14ac:dyDescent="0.3">
      <c r="B283" s="232"/>
      <c r="C283" s="250">
        <f t="shared" si="268"/>
        <v>2017</v>
      </c>
      <c r="D283" s="263">
        <f t="shared" ca="1" si="262"/>
        <v>0</v>
      </c>
      <c r="E283" s="263">
        <f t="shared" ca="1" si="262"/>
        <v>2771.2487501114101</v>
      </c>
      <c r="F283" s="263">
        <f t="shared" ca="1" si="262"/>
        <v>0</v>
      </c>
      <c r="G283" s="263">
        <f t="shared" ca="1" si="262"/>
        <v>16627.492500668461</v>
      </c>
      <c r="H283" s="15"/>
      <c r="I283" s="35">
        <f t="shared" ca="1" si="263"/>
        <v>4.2</v>
      </c>
      <c r="J283" s="35">
        <f t="shared" ca="1" si="263"/>
        <v>82</v>
      </c>
      <c r="K283" s="35">
        <f t="shared" ca="1" si="263"/>
        <v>41</v>
      </c>
      <c r="L283" s="15"/>
      <c r="M283" s="35">
        <f t="shared" ca="1" si="264"/>
        <v>3.948</v>
      </c>
      <c r="N283" s="35">
        <f t="shared" ca="1" si="264"/>
        <v>65.600000000000009</v>
      </c>
      <c r="O283" s="35">
        <f t="shared" ca="1" si="264"/>
        <v>32.800000000000004</v>
      </c>
      <c r="P283" s="15"/>
      <c r="Q283" s="34">
        <f t="shared" ca="1" si="265"/>
        <v>0</v>
      </c>
      <c r="R283" s="34">
        <f t="shared" ca="1" si="265"/>
        <v>181793.9180073085</v>
      </c>
      <c r="S283" s="34">
        <f t="shared" ca="1" si="265"/>
        <v>0</v>
      </c>
      <c r="T283" s="34">
        <f t="shared" ca="1" si="265"/>
        <v>181793.9180073085</v>
      </c>
      <c r="U283" s="15"/>
      <c r="V283" s="35">
        <f t="shared" si="266"/>
        <v>0.7</v>
      </c>
      <c r="W283" s="34">
        <f t="shared" ca="1" si="258"/>
        <v>14108.175455112632</v>
      </c>
      <c r="X283" s="35">
        <f t="shared" si="266"/>
        <v>0.222</v>
      </c>
      <c r="Y283" s="34">
        <f t="shared" ca="1" si="258"/>
        <v>4474.3070729071496</v>
      </c>
      <c r="Z283" s="35">
        <f t="shared" si="267"/>
        <v>0.34799999999999998</v>
      </c>
      <c r="AA283" s="34">
        <f t="shared" ca="1" si="259"/>
        <v>7013.7786548274235</v>
      </c>
      <c r="AB283" s="34">
        <f t="shared" ca="1" si="259"/>
        <v>25596.261182847204</v>
      </c>
      <c r="AC283" s="15"/>
      <c r="AD283" s="34">
        <f t="shared" ca="1" si="260"/>
        <v>156197.6568244613</v>
      </c>
      <c r="AE283" s="34">
        <f t="shared" ca="1" si="260"/>
        <v>32511.738054835303</v>
      </c>
      <c r="AF283" s="34">
        <f t="shared" ca="1" si="260"/>
        <v>123685.91876962601</v>
      </c>
      <c r="AG283" s="15"/>
      <c r="AH283" s="273"/>
      <c r="AI283" s="267"/>
      <c r="AJ283" s="267"/>
      <c r="AK283" s="34">
        <f t="shared" ca="1" si="261"/>
        <v>87206.143369876605</v>
      </c>
      <c r="AL283" s="233"/>
    </row>
    <row r="284" spans="2:98" x14ac:dyDescent="0.3">
      <c r="B284" s="232"/>
      <c r="C284" s="250">
        <f t="shared" si="268"/>
        <v>2018</v>
      </c>
      <c r="D284" s="263">
        <f t="shared" ca="1" si="262"/>
        <v>0</v>
      </c>
      <c r="E284" s="263">
        <f t="shared" ca="1" si="262"/>
        <v>2714.6554055923179</v>
      </c>
      <c r="F284" s="263">
        <f t="shared" ca="1" si="262"/>
        <v>0</v>
      </c>
      <c r="G284" s="263">
        <f t="shared" ca="1" si="262"/>
        <v>16287.932433553908</v>
      </c>
      <c r="H284" s="15"/>
      <c r="I284" s="35">
        <f t="shared" ca="1" si="263"/>
        <v>4.5</v>
      </c>
      <c r="J284" s="35">
        <f t="shared" ca="1" si="263"/>
        <v>80</v>
      </c>
      <c r="K284" s="35">
        <f t="shared" ca="1" si="263"/>
        <v>40</v>
      </c>
      <c r="L284" s="15"/>
      <c r="M284" s="35">
        <f t="shared" ca="1" si="264"/>
        <v>4.2299999999999995</v>
      </c>
      <c r="N284" s="35">
        <f t="shared" ca="1" si="264"/>
        <v>64</v>
      </c>
      <c r="O284" s="35">
        <f t="shared" ca="1" si="264"/>
        <v>32</v>
      </c>
      <c r="P284" s="15"/>
      <c r="Q284" s="34">
        <f t="shared" ca="1" si="265"/>
        <v>0</v>
      </c>
      <c r="R284" s="34">
        <f t="shared" ca="1" si="265"/>
        <v>173737.94595790835</v>
      </c>
      <c r="S284" s="34">
        <f t="shared" ca="1" si="265"/>
        <v>0</v>
      </c>
      <c r="T284" s="34">
        <f t="shared" ca="1" si="265"/>
        <v>173737.94595790835</v>
      </c>
      <c r="U284" s="15"/>
      <c r="V284" s="35">
        <f t="shared" si="266"/>
        <v>0.7</v>
      </c>
      <c r="W284" s="34">
        <f t="shared" ca="1" si="258"/>
        <v>13820.063883015437</v>
      </c>
      <c r="X284" s="35">
        <f t="shared" si="266"/>
        <v>0.222</v>
      </c>
      <c r="Y284" s="34">
        <f t="shared" ca="1" si="258"/>
        <v>4382.934545756325</v>
      </c>
      <c r="Z284" s="35">
        <f t="shared" si="267"/>
        <v>0.34799999999999998</v>
      </c>
      <c r="AA284" s="34">
        <f t="shared" ca="1" si="259"/>
        <v>6870.5460446991028</v>
      </c>
      <c r="AB284" s="34">
        <f t="shared" ca="1" si="259"/>
        <v>25073.544473470862</v>
      </c>
      <c r="AC284" s="15"/>
      <c r="AD284" s="34">
        <f t="shared" ca="1" si="260"/>
        <v>148664.40148443746</v>
      </c>
      <c r="AE284" s="34">
        <f t="shared" ca="1" si="260"/>
        <v>32395.577805728826</v>
      </c>
      <c r="AF284" s="34">
        <f t="shared" ca="1" si="260"/>
        <v>116268.82367870865</v>
      </c>
      <c r="AG284" s="15"/>
      <c r="AH284" s="273"/>
      <c r="AI284" s="267"/>
      <c r="AJ284" s="267"/>
      <c r="AK284" s="34">
        <f t="shared" ca="1" si="261"/>
        <v>74524.215764592169</v>
      </c>
      <c r="AL284" s="233"/>
    </row>
    <row r="285" spans="2:98" x14ac:dyDescent="0.3">
      <c r="B285" s="232"/>
      <c r="C285" s="250">
        <f t="shared" si="268"/>
        <v>2019</v>
      </c>
      <c r="D285" s="263">
        <f t="shared" ca="1" si="262"/>
        <v>0</v>
      </c>
      <c r="E285" s="263">
        <f t="shared" ca="1" si="262"/>
        <v>2719.4219604287127</v>
      </c>
      <c r="F285" s="263">
        <f t="shared" ca="1" si="262"/>
        <v>0</v>
      </c>
      <c r="G285" s="263">
        <f t="shared" ca="1" si="262"/>
        <v>16316.531762572275</v>
      </c>
      <c r="H285" s="15"/>
      <c r="I285" s="35">
        <f t="shared" ca="1" si="263"/>
        <v>4.5</v>
      </c>
      <c r="J285" s="35">
        <f t="shared" ca="1" si="263"/>
        <v>80</v>
      </c>
      <c r="K285" s="35">
        <f t="shared" ca="1" si="263"/>
        <v>40</v>
      </c>
      <c r="L285" s="15"/>
      <c r="M285" s="35">
        <f t="shared" ca="1" si="264"/>
        <v>4.2299999999999995</v>
      </c>
      <c r="N285" s="35">
        <f t="shared" ca="1" si="264"/>
        <v>64</v>
      </c>
      <c r="O285" s="35">
        <f t="shared" ca="1" si="264"/>
        <v>32</v>
      </c>
      <c r="P285" s="15"/>
      <c r="Q285" s="34">
        <f t="shared" ca="1" si="265"/>
        <v>0</v>
      </c>
      <c r="R285" s="34">
        <f t="shared" ca="1" si="265"/>
        <v>174043.00546743762</v>
      </c>
      <c r="S285" s="34">
        <f t="shared" ca="1" si="265"/>
        <v>0</v>
      </c>
      <c r="T285" s="34">
        <f t="shared" ca="1" si="265"/>
        <v>174043.00546743762</v>
      </c>
      <c r="U285" s="15"/>
      <c r="V285" s="35">
        <f t="shared" si="266"/>
        <v>0.7</v>
      </c>
      <c r="W285" s="34">
        <f t="shared" ca="1" si="258"/>
        <v>13844.329980364353</v>
      </c>
      <c r="X285" s="35">
        <f t="shared" si="266"/>
        <v>0.222</v>
      </c>
      <c r="Y285" s="34">
        <f t="shared" ca="1" si="258"/>
        <v>4390.6303652012666</v>
      </c>
      <c r="Z285" s="35">
        <f t="shared" si="267"/>
        <v>0.34799999999999998</v>
      </c>
      <c r="AA285" s="34">
        <f t="shared" ca="1" si="259"/>
        <v>6882.6097616668503</v>
      </c>
      <c r="AB285" s="34">
        <f t="shared" ca="1" si="259"/>
        <v>25117.570107232466</v>
      </c>
      <c r="AC285" s="15"/>
      <c r="AD285" s="34">
        <f t="shared" ca="1" si="260"/>
        <v>148925.43536020513</v>
      </c>
      <c r="AE285" s="34">
        <f t="shared" ca="1" si="260"/>
        <v>32291.042667779759</v>
      </c>
      <c r="AF285" s="34">
        <f t="shared" ca="1" si="260"/>
        <v>116634.39269242538</v>
      </c>
      <c r="AG285" s="15"/>
      <c r="AH285" s="273"/>
      <c r="AI285" s="267"/>
      <c r="AJ285" s="267"/>
      <c r="AK285" s="34">
        <f t="shared" ca="1" si="261"/>
        <v>67962.302373285536</v>
      </c>
      <c r="AL285" s="233"/>
    </row>
    <row r="286" spans="2:98" x14ac:dyDescent="0.3">
      <c r="B286" s="232"/>
      <c r="C286" s="250">
        <f t="shared" si="268"/>
        <v>2020</v>
      </c>
      <c r="D286" s="263">
        <f t="shared" ca="1" si="262"/>
        <v>0</v>
      </c>
      <c r="E286" s="263">
        <f t="shared" ca="1" si="262"/>
        <v>2297.9760357333257</v>
      </c>
      <c r="F286" s="263">
        <f t="shared" ca="1" si="262"/>
        <v>0</v>
      </c>
      <c r="G286" s="263">
        <f t="shared" ca="1" si="262"/>
        <v>13787.856214399953</v>
      </c>
      <c r="H286" s="15"/>
      <c r="I286" s="35">
        <f t="shared" ca="1" si="263"/>
        <v>4.5</v>
      </c>
      <c r="J286" s="35">
        <f t="shared" ca="1" si="263"/>
        <v>80</v>
      </c>
      <c r="K286" s="35">
        <f t="shared" ca="1" si="263"/>
        <v>40</v>
      </c>
      <c r="L286" s="15"/>
      <c r="M286" s="35">
        <f t="shared" ca="1" si="264"/>
        <v>4.2299999999999995</v>
      </c>
      <c r="N286" s="35">
        <f t="shared" ca="1" si="264"/>
        <v>64</v>
      </c>
      <c r="O286" s="35">
        <f t="shared" ca="1" si="264"/>
        <v>32</v>
      </c>
      <c r="P286" s="15"/>
      <c r="Q286" s="34">
        <f t="shared" ca="1" si="265"/>
        <v>0</v>
      </c>
      <c r="R286" s="34">
        <f t="shared" ca="1" si="265"/>
        <v>147070.46628693285</v>
      </c>
      <c r="S286" s="34">
        <f t="shared" ca="1" si="265"/>
        <v>0</v>
      </c>
      <c r="T286" s="34">
        <f t="shared" ca="1" si="265"/>
        <v>147070.46628693285</v>
      </c>
      <c r="U286" s="15"/>
      <c r="V286" s="35">
        <f t="shared" si="266"/>
        <v>0.7</v>
      </c>
      <c r="W286" s="34">
        <f t="shared" ca="1" si="258"/>
        <v>11698.787091006021</v>
      </c>
      <c r="X286" s="35">
        <f t="shared" si="266"/>
        <v>0.222</v>
      </c>
      <c r="Y286" s="34">
        <f t="shared" ca="1" si="258"/>
        <v>3710.1867631476239</v>
      </c>
      <c r="Z286" s="35">
        <f t="shared" si="267"/>
        <v>0.34799999999999998</v>
      </c>
      <c r="AA286" s="34">
        <f t="shared" ca="1" si="259"/>
        <v>5815.9684395287077</v>
      </c>
      <c r="AB286" s="34">
        <f t="shared" ca="1" si="259"/>
        <v>21224.942293682354</v>
      </c>
      <c r="AC286" s="15"/>
      <c r="AD286" s="34">
        <f t="shared" ca="1" si="260"/>
        <v>125845.52399325049</v>
      </c>
      <c r="AE286" s="34">
        <f t="shared" ca="1" si="260"/>
        <v>9250.6735683630322</v>
      </c>
      <c r="AF286" s="34">
        <f t="shared" ca="1" si="260"/>
        <v>116594.85042488744</v>
      </c>
      <c r="AG286" s="15"/>
      <c r="AH286" s="273"/>
      <c r="AI286" s="267"/>
      <c r="AJ286" s="267"/>
      <c r="AK286" s="34">
        <f t="shared" ca="1" si="261"/>
        <v>61762.964802957089</v>
      </c>
      <c r="AL286" s="233"/>
    </row>
    <row r="287" spans="2:98" x14ac:dyDescent="0.3">
      <c r="B287" s="232"/>
      <c r="C287" s="250">
        <f t="shared" si="268"/>
        <v>2021</v>
      </c>
      <c r="D287" s="263">
        <f t="shared" ca="1" si="262"/>
        <v>0</v>
      </c>
      <c r="E287" s="263">
        <f t="shared" ca="1" si="262"/>
        <v>2049.3738423364698</v>
      </c>
      <c r="F287" s="263">
        <f t="shared" ca="1" si="262"/>
        <v>0</v>
      </c>
      <c r="G287" s="263">
        <f t="shared" ca="1" si="262"/>
        <v>12296.24305401882</v>
      </c>
      <c r="H287" s="15"/>
      <c r="I287" s="35">
        <f t="shared" ca="1" si="263"/>
        <v>4.5</v>
      </c>
      <c r="J287" s="35">
        <f t="shared" ca="1" si="263"/>
        <v>80</v>
      </c>
      <c r="K287" s="35">
        <f t="shared" ca="1" si="263"/>
        <v>40</v>
      </c>
      <c r="L287" s="15"/>
      <c r="M287" s="35">
        <f t="shared" ca="1" si="264"/>
        <v>4.2299999999999995</v>
      </c>
      <c r="N287" s="35">
        <f t="shared" ca="1" si="264"/>
        <v>64</v>
      </c>
      <c r="O287" s="35">
        <f t="shared" ca="1" si="264"/>
        <v>32</v>
      </c>
      <c r="P287" s="15"/>
      <c r="Q287" s="34">
        <f t="shared" ca="1" si="265"/>
        <v>0</v>
      </c>
      <c r="R287" s="34">
        <f t="shared" ca="1" si="265"/>
        <v>131159.92590953407</v>
      </c>
      <c r="S287" s="34">
        <f t="shared" ca="1" si="265"/>
        <v>0</v>
      </c>
      <c r="T287" s="34">
        <f t="shared" ca="1" si="265"/>
        <v>131159.92590953407</v>
      </c>
      <c r="U287" s="15"/>
      <c r="V287" s="35">
        <f t="shared" si="266"/>
        <v>0.7</v>
      </c>
      <c r="W287" s="34">
        <f t="shared" ca="1" si="258"/>
        <v>10433.175924622028</v>
      </c>
      <c r="X287" s="35">
        <f t="shared" si="266"/>
        <v>0.222</v>
      </c>
      <c r="Y287" s="34">
        <f t="shared" ca="1" si="258"/>
        <v>3308.8072218087009</v>
      </c>
      <c r="Z287" s="35">
        <f t="shared" si="267"/>
        <v>0.34799999999999998</v>
      </c>
      <c r="AA287" s="34">
        <f t="shared" ca="1" si="259"/>
        <v>5186.7788882406658</v>
      </c>
      <c r="AB287" s="34">
        <f t="shared" ca="1" si="259"/>
        <v>18928.762034671396</v>
      </c>
      <c r="AC287" s="15"/>
      <c r="AD287" s="34">
        <f t="shared" ca="1" si="260"/>
        <v>112231.16387486269</v>
      </c>
      <c r="AE287" s="34">
        <f t="shared" ca="1" si="260"/>
        <v>7031.4756939903109</v>
      </c>
      <c r="AF287" s="34">
        <f t="shared" ca="1" si="260"/>
        <v>105199.68818087237</v>
      </c>
      <c r="AG287" s="15"/>
      <c r="AH287" s="273"/>
      <c r="AI287" s="267"/>
      <c r="AJ287" s="267"/>
      <c r="AK287" s="34">
        <f t="shared" ca="1" si="261"/>
        <v>50660.623788815486</v>
      </c>
      <c r="AL287" s="233"/>
    </row>
    <row r="288" spans="2:98" x14ac:dyDescent="0.3">
      <c r="B288" s="232"/>
      <c r="C288" s="250">
        <f t="shared" si="268"/>
        <v>2022</v>
      </c>
      <c r="D288" s="263">
        <f t="shared" ca="1" si="262"/>
        <v>0</v>
      </c>
      <c r="E288" s="263">
        <f t="shared" ca="1" si="262"/>
        <v>1894.6967368005232</v>
      </c>
      <c r="F288" s="263">
        <f t="shared" ca="1" si="262"/>
        <v>0</v>
      </c>
      <c r="G288" s="263">
        <f t="shared" ca="1" si="262"/>
        <v>11368.180420803141</v>
      </c>
      <c r="H288" s="15"/>
      <c r="I288" s="35">
        <f t="shared" ca="1" si="263"/>
        <v>4.5</v>
      </c>
      <c r="J288" s="35">
        <f t="shared" ca="1" si="263"/>
        <v>80</v>
      </c>
      <c r="K288" s="35">
        <f t="shared" ca="1" si="263"/>
        <v>40</v>
      </c>
      <c r="L288" s="15"/>
      <c r="M288" s="35">
        <f t="shared" ca="1" si="264"/>
        <v>4.2299999999999995</v>
      </c>
      <c r="N288" s="35">
        <f t="shared" ca="1" si="264"/>
        <v>64</v>
      </c>
      <c r="O288" s="35">
        <f t="shared" ca="1" si="264"/>
        <v>32</v>
      </c>
      <c r="P288" s="15"/>
      <c r="Q288" s="34">
        <f t="shared" ca="1" si="265"/>
        <v>0</v>
      </c>
      <c r="R288" s="34">
        <f t="shared" ca="1" si="265"/>
        <v>121260.59115523349</v>
      </c>
      <c r="S288" s="34">
        <f t="shared" ca="1" si="265"/>
        <v>0</v>
      </c>
      <c r="T288" s="34">
        <f t="shared" ca="1" si="265"/>
        <v>121260.59115523349</v>
      </c>
      <c r="U288" s="15"/>
      <c r="V288" s="35">
        <f t="shared" si="266"/>
        <v>0.7</v>
      </c>
      <c r="W288" s="34">
        <f t="shared" ca="1" si="258"/>
        <v>9645.7288418935732</v>
      </c>
      <c r="X288" s="35">
        <f t="shared" si="266"/>
        <v>0.222</v>
      </c>
      <c r="Y288" s="34">
        <f t="shared" ca="1" si="258"/>
        <v>3059.0740041433905</v>
      </c>
      <c r="Z288" s="35">
        <f t="shared" si="267"/>
        <v>0.34799999999999998</v>
      </c>
      <c r="AA288" s="34">
        <f t="shared" ca="1" si="259"/>
        <v>4795.3051956842337</v>
      </c>
      <c r="AB288" s="34">
        <f t="shared" ca="1" si="259"/>
        <v>17500.108041721196</v>
      </c>
      <c r="AC288" s="15"/>
      <c r="AD288" s="34">
        <f t="shared" ca="1" si="260"/>
        <v>103760.48311351229</v>
      </c>
      <c r="AE288" s="34">
        <f t="shared" ca="1" si="260"/>
        <v>6955.289446593104</v>
      </c>
      <c r="AF288" s="34">
        <f t="shared" ca="1" si="260"/>
        <v>96805.193666919193</v>
      </c>
      <c r="AG288" s="15"/>
      <c r="AH288" s="273"/>
      <c r="AI288" s="267"/>
      <c r="AJ288" s="267"/>
      <c r="AK288" s="34">
        <f t="shared" ca="1" si="261"/>
        <v>42380.107445421381</v>
      </c>
      <c r="AL288" s="233"/>
    </row>
    <row r="289" spans="2:38" x14ac:dyDescent="0.3">
      <c r="B289" s="232"/>
      <c r="C289" s="250">
        <f t="shared" si="268"/>
        <v>2023</v>
      </c>
      <c r="D289" s="263">
        <f t="shared" ca="1" si="262"/>
        <v>0</v>
      </c>
      <c r="E289" s="263">
        <f t="shared" ca="1" si="262"/>
        <v>1760.4427533349262</v>
      </c>
      <c r="F289" s="263">
        <f t="shared" ca="1" si="262"/>
        <v>0</v>
      </c>
      <c r="G289" s="263">
        <f t="shared" ca="1" si="262"/>
        <v>10562.656520009557</v>
      </c>
      <c r="H289" s="15"/>
      <c r="I289" s="35">
        <f t="shared" ca="1" si="263"/>
        <v>4.5</v>
      </c>
      <c r="J289" s="35">
        <f t="shared" ca="1" si="263"/>
        <v>80</v>
      </c>
      <c r="K289" s="35">
        <f t="shared" ca="1" si="263"/>
        <v>40</v>
      </c>
      <c r="L289" s="15"/>
      <c r="M289" s="35">
        <f t="shared" ca="1" si="264"/>
        <v>4.2299999999999995</v>
      </c>
      <c r="N289" s="35">
        <f t="shared" ca="1" si="264"/>
        <v>64</v>
      </c>
      <c r="O289" s="35">
        <f t="shared" ca="1" si="264"/>
        <v>32</v>
      </c>
      <c r="P289" s="15"/>
      <c r="Q289" s="34">
        <f t="shared" ca="1" si="265"/>
        <v>0</v>
      </c>
      <c r="R289" s="34">
        <f t="shared" ca="1" si="265"/>
        <v>112668.33621343528</v>
      </c>
      <c r="S289" s="34">
        <f t="shared" ca="1" si="265"/>
        <v>0</v>
      </c>
      <c r="T289" s="34">
        <f t="shared" ca="1" si="265"/>
        <v>112668.33621343528</v>
      </c>
      <c r="U289" s="15"/>
      <c r="V289" s="35">
        <f t="shared" si="266"/>
        <v>0.7</v>
      </c>
      <c r="W289" s="34">
        <f t="shared" ca="1" si="258"/>
        <v>8962.2540169778076</v>
      </c>
      <c r="X289" s="35">
        <f t="shared" si="266"/>
        <v>0.222</v>
      </c>
      <c r="Y289" s="34">
        <f t="shared" ca="1" si="258"/>
        <v>2842.3148453843901</v>
      </c>
      <c r="Z289" s="35">
        <f t="shared" si="267"/>
        <v>0.34799999999999998</v>
      </c>
      <c r="AA289" s="34">
        <f t="shared" ca="1" si="259"/>
        <v>4455.5205684403954</v>
      </c>
      <c r="AB289" s="34">
        <f t="shared" ca="1" si="259"/>
        <v>16260.089430802591</v>
      </c>
      <c r="AC289" s="15"/>
      <c r="AD289" s="34">
        <f t="shared" ca="1" si="260"/>
        <v>96408.24678263269</v>
      </c>
      <c r="AE289" s="34">
        <f t="shared" ca="1" si="260"/>
        <v>6886.7277833498656</v>
      </c>
      <c r="AF289" s="34">
        <f t="shared" ca="1" si="260"/>
        <v>89521.518999282809</v>
      </c>
      <c r="AG289" s="15"/>
      <c r="AH289" s="273"/>
      <c r="AI289" s="267"/>
      <c r="AJ289" s="267"/>
      <c r="AK289" s="34">
        <f t="shared" ca="1" si="261"/>
        <v>35628.550401586952</v>
      </c>
      <c r="AL289" s="233"/>
    </row>
    <row r="290" spans="2:38" x14ac:dyDescent="0.3">
      <c r="B290" s="232"/>
      <c r="C290" s="250">
        <f t="shared" si="268"/>
        <v>2024</v>
      </c>
      <c r="D290" s="263">
        <f t="shared" ca="1" si="262"/>
        <v>0</v>
      </c>
      <c r="E290" s="263">
        <f t="shared" ca="1" si="262"/>
        <v>1639.6185926963899</v>
      </c>
      <c r="F290" s="263">
        <f t="shared" ca="1" si="262"/>
        <v>0</v>
      </c>
      <c r="G290" s="263">
        <f t="shared" ca="1" si="262"/>
        <v>9837.7115561783394</v>
      </c>
      <c r="H290" s="15"/>
      <c r="I290" s="35">
        <f t="shared" ca="1" si="263"/>
        <v>4.5</v>
      </c>
      <c r="J290" s="35">
        <f t="shared" ca="1" si="263"/>
        <v>80</v>
      </c>
      <c r="K290" s="35">
        <f t="shared" ca="1" si="263"/>
        <v>40</v>
      </c>
      <c r="L290" s="15"/>
      <c r="M290" s="35">
        <f t="shared" ca="1" si="264"/>
        <v>4.2299999999999995</v>
      </c>
      <c r="N290" s="35">
        <f t="shared" ca="1" si="264"/>
        <v>64</v>
      </c>
      <c r="O290" s="35">
        <f t="shared" ca="1" si="264"/>
        <v>32</v>
      </c>
      <c r="P290" s="15"/>
      <c r="Q290" s="34">
        <f t="shared" ca="1" si="265"/>
        <v>0</v>
      </c>
      <c r="R290" s="34">
        <f t="shared" ca="1" si="265"/>
        <v>104935.58993256895</v>
      </c>
      <c r="S290" s="34">
        <f t="shared" ca="1" si="265"/>
        <v>0</v>
      </c>
      <c r="T290" s="34">
        <f t="shared" ca="1" si="265"/>
        <v>104935.58993256895</v>
      </c>
      <c r="U290" s="15"/>
      <c r="V290" s="35">
        <f t="shared" si="266"/>
        <v>0.7</v>
      </c>
      <c r="W290" s="34">
        <f t="shared" ca="1" si="258"/>
        <v>8347.1491991816201</v>
      </c>
      <c r="X290" s="35">
        <f t="shared" si="266"/>
        <v>0.222</v>
      </c>
      <c r="Y290" s="34">
        <f t="shared" ca="1" si="258"/>
        <v>2647.2387460261716</v>
      </c>
      <c r="Z290" s="35">
        <f t="shared" si="267"/>
        <v>0.34799999999999998</v>
      </c>
      <c r="AA290" s="34">
        <f t="shared" ca="1" si="259"/>
        <v>4149.725601878863</v>
      </c>
      <c r="AB290" s="34">
        <f t="shared" ca="1" si="259"/>
        <v>15144.113547086657</v>
      </c>
      <c r="AC290" s="15"/>
      <c r="AD290" s="34">
        <f t="shared" ca="1" si="260"/>
        <v>89791.476385482296</v>
      </c>
      <c r="AE290" s="34">
        <f t="shared" ca="1" si="260"/>
        <v>6825.0276494376194</v>
      </c>
      <c r="AF290" s="34">
        <f t="shared" ca="1" si="260"/>
        <v>82966.448736044666</v>
      </c>
      <c r="AG290" s="15"/>
      <c r="AH290" s="273"/>
      <c r="AI290" s="267"/>
      <c r="AJ290" s="267"/>
      <c r="AK290" s="34">
        <f t="shared" ca="1" si="261"/>
        <v>30017.915179158095</v>
      </c>
      <c r="AL290" s="233"/>
    </row>
    <row r="291" spans="2:38" x14ac:dyDescent="0.3">
      <c r="B291" s="232"/>
      <c r="C291" s="250">
        <f t="shared" si="268"/>
        <v>2025</v>
      </c>
      <c r="D291" s="263">
        <f t="shared" ca="1" si="262"/>
        <v>0</v>
      </c>
      <c r="E291" s="263">
        <f t="shared" ca="1" si="262"/>
        <v>1530.880829808068</v>
      </c>
      <c r="F291" s="263">
        <f t="shared" ca="1" si="262"/>
        <v>0</v>
      </c>
      <c r="G291" s="263">
        <f t="shared" ca="1" si="262"/>
        <v>9185.2849788484091</v>
      </c>
      <c r="H291" s="15"/>
      <c r="I291" s="35">
        <f t="shared" ca="1" si="263"/>
        <v>4.5</v>
      </c>
      <c r="J291" s="35">
        <f t="shared" ca="1" si="263"/>
        <v>80</v>
      </c>
      <c r="K291" s="35">
        <f t="shared" ca="1" si="263"/>
        <v>40</v>
      </c>
      <c r="L291" s="15"/>
      <c r="M291" s="35">
        <f t="shared" ca="1" si="264"/>
        <v>4.2299999999999995</v>
      </c>
      <c r="N291" s="35">
        <f t="shared" ca="1" si="264"/>
        <v>64</v>
      </c>
      <c r="O291" s="35">
        <f t="shared" ca="1" si="264"/>
        <v>32</v>
      </c>
      <c r="P291" s="15"/>
      <c r="Q291" s="34">
        <f t="shared" ca="1" si="265"/>
        <v>0</v>
      </c>
      <c r="R291" s="34">
        <f t="shared" ca="1" si="265"/>
        <v>97976.373107716354</v>
      </c>
      <c r="S291" s="34">
        <f t="shared" ca="1" si="265"/>
        <v>0</v>
      </c>
      <c r="T291" s="34">
        <f t="shared" ca="1" si="265"/>
        <v>97976.373107716354</v>
      </c>
      <c r="U291" s="15"/>
      <c r="V291" s="35">
        <f t="shared" si="266"/>
        <v>0.7</v>
      </c>
      <c r="W291" s="34">
        <f t="shared" ca="1" si="258"/>
        <v>7793.5751335683462</v>
      </c>
      <c r="X291" s="35">
        <f t="shared" si="266"/>
        <v>0.222</v>
      </c>
      <c r="Y291" s="34">
        <f t="shared" ca="1" si="258"/>
        <v>2471.6766852173901</v>
      </c>
      <c r="Z291" s="35">
        <f t="shared" si="267"/>
        <v>0.34799999999999998</v>
      </c>
      <c r="AA291" s="34">
        <f t="shared" ca="1" si="259"/>
        <v>3874.5202092596924</v>
      </c>
      <c r="AB291" s="34">
        <f t="shared" ca="1" si="259"/>
        <v>14139.772028045429</v>
      </c>
      <c r="AC291" s="15"/>
      <c r="AD291" s="34">
        <f t="shared" ca="1" si="260"/>
        <v>83836.601079670945</v>
      </c>
      <c r="AE291" s="34">
        <f t="shared" ca="1" si="260"/>
        <v>6769.5023552030962</v>
      </c>
      <c r="AF291" s="34">
        <f t="shared" ca="1" si="260"/>
        <v>77067.09872446784</v>
      </c>
      <c r="AG291" s="15"/>
      <c r="AH291" s="273"/>
      <c r="AI291" s="267"/>
      <c r="AJ291" s="267"/>
      <c r="AK291" s="34">
        <f t="shared" ca="1" si="261"/>
        <v>25348.621672959434</v>
      </c>
      <c r="AL291" s="233"/>
    </row>
    <row r="292" spans="2:38" x14ac:dyDescent="0.3">
      <c r="B292" s="232"/>
      <c r="C292" s="250">
        <f t="shared" si="268"/>
        <v>2026</v>
      </c>
      <c r="D292" s="263">
        <f t="shared" ca="1" si="262"/>
        <v>0</v>
      </c>
      <c r="E292" s="263">
        <f t="shared" ca="1" si="262"/>
        <v>1316.6837939148493</v>
      </c>
      <c r="F292" s="263">
        <f t="shared" ca="1" si="262"/>
        <v>0</v>
      </c>
      <c r="G292" s="263">
        <f t="shared" ca="1" si="262"/>
        <v>7900.102763489097</v>
      </c>
      <c r="H292" s="15"/>
      <c r="I292" s="35">
        <f t="shared" ca="1" si="263"/>
        <v>4.5</v>
      </c>
      <c r="J292" s="35">
        <f t="shared" ca="1" si="263"/>
        <v>80</v>
      </c>
      <c r="K292" s="35">
        <f t="shared" ca="1" si="263"/>
        <v>40</v>
      </c>
      <c r="L292" s="15"/>
      <c r="M292" s="35">
        <f t="shared" ca="1" si="264"/>
        <v>4.2299999999999995</v>
      </c>
      <c r="N292" s="35">
        <f t="shared" ca="1" si="264"/>
        <v>64</v>
      </c>
      <c r="O292" s="35">
        <f t="shared" ca="1" si="264"/>
        <v>32</v>
      </c>
      <c r="P292" s="15"/>
      <c r="Q292" s="34">
        <f t="shared" ca="1" si="265"/>
        <v>0</v>
      </c>
      <c r="R292" s="34">
        <f t="shared" ca="1" si="265"/>
        <v>84267.762810550354</v>
      </c>
      <c r="S292" s="34">
        <f t="shared" ca="1" si="265"/>
        <v>0</v>
      </c>
      <c r="T292" s="34">
        <f t="shared" ca="1" si="265"/>
        <v>84267.762810550354</v>
      </c>
      <c r="U292" s="15"/>
      <c r="V292" s="35">
        <f t="shared" si="266"/>
        <v>0.7</v>
      </c>
      <c r="W292" s="34">
        <f t="shared" ca="1" si="258"/>
        <v>6703.1174962937794</v>
      </c>
      <c r="X292" s="35">
        <f t="shared" si="266"/>
        <v>0.222</v>
      </c>
      <c r="Y292" s="34">
        <f t="shared" ca="1" si="258"/>
        <v>2125.8458345388844</v>
      </c>
      <c r="Z292" s="35">
        <f t="shared" si="267"/>
        <v>0.34799999999999998</v>
      </c>
      <c r="AA292" s="34">
        <f t="shared" ca="1" si="259"/>
        <v>3332.4069838717642</v>
      </c>
      <c r="AB292" s="34">
        <f t="shared" ca="1" si="259"/>
        <v>12161.370314704429</v>
      </c>
      <c r="AC292" s="15"/>
      <c r="AD292" s="34">
        <f t="shared" ca="1" si="260"/>
        <v>72106.392495845925</v>
      </c>
      <c r="AE292" s="34">
        <f t="shared" ca="1" si="260"/>
        <v>449.3252380201792</v>
      </c>
      <c r="AF292" s="34">
        <f t="shared" ca="1" si="260"/>
        <v>71657.067257825751</v>
      </c>
      <c r="AG292" s="15"/>
      <c r="AH292" s="273"/>
      <c r="AI292" s="267"/>
      <c r="AJ292" s="267"/>
      <c r="AK292" s="34">
        <f t="shared" ca="1" si="261"/>
        <v>21426.52215555339</v>
      </c>
      <c r="AL292" s="233"/>
    </row>
    <row r="293" spans="2:38" x14ac:dyDescent="0.3">
      <c r="B293" s="232"/>
      <c r="C293" s="250">
        <f t="shared" si="268"/>
        <v>2027</v>
      </c>
      <c r="D293" s="263">
        <f t="shared" ca="1" si="262"/>
        <v>0</v>
      </c>
      <c r="E293" s="263">
        <f t="shared" ca="1" si="262"/>
        <v>941.60331564003036</v>
      </c>
      <c r="F293" s="263">
        <f t="shared" ca="1" si="262"/>
        <v>0</v>
      </c>
      <c r="G293" s="263">
        <f t="shared" ca="1" si="262"/>
        <v>5649.6198938401822</v>
      </c>
      <c r="H293" s="15"/>
      <c r="I293" s="35">
        <f t="shared" ca="1" si="263"/>
        <v>4.5</v>
      </c>
      <c r="J293" s="35">
        <f t="shared" ca="1" si="263"/>
        <v>80</v>
      </c>
      <c r="K293" s="35">
        <f t="shared" ca="1" si="263"/>
        <v>40</v>
      </c>
      <c r="L293" s="15"/>
      <c r="M293" s="35">
        <f t="shared" ca="1" si="264"/>
        <v>4.2299999999999995</v>
      </c>
      <c r="N293" s="35">
        <f t="shared" ca="1" si="264"/>
        <v>64</v>
      </c>
      <c r="O293" s="35">
        <f t="shared" ca="1" si="264"/>
        <v>32</v>
      </c>
      <c r="P293" s="15"/>
      <c r="Q293" s="34">
        <f t="shared" ca="1" si="265"/>
        <v>0</v>
      </c>
      <c r="R293" s="34">
        <f t="shared" ca="1" si="265"/>
        <v>60262.612200961943</v>
      </c>
      <c r="S293" s="34">
        <f t="shared" ca="1" si="265"/>
        <v>0</v>
      </c>
      <c r="T293" s="34">
        <f t="shared" ca="1" si="265"/>
        <v>60262.612200961943</v>
      </c>
      <c r="U293" s="15"/>
      <c r="V293" s="35">
        <f t="shared" si="266"/>
        <v>0.7</v>
      </c>
      <c r="W293" s="34">
        <f t="shared" ca="1" si="258"/>
        <v>4793.6168796219717</v>
      </c>
      <c r="X293" s="35">
        <f t="shared" si="266"/>
        <v>0.222</v>
      </c>
      <c r="Y293" s="34">
        <f t="shared" ca="1" si="258"/>
        <v>1520.26135325154</v>
      </c>
      <c r="Z293" s="35">
        <f t="shared" si="267"/>
        <v>0.34799999999999998</v>
      </c>
      <c r="AA293" s="34">
        <f t="shared" ca="1" si="259"/>
        <v>2383.1123915834946</v>
      </c>
      <c r="AB293" s="34">
        <f t="shared" ca="1" si="259"/>
        <v>8696.9906244570084</v>
      </c>
      <c r="AC293" s="15"/>
      <c r="AD293" s="34">
        <f t="shared" ca="1" si="260"/>
        <v>51565.621576504927</v>
      </c>
      <c r="AE293" s="34">
        <f t="shared" ca="1" si="260"/>
        <v>126.97450837472599</v>
      </c>
      <c r="AF293" s="34">
        <f t="shared" ca="1" si="260"/>
        <v>51438.647068130202</v>
      </c>
      <c r="AG293" s="15"/>
      <c r="AH293" s="273"/>
      <c r="AI293" s="267"/>
      <c r="AJ293" s="267"/>
      <c r="AK293" s="34">
        <f t="shared" ca="1" si="261"/>
        <v>13982.650639600459</v>
      </c>
      <c r="AL293" s="233"/>
    </row>
    <row r="294" spans="2:38" x14ac:dyDescent="0.3">
      <c r="B294" s="232"/>
      <c r="C294" s="250">
        <f t="shared" si="268"/>
        <v>2028</v>
      </c>
      <c r="D294" s="263">
        <f t="shared" ca="1" si="262"/>
        <v>0</v>
      </c>
      <c r="E294" s="263">
        <f t="shared" ca="1" si="262"/>
        <v>753.16441160779334</v>
      </c>
      <c r="F294" s="263">
        <f t="shared" ca="1" si="262"/>
        <v>0</v>
      </c>
      <c r="G294" s="263">
        <f t="shared" ca="1" si="262"/>
        <v>4518.9864696467594</v>
      </c>
      <c r="H294" s="15"/>
      <c r="I294" s="35">
        <f t="shared" ca="1" si="263"/>
        <v>4.5</v>
      </c>
      <c r="J294" s="35">
        <f t="shared" ca="1" si="263"/>
        <v>80</v>
      </c>
      <c r="K294" s="35">
        <f t="shared" ca="1" si="263"/>
        <v>40</v>
      </c>
      <c r="L294" s="15"/>
      <c r="M294" s="35">
        <f t="shared" ca="1" si="264"/>
        <v>4.2299999999999995</v>
      </c>
      <c r="N294" s="35">
        <f t="shared" ca="1" si="264"/>
        <v>64</v>
      </c>
      <c r="O294" s="35">
        <f t="shared" ca="1" si="264"/>
        <v>32</v>
      </c>
      <c r="P294" s="15"/>
      <c r="Q294" s="34">
        <f t="shared" ca="1" si="265"/>
        <v>0</v>
      </c>
      <c r="R294" s="34">
        <f t="shared" ca="1" si="265"/>
        <v>48202.522342898774</v>
      </c>
      <c r="S294" s="34">
        <f t="shared" ca="1" si="265"/>
        <v>0</v>
      </c>
      <c r="T294" s="34">
        <f t="shared" ca="1" si="265"/>
        <v>48202.522342898774</v>
      </c>
      <c r="U294" s="15"/>
      <c r="V294" s="35">
        <f t="shared" si="266"/>
        <v>0.7</v>
      </c>
      <c r="W294" s="34">
        <f t="shared" ca="1" si="258"/>
        <v>3834.2915500033114</v>
      </c>
      <c r="X294" s="35">
        <f t="shared" si="266"/>
        <v>0.222</v>
      </c>
      <c r="Y294" s="34">
        <f t="shared" ca="1" si="258"/>
        <v>1216.0181772867645</v>
      </c>
      <c r="Z294" s="35">
        <f t="shared" si="267"/>
        <v>0.34799999999999998</v>
      </c>
      <c r="AA294" s="34">
        <f t="shared" ca="1" si="259"/>
        <v>1906.1906562873605</v>
      </c>
      <c r="AB294" s="34">
        <f t="shared" ca="1" si="259"/>
        <v>6956.5003835774369</v>
      </c>
      <c r="AC294" s="15"/>
      <c r="AD294" s="34">
        <f t="shared" ca="1" si="260"/>
        <v>41246.021959321333</v>
      </c>
      <c r="AE294" s="34">
        <f t="shared" ca="1" si="260"/>
        <v>0</v>
      </c>
      <c r="AF294" s="34">
        <f t="shared" ca="1" si="260"/>
        <v>41246.021959321333</v>
      </c>
      <c r="AG294" s="15"/>
      <c r="AH294" s="273"/>
      <c r="AI294" s="267"/>
      <c r="AJ294" s="267"/>
      <c r="AK294" s="34">
        <f t="shared" ca="1" si="261"/>
        <v>10192.70260790853</v>
      </c>
      <c r="AL294" s="233"/>
    </row>
    <row r="295" spans="2:38" x14ac:dyDescent="0.3">
      <c r="B295" s="232"/>
      <c r="C295" s="250">
        <f t="shared" si="268"/>
        <v>2029</v>
      </c>
      <c r="D295" s="263">
        <f t="shared" ca="1" si="262"/>
        <v>0</v>
      </c>
      <c r="E295" s="263">
        <f t="shared" ca="1" si="262"/>
        <v>677.84797044701395</v>
      </c>
      <c r="F295" s="263">
        <f t="shared" ca="1" si="262"/>
        <v>0</v>
      </c>
      <c r="G295" s="263">
        <f t="shared" ca="1" si="262"/>
        <v>4067.0878226820837</v>
      </c>
      <c r="H295" s="15"/>
      <c r="I295" s="35">
        <f t="shared" ca="1" si="263"/>
        <v>4.5</v>
      </c>
      <c r="J295" s="35">
        <f t="shared" ca="1" si="263"/>
        <v>80</v>
      </c>
      <c r="K295" s="35">
        <f t="shared" ca="1" si="263"/>
        <v>40</v>
      </c>
      <c r="L295" s="15"/>
      <c r="M295" s="35">
        <f t="shared" ca="1" si="264"/>
        <v>4.2299999999999995</v>
      </c>
      <c r="N295" s="35">
        <f t="shared" ca="1" si="264"/>
        <v>64</v>
      </c>
      <c r="O295" s="35">
        <f t="shared" ca="1" si="264"/>
        <v>32</v>
      </c>
      <c r="P295" s="15"/>
      <c r="Q295" s="34">
        <f t="shared" ca="1" si="265"/>
        <v>0</v>
      </c>
      <c r="R295" s="34">
        <f t="shared" ca="1" si="265"/>
        <v>43382.270108608893</v>
      </c>
      <c r="S295" s="34">
        <f t="shared" ca="1" si="265"/>
        <v>0</v>
      </c>
      <c r="T295" s="34">
        <f t="shared" ca="1" si="265"/>
        <v>43382.270108608893</v>
      </c>
      <c r="U295" s="15"/>
      <c r="V295" s="35">
        <f t="shared" si="266"/>
        <v>0.7</v>
      </c>
      <c r="W295" s="34">
        <f t="shared" ref="W295:Y310" ca="1" si="269">+W45+W95+W145+W195+W245</f>
        <v>3450.8623950029805</v>
      </c>
      <c r="X295" s="35">
        <f t="shared" si="266"/>
        <v>0.222</v>
      </c>
      <c r="Y295" s="34">
        <f t="shared" ca="1" si="269"/>
        <v>1094.4163595580881</v>
      </c>
      <c r="Z295" s="35">
        <f t="shared" si="267"/>
        <v>0.34799999999999998</v>
      </c>
      <c r="AA295" s="34">
        <f t="shared" ref="AA295:AB310" ca="1" si="270">+AA45+AA95+AA145+AA195+AA245</f>
        <v>1715.5715906586247</v>
      </c>
      <c r="AB295" s="34">
        <f t="shared" ca="1" si="270"/>
        <v>6260.8503452196928</v>
      </c>
      <c r="AC295" s="15"/>
      <c r="AD295" s="34">
        <f t="shared" ref="AD295:AF310" ca="1" si="271">+AD45+AD95+AD145+AD195+AD245</f>
        <v>37121.419763389204</v>
      </c>
      <c r="AE295" s="34">
        <f t="shared" ca="1" si="271"/>
        <v>0</v>
      </c>
      <c r="AF295" s="34">
        <f t="shared" ca="1" si="271"/>
        <v>37121.419763389204</v>
      </c>
      <c r="AG295" s="15"/>
      <c r="AH295" s="273"/>
      <c r="AI295" s="267"/>
      <c r="AJ295" s="267"/>
      <c r="AK295" s="34">
        <f t="shared" ca="1" si="261"/>
        <v>8339.4839519251582</v>
      </c>
      <c r="AL295" s="233"/>
    </row>
    <row r="296" spans="2:38" x14ac:dyDescent="0.3">
      <c r="B296" s="232"/>
      <c r="C296" s="250">
        <f t="shared" si="268"/>
        <v>2030</v>
      </c>
      <c r="D296" s="263">
        <f t="shared" ref="D296:G311" ca="1" si="272">+D46+D96+D146+D196+D246</f>
        <v>0</v>
      </c>
      <c r="E296" s="263">
        <f t="shared" ca="1" si="272"/>
        <v>610.06317340231249</v>
      </c>
      <c r="F296" s="263">
        <f t="shared" ca="1" si="272"/>
        <v>0</v>
      </c>
      <c r="G296" s="263">
        <f t="shared" ca="1" si="272"/>
        <v>3660.3790404138749</v>
      </c>
      <c r="H296" s="15"/>
      <c r="I296" s="35">
        <f t="shared" ref="I296:K311" ca="1" si="273">I246</f>
        <v>4.5</v>
      </c>
      <c r="J296" s="35">
        <f t="shared" ca="1" si="273"/>
        <v>80</v>
      </c>
      <c r="K296" s="35">
        <f t="shared" ca="1" si="273"/>
        <v>40</v>
      </c>
      <c r="L296" s="15"/>
      <c r="M296" s="35">
        <f t="shared" ref="M296:O311" ca="1" si="274">M246</f>
        <v>4.2299999999999995</v>
      </c>
      <c r="N296" s="35">
        <f t="shared" ca="1" si="274"/>
        <v>64</v>
      </c>
      <c r="O296" s="35">
        <f t="shared" ca="1" si="274"/>
        <v>32</v>
      </c>
      <c r="P296" s="15"/>
      <c r="Q296" s="34">
        <f t="shared" ref="Q296:T311" ca="1" si="275">+Q46+Q96+Q146+Q196+Q246</f>
        <v>0</v>
      </c>
      <c r="R296" s="34">
        <f t="shared" ca="1" si="275"/>
        <v>39044.043097747999</v>
      </c>
      <c r="S296" s="34">
        <f t="shared" ca="1" si="275"/>
        <v>0</v>
      </c>
      <c r="T296" s="34">
        <f t="shared" ca="1" si="275"/>
        <v>39044.043097747999</v>
      </c>
      <c r="U296" s="15"/>
      <c r="V296" s="35">
        <f t="shared" ref="V296:X311" si="276">V246</f>
        <v>0.7</v>
      </c>
      <c r="W296" s="34">
        <f t="shared" ca="1" si="269"/>
        <v>3105.7761555026818</v>
      </c>
      <c r="X296" s="35">
        <f t="shared" si="276"/>
        <v>0.222</v>
      </c>
      <c r="Y296" s="34">
        <f t="shared" ca="1" si="269"/>
        <v>984.97472360227903</v>
      </c>
      <c r="Z296" s="35">
        <f t="shared" si="267"/>
        <v>0.34799999999999998</v>
      </c>
      <c r="AA296" s="34">
        <f t="shared" ca="1" si="270"/>
        <v>1544.0144315927619</v>
      </c>
      <c r="AB296" s="34">
        <f t="shared" ca="1" si="270"/>
        <v>5634.7653106977223</v>
      </c>
      <c r="AC296" s="15"/>
      <c r="AD296" s="34">
        <f t="shared" ca="1" si="271"/>
        <v>33409.277787050276</v>
      </c>
      <c r="AE296" s="34">
        <f t="shared" ca="1" si="271"/>
        <v>0</v>
      </c>
      <c r="AF296" s="34">
        <f t="shared" ca="1" si="271"/>
        <v>33409.277787050276</v>
      </c>
      <c r="AG296" s="15"/>
      <c r="AH296" s="273"/>
      <c r="AI296" s="267"/>
      <c r="AJ296" s="267"/>
      <c r="AK296" s="34">
        <f t="shared" ca="1" si="261"/>
        <v>6823.2141424842212</v>
      </c>
      <c r="AL296" s="233"/>
    </row>
    <row r="297" spans="2:38" x14ac:dyDescent="0.3">
      <c r="B297" s="232"/>
      <c r="C297" s="250">
        <f t="shared" si="268"/>
        <v>2031</v>
      </c>
      <c r="D297" s="263">
        <f t="shared" ca="1" si="272"/>
        <v>0</v>
      </c>
      <c r="E297" s="263">
        <f t="shared" ca="1" si="272"/>
        <v>549.05685606208124</v>
      </c>
      <c r="F297" s="263">
        <f t="shared" ca="1" si="272"/>
        <v>0</v>
      </c>
      <c r="G297" s="263">
        <f t="shared" ca="1" si="272"/>
        <v>3294.3411363724872</v>
      </c>
      <c r="H297" s="15"/>
      <c r="I297" s="35">
        <f t="shared" ca="1" si="273"/>
        <v>4.5</v>
      </c>
      <c r="J297" s="35">
        <f t="shared" ca="1" si="273"/>
        <v>80</v>
      </c>
      <c r="K297" s="35">
        <f t="shared" ca="1" si="273"/>
        <v>40</v>
      </c>
      <c r="L297" s="15"/>
      <c r="M297" s="35">
        <f t="shared" ca="1" si="274"/>
        <v>4.2299999999999995</v>
      </c>
      <c r="N297" s="35">
        <f t="shared" ca="1" si="274"/>
        <v>64</v>
      </c>
      <c r="O297" s="35">
        <f t="shared" ca="1" si="274"/>
        <v>32</v>
      </c>
      <c r="P297" s="15"/>
      <c r="Q297" s="34">
        <f t="shared" ca="1" si="275"/>
        <v>0</v>
      </c>
      <c r="R297" s="34">
        <f t="shared" ca="1" si="275"/>
        <v>35139.638787973199</v>
      </c>
      <c r="S297" s="34">
        <f t="shared" ca="1" si="275"/>
        <v>0</v>
      </c>
      <c r="T297" s="34">
        <f t="shared" ca="1" si="275"/>
        <v>35139.638787973199</v>
      </c>
      <c r="U297" s="15"/>
      <c r="V297" s="35">
        <f t="shared" si="276"/>
        <v>0.7</v>
      </c>
      <c r="W297" s="34">
        <f t="shared" ca="1" si="269"/>
        <v>2795.1985399524137</v>
      </c>
      <c r="X297" s="35">
        <f t="shared" si="276"/>
        <v>0.222</v>
      </c>
      <c r="Y297" s="34">
        <f t="shared" ca="1" si="269"/>
        <v>886.47725124205124</v>
      </c>
      <c r="Z297" s="35">
        <f t="shared" si="267"/>
        <v>0.34799999999999998</v>
      </c>
      <c r="AA297" s="34">
        <f t="shared" ca="1" si="270"/>
        <v>1389.6129884334857</v>
      </c>
      <c r="AB297" s="34">
        <f t="shared" ca="1" si="270"/>
        <v>5071.2887796279501</v>
      </c>
      <c r="AC297" s="15"/>
      <c r="AD297" s="34">
        <f t="shared" ca="1" si="271"/>
        <v>30068.350008345245</v>
      </c>
      <c r="AE297" s="34">
        <f t="shared" ca="1" si="271"/>
        <v>0</v>
      </c>
      <c r="AF297" s="34">
        <f t="shared" ca="1" si="271"/>
        <v>30068.350008345245</v>
      </c>
      <c r="AG297" s="15"/>
      <c r="AH297" s="273"/>
      <c r="AI297" s="267"/>
      <c r="AJ297" s="267"/>
      <c r="AK297" s="34">
        <f t="shared" ca="1" si="261"/>
        <v>5582.6297529416333</v>
      </c>
      <c r="AL297" s="233"/>
    </row>
    <row r="298" spans="2:38" x14ac:dyDescent="0.3">
      <c r="B298" s="232"/>
      <c r="C298" s="250">
        <f t="shared" si="268"/>
        <v>2032</v>
      </c>
      <c r="D298" s="263">
        <f t="shared" ca="1" si="272"/>
        <v>0</v>
      </c>
      <c r="E298" s="263">
        <f t="shared" ca="1" si="272"/>
        <v>494.15117045587317</v>
      </c>
      <c r="F298" s="263">
        <f t="shared" ca="1" si="272"/>
        <v>0</v>
      </c>
      <c r="G298" s="263">
        <f t="shared" ca="1" si="272"/>
        <v>2964.9070227352395</v>
      </c>
      <c r="H298" s="15"/>
      <c r="I298" s="35">
        <f t="shared" ca="1" si="273"/>
        <v>4.5</v>
      </c>
      <c r="J298" s="35">
        <f t="shared" ca="1" si="273"/>
        <v>80</v>
      </c>
      <c r="K298" s="35">
        <f t="shared" ca="1" si="273"/>
        <v>40</v>
      </c>
      <c r="L298" s="15"/>
      <c r="M298" s="35">
        <f t="shared" ca="1" si="274"/>
        <v>4.2299999999999995</v>
      </c>
      <c r="N298" s="35">
        <f t="shared" ca="1" si="274"/>
        <v>64</v>
      </c>
      <c r="O298" s="35">
        <f t="shared" ca="1" si="274"/>
        <v>32</v>
      </c>
      <c r="P298" s="15"/>
      <c r="Q298" s="34">
        <f t="shared" ca="1" si="275"/>
        <v>0</v>
      </c>
      <c r="R298" s="34">
        <f t="shared" ca="1" si="275"/>
        <v>31625.674909175883</v>
      </c>
      <c r="S298" s="34">
        <f t="shared" ca="1" si="275"/>
        <v>0</v>
      </c>
      <c r="T298" s="34">
        <f t="shared" ca="1" si="275"/>
        <v>31625.674909175883</v>
      </c>
      <c r="U298" s="15"/>
      <c r="V298" s="35">
        <f t="shared" si="276"/>
        <v>0.7</v>
      </c>
      <c r="W298" s="34">
        <f t="shared" ca="1" si="269"/>
        <v>2515.6786859571725</v>
      </c>
      <c r="X298" s="35">
        <f t="shared" si="276"/>
        <v>0.222</v>
      </c>
      <c r="Y298" s="34">
        <f t="shared" ca="1" si="269"/>
        <v>797.82952611784617</v>
      </c>
      <c r="Z298" s="35">
        <f t="shared" si="267"/>
        <v>0.34799999999999998</v>
      </c>
      <c r="AA298" s="34">
        <f t="shared" ca="1" si="270"/>
        <v>1250.651689590137</v>
      </c>
      <c r="AB298" s="34">
        <f t="shared" ca="1" si="270"/>
        <v>4564.1599016651553</v>
      </c>
      <c r="AC298" s="15"/>
      <c r="AD298" s="34">
        <f t="shared" ca="1" si="271"/>
        <v>27061.515007510727</v>
      </c>
      <c r="AE298" s="34">
        <f t="shared" ca="1" si="271"/>
        <v>0</v>
      </c>
      <c r="AF298" s="34">
        <f t="shared" ca="1" si="271"/>
        <v>27061.515007510727</v>
      </c>
      <c r="AG298" s="15"/>
      <c r="AH298" s="273"/>
      <c r="AI298" s="267"/>
      <c r="AJ298" s="267"/>
      <c r="AK298" s="34">
        <f t="shared" ca="1" si="261"/>
        <v>4567.6061614977007</v>
      </c>
      <c r="AL298" s="233"/>
    </row>
    <row r="299" spans="2:38" x14ac:dyDescent="0.3">
      <c r="B299" s="232"/>
      <c r="C299" s="250">
        <f t="shared" si="268"/>
        <v>2033</v>
      </c>
      <c r="D299" s="263">
        <f t="shared" ca="1" si="272"/>
        <v>0</v>
      </c>
      <c r="E299" s="263">
        <f t="shared" ca="1" si="272"/>
        <v>444.73605341028588</v>
      </c>
      <c r="F299" s="263">
        <f t="shared" ca="1" si="272"/>
        <v>0</v>
      </c>
      <c r="G299" s="263">
        <f t="shared" ca="1" si="272"/>
        <v>2668.4163204617148</v>
      </c>
      <c r="H299" s="15"/>
      <c r="I299" s="35">
        <f t="shared" ca="1" si="273"/>
        <v>4.5</v>
      </c>
      <c r="J299" s="35">
        <f t="shared" ca="1" si="273"/>
        <v>80</v>
      </c>
      <c r="K299" s="35">
        <f t="shared" ca="1" si="273"/>
        <v>40</v>
      </c>
      <c r="L299" s="15"/>
      <c r="M299" s="35">
        <f t="shared" ca="1" si="274"/>
        <v>4.2299999999999995</v>
      </c>
      <c r="N299" s="35">
        <f t="shared" ca="1" si="274"/>
        <v>64</v>
      </c>
      <c r="O299" s="35">
        <f t="shared" ca="1" si="274"/>
        <v>32</v>
      </c>
      <c r="P299" s="15"/>
      <c r="Q299" s="34">
        <f t="shared" ca="1" si="275"/>
        <v>0</v>
      </c>
      <c r="R299" s="34">
        <f t="shared" ca="1" si="275"/>
        <v>28463.107418258296</v>
      </c>
      <c r="S299" s="34">
        <f t="shared" ca="1" si="275"/>
        <v>0</v>
      </c>
      <c r="T299" s="34">
        <f t="shared" ca="1" si="275"/>
        <v>28463.107418258296</v>
      </c>
      <c r="U299" s="15"/>
      <c r="V299" s="35">
        <f t="shared" si="276"/>
        <v>0.7</v>
      </c>
      <c r="W299" s="34">
        <f t="shared" ca="1" si="269"/>
        <v>2264.1108173614548</v>
      </c>
      <c r="X299" s="35">
        <f t="shared" si="276"/>
        <v>0.222</v>
      </c>
      <c r="Y299" s="34">
        <f t="shared" ca="1" si="269"/>
        <v>718.04657350606158</v>
      </c>
      <c r="Z299" s="35">
        <f t="shared" si="267"/>
        <v>0.34799999999999998</v>
      </c>
      <c r="AA299" s="34">
        <f t="shared" ca="1" si="270"/>
        <v>1125.5865206311232</v>
      </c>
      <c r="AB299" s="34">
        <f t="shared" ca="1" si="270"/>
        <v>4107.74391149864</v>
      </c>
      <c r="AC299" s="15"/>
      <c r="AD299" s="34">
        <f t="shared" ca="1" si="271"/>
        <v>24355.363506759652</v>
      </c>
      <c r="AE299" s="34">
        <f t="shared" ca="1" si="271"/>
        <v>0</v>
      </c>
      <c r="AF299" s="34">
        <f t="shared" ca="1" si="271"/>
        <v>24355.363506759652</v>
      </c>
      <c r="AG299" s="15"/>
      <c r="AH299" s="273"/>
      <c r="AI299" s="267"/>
      <c r="AJ299" s="267"/>
      <c r="AK299" s="34">
        <f t="shared" ca="1" si="261"/>
        <v>3737.132313952663</v>
      </c>
      <c r="AL299" s="233"/>
    </row>
    <row r="300" spans="2:38" x14ac:dyDescent="0.3">
      <c r="B300" s="232"/>
      <c r="C300" s="250">
        <f t="shared" si="268"/>
        <v>2034</v>
      </c>
      <c r="D300" s="263">
        <f t="shared" ca="1" si="272"/>
        <v>0</v>
      </c>
      <c r="E300" s="263">
        <f t="shared" ca="1" si="272"/>
        <v>400.26244806925723</v>
      </c>
      <c r="F300" s="263">
        <f t="shared" ca="1" si="272"/>
        <v>0</v>
      </c>
      <c r="G300" s="263">
        <f t="shared" ca="1" si="272"/>
        <v>2401.5746884155433</v>
      </c>
      <c r="H300" s="15"/>
      <c r="I300" s="35">
        <f t="shared" ca="1" si="273"/>
        <v>4.5</v>
      </c>
      <c r="J300" s="35">
        <f t="shared" ca="1" si="273"/>
        <v>80</v>
      </c>
      <c r="K300" s="35">
        <f t="shared" ca="1" si="273"/>
        <v>40</v>
      </c>
      <c r="L300" s="15"/>
      <c r="M300" s="35">
        <f t="shared" ca="1" si="274"/>
        <v>4.2299999999999995</v>
      </c>
      <c r="N300" s="35">
        <f t="shared" ca="1" si="274"/>
        <v>64</v>
      </c>
      <c r="O300" s="35">
        <f t="shared" ca="1" si="274"/>
        <v>32</v>
      </c>
      <c r="P300" s="15"/>
      <c r="Q300" s="34">
        <f t="shared" ca="1" si="275"/>
        <v>0</v>
      </c>
      <c r="R300" s="34">
        <f t="shared" ca="1" si="275"/>
        <v>25616.796676432463</v>
      </c>
      <c r="S300" s="34">
        <f t="shared" ca="1" si="275"/>
        <v>0</v>
      </c>
      <c r="T300" s="34">
        <f t="shared" ca="1" si="275"/>
        <v>25616.796676432463</v>
      </c>
      <c r="U300" s="15"/>
      <c r="V300" s="35">
        <f t="shared" si="276"/>
        <v>0.7</v>
      </c>
      <c r="W300" s="34">
        <f t="shared" ca="1" si="269"/>
        <v>2037.6997356253094</v>
      </c>
      <c r="X300" s="35">
        <f t="shared" si="276"/>
        <v>0.222</v>
      </c>
      <c r="Y300" s="34">
        <f t="shared" ca="1" si="269"/>
        <v>646.24191615545533</v>
      </c>
      <c r="Z300" s="35">
        <f t="shared" si="267"/>
        <v>0.34799999999999998</v>
      </c>
      <c r="AA300" s="34">
        <f t="shared" ca="1" si="270"/>
        <v>1013.0278685680109</v>
      </c>
      <c r="AB300" s="34">
        <f t="shared" ca="1" si="270"/>
        <v>3696.9695203487759</v>
      </c>
      <c r="AC300" s="15"/>
      <c r="AD300" s="34">
        <f t="shared" ca="1" si="271"/>
        <v>21919.827156083687</v>
      </c>
      <c r="AE300" s="34">
        <f t="shared" ca="1" si="271"/>
        <v>0</v>
      </c>
      <c r="AF300" s="34">
        <f t="shared" ca="1" si="271"/>
        <v>21919.827156083687</v>
      </c>
      <c r="AG300" s="15"/>
      <c r="AH300" s="273"/>
      <c r="AI300" s="267"/>
      <c r="AJ300" s="267"/>
      <c r="AK300" s="34">
        <f t="shared" ca="1" si="261"/>
        <v>3057.6537114158155</v>
      </c>
      <c r="AL300" s="233"/>
    </row>
    <row r="301" spans="2:38" x14ac:dyDescent="0.3">
      <c r="B301" s="232"/>
      <c r="C301" s="250">
        <f t="shared" si="268"/>
        <v>2035</v>
      </c>
      <c r="D301" s="263">
        <f t="shared" ca="1" si="272"/>
        <v>0</v>
      </c>
      <c r="E301" s="263">
        <f t="shared" ca="1" si="272"/>
        <v>360.23620326233151</v>
      </c>
      <c r="F301" s="263">
        <f t="shared" ca="1" si="272"/>
        <v>0</v>
      </c>
      <c r="G301" s="263">
        <f t="shared" ca="1" si="272"/>
        <v>2161.4172195739889</v>
      </c>
      <c r="H301" s="15"/>
      <c r="I301" s="35">
        <f t="shared" ca="1" si="273"/>
        <v>4.5</v>
      </c>
      <c r="J301" s="35">
        <f t="shared" ca="1" si="273"/>
        <v>80</v>
      </c>
      <c r="K301" s="35">
        <f t="shared" ca="1" si="273"/>
        <v>40</v>
      </c>
      <c r="L301" s="15"/>
      <c r="M301" s="35">
        <f t="shared" ca="1" si="274"/>
        <v>4.2299999999999995</v>
      </c>
      <c r="N301" s="35">
        <f t="shared" ca="1" si="274"/>
        <v>64</v>
      </c>
      <c r="O301" s="35">
        <f t="shared" ca="1" si="274"/>
        <v>32</v>
      </c>
      <c r="P301" s="15"/>
      <c r="Q301" s="34">
        <f t="shared" ca="1" si="275"/>
        <v>0</v>
      </c>
      <c r="R301" s="34">
        <f t="shared" ca="1" si="275"/>
        <v>23055.117008789217</v>
      </c>
      <c r="S301" s="34">
        <f t="shared" ca="1" si="275"/>
        <v>0</v>
      </c>
      <c r="T301" s="34">
        <f t="shared" ca="1" si="275"/>
        <v>23055.117008789217</v>
      </c>
      <c r="U301" s="15"/>
      <c r="V301" s="35">
        <f t="shared" si="276"/>
        <v>0.7</v>
      </c>
      <c r="W301" s="34">
        <f t="shared" ca="1" si="269"/>
        <v>1833.9297620627785</v>
      </c>
      <c r="X301" s="35">
        <f t="shared" si="276"/>
        <v>0.222</v>
      </c>
      <c r="Y301" s="34">
        <f t="shared" ca="1" si="269"/>
        <v>581.61772453990977</v>
      </c>
      <c r="Z301" s="35">
        <f t="shared" si="267"/>
        <v>0.34799999999999998</v>
      </c>
      <c r="AA301" s="34">
        <f t="shared" ca="1" si="270"/>
        <v>911.72508171121001</v>
      </c>
      <c r="AB301" s="34">
        <f t="shared" ca="1" si="270"/>
        <v>3327.2725683138983</v>
      </c>
      <c r="AC301" s="15"/>
      <c r="AD301" s="34">
        <f t="shared" ca="1" si="271"/>
        <v>19727.844440475317</v>
      </c>
      <c r="AE301" s="34">
        <f t="shared" ca="1" si="271"/>
        <v>0</v>
      </c>
      <c r="AF301" s="34">
        <f t="shared" ca="1" si="271"/>
        <v>19727.844440475317</v>
      </c>
      <c r="AG301" s="15"/>
      <c r="AH301" s="273"/>
      <c r="AI301" s="267"/>
      <c r="AJ301" s="267"/>
      <c r="AK301" s="34">
        <f t="shared" ca="1" si="261"/>
        <v>2501.7166729765759</v>
      </c>
      <c r="AL301" s="233"/>
    </row>
    <row r="302" spans="2:38" x14ac:dyDescent="0.3">
      <c r="B302" s="232"/>
      <c r="C302" s="250">
        <f t="shared" si="268"/>
        <v>2036</v>
      </c>
      <c r="D302" s="263">
        <f t="shared" ca="1" si="272"/>
        <v>0</v>
      </c>
      <c r="E302" s="263">
        <f t="shared" ca="1" si="272"/>
        <v>324.21258293609833</v>
      </c>
      <c r="F302" s="263">
        <f t="shared" ca="1" si="272"/>
        <v>0</v>
      </c>
      <c r="G302" s="263">
        <f t="shared" ca="1" si="272"/>
        <v>1945.2754976165902</v>
      </c>
      <c r="H302" s="15"/>
      <c r="I302" s="35">
        <f t="shared" ca="1" si="273"/>
        <v>4.5</v>
      </c>
      <c r="J302" s="35">
        <f t="shared" ca="1" si="273"/>
        <v>80</v>
      </c>
      <c r="K302" s="35">
        <f t="shared" ca="1" si="273"/>
        <v>40</v>
      </c>
      <c r="L302" s="15"/>
      <c r="M302" s="35">
        <f t="shared" ca="1" si="274"/>
        <v>4.2299999999999995</v>
      </c>
      <c r="N302" s="35">
        <f t="shared" ca="1" si="274"/>
        <v>64</v>
      </c>
      <c r="O302" s="35">
        <f t="shared" ca="1" si="274"/>
        <v>32</v>
      </c>
      <c r="P302" s="15"/>
      <c r="Q302" s="34">
        <f t="shared" ca="1" si="275"/>
        <v>0</v>
      </c>
      <c r="R302" s="34">
        <f t="shared" ca="1" si="275"/>
        <v>20749.605307910293</v>
      </c>
      <c r="S302" s="34">
        <f t="shared" ca="1" si="275"/>
        <v>0</v>
      </c>
      <c r="T302" s="34">
        <f t="shared" ca="1" si="275"/>
        <v>20749.605307910293</v>
      </c>
      <c r="U302" s="15"/>
      <c r="V302" s="35">
        <f t="shared" si="276"/>
        <v>0.7</v>
      </c>
      <c r="W302" s="34">
        <f t="shared" ca="1" si="269"/>
        <v>1650.5367858565007</v>
      </c>
      <c r="X302" s="35">
        <f t="shared" si="276"/>
        <v>0.222</v>
      </c>
      <c r="Y302" s="34">
        <f t="shared" ca="1" si="269"/>
        <v>523.45595208591885</v>
      </c>
      <c r="Z302" s="35">
        <f t="shared" si="267"/>
        <v>0.34799999999999998</v>
      </c>
      <c r="AA302" s="34">
        <f t="shared" ca="1" si="270"/>
        <v>820.55257354008893</v>
      </c>
      <c r="AB302" s="34">
        <f t="shared" ca="1" si="270"/>
        <v>2994.5453114825086</v>
      </c>
      <c r="AC302" s="15"/>
      <c r="AD302" s="34">
        <f t="shared" ca="1" si="271"/>
        <v>17755.059996427786</v>
      </c>
      <c r="AE302" s="34">
        <f t="shared" ca="1" si="271"/>
        <v>0</v>
      </c>
      <c r="AF302" s="34">
        <f t="shared" ca="1" si="271"/>
        <v>17755.059996427786</v>
      </c>
      <c r="AG302" s="15"/>
      <c r="AH302" s="273"/>
      <c r="AI302" s="267"/>
      <c r="AJ302" s="267"/>
      <c r="AK302" s="34">
        <f t="shared" ca="1" si="261"/>
        <v>2046.8590960717445</v>
      </c>
      <c r="AL302" s="233"/>
    </row>
    <row r="303" spans="2:38" x14ac:dyDescent="0.3">
      <c r="B303" s="232"/>
      <c r="C303" s="250">
        <f t="shared" si="268"/>
        <v>2037</v>
      </c>
      <c r="D303" s="263">
        <f t="shared" ca="1" si="272"/>
        <v>0</v>
      </c>
      <c r="E303" s="263">
        <f t="shared" ca="1" si="272"/>
        <v>291.79132464248852</v>
      </c>
      <c r="F303" s="263">
        <f t="shared" ca="1" si="272"/>
        <v>0</v>
      </c>
      <c r="G303" s="263">
        <f t="shared" ca="1" si="272"/>
        <v>1750.7479478549312</v>
      </c>
      <c r="H303" s="15"/>
      <c r="I303" s="35">
        <f t="shared" ca="1" si="273"/>
        <v>4.5</v>
      </c>
      <c r="J303" s="35">
        <f t="shared" ca="1" si="273"/>
        <v>80</v>
      </c>
      <c r="K303" s="35">
        <f t="shared" ca="1" si="273"/>
        <v>40</v>
      </c>
      <c r="L303" s="15"/>
      <c r="M303" s="35">
        <f t="shared" ca="1" si="274"/>
        <v>4.2299999999999995</v>
      </c>
      <c r="N303" s="35">
        <f t="shared" ca="1" si="274"/>
        <v>64</v>
      </c>
      <c r="O303" s="35">
        <f t="shared" ca="1" si="274"/>
        <v>32</v>
      </c>
      <c r="P303" s="15"/>
      <c r="Q303" s="34">
        <f t="shared" ca="1" si="275"/>
        <v>0</v>
      </c>
      <c r="R303" s="34">
        <f t="shared" ca="1" si="275"/>
        <v>18674.644777119265</v>
      </c>
      <c r="S303" s="34">
        <f t="shared" ca="1" si="275"/>
        <v>0</v>
      </c>
      <c r="T303" s="34">
        <f t="shared" ca="1" si="275"/>
        <v>18674.644777119265</v>
      </c>
      <c r="U303" s="15"/>
      <c r="V303" s="35">
        <f t="shared" si="276"/>
        <v>0.7</v>
      </c>
      <c r="W303" s="34">
        <f t="shared" ca="1" si="269"/>
        <v>1485.4831072708505</v>
      </c>
      <c r="X303" s="35">
        <f t="shared" si="276"/>
        <v>0.222</v>
      </c>
      <c r="Y303" s="34">
        <f t="shared" ca="1" si="269"/>
        <v>471.11035687732692</v>
      </c>
      <c r="Z303" s="35">
        <f t="shared" si="267"/>
        <v>0.34799999999999998</v>
      </c>
      <c r="AA303" s="34">
        <f t="shared" ca="1" si="270"/>
        <v>738.49731618608007</v>
      </c>
      <c r="AB303" s="34">
        <f t="shared" ca="1" si="270"/>
        <v>2695.0907803342579</v>
      </c>
      <c r="AC303" s="15"/>
      <c r="AD303" s="34">
        <f t="shared" ca="1" si="271"/>
        <v>15979.553996785009</v>
      </c>
      <c r="AE303" s="34">
        <f t="shared" ca="1" si="271"/>
        <v>0</v>
      </c>
      <c r="AF303" s="34">
        <f t="shared" ca="1" si="271"/>
        <v>15979.553996785009</v>
      </c>
      <c r="AG303" s="15"/>
      <c r="AH303" s="273"/>
      <c r="AI303" s="267"/>
      <c r="AJ303" s="267"/>
      <c r="AK303" s="34">
        <f t="shared" ca="1" si="261"/>
        <v>1674.7028967859719</v>
      </c>
      <c r="AL303" s="233"/>
    </row>
    <row r="304" spans="2:38" x14ac:dyDescent="0.3">
      <c r="B304" s="232"/>
      <c r="C304" s="250">
        <f t="shared" si="268"/>
        <v>2038</v>
      </c>
      <c r="D304" s="263">
        <f t="shared" ca="1" si="272"/>
        <v>0</v>
      </c>
      <c r="E304" s="263">
        <f t="shared" ca="1" si="272"/>
        <v>262.6121921782397</v>
      </c>
      <c r="F304" s="263">
        <f t="shared" ca="1" si="272"/>
        <v>0</v>
      </c>
      <c r="G304" s="263">
        <f t="shared" ca="1" si="272"/>
        <v>1575.6731530694383</v>
      </c>
      <c r="H304" s="15"/>
      <c r="I304" s="35">
        <f t="shared" ca="1" si="273"/>
        <v>4.5</v>
      </c>
      <c r="J304" s="35">
        <f t="shared" ca="1" si="273"/>
        <v>80</v>
      </c>
      <c r="K304" s="35">
        <f t="shared" ca="1" si="273"/>
        <v>40</v>
      </c>
      <c r="L304" s="15"/>
      <c r="M304" s="35">
        <f t="shared" ca="1" si="274"/>
        <v>4.2299999999999995</v>
      </c>
      <c r="N304" s="35">
        <f t="shared" ca="1" si="274"/>
        <v>64</v>
      </c>
      <c r="O304" s="35">
        <f t="shared" ca="1" si="274"/>
        <v>32</v>
      </c>
      <c r="P304" s="15"/>
      <c r="Q304" s="34">
        <f t="shared" ca="1" si="275"/>
        <v>0</v>
      </c>
      <c r="R304" s="34">
        <f t="shared" ca="1" si="275"/>
        <v>16807.18029940734</v>
      </c>
      <c r="S304" s="34">
        <f t="shared" ca="1" si="275"/>
        <v>0</v>
      </c>
      <c r="T304" s="34">
        <f t="shared" ca="1" si="275"/>
        <v>16807.18029940734</v>
      </c>
      <c r="U304" s="15"/>
      <c r="V304" s="35">
        <f t="shared" si="276"/>
        <v>0.7</v>
      </c>
      <c r="W304" s="34">
        <f t="shared" ca="1" si="269"/>
        <v>1336.9347965437657</v>
      </c>
      <c r="X304" s="35">
        <f t="shared" si="276"/>
        <v>0.222</v>
      </c>
      <c r="Y304" s="34">
        <f t="shared" ca="1" si="269"/>
        <v>423.9993211895943</v>
      </c>
      <c r="Z304" s="35">
        <f t="shared" si="267"/>
        <v>0.34799999999999998</v>
      </c>
      <c r="AA304" s="34">
        <f t="shared" ca="1" si="270"/>
        <v>664.64758456747199</v>
      </c>
      <c r="AB304" s="34">
        <f t="shared" ca="1" si="270"/>
        <v>2425.5817023008321</v>
      </c>
      <c r="AC304" s="15"/>
      <c r="AD304" s="34">
        <f t="shared" ca="1" si="271"/>
        <v>14381.598597106509</v>
      </c>
      <c r="AE304" s="34">
        <f t="shared" ca="1" si="271"/>
        <v>0</v>
      </c>
      <c r="AF304" s="34">
        <f t="shared" ca="1" si="271"/>
        <v>14381.598597106509</v>
      </c>
      <c r="AG304" s="15"/>
      <c r="AH304" s="273"/>
      <c r="AI304" s="267"/>
      <c r="AJ304" s="267"/>
      <c r="AK304" s="34">
        <f t="shared" ca="1" si="261"/>
        <v>1370.2114610067047</v>
      </c>
      <c r="AL304" s="233"/>
    </row>
    <row r="305" spans="2:38" x14ac:dyDescent="0.3">
      <c r="B305" s="232"/>
      <c r="C305" s="250">
        <f t="shared" si="268"/>
        <v>2039</v>
      </c>
      <c r="D305" s="263">
        <f t="shared" ca="1" si="272"/>
        <v>0</v>
      </c>
      <c r="E305" s="263">
        <f t="shared" ca="1" si="272"/>
        <v>236.35097296041573</v>
      </c>
      <c r="F305" s="263">
        <f t="shared" ca="1" si="272"/>
        <v>0</v>
      </c>
      <c r="G305" s="263">
        <f t="shared" ca="1" si="272"/>
        <v>1418.1058377624943</v>
      </c>
      <c r="H305" s="15"/>
      <c r="I305" s="35">
        <f t="shared" ca="1" si="273"/>
        <v>4.5</v>
      </c>
      <c r="J305" s="35">
        <f t="shared" ca="1" si="273"/>
        <v>80</v>
      </c>
      <c r="K305" s="35">
        <f t="shared" ca="1" si="273"/>
        <v>40</v>
      </c>
      <c r="L305" s="15"/>
      <c r="M305" s="35">
        <f t="shared" ca="1" si="274"/>
        <v>4.2299999999999995</v>
      </c>
      <c r="N305" s="35">
        <f t="shared" ca="1" si="274"/>
        <v>64</v>
      </c>
      <c r="O305" s="35">
        <f t="shared" ca="1" si="274"/>
        <v>32</v>
      </c>
      <c r="P305" s="15"/>
      <c r="Q305" s="34">
        <f t="shared" ca="1" si="275"/>
        <v>0</v>
      </c>
      <c r="R305" s="34">
        <f t="shared" ca="1" si="275"/>
        <v>15126.462269466607</v>
      </c>
      <c r="S305" s="34">
        <f t="shared" ca="1" si="275"/>
        <v>0</v>
      </c>
      <c r="T305" s="34">
        <f t="shared" ca="1" si="275"/>
        <v>15126.462269466607</v>
      </c>
      <c r="U305" s="15"/>
      <c r="V305" s="35">
        <f t="shared" si="276"/>
        <v>0.7</v>
      </c>
      <c r="W305" s="34">
        <f t="shared" ca="1" si="269"/>
        <v>1203.2413168893891</v>
      </c>
      <c r="X305" s="35">
        <f t="shared" si="276"/>
        <v>0.222</v>
      </c>
      <c r="Y305" s="34">
        <f t="shared" ca="1" si="269"/>
        <v>381.5993890706348</v>
      </c>
      <c r="Z305" s="35">
        <f t="shared" si="267"/>
        <v>0.34799999999999998</v>
      </c>
      <c r="AA305" s="34">
        <f t="shared" ca="1" si="270"/>
        <v>598.18282611072493</v>
      </c>
      <c r="AB305" s="34">
        <f t="shared" ca="1" si="270"/>
        <v>2183.0235320707488</v>
      </c>
      <c r="AC305" s="15"/>
      <c r="AD305" s="34">
        <f t="shared" ca="1" si="271"/>
        <v>12943.438737395856</v>
      </c>
      <c r="AE305" s="34">
        <f t="shared" ca="1" si="271"/>
        <v>0</v>
      </c>
      <c r="AF305" s="34">
        <f t="shared" ca="1" si="271"/>
        <v>12943.438737395856</v>
      </c>
      <c r="AG305" s="15"/>
      <c r="AH305" s="273"/>
      <c r="AI305" s="267"/>
      <c r="AJ305" s="267"/>
      <c r="AK305" s="34">
        <f t="shared" ca="1" si="261"/>
        <v>1121.0821044600305</v>
      </c>
      <c r="AL305" s="233"/>
    </row>
    <row r="306" spans="2:38" x14ac:dyDescent="0.3">
      <c r="B306" s="232"/>
      <c r="C306" s="250">
        <f t="shared" si="268"/>
        <v>2040</v>
      </c>
      <c r="D306" s="263">
        <f t="shared" ca="1" si="272"/>
        <v>0</v>
      </c>
      <c r="E306" s="263">
        <f t="shared" ca="1" si="272"/>
        <v>212.71587566437418</v>
      </c>
      <c r="F306" s="263">
        <f t="shared" ca="1" si="272"/>
        <v>0</v>
      </c>
      <c r="G306" s="263">
        <f t="shared" ca="1" si="272"/>
        <v>1276.2952539862449</v>
      </c>
      <c r="H306" s="15"/>
      <c r="I306" s="35">
        <f t="shared" ca="1" si="273"/>
        <v>4.5</v>
      </c>
      <c r="J306" s="35">
        <f t="shared" ca="1" si="273"/>
        <v>80</v>
      </c>
      <c r="K306" s="35">
        <f t="shared" ca="1" si="273"/>
        <v>40</v>
      </c>
      <c r="L306" s="15"/>
      <c r="M306" s="35">
        <f t="shared" ca="1" si="274"/>
        <v>4.2299999999999995</v>
      </c>
      <c r="N306" s="35">
        <f t="shared" ca="1" si="274"/>
        <v>64</v>
      </c>
      <c r="O306" s="35">
        <f t="shared" ca="1" si="274"/>
        <v>32</v>
      </c>
      <c r="P306" s="15"/>
      <c r="Q306" s="34">
        <f t="shared" ca="1" si="275"/>
        <v>0</v>
      </c>
      <c r="R306" s="34">
        <f t="shared" ca="1" si="275"/>
        <v>13613.816042519948</v>
      </c>
      <c r="S306" s="34">
        <f t="shared" ca="1" si="275"/>
        <v>0</v>
      </c>
      <c r="T306" s="34">
        <f t="shared" ca="1" si="275"/>
        <v>13613.816042519948</v>
      </c>
      <c r="U306" s="15"/>
      <c r="V306" s="35">
        <f t="shared" si="276"/>
        <v>0.7</v>
      </c>
      <c r="W306" s="34">
        <f t="shared" ca="1" si="269"/>
        <v>1082.9171852004504</v>
      </c>
      <c r="X306" s="35">
        <f t="shared" si="276"/>
        <v>0.222</v>
      </c>
      <c r="Y306" s="34">
        <f t="shared" ca="1" si="269"/>
        <v>343.43945016357139</v>
      </c>
      <c r="Z306" s="35">
        <f t="shared" si="267"/>
        <v>0.34799999999999998</v>
      </c>
      <c r="AA306" s="34">
        <f t="shared" ca="1" si="270"/>
        <v>538.36454349965243</v>
      </c>
      <c r="AB306" s="34">
        <f t="shared" ca="1" si="270"/>
        <v>1964.7211788636741</v>
      </c>
      <c r="AC306" s="15"/>
      <c r="AD306" s="34">
        <f t="shared" ca="1" si="271"/>
        <v>11649.094863656273</v>
      </c>
      <c r="AE306" s="34">
        <f t="shared" ca="1" si="271"/>
        <v>0</v>
      </c>
      <c r="AF306" s="34">
        <f t="shared" ca="1" si="271"/>
        <v>11649.094863656273</v>
      </c>
      <c r="AG306" s="15"/>
      <c r="AH306" s="273"/>
      <c r="AI306" s="267"/>
      <c r="AJ306" s="267"/>
      <c r="AK306" s="34">
        <f t="shared" ca="1" si="261"/>
        <v>917.24899455820696</v>
      </c>
      <c r="AL306" s="233"/>
    </row>
    <row r="307" spans="2:38" x14ac:dyDescent="0.3">
      <c r="B307" s="232"/>
      <c r="C307" s="250">
        <f t="shared" si="268"/>
        <v>2041</v>
      </c>
      <c r="D307" s="263">
        <f t="shared" ca="1" si="272"/>
        <v>0</v>
      </c>
      <c r="E307" s="263">
        <f t="shared" ca="1" si="272"/>
        <v>191.44428809793675</v>
      </c>
      <c r="F307" s="263">
        <f t="shared" ca="1" si="272"/>
        <v>0</v>
      </c>
      <c r="G307" s="263">
        <f t="shared" ca="1" si="272"/>
        <v>1148.6657285876204</v>
      </c>
      <c r="H307" s="15"/>
      <c r="I307" s="35">
        <f t="shared" ca="1" si="273"/>
        <v>4.5</v>
      </c>
      <c r="J307" s="35">
        <f t="shared" ca="1" si="273"/>
        <v>80</v>
      </c>
      <c r="K307" s="35">
        <f t="shared" ca="1" si="273"/>
        <v>40</v>
      </c>
      <c r="L307" s="15"/>
      <c r="M307" s="35">
        <f t="shared" ca="1" si="274"/>
        <v>4.2299999999999995</v>
      </c>
      <c r="N307" s="35">
        <f t="shared" ca="1" si="274"/>
        <v>64</v>
      </c>
      <c r="O307" s="35">
        <f t="shared" ca="1" si="274"/>
        <v>32</v>
      </c>
      <c r="P307" s="15"/>
      <c r="Q307" s="34">
        <f t="shared" ca="1" si="275"/>
        <v>0</v>
      </c>
      <c r="R307" s="34">
        <f t="shared" ca="1" si="275"/>
        <v>12252.434438267952</v>
      </c>
      <c r="S307" s="34">
        <f t="shared" ca="1" si="275"/>
        <v>0</v>
      </c>
      <c r="T307" s="34">
        <f t="shared" ca="1" si="275"/>
        <v>12252.434438267952</v>
      </c>
      <c r="U307" s="15"/>
      <c r="V307" s="35">
        <f t="shared" si="276"/>
        <v>0.7</v>
      </c>
      <c r="W307" s="34">
        <f t="shared" ca="1" si="269"/>
        <v>974.62546668040522</v>
      </c>
      <c r="X307" s="35">
        <f t="shared" si="276"/>
        <v>0.222</v>
      </c>
      <c r="Y307" s="34">
        <f t="shared" ca="1" si="269"/>
        <v>309.09550514721423</v>
      </c>
      <c r="Z307" s="35">
        <f t="shared" si="267"/>
        <v>0.34799999999999998</v>
      </c>
      <c r="AA307" s="34">
        <f t="shared" ca="1" si="270"/>
        <v>484.5280891496871</v>
      </c>
      <c r="AB307" s="34">
        <f t="shared" ca="1" si="270"/>
        <v>1768.2490609773067</v>
      </c>
      <c r="AC307" s="15"/>
      <c r="AD307" s="34">
        <f t="shared" ca="1" si="271"/>
        <v>10484.185377290645</v>
      </c>
      <c r="AE307" s="34">
        <f t="shared" ca="1" si="271"/>
        <v>0</v>
      </c>
      <c r="AF307" s="34">
        <f t="shared" ca="1" si="271"/>
        <v>10484.185377290645</v>
      </c>
      <c r="AG307" s="15"/>
      <c r="AH307" s="273"/>
      <c r="AI307" s="267"/>
      <c r="AJ307" s="267"/>
      <c r="AK307" s="34">
        <f t="shared" ca="1" si="261"/>
        <v>750.47645009307848</v>
      </c>
      <c r="AL307" s="233"/>
    </row>
    <row r="308" spans="2:38" x14ac:dyDescent="0.3">
      <c r="B308" s="232"/>
      <c r="C308" s="250">
        <f t="shared" si="268"/>
        <v>2042</v>
      </c>
      <c r="D308" s="263">
        <f t="shared" ca="1" si="272"/>
        <v>0</v>
      </c>
      <c r="E308" s="263">
        <f t="shared" ca="1" si="272"/>
        <v>172.29985928814307</v>
      </c>
      <c r="F308" s="263">
        <f t="shared" ca="1" si="272"/>
        <v>0</v>
      </c>
      <c r="G308" s="263">
        <f t="shared" ca="1" si="272"/>
        <v>1033.7991557288585</v>
      </c>
      <c r="H308" s="15"/>
      <c r="I308" s="35">
        <f t="shared" ca="1" si="273"/>
        <v>4.5</v>
      </c>
      <c r="J308" s="35">
        <f t="shared" ca="1" si="273"/>
        <v>80</v>
      </c>
      <c r="K308" s="35">
        <f t="shared" ca="1" si="273"/>
        <v>40</v>
      </c>
      <c r="L308" s="15"/>
      <c r="M308" s="35">
        <f t="shared" ca="1" si="274"/>
        <v>4.2299999999999995</v>
      </c>
      <c r="N308" s="35">
        <f t="shared" ca="1" si="274"/>
        <v>64</v>
      </c>
      <c r="O308" s="35">
        <f t="shared" ca="1" si="274"/>
        <v>32</v>
      </c>
      <c r="P308" s="15"/>
      <c r="Q308" s="34">
        <f t="shared" ca="1" si="275"/>
        <v>0</v>
      </c>
      <c r="R308" s="34">
        <f t="shared" ca="1" si="275"/>
        <v>11027.190994441156</v>
      </c>
      <c r="S308" s="34">
        <f t="shared" ca="1" si="275"/>
        <v>0</v>
      </c>
      <c r="T308" s="34">
        <f t="shared" ca="1" si="275"/>
        <v>11027.190994441156</v>
      </c>
      <c r="U308" s="15"/>
      <c r="V308" s="35">
        <f t="shared" si="276"/>
        <v>0.7</v>
      </c>
      <c r="W308" s="34">
        <f t="shared" ca="1" si="269"/>
        <v>877.16292001236479</v>
      </c>
      <c r="X308" s="35">
        <f t="shared" si="276"/>
        <v>0.222</v>
      </c>
      <c r="Y308" s="34">
        <f t="shared" ca="1" si="269"/>
        <v>278.18595463249284</v>
      </c>
      <c r="Z308" s="35">
        <f t="shared" si="267"/>
        <v>0.34799999999999998</v>
      </c>
      <c r="AA308" s="34">
        <f t="shared" ca="1" si="270"/>
        <v>436.07528023471849</v>
      </c>
      <c r="AB308" s="34">
        <f t="shared" ca="1" si="270"/>
        <v>1591.4241548795762</v>
      </c>
      <c r="AC308" s="15"/>
      <c r="AD308" s="34">
        <f t="shared" ca="1" si="271"/>
        <v>9435.7668395615801</v>
      </c>
      <c r="AE308" s="34">
        <f t="shared" ca="1" si="271"/>
        <v>0</v>
      </c>
      <c r="AF308" s="34">
        <f t="shared" ca="1" si="271"/>
        <v>9435.7668395615801</v>
      </c>
      <c r="AG308" s="15"/>
      <c r="AH308" s="273"/>
      <c r="AI308" s="267"/>
      <c r="AJ308" s="267"/>
      <c r="AK308" s="34">
        <f t="shared" ca="1" si="261"/>
        <v>614.02618643979133</v>
      </c>
      <c r="AL308" s="233"/>
    </row>
    <row r="309" spans="2:38" x14ac:dyDescent="0.3">
      <c r="B309" s="232"/>
      <c r="C309" s="250">
        <f t="shared" si="268"/>
        <v>2043</v>
      </c>
      <c r="D309" s="263">
        <f t="shared" ca="1" si="272"/>
        <v>0</v>
      </c>
      <c r="E309" s="263">
        <f t="shared" ca="1" si="272"/>
        <v>155.06987335932877</v>
      </c>
      <c r="F309" s="263">
        <f t="shared" ca="1" si="272"/>
        <v>0</v>
      </c>
      <c r="G309" s="263">
        <f t="shared" ca="1" si="272"/>
        <v>930.4192401559726</v>
      </c>
      <c r="H309" s="15"/>
      <c r="I309" s="35">
        <f t="shared" ca="1" si="273"/>
        <v>4.5</v>
      </c>
      <c r="J309" s="35">
        <f t="shared" ca="1" si="273"/>
        <v>80</v>
      </c>
      <c r="K309" s="35">
        <f t="shared" ca="1" si="273"/>
        <v>40</v>
      </c>
      <c r="L309" s="15"/>
      <c r="M309" s="35">
        <f t="shared" ca="1" si="274"/>
        <v>4.2299999999999995</v>
      </c>
      <c r="N309" s="35">
        <f t="shared" ca="1" si="274"/>
        <v>64</v>
      </c>
      <c r="O309" s="35">
        <f t="shared" ca="1" si="274"/>
        <v>32</v>
      </c>
      <c r="P309" s="15"/>
      <c r="Q309" s="34">
        <f t="shared" ca="1" si="275"/>
        <v>0</v>
      </c>
      <c r="R309" s="34">
        <f t="shared" ca="1" si="275"/>
        <v>9924.4718949970411</v>
      </c>
      <c r="S309" s="34">
        <f t="shared" ca="1" si="275"/>
        <v>0</v>
      </c>
      <c r="T309" s="34">
        <f t="shared" ca="1" si="275"/>
        <v>9924.4718949970411</v>
      </c>
      <c r="U309" s="15"/>
      <c r="V309" s="35">
        <f t="shared" si="276"/>
        <v>0.7</v>
      </c>
      <c r="W309" s="34">
        <f t="shared" ca="1" si="269"/>
        <v>789.44662801112838</v>
      </c>
      <c r="X309" s="35">
        <f t="shared" si="276"/>
        <v>0.222</v>
      </c>
      <c r="Y309" s="34">
        <f t="shared" ca="1" si="269"/>
        <v>250.36735916924357</v>
      </c>
      <c r="Z309" s="35">
        <f t="shared" si="267"/>
        <v>0.34799999999999998</v>
      </c>
      <c r="AA309" s="34">
        <f t="shared" ca="1" si="270"/>
        <v>392.46775221124665</v>
      </c>
      <c r="AB309" s="34">
        <f t="shared" ca="1" si="270"/>
        <v>1432.2817393916184</v>
      </c>
      <c r="AC309" s="15"/>
      <c r="AD309" s="34">
        <f t="shared" ca="1" si="271"/>
        <v>8492.1901556054236</v>
      </c>
      <c r="AE309" s="34">
        <f t="shared" ca="1" si="271"/>
        <v>0</v>
      </c>
      <c r="AF309" s="34">
        <f t="shared" ca="1" si="271"/>
        <v>8492.1901556054236</v>
      </c>
      <c r="AG309" s="15"/>
      <c r="AH309" s="273"/>
      <c r="AI309" s="267"/>
      <c r="AJ309" s="267"/>
      <c r="AK309" s="34">
        <f t="shared" ca="1" si="261"/>
        <v>502.38506163255664</v>
      </c>
      <c r="AL309" s="233"/>
    </row>
    <row r="310" spans="2:38" x14ac:dyDescent="0.3">
      <c r="B310" s="232"/>
      <c r="C310" s="250">
        <f t="shared" si="268"/>
        <v>2044</v>
      </c>
      <c r="D310" s="263">
        <f t="shared" ca="1" si="272"/>
        <v>0</v>
      </c>
      <c r="E310" s="263">
        <f t="shared" ca="1" si="272"/>
        <v>139.56288602339586</v>
      </c>
      <c r="F310" s="263">
        <f t="shared" ca="1" si="272"/>
        <v>0</v>
      </c>
      <c r="G310" s="263">
        <f t="shared" ca="1" si="272"/>
        <v>837.37731614037534</v>
      </c>
      <c r="H310" s="15"/>
      <c r="I310" s="35">
        <f t="shared" ca="1" si="273"/>
        <v>4.5</v>
      </c>
      <c r="J310" s="35">
        <f t="shared" ca="1" si="273"/>
        <v>80</v>
      </c>
      <c r="K310" s="35">
        <f t="shared" ca="1" si="273"/>
        <v>40</v>
      </c>
      <c r="L310" s="15"/>
      <c r="M310" s="35">
        <f t="shared" ca="1" si="274"/>
        <v>4.2299999999999995</v>
      </c>
      <c r="N310" s="35">
        <f t="shared" ca="1" si="274"/>
        <v>64</v>
      </c>
      <c r="O310" s="35">
        <f t="shared" ca="1" si="274"/>
        <v>32</v>
      </c>
      <c r="P310" s="15"/>
      <c r="Q310" s="34">
        <f t="shared" ca="1" si="275"/>
        <v>0</v>
      </c>
      <c r="R310" s="34">
        <f t="shared" ca="1" si="275"/>
        <v>8932.0247054973352</v>
      </c>
      <c r="S310" s="34">
        <f t="shared" ca="1" si="275"/>
        <v>0</v>
      </c>
      <c r="T310" s="34">
        <f t="shared" ca="1" si="275"/>
        <v>8932.0247054973352</v>
      </c>
      <c r="U310" s="15"/>
      <c r="V310" s="35">
        <f t="shared" si="276"/>
        <v>0.7</v>
      </c>
      <c r="W310" s="34">
        <f t="shared" ca="1" si="269"/>
        <v>710.50196521001544</v>
      </c>
      <c r="X310" s="35">
        <f t="shared" si="276"/>
        <v>0.222</v>
      </c>
      <c r="Y310" s="34">
        <f t="shared" ca="1" si="269"/>
        <v>225.33062325231919</v>
      </c>
      <c r="Z310" s="35">
        <f t="shared" si="267"/>
        <v>0.34799999999999998</v>
      </c>
      <c r="AA310" s="34">
        <f t="shared" ca="1" si="270"/>
        <v>353.22097699012198</v>
      </c>
      <c r="AB310" s="34">
        <f t="shared" ca="1" si="270"/>
        <v>1289.0535654524565</v>
      </c>
      <c r="AC310" s="15"/>
      <c r="AD310" s="34">
        <f t="shared" ca="1" si="271"/>
        <v>7642.9711400448796</v>
      </c>
      <c r="AE310" s="34">
        <f t="shared" ca="1" si="271"/>
        <v>0</v>
      </c>
      <c r="AF310" s="34">
        <f t="shared" ca="1" si="271"/>
        <v>7642.9711400448796</v>
      </c>
      <c r="AG310" s="15"/>
      <c r="AH310" s="273"/>
      <c r="AI310" s="267"/>
      <c r="AJ310" s="267"/>
      <c r="AK310" s="34">
        <f t="shared" ca="1" si="261"/>
        <v>411.04232315390993</v>
      </c>
      <c r="AL310" s="233"/>
    </row>
    <row r="311" spans="2:38" x14ac:dyDescent="0.3">
      <c r="B311" s="232"/>
      <c r="C311" s="250">
        <f t="shared" si="268"/>
        <v>2045</v>
      </c>
      <c r="D311" s="263">
        <f t="shared" ca="1" si="272"/>
        <v>0</v>
      </c>
      <c r="E311" s="263">
        <f t="shared" ca="1" si="272"/>
        <v>125.60659742105631</v>
      </c>
      <c r="F311" s="263">
        <f t="shared" ca="1" si="272"/>
        <v>0</v>
      </c>
      <c r="G311" s="263">
        <f t="shared" ca="1" si="272"/>
        <v>753.63958452633779</v>
      </c>
      <c r="H311" s="15"/>
      <c r="I311" s="35">
        <f t="shared" ca="1" si="273"/>
        <v>4.5</v>
      </c>
      <c r="J311" s="35">
        <f t="shared" ca="1" si="273"/>
        <v>80</v>
      </c>
      <c r="K311" s="35">
        <f t="shared" ca="1" si="273"/>
        <v>40</v>
      </c>
      <c r="L311" s="15"/>
      <c r="M311" s="35">
        <f t="shared" ca="1" si="274"/>
        <v>4.2299999999999995</v>
      </c>
      <c r="N311" s="35">
        <f t="shared" ca="1" si="274"/>
        <v>64</v>
      </c>
      <c r="O311" s="35">
        <f t="shared" ca="1" si="274"/>
        <v>32</v>
      </c>
      <c r="P311" s="15"/>
      <c r="Q311" s="34">
        <f t="shared" ca="1" si="275"/>
        <v>0</v>
      </c>
      <c r="R311" s="34">
        <f t="shared" ca="1" si="275"/>
        <v>8038.8222349476036</v>
      </c>
      <c r="S311" s="34">
        <f t="shared" ca="1" si="275"/>
        <v>0</v>
      </c>
      <c r="T311" s="34">
        <f t="shared" ca="1" si="275"/>
        <v>8038.8222349476036</v>
      </c>
      <c r="U311" s="15"/>
      <c r="V311" s="35">
        <f t="shared" si="276"/>
        <v>0.7</v>
      </c>
      <c r="W311" s="34">
        <f t="shared" ref="W311:Y319" ca="1" si="277">+W61+W111+W161+W211+W261</f>
        <v>639.45176868901387</v>
      </c>
      <c r="X311" s="35">
        <f t="shared" si="276"/>
        <v>0.222</v>
      </c>
      <c r="Y311" s="34">
        <f t="shared" ca="1" si="277"/>
        <v>202.79756092708732</v>
      </c>
      <c r="Z311" s="35">
        <f t="shared" si="267"/>
        <v>0.34799999999999998</v>
      </c>
      <c r="AA311" s="34">
        <f t="shared" ref="AA311:AB319" ca="1" si="278">+AA61+AA111+AA161+AA211+AA261</f>
        <v>317.89887929110978</v>
      </c>
      <c r="AB311" s="34">
        <f t="shared" ca="1" si="278"/>
        <v>1160.148208907211</v>
      </c>
      <c r="AC311" s="15"/>
      <c r="AD311" s="34">
        <f t="shared" ref="AD311:AF321" ca="1" si="279">+AD61+AD111+AD161+AD211+AD261</f>
        <v>6878.6740260403931</v>
      </c>
      <c r="AE311" s="34">
        <f t="shared" ca="1" si="279"/>
        <v>0</v>
      </c>
      <c r="AF311" s="34">
        <f t="shared" ca="1" si="279"/>
        <v>6878.6740260403931</v>
      </c>
      <c r="AG311" s="15"/>
      <c r="AH311" s="273"/>
      <c r="AI311" s="267"/>
      <c r="AJ311" s="267"/>
      <c r="AK311" s="34">
        <f t="shared" ca="1" si="261"/>
        <v>336.3073553077445</v>
      </c>
      <c r="AL311" s="233"/>
    </row>
    <row r="312" spans="2:38" x14ac:dyDescent="0.3">
      <c r="B312" s="232"/>
      <c r="C312" s="250">
        <f t="shared" si="268"/>
        <v>2046</v>
      </c>
      <c r="D312" s="263">
        <f t="shared" ref="D312:G321" ca="1" si="280">+D62+D112+D162+D212+D262</f>
        <v>0</v>
      </c>
      <c r="E312" s="263">
        <f t="shared" ca="1" si="280"/>
        <v>113.04593767895068</v>
      </c>
      <c r="F312" s="263">
        <f t="shared" ca="1" si="280"/>
        <v>0</v>
      </c>
      <c r="G312" s="263">
        <f t="shared" ca="1" si="280"/>
        <v>678.27562607370407</v>
      </c>
      <c r="H312" s="15"/>
      <c r="I312" s="35">
        <f t="shared" ref="I312:K319" ca="1" si="281">I262</f>
        <v>4.5</v>
      </c>
      <c r="J312" s="35">
        <f t="shared" ca="1" si="281"/>
        <v>80</v>
      </c>
      <c r="K312" s="35">
        <f t="shared" ca="1" si="281"/>
        <v>40</v>
      </c>
      <c r="L312" s="15"/>
      <c r="M312" s="35">
        <f t="shared" ref="M312:O319" ca="1" si="282">M262</f>
        <v>4.2299999999999995</v>
      </c>
      <c r="N312" s="35">
        <f t="shared" ca="1" si="282"/>
        <v>64</v>
      </c>
      <c r="O312" s="35">
        <f t="shared" ca="1" si="282"/>
        <v>32</v>
      </c>
      <c r="P312" s="15"/>
      <c r="Q312" s="34">
        <f t="shared" ref="Q312:T319" ca="1" si="283">+Q62+Q112+Q162+Q212+Q262</f>
        <v>0</v>
      </c>
      <c r="R312" s="34">
        <f t="shared" ca="1" si="283"/>
        <v>7234.9400114528435</v>
      </c>
      <c r="S312" s="34">
        <f t="shared" ca="1" si="283"/>
        <v>0</v>
      </c>
      <c r="T312" s="34">
        <f t="shared" ca="1" si="283"/>
        <v>7234.9400114528435</v>
      </c>
      <c r="U312" s="15"/>
      <c r="V312" s="35">
        <f t="shared" ref="V312:X319" si="284">V262</f>
        <v>0.7</v>
      </c>
      <c r="W312" s="34">
        <f t="shared" ca="1" si="277"/>
        <v>575.50659182011259</v>
      </c>
      <c r="X312" s="35">
        <f t="shared" si="284"/>
        <v>0.222</v>
      </c>
      <c r="Y312" s="34">
        <f t="shared" ca="1" si="277"/>
        <v>182.51780483437858</v>
      </c>
      <c r="Z312" s="35">
        <f t="shared" si="267"/>
        <v>0.34799999999999998</v>
      </c>
      <c r="AA312" s="34">
        <f t="shared" ca="1" si="278"/>
        <v>286.10899136199885</v>
      </c>
      <c r="AB312" s="34">
        <f t="shared" ca="1" si="278"/>
        <v>1044.13338801649</v>
      </c>
      <c r="AC312" s="15"/>
      <c r="AD312" s="34">
        <f t="shared" ca="1" si="279"/>
        <v>6190.8066234363541</v>
      </c>
      <c r="AE312" s="34">
        <f t="shared" ca="1" si="279"/>
        <v>0</v>
      </c>
      <c r="AF312" s="34">
        <f t="shared" ca="1" si="279"/>
        <v>6190.8066234363541</v>
      </c>
      <c r="AG312" s="15"/>
      <c r="AH312" s="273"/>
      <c r="AI312" s="267"/>
      <c r="AJ312" s="267"/>
      <c r="AK312" s="34">
        <f t="shared" ca="1" si="261"/>
        <v>275.16056343360924</v>
      </c>
      <c r="AL312" s="233"/>
    </row>
    <row r="313" spans="2:38" x14ac:dyDescent="0.3">
      <c r="B313" s="232"/>
      <c r="C313" s="250">
        <f t="shared" si="268"/>
        <v>2047</v>
      </c>
      <c r="D313" s="263">
        <f t="shared" ca="1" si="280"/>
        <v>0</v>
      </c>
      <c r="E313" s="263">
        <f t="shared" ca="1" si="280"/>
        <v>101.74134391105561</v>
      </c>
      <c r="F313" s="263">
        <f t="shared" ca="1" si="280"/>
        <v>0</v>
      </c>
      <c r="G313" s="263">
        <f t="shared" ca="1" si="280"/>
        <v>610.44806346633368</v>
      </c>
      <c r="H313" s="15"/>
      <c r="I313" s="35">
        <f t="shared" ca="1" si="281"/>
        <v>4.5</v>
      </c>
      <c r="J313" s="35">
        <f t="shared" ca="1" si="281"/>
        <v>80</v>
      </c>
      <c r="K313" s="35">
        <f t="shared" ca="1" si="281"/>
        <v>40</v>
      </c>
      <c r="L313" s="15"/>
      <c r="M313" s="35">
        <f t="shared" ca="1" si="282"/>
        <v>4.2299999999999995</v>
      </c>
      <c r="N313" s="35">
        <f t="shared" ca="1" si="282"/>
        <v>64</v>
      </c>
      <c r="O313" s="35">
        <f t="shared" ca="1" si="282"/>
        <v>32</v>
      </c>
      <c r="P313" s="15"/>
      <c r="Q313" s="34">
        <f t="shared" ca="1" si="283"/>
        <v>0</v>
      </c>
      <c r="R313" s="34">
        <f t="shared" ca="1" si="283"/>
        <v>6511.4460103075589</v>
      </c>
      <c r="S313" s="34">
        <f t="shared" ca="1" si="283"/>
        <v>0</v>
      </c>
      <c r="T313" s="34">
        <f t="shared" ca="1" si="283"/>
        <v>6511.4460103075589</v>
      </c>
      <c r="U313" s="15"/>
      <c r="V313" s="35">
        <f t="shared" si="284"/>
        <v>0.7</v>
      </c>
      <c r="W313" s="34">
        <f t="shared" ca="1" si="277"/>
        <v>517.95593263810133</v>
      </c>
      <c r="X313" s="35">
        <f t="shared" si="284"/>
        <v>0.222</v>
      </c>
      <c r="Y313" s="34">
        <f t="shared" ca="1" si="277"/>
        <v>164.26602435094071</v>
      </c>
      <c r="Z313" s="35">
        <f t="shared" si="267"/>
        <v>0.34799999999999998</v>
      </c>
      <c r="AA313" s="34">
        <f t="shared" ca="1" si="278"/>
        <v>257.49809222579893</v>
      </c>
      <c r="AB313" s="34">
        <f t="shared" ca="1" si="278"/>
        <v>939.72004921484097</v>
      </c>
      <c r="AC313" s="15"/>
      <c r="AD313" s="34">
        <f t="shared" ca="1" si="279"/>
        <v>5571.7259610927185</v>
      </c>
      <c r="AE313" s="34">
        <f t="shared" ca="1" si="279"/>
        <v>0</v>
      </c>
      <c r="AF313" s="34">
        <f t="shared" ca="1" si="279"/>
        <v>5571.7259610927185</v>
      </c>
      <c r="AG313" s="15"/>
      <c r="AH313" s="273"/>
      <c r="AI313" s="267"/>
      <c r="AJ313" s="267"/>
      <c r="AK313" s="34">
        <f t="shared" ca="1" si="261"/>
        <v>225.13137008204382</v>
      </c>
      <c r="AL313" s="233"/>
    </row>
    <row r="314" spans="2:38" x14ac:dyDescent="0.3">
      <c r="B314" s="232"/>
      <c r="C314" s="250">
        <f t="shared" si="268"/>
        <v>2048</v>
      </c>
      <c r="D314" s="263">
        <f t="shared" ca="1" si="280"/>
        <v>0</v>
      </c>
      <c r="E314" s="263">
        <f t="shared" ca="1" si="280"/>
        <v>91.567209519950055</v>
      </c>
      <c r="F314" s="263">
        <f t="shared" ca="1" si="280"/>
        <v>0</v>
      </c>
      <c r="G314" s="263">
        <f t="shared" ca="1" si="280"/>
        <v>549.40325711970036</v>
      </c>
      <c r="H314" s="15"/>
      <c r="I314" s="35">
        <f t="shared" ca="1" si="281"/>
        <v>4.5</v>
      </c>
      <c r="J314" s="35">
        <f t="shared" ca="1" si="281"/>
        <v>80</v>
      </c>
      <c r="K314" s="35">
        <f t="shared" ca="1" si="281"/>
        <v>40</v>
      </c>
      <c r="L314" s="15"/>
      <c r="M314" s="35">
        <f t="shared" ca="1" si="282"/>
        <v>4.2299999999999995</v>
      </c>
      <c r="N314" s="35">
        <f t="shared" ca="1" si="282"/>
        <v>64</v>
      </c>
      <c r="O314" s="35">
        <f t="shared" ca="1" si="282"/>
        <v>32</v>
      </c>
      <c r="P314" s="15"/>
      <c r="Q314" s="34">
        <f t="shared" ca="1" si="283"/>
        <v>0</v>
      </c>
      <c r="R314" s="34">
        <f t="shared" ca="1" si="283"/>
        <v>5860.3014092768035</v>
      </c>
      <c r="S314" s="34">
        <f t="shared" ca="1" si="283"/>
        <v>0</v>
      </c>
      <c r="T314" s="34">
        <f t="shared" ca="1" si="283"/>
        <v>5860.3014092768035</v>
      </c>
      <c r="U314" s="15"/>
      <c r="V314" s="35">
        <f t="shared" si="284"/>
        <v>0.7</v>
      </c>
      <c r="W314" s="34">
        <f t="shared" ca="1" si="277"/>
        <v>466.1603393742912</v>
      </c>
      <c r="X314" s="35">
        <f t="shared" si="284"/>
        <v>0.222</v>
      </c>
      <c r="Y314" s="34">
        <f t="shared" ca="1" si="277"/>
        <v>147.83942191584666</v>
      </c>
      <c r="Z314" s="35">
        <f t="shared" si="267"/>
        <v>0.34799999999999998</v>
      </c>
      <c r="AA314" s="34">
        <f t="shared" ca="1" si="278"/>
        <v>231.74828300321906</v>
      </c>
      <c r="AB314" s="34">
        <f t="shared" ca="1" si="278"/>
        <v>845.748044293357</v>
      </c>
      <c r="AC314" s="15"/>
      <c r="AD314" s="34">
        <f t="shared" ca="1" si="279"/>
        <v>5014.553364983446</v>
      </c>
      <c r="AE314" s="34">
        <f t="shared" ca="1" si="279"/>
        <v>0</v>
      </c>
      <c r="AF314" s="34">
        <f t="shared" ca="1" si="279"/>
        <v>5014.553364983446</v>
      </c>
      <c r="AG314" s="15"/>
      <c r="AH314" s="273"/>
      <c r="AI314" s="267"/>
      <c r="AJ314" s="267"/>
      <c r="AK314" s="34">
        <f t="shared" ca="1" si="261"/>
        <v>184.19839370349044</v>
      </c>
      <c r="AL314" s="233"/>
    </row>
    <row r="315" spans="2:38" x14ac:dyDescent="0.3">
      <c r="B315" s="232"/>
      <c r="C315" s="250">
        <f t="shared" si="268"/>
        <v>2049</v>
      </c>
      <c r="D315" s="263">
        <f t="shared" ca="1" si="280"/>
        <v>0</v>
      </c>
      <c r="E315" s="263">
        <f t="shared" ca="1" si="280"/>
        <v>82.410488567955042</v>
      </c>
      <c r="F315" s="263">
        <f t="shared" ca="1" si="280"/>
        <v>0</v>
      </c>
      <c r="G315" s="263">
        <f t="shared" ca="1" si="280"/>
        <v>494.46293140773025</v>
      </c>
      <c r="H315" s="15"/>
      <c r="I315" s="35">
        <f t="shared" ca="1" si="281"/>
        <v>4.5</v>
      </c>
      <c r="J315" s="35">
        <f t="shared" ca="1" si="281"/>
        <v>80</v>
      </c>
      <c r="K315" s="35">
        <f t="shared" ca="1" si="281"/>
        <v>40</v>
      </c>
      <c r="L315" s="15"/>
      <c r="M315" s="35">
        <f t="shared" ca="1" si="282"/>
        <v>4.2299999999999995</v>
      </c>
      <c r="N315" s="35">
        <f t="shared" ca="1" si="282"/>
        <v>64</v>
      </c>
      <c r="O315" s="35">
        <f t="shared" ca="1" si="282"/>
        <v>32</v>
      </c>
      <c r="P315" s="15"/>
      <c r="Q315" s="34">
        <f t="shared" ca="1" si="283"/>
        <v>0</v>
      </c>
      <c r="R315" s="34">
        <f t="shared" ca="1" si="283"/>
        <v>5274.2712683491227</v>
      </c>
      <c r="S315" s="34">
        <f t="shared" ca="1" si="283"/>
        <v>0</v>
      </c>
      <c r="T315" s="34">
        <f t="shared" ca="1" si="283"/>
        <v>5274.2712683491227</v>
      </c>
      <c r="U315" s="15"/>
      <c r="V315" s="35">
        <f t="shared" si="284"/>
        <v>0.7</v>
      </c>
      <c r="W315" s="34">
        <f t="shared" ca="1" si="277"/>
        <v>419.54430543686203</v>
      </c>
      <c r="X315" s="35">
        <f t="shared" si="284"/>
        <v>0.222</v>
      </c>
      <c r="Y315" s="34">
        <f t="shared" ca="1" si="277"/>
        <v>133.055479724262</v>
      </c>
      <c r="Z315" s="35">
        <f t="shared" si="267"/>
        <v>0.34799999999999998</v>
      </c>
      <c r="AA315" s="34">
        <f t="shared" ca="1" si="278"/>
        <v>208.57345470289715</v>
      </c>
      <c r="AB315" s="34">
        <f t="shared" ca="1" si="278"/>
        <v>761.17323986402118</v>
      </c>
      <c r="AC315" s="15"/>
      <c r="AD315" s="34">
        <f t="shared" ca="1" si="279"/>
        <v>4513.0980284851021</v>
      </c>
      <c r="AE315" s="34">
        <f t="shared" ca="1" si="279"/>
        <v>0</v>
      </c>
      <c r="AF315" s="34">
        <f t="shared" ca="1" si="279"/>
        <v>4513.0980284851021</v>
      </c>
      <c r="AG315" s="15"/>
      <c r="AH315" s="273"/>
      <c r="AI315" s="267"/>
      <c r="AJ315" s="267"/>
      <c r="AK315" s="34">
        <f t="shared" ca="1" si="261"/>
        <v>150.70777666649209</v>
      </c>
      <c r="AL315" s="233"/>
    </row>
    <row r="316" spans="2:38" x14ac:dyDescent="0.3">
      <c r="B316" s="232"/>
      <c r="C316" s="250">
        <f t="shared" si="268"/>
        <v>2050</v>
      </c>
      <c r="D316" s="263">
        <f t="shared" ca="1" si="280"/>
        <v>0</v>
      </c>
      <c r="E316" s="263">
        <f t="shared" ca="1" si="280"/>
        <v>74.169439711159555</v>
      </c>
      <c r="F316" s="263">
        <f t="shared" ca="1" si="280"/>
        <v>0</v>
      </c>
      <c r="G316" s="263">
        <f t="shared" ca="1" si="280"/>
        <v>445.01663826695733</v>
      </c>
      <c r="H316" s="15"/>
      <c r="I316" s="35">
        <f t="shared" ca="1" si="281"/>
        <v>4.5</v>
      </c>
      <c r="J316" s="35">
        <f t="shared" ca="1" si="281"/>
        <v>80</v>
      </c>
      <c r="K316" s="35">
        <f t="shared" ca="1" si="281"/>
        <v>40</v>
      </c>
      <c r="L316" s="15"/>
      <c r="M316" s="35">
        <f t="shared" ca="1" si="282"/>
        <v>4.2299999999999995</v>
      </c>
      <c r="N316" s="35">
        <f t="shared" ca="1" si="282"/>
        <v>64</v>
      </c>
      <c r="O316" s="35">
        <f t="shared" ca="1" si="282"/>
        <v>32</v>
      </c>
      <c r="P316" s="15"/>
      <c r="Q316" s="34">
        <f t="shared" ca="1" si="283"/>
        <v>0</v>
      </c>
      <c r="R316" s="34">
        <f t="shared" ca="1" si="283"/>
        <v>4746.8441415142115</v>
      </c>
      <c r="S316" s="34">
        <f t="shared" ca="1" si="283"/>
        <v>0</v>
      </c>
      <c r="T316" s="34">
        <f t="shared" ca="1" si="283"/>
        <v>4746.8441415142115</v>
      </c>
      <c r="U316" s="15"/>
      <c r="V316" s="35">
        <f t="shared" si="284"/>
        <v>0.7</v>
      </c>
      <c r="W316" s="34">
        <f t="shared" ca="1" si="277"/>
        <v>377.58987489317587</v>
      </c>
      <c r="X316" s="35">
        <f t="shared" si="284"/>
        <v>0.222</v>
      </c>
      <c r="Y316" s="34">
        <f t="shared" ca="1" si="277"/>
        <v>119.74993175183579</v>
      </c>
      <c r="Z316" s="35">
        <f t="shared" si="267"/>
        <v>0.34799999999999998</v>
      </c>
      <c r="AA316" s="34">
        <f t="shared" ca="1" si="278"/>
        <v>187.71610923260741</v>
      </c>
      <c r="AB316" s="34">
        <f t="shared" ca="1" si="278"/>
        <v>685.0559158776191</v>
      </c>
      <c r="AC316" s="15"/>
      <c r="AD316" s="34">
        <f t="shared" ca="1" si="279"/>
        <v>4061.788225636592</v>
      </c>
      <c r="AE316" s="34">
        <f t="shared" ca="1" si="279"/>
        <v>0</v>
      </c>
      <c r="AF316" s="34">
        <f t="shared" ca="1" si="279"/>
        <v>4061.788225636592</v>
      </c>
      <c r="AG316" s="15"/>
      <c r="AH316" s="273"/>
      <c r="AI316" s="267"/>
      <c r="AJ316" s="267"/>
      <c r="AK316" s="34">
        <f t="shared" ca="1" si="261"/>
        <v>123.30636272712991</v>
      </c>
      <c r="AL316" s="233"/>
    </row>
    <row r="317" spans="2:38" x14ac:dyDescent="0.3">
      <c r="B317" s="232"/>
      <c r="C317" s="250">
        <f t="shared" si="268"/>
        <v>2051</v>
      </c>
      <c r="D317" s="263">
        <f t="shared" ca="1" si="280"/>
        <v>0</v>
      </c>
      <c r="E317" s="263">
        <f t="shared" ca="1" si="280"/>
        <v>66.752495740043585</v>
      </c>
      <c r="F317" s="263">
        <f t="shared" ca="1" si="280"/>
        <v>0</v>
      </c>
      <c r="G317" s="263">
        <f t="shared" ca="1" si="280"/>
        <v>400.51497444026154</v>
      </c>
      <c r="H317" s="15"/>
      <c r="I317" s="35">
        <f t="shared" ca="1" si="281"/>
        <v>4.5</v>
      </c>
      <c r="J317" s="35">
        <f t="shared" ca="1" si="281"/>
        <v>80</v>
      </c>
      <c r="K317" s="35">
        <f t="shared" ca="1" si="281"/>
        <v>40</v>
      </c>
      <c r="L317" s="15"/>
      <c r="M317" s="35">
        <f t="shared" ca="1" si="282"/>
        <v>4.2299999999999995</v>
      </c>
      <c r="N317" s="35">
        <f t="shared" ca="1" si="282"/>
        <v>64</v>
      </c>
      <c r="O317" s="35">
        <f t="shared" ca="1" si="282"/>
        <v>32</v>
      </c>
      <c r="P317" s="15"/>
      <c r="Q317" s="34">
        <f t="shared" ca="1" si="283"/>
        <v>0</v>
      </c>
      <c r="R317" s="34">
        <f t="shared" ca="1" si="283"/>
        <v>4272.1597273627895</v>
      </c>
      <c r="S317" s="34">
        <f t="shared" ca="1" si="283"/>
        <v>0</v>
      </c>
      <c r="T317" s="34">
        <f t="shared" ca="1" si="283"/>
        <v>4272.1597273627895</v>
      </c>
      <c r="U317" s="15"/>
      <c r="V317" s="35">
        <f t="shared" si="284"/>
        <v>0.7</v>
      </c>
      <c r="W317" s="34">
        <f t="shared" ca="1" si="277"/>
        <v>339.83088740385824</v>
      </c>
      <c r="X317" s="35">
        <f t="shared" si="284"/>
        <v>0.222</v>
      </c>
      <c r="Y317" s="34">
        <f t="shared" ca="1" si="277"/>
        <v>107.7749385766522</v>
      </c>
      <c r="Z317" s="35">
        <f t="shared" si="267"/>
        <v>0.34799999999999998</v>
      </c>
      <c r="AA317" s="34">
        <f t="shared" ca="1" si="278"/>
        <v>168.94449830934667</v>
      </c>
      <c r="AB317" s="34">
        <f t="shared" ca="1" si="278"/>
        <v>616.55032428985714</v>
      </c>
      <c r="AC317" s="15"/>
      <c r="AD317" s="34">
        <f t="shared" ca="1" si="279"/>
        <v>3655.6094030729323</v>
      </c>
      <c r="AE317" s="34">
        <f t="shared" ca="1" si="279"/>
        <v>0</v>
      </c>
      <c r="AF317" s="34">
        <f t="shared" ca="1" si="279"/>
        <v>3655.6094030729323</v>
      </c>
      <c r="AG317" s="15"/>
      <c r="AH317" s="273"/>
      <c r="AI317" s="267"/>
      <c r="AJ317" s="267"/>
      <c r="AK317" s="34">
        <f t="shared" ca="1" si="261"/>
        <v>100.88702404946994</v>
      </c>
      <c r="AL317" s="233"/>
    </row>
    <row r="318" spans="2:38" x14ac:dyDescent="0.3">
      <c r="B318" s="232"/>
      <c r="C318" s="250">
        <f t="shared" si="268"/>
        <v>2052</v>
      </c>
      <c r="D318" s="263">
        <f t="shared" ca="1" si="280"/>
        <v>0</v>
      </c>
      <c r="E318" s="263">
        <f t="shared" ca="1" si="280"/>
        <v>60.077246166039231</v>
      </c>
      <c r="F318" s="263">
        <f t="shared" ca="1" si="280"/>
        <v>0</v>
      </c>
      <c r="G318" s="263">
        <f t="shared" ca="1" si="280"/>
        <v>360.46347699623539</v>
      </c>
      <c r="H318" s="15"/>
      <c r="I318" s="35">
        <f t="shared" ca="1" si="281"/>
        <v>4.5</v>
      </c>
      <c r="J318" s="35">
        <f t="shared" ca="1" si="281"/>
        <v>80</v>
      </c>
      <c r="K318" s="35">
        <f t="shared" ca="1" si="281"/>
        <v>40</v>
      </c>
      <c r="L318" s="15"/>
      <c r="M318" s="35">
        <f t="shared" ca="1" si="282"/>
        <v>4.2299999999999995</v>
      </c>
      <c r="N318" s="35">
        <f t="shared" ca="1" si="282"/>
        <v>64</v>
      </c>
      <c r="O318" s="35">
        <f t="shared" ca="1" si="282"/>
        <v>32</v>
      </c>
      <c r="P318" s="15"/>
      <c r="Q318" s="34">
        <f t="shared" ca="1" si="283"/>
        <v>0</v>
      </c>
      <c r="R318" s="34">
        <f t="shared" ca="1" si="283"/>
        <v>3844.9437546265108</v>
      </c>
      <c r="S318" s="34">
        <f t="shared" ca="1" si="283"/>
        <v>0</v>
      </c>
      <c r="T318" s="34">
        <f t="shared" ca="1" si="283"/>
        <v>3844.9437546265108</v>
      </c>
      <c r="U318" s="15"/>
      <c r="V318" s="35">
        <f t="shared" si="284"/>
        <v>0.7</v>
      </c>
      <c r="W318" s="34">
        <f t="shared" ca="1" si="277"/>
        <v>305.84779866347242</v>
      </c>
      <c r="X318" s="35">
        <f t="shared" si="284"/>
        <v>0.222</v>
      </c>
      <c r="Y318" s="34">
        <f t="shared" ca="1" si="277"/>
        <v>96.997444718986984</v>
      </c>
      <c r="Z318" s="35">
        <f t="shared" si="267"/>
        <v>0.34799999999999998</v>
      </c>
      <c r="AA318" s="34">
        <f t="shared" ca="1" si="278"/>
        <v>152.05004847841201</v>
      </c>
      <c r="AB318" s="34">
        <f t="shared" ca="1" si="278"/>
        <v>554.89529186087134</v>
      </c>
      <c r="AC318" s="15"/>
      <c r="AD318" s="34">
        <f t="shared" ca="1" si="279"/>
        <v>3290.0484627656392</v>
      </c>
      <c r="AE318" s="34">
        <f t="shared" ca="1" si="279"/>
        <v>0</v>
      </c>
      <c r="AF318" s="34">
        <f t="shared" ca="1" si="279"/>
        <v>3290.0484627656392</v>
      </c>
      <c r="AG318" s="15"/>
      <c r="AH318" s="273"/>
      <c r="AI318" s="267"/>
      <c r="AJ318" s="267"/>
      <c r="AK318" s="34">
        <f t="shared" ca="1" si="261"/>
        <v>82.543928767748099</v>
      </c>
      <c r="AL318" s="233"/>
    </row>
    <row r="319" spans="2:38" x14ac:dyDescent="0.3">
      <c r="B319" s="232"/>
      <c r="C319" s="250">
        <f t="shared" si="268"/>
        <v>2053</v>
      </c>
      <c r="D319" s="263">
        <f t="shared" ca="1" si="280"/>
        <v>0</v>
      </c>
      <c r="E319" s="263">
        <f t="shared" ca="1" si="280"/>
        <v>54.069521549435315</v>
      </c>
      <c r="F319" s="263">
        <f t="shared" ca="1" si="280"/>
        <v>0</v>
      </c>
      <c r="G319" s="263">
        <f t="shared" ca="1" si="280"/>
        <v>324.4171292966119</v>
      </c>
      <c r="H319" s="15"/>
      <c r="I319" s="35">
        <f t="shared" ca="1" si="281"/>
        <v>4.5</v>
      </c>
      <c r="J319" s="35">
        <f t="shared" ca="1" si="281"/>
        <v>80</v>
      </c>
      <c r="K319" s="35">
        <f t="shared" ca="1" si="281"/>
        <v>40</v>
      </c>
      <c r="L319" s="15"/>
      <c r="M319" s="35">
        <f t="shared" ca="1" si="282"/>
        <v>4.2299999999999995</v>
      </c>
      <c r="N319" s="35">
        <f t="shared" ca="1" si="282"/>
        <v>64</v>
      </c>
      <c r="O319" s="35">
        <f t="shared" ca="1" si="282"/>
        <v>32</v>
      </c>
      <c r="P319" s="15"/>
      <c r="Q319" s="34">
        <f t="shared" ca="1" si="283"/>
        <v>0</v>
      </c>
      <c r="R319" s="34">
        <f t="shared" ca="1" si="283"/>
        <v>3460.4493791638602</v>
      </c>
      <c r="S319" s="34">
        <f t="shared" ca="1" si="283"/>
        <v>0</v>
      </c>
      <c r="T319" s="34">
        <f t="shared" ca="1" si="283"/>
        <v>3460.4493791638602</v>
      </c>
      <c r="U319" s="15"/>
      <c r="V319" s="35">
        <f t="shared" si="284"/>
        <v>0.7</v>
      </c>
      <c r="W319" s="34">
        <f t="shared" ca="1" si="277"/>
        <v>275.26301879712526</v>
      </c>
      <c r="X319" s="35">
        <f t="shared" si="284"/>
        <v>0.222</v>
      </c>
      <c r="Y319" s="34">
        <f t="shared" ca="1" si="277"/>
        <v>87.297700247088301</v>
      </c>
      <c r="Z319" s="35">
        <f t="shared" si="267"/>
        <v>0.34799999999999998</v>
      </c>
      <c r="AA319" s="34">
        <f t="shared" ca="1" si="278"/>
        <v>136.84504363057084</v>
      </c>
      <c r="AB319" s="34">
        <f t="shared" ca="1" si="278"/>
        <v>499.40576267478434</v>
      </c>
      <c r="AC319" s="15"/>
      <c r="AD319" s="34">
        <f t="shared" ca="1" si="279"/>
        <v>2961.0436164890762</v>
      </c>
      <c r="AE319" s="34">
        <f t="shared" ca="1" si="279"/>
        <v>0</v>
      </c>
      <c r="AF319" s="34">
        <f t="shared" ca="1" si="279"/>
        <v>2961.0436164890762</v>
      </c>
      <c r="AG319" s="15"/>
      <c r="AH319" s="273"/>
      <c r="AI319" s="267"/>
      <c r="AJ319" s="267"/>
      <c r="AK319" s="34">
        <f t="shared" ca="1" si="261"/>
        <v>67.535941719066656</v>
      </c>
      <c r="AL319" s="233"/>
    </row>
    <row r="320" spans="2:38" x14ac:dyDescent="0.3">
      <c r="B320" s="232"/>
      <c r="C320" s="274" t="s">
        <v>302</v>
      </c>
      <c r="D320" s="39">
        <f ca="1">SUM(D279:D319)</f>
        <v>0</v>
      </c>
      <c r="E320" s="39">
        <f t="shared" ref="E320:G320" ca="1" si="285">SUM(E279:E319)</f>
        <v>37137.383929805088</v>
      </c>
      <c r="F320" s="39">
        <f t="shared" ca="1" si="285"/>
        <v>0</v>
      </c>
      <c r="G320" s="39">
        <f t="shared" ca="1" si="285"/>
        <v>222824.30357883056</v>
      </c>
      <c r="H320" s="15"/>
      <c r="I320" s="15"/>
      <c r="J320" s="15"/>
      <c r="K320" s="15"/>
      <c r="L320" s="15"/>
      <c r="M320" s="35"/>
      <c r="N320" s="35"/>
      <c r="O320" s="35"/>
      <c r="P320" s="15"/>
      <c r="Q320" s="8">
        <f ca="1">SUM(Q279:Q319)</f>
        <v>0</v>
      </c>
      <c r="R320" s="8">
        <f t="shared" ref="R320:T320" ca="1" si="286">SUM(R279:R319)</f>
        <v>2433507.246832422</v>
      </c>
      <c r="S320" s="8">
        <f t="shared" ca="1" si="286"/>
        <v>0</v>
      </c>
      <c r="T320" s="8">
        <f t="shared" ca="1" si="286"/>
        <v>2433507.246832422</v>
      </c>
      <c r="U320" s="15"/>
      <c r="V320" s="275"/>
      <c r="W320" s="276">
        <f ca="1">SUM(W279:W319)</f>
        <v>189063.04546082582</v>
      </c>
      <c r="X320" s="275"/>
      <c r="Y320" s="276">
        <f ca="1">SUM(Y279:Y319)</f>
        <v>59959.994417576192</v>
      </c>
      <c r="Z320" s="275"/>
      <c r="AA320" s="276">
        <f ca="1">SUM(AA279:AA319)</f>
        <v>93991.342600524862</v>
      </c>
      <c r="AB320" s="276">
        <f ca="1">SUM(AB279:AB319)</f>
        <v>343014.38247892691</v>
      </c>
      <c r="AC320" s="15"/>
      <c r="AD320" s="276">
        <f ca="1">SUM(AD279:AD319)</f>
        <v>2090492.864353495</v>
      </c>
      <c r="AE320" s="276">
        <f ca="1">SUM(AE279:AE319)</f>
        <v>326577.70434782602</v>
      </c>
      <c r="AF320" s="276">
        <f ca="1">SUM(AF279:AF319)</f>
        <v>1763915.1600056686</v>
      </c>
      <c r="AG320" s="15"/>
      <c r="AH320" s="277"/>
      <c r="AI320" s="278"/>
      <c r="AJ320" s="278"/>
      <c r="AK320" s="276">
        <f ca="1">SUM(AK279:AK319)</f>
        <v>847208.76474210515</v>
      </c>
      <c r="AL320" s="233"/>
    </row>
    <row r="321" spans="2:38" x14ac:dyDescent="0.3">
      <c r="B321" s="232"/>
      <c r="C321" s="283" t="s">
        <v>303</v>
      </c>
      <c r="D321" s="263">
        <f t="shared" ca="1" si="280"/>
        <v>0</v>
      </c>
      <c r="E321" s="263">
        <f t="shared" ca="1" si="280"/>
        <v>1601.525679315429</v>
      </c>
      <c r="F321" s="263">
        <f t="shared" ca="1" si="280"/>
        <v>0</v>
      </c>
      <c r="G321" s="263">
        <f t="shared" ca="1" si="280"/>
        <v>9609.1540758925876</v>
      </c>
      <c r="H321" s="15"/>
      <c r="I321" s="15"/>
      <c r="J321" s="15"/>
      <c r="K321" s="15"/>
      <c r="L321" s="15"/>
      <c r="M321" s="35">
        <f ca="1">M319</f>
        <v>4.2299999999999995</v>
      </c>
      <c r="N321" s="35">
        <f t="shared" ref="N321:O321" ca="1" si="287">N319</f>
        <v>64</v>
      </c>
      <c r="O321" s="35">
        <f t="shared" ca="1" si="287"/>
        <v>32</v>
      </c>
      <c r="P321" s="15"/>
      <c r="Q321" s="34">
        <f t="shared" ref="Q321:T321" ca="1" si="288">+Q71+Q121+Q171+Q221+Q271</f>
        <v>0</v>
      </c>
      <c r="R321" s="34">
        <f t="shared" ca="1" si="288"/>
        <v>102497.64347618746</v>
      </c>
      <c r="S321" s="34">
        <f t="shared" ca="1" si="288"/>
        <v>0</v>
      </c>
      <c r="T321" s="34">
        <f t="shared" ca="1" si="288"/>
        <v>102497.64347618746</v>
      </c>
      <c r="U321" s="15"/>
      <c r="V321" s="35"/>
      <c r="W321" s="34">
        <f t="shared" ref="W321:Y321" ca="1" si="289">+W71+W121+W171+W221+W271</f>
        <v>8153.221640151286</v>
      </c>
      <c r="X321" s="35"/>
      <c r="Y321" s="34">
        <f t="shared" ca="1" si="289"/>
        <v>2585.7360058765507</v>
      </c>
      <c r="Z321" s="35"/>
      <c r="AA321" s="34">
        <f t="shared" ref="AA321:AB321" ca="1" si="290">+AA71+AA121+AA171+AA221+AA271</f>
        <v>4053.3159011037824</v>
      </c>
      <c r="AB321" s="34">
        <f t="shared" ca="1" si="290"/>
        <v>14792.273547131619</v>
      </c>
      <c r="AC321" s="15"/>
      <c r="AD321" s="34">
        <f t="shared" ca="1" si="279"/>
        <v>87705.369929055829</v>
      </c>
      <c r="AE321" s="62">
        <f t="shared" ca="1" si="279"/>
        <v>1467.4956521739132</v>
      </c>
      <c r="AF321" s="34">
        <f t="shared" ca="1" si="279"/>
        <v>86237.874276881921</v>
      </c>
      <c r="AG321" s="15"/>
      <c r="AH321" s="266"/>
      <c r="AI321" s="267"/>
      <c r="AJ321" s="267"/>
      <c r="AK321" s="34">
        <f t="shared" ref="AK321" ca="1" si="291">+AK71+AK121+AK171+AK221+AK271</f>
        <v>1966.9268019920037</v>
      </c>
      <c r="AL321" s="233"/>
    </row>
    <row r="322" spans="2:38" x14ac:dyDescent="0.3">
      <c r="B322" s="232"/>
      <c r="C322" s="60" t="s">
        <v>26</v>
      </c>
      <c r="D322" s="39">
        <f ca="1">SUM(D320:D321)</f>
        <v>0</v>
      </c>
      <c r="E322" s="39">
        <f t="shared" ref="E322:G322" ca="1" si="292">SUM(E320:E321)</f>
        <v>38738.909609120514</v>
      </c>
      <c r="F322" s="39">
        <f t="shared" ca="1" si="292"/>
        <v>0</v>
      </c>
      <c r="G322" s="39">
        <f t="shared" ca="1" si="292"/>
        <v>232433.45765472314</v>
      </c>
      <c r="H322" s="15"/>
      <c r="I322" s="15"/>
      <c r="J322" s="15"/>
      <c r="K322" s="15"/>
      <c r="L322" s="15"/>
      <c r="M322" s="15"/>
      <c r="N322" s="15"/>
      <c r="O322" s="15"/>
      <c r="P322" s="15"/>
      <c r="Q322" s="8">
        <f ca="1">SUM(Q320:Q321)</f>
        <v>0</v>
      </c>
      <c r="R322" s="8">
        <f t="shared" ref="R322:T322" ca="1" si="293">SUM(R320:R321)</f>
        <v>2536004.8903086092</v>
      </c>
      <c r="S322" s="8">
        <f t="shared" ca="1" si="293"/>
        <v>0</v>
      </c>
      <c r="T322" s="8">
        <f t="shared" ca="1" si="293"/>
        <v>2536004.8903086092</v>
      </c>
      <c r="U322" s="15"/>
      <c r="V322" s="9"/>
      <c r="W322" s="8">
        <f ca="1">SUM(W320:W321)</f>
        <v>197216.2671009771</v>
      </c>
      <c r="X322" s="9"/>
      <c r="Y322" s="8">
        <f ca="1">SUM(Y320:Y321)</f>
        <v>62545.73042345274</v>
      </c>
      <c r="Z322" s="9"/>
      <c r="AA322" s="8">
        <f ca="1">SUM(AA320:AA321)</f>
        <v>98044.658501628641</v>
      </c>
      <c r="AB322" s="8">
        <f ca="1">SUM(AB320:AB321)</f>
        <v>357806.65602605854</v>
      </c>
      <c r="AC322" s="15"/>
      <c r="AD322" s="8">
        <f t="shared" ref="AD322:AF322" ca="1" si="294">SUM(AD320:AD321)</f>
        <v>2178198.2342825509</v>
      </c>
      <c r="AE322" s="8">
        <f t="shared" ca="1" si="294"/>
        <v>328045.19999999995</v>
      </c>
      <c r="AF322" s="8">
        <f t="shared" ca="1" si="294"/>
        <v>1850153.0342825507</v>
      </c>
      <c r="AG322" s="15"/>
      <c r="AH322" s="9"/>
      <c r="AI322" s="9"/>
      <c r="AJ322" s="9"/>
      <c r="AK322" s="8">
        <f ca="1">SUM(AK320:AK321)</f>
        <v>849175.69154409715</v>
      </c>
      <c r="AL322" s="233"/>
    </row>
    <row r="323" spans="2:38" x14ac:dyDescent="0.3">
      <c r="B323" s="256"/>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258"/>
    </row>
  </sheetData>
  <pageMargins left="0.7" right="0.7" top="0.75" bottom="0.75" header="0.3" footer="0.3"/>
  <pageSetup orientation="portrait" r:id="rId1"/>
  <ignoredErrors>
    <ignoredError sqref="AK70 CQ270:CS272 CQ220:CS222 CQ170:CS172 AK170 AD170:AF170 AK270 AK320:AK322 AK22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showGridLines="0"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B2:Z120"/>
  <sheetViews>
    <sheetView showGridLines="0" zoomScaleNormal="100" zoomScaleSheetLayoutView="85" workbookViewId="0">
      <selection activeCell="B2" sqref="B2"/>
    </sheetView>
  </sheetViews>
  <sheetFormatPr defaultRowHeight="14.4" x14ac:dyDescent="0.3"/>
  <cols>
    <col min="1" max="2" width="1.6640625" customWidth="1"/>
    <col min="3" max="4" width="14.6640625" customWidth="1"/>
    <col min="5" max="11" width="12.6640625" customWidth="1"/>
    <col min="12" max="12" width="14.33203125" customWidth="1"/>
    <col min="13" max="13" width="12.6640625" customWidth="1"/>
    <col min="14" max="14" width="10.6640625" customWidth="1"/>
    <col min="15" max="15" width="12.6640625" customWidth="1"/>
    <col min="16" max="16" width="13" customWidth="1"/>
    <col min="17" max="17" width="11.88671875" bestFit="1" customWidth="1"/>
  </cols>
  <sheetData>
    <row r="2" spans="2:24" x14ac:dyDescent="0.3">
      <c r="B2" s="1" t="s">
        <v>144</v>
      </c>
      <c r="N2" s="2"/>
      <c r="O2" s="2"/>
      <c r="P2" s="2"/>
      <c r="Q2" s="2"/>
      <c r="R2" s="2"/>
      <c r="S2" s="2"/>
      <c r="T2" s="2"/>
      <c r="U2" s="2"/>
      <c r="V2" s="2"/>
      <c r="W2" s="2"/>
      <c r="X2" s="2"/>
    </row>
    <row r="3" spans="2:24" x14ac:dyDescent="0.3">
      <c r="K3" s="14" t="s">
        <v>214</v>
      </c>
      <c r="L3" s="14" t="s">
        <v>218</v>
      </c>
      <c r="N3" s="2"/>
      <c r="O3" s="2"/>
      <c r="P3" s="2"/>
      <c r="Q3" s="2"/>
      <c r="R3" s="2"/>
      <c r="S3" s="2"/>
      <c r="T3" s="2"/>
      <c r="U3" s="2"/>
      <c r="V3" s="2"/>
      <c r="W3" s="2"/>
      <c r="X3" s="2"/>
    </row>
    <row r="4" spans="2:24" x14ac:dyDescent="0.3">
      <c r="F4" s="177" t="s">
        <v>145</v>
      </c>
      <c r="I4" s="177" t="s">
        <v>145</v>
      </c>
      <c r="K4" s="14" t="s">
        <v>215</v>
      </c>
      <c r="L4" s="14" t="s">
        <v>219</v>
      </c>
      <c r="N4" s="2"/>
      <c r="O4" s="2"/>
      <c r="P4" s="2"/>
      <c r="Q4" s="2"/>
      <c r="R4" s="2"/>
      <c r="S4" s="2"/>
      <c r="T4" s="2"/>
      <c r="U4" s="2"/>
      <c r="V4" s="2"/>
      <c r="W4" s="2"/>
      <c r="X4" s="2"/>
    </row>
    <row r="5" spans="2:24" x14ac:dyDescent="0.3">
      <c r="D5" s="177" t="s">
        <v>146</v>
      </c>
      <c r="E5" s="177" t="s">
        <v>146</v>
      </c>
      <c r="F5" s="177" t="s">
        <v>147</v>
      </c>
      <c r="G5" s="177" t="s">
        <v>148</v>
      </c>
      <c r="H5" s="177" t="s">
        <v>148</v>
      </c>
      <c r="I5" s="177" t="s">
        <v>147</v>
      </c>
      <c r="J5" s="2"/>
      <c r="K5" s="14" t="s">
        <v>216</v>
      </c>
      <c r="L5" s="14" t="s">
        <v>220</v>
      </c>
      <c r="N5" s="2"/>
      <c r="O5" s="212"/>
      <c r="P5" s="2"/>
      <c r="Q5" s="2"/>
      <c r="R5" s="2"/>
      <c r="S5" s="2"/>
      <c r="T5" s="2"/>
      <c r="U5" s="2"/>
      <c r="V5" s="2"/>
      <c r="W5" s="2"/>
      <c r="X5" s="2"/>
    </row>
    <row r="6" spans="2:24" x14ac:dyDescent="0.3">
      <c r="B6" s="3" t="s">
        <v>2</v>
      </c>
      <c r="C6" s="4"/>
      <c r="D6" s="11" t="s">
        <v>149</v>
      </c>
      <c r="E6" s="11" t="s">
        <v>150</v>
      </c>
      <c r="F6" s="11" t="s">
        <v>151</v>
      </c>
      <c r="G6" s="11" t="s">
        <v>149</v>
      </c>
      <c r="H6" s="11" t="s">
        <v>150</v>
      </c>
      <c r="I6" s="11" t="s">
        <v>151</v>
      </c>
      <c r="K6" s="37" t="s">
        <v>217</v>
      </c>
      <c r="L6" s="37" t="s">
        <v>221</v>
      </c>
      <c r="N6" s="214"/>
      <c r="O6" s="212"/>
      <c r="P6" s="2"/>
      <c r="Q6" s="2"/>
      <c r="R6" s="2"/>
      <c r="S6" s="2"/>
      <c r="T6" s="2"/>
      <c r="U6" s="2"/>
      <c r="V6" s="2"/>
      <c r="W6" s="2"/>
      <c r="X6" s="2"/>
    </row>
    <row r="7" spans="2:24" x14ac:dyDescent="0.3">
      <c r="C7" t="s">
        <v>0</v>
      </c>
      <c r="D7" s="6">
        <v>22000</v>
      </c>
      <c r="E7" s="6">
        <v>10000</v>
      </c>
      <c r="F7" s="178">
        <f>IFERROR(E7/D7,"N/A")</f>
        <v>0.45454545454545453</v>
      </c>
      <c r="G7" s="6">
        <v>62000</v>
      </c>
      <c r="H7" s="6">
        <v>39000</v>
      </c>
      <c r="I7" s="178">
        <f>IFERROR(H7/G7,"N/A")</f>
        <v>0.62903225806451613</v>
      </c>
      <c r="K7" s="212">
        <f>D7/10</f>
        <v>2200</v>
      </c>
      <c r="L7" s="219">
        <f>H7/D59</f>
        <v>13.448275862068966</v>
      </c>
      <c r="N7" s="2"/>
      <c r="O7" s="2"/>
      <c r="P7" s="2"/>
      <c r="Q7" s="2"/>
      <c r="R7" s="2"/>
      <c r="S7" s="2"/>
      <c r="T7" s="2"/>
      <c r="U7" s="2"/>
      <c r="V7" s="2"/>
      <c r="W7" s="2"/>
      <c r="X7" s="2"/>
    </row>
    <row r="8" spans="2:24" x14ac:dyDescent="0.3">
      <c r="C8" t="s">
        <v>1</v>
      </c>
      <c r="D8" s="6">
        <v>111000</v>
      </c>
      <c r="E8" s="6">
        <v>58000</v>
      </c>
      <c r="F8" s="178">
        <f t="shared" ref="F8:F9" si="0">IFERROR(E8/D8,"N/A")</f>
        <v>0.52252252252252251</v>
      </c>
      <c r="G8" s="6">
        <v>386000</v>
      </c>
      <c r="H8" s="6">
        <v>203000</v>
      </c>
      <c r="I8" s="178">
        <f t="shared" ref="I8:I9" si="1">IFERROR(H8/G8,"N/A")</f>
        <v>0.52590673575129532</v>
      </c>
      <c r="K8" s="212">
        <f>D8/110</f>
        <v>1009.0909090909091</v>
      </c>
      <c r="L8" s="219">
        <f>H8/D60</f>
        <v>119.41176470588235</v>
      </c>
      <c r="N8" s="2"/>
      <c r="O8" s="18"/>
      <c r="P8" s="2"/>
      <c r="Q8" s="2"/>
      <c r="R8" s="2"/>
      <c r="S8" s="2"/>
      <c r="T8" s="2"/>
      <c r="U8" s="2"/>
      <c r="V8" s="2"/>
      <c r="W8" s="2"/>
      <c r="X8" s="2"/>
    </row>
    <row r="9" spans="2:24" x14ac:dyDescent="0.3">
      <c r="C9" t="s">
        <v>152</v>
      </c>
      <c r="D9" s="6">
        <v>0</v>
      </c>
      <c r="E9" s="6">
        <v>0</v>
      </c>
      <c r="F9" s="178" t="str">
        <f t="shared" si="0"/>
        <v>N/A</v>
      </c>
      <c r="G9" s="6">
        <v>154000</v>
      </c>
      <c r="H9" s="6">
        <v>139000</v>
      </c>
      <c r="I9" s="178">
        <f t="shared" si="1"/>
        <v>0.90259740259740262</v>
      </c>
      <c r="K9" s="209"/>
      <c r="N9" s="2"/>
      <c r="O9" s="2"/>
      <c r="P9" s="2"/>
      <c r="Q9" s="2"/>
      <c r="R9" s="2"/>
      <c r="S9" s="2"/>
      <c r="T9" s="2"/>
      <c r="U9" s="2"/>
      <c r="V9" s="2"/>
      <c r="W9" s="2"/>
      <c r="X9" s="2"/>
    </row>
    <row r="10" spans="2:24" x14ac:dyDescent="0.3">
      <c r="H10" s="179"/>
      <c r="I10" s="179"/>
      <c r="N10" s="2"/>
      <c r="O10" s="2"/>
      <c r="P10" s="2"/>
      <c r="Q10" s="2"/>
      <c r="R10" s="2"/>
      <c r="S10" s="2"/>
      <c r="T10" s="2"/>
      <c r="U10" s="2"/>
      <c r="V10" s="2"/>
      <c r="W10" s="2"/>
      <c r="X10" s="2"/>
    </row>
    <row r="11" spans="2:24" x14ac:dyDescent="0.3">
      <c r="B11" s="3" t="s">
        <v>153</v>
      </c>
      <c r="C11" s="4"/>
      <c r="D11" s="180"/>
      <c r="E11" s="4"/>
      <c r="F11" s="11">
        <v>2009</v>
      </c>
      <c r="G11" s="11">
        <v>2010</v>
      </c>
      <c r="H11" s="11">
        <v>2011</v>
      </c>
      <c r="I11" s="11">
        <v>2012</v>
      </c>
      <c r="N11" s="2"/>
      <c r="O11" s="2"/>
      <c r="P11" s="2"/>
      <c r="Q11" s="2"/>
      <c r="R11" s="2"/>
      <c r="S11" s="2"/>
      <c r="T11" s="2"/>
      <c r="U11" s="2"/>
      <c r="V11" s="2"/>
      <c r="W11" s="2"/>
      <c r="X11" s="2"/>
    </row>
    <row r="12" spans="2:24" x14ac:dyDescent="0.3">
      <c r="B12" t="s">
        <v>154</v>
      </c>
      <c r="D12" s="12"/>
      <c r="N12" s="212"/>
      <c r="O12" s="2"/>
      <c r="P12" s="2"/>
      <c r="Q12" s="2"/>
      <c r="R12" s="2"/>
      <c r="S12" s="2"/>
      <c r="T12" s="2"/>
      <c r="U12" s="2"/>
      <c r="V12" s="2"/>
      <c r="W12" s="2"/>
      <c r="X12" s="2"/>
    </row>
    <row r="13" spans="2:24" x14ac:dyDescent="0.3">
      <c r="C13" t="s">
        <v>208</v>
      </c>
      <c r="F13" s="6">
        <v>1541813</v>
      </c>
      <c r="G13" s="6">
        <v>1678697</v>
      </c>
      <c r="H13" s="6">
        <v>1973391</v>
      </c>
      <c r="I13" s="6">
        <v>1820994</v>
      </c>
      <c r="J13" s="12"/>
      <c r="N13" s="222"/>
      <c r="O13" s="2"/>
      <c r="P13" s="2"/>
      <c r="Q13" s="2"/>
      <c r="R13" s="2"/>
      <c r="S13" s="2"/>
      <c r="T13" s="2"/>
      <c r="U13" s="2"/>
      <c r="V13" s="2"/>
      <c r="W13" s="2"/>
      <c r="X13" s="2"/>
    </row>
    <row r="14" spans="2:24" x14ac:dyDescent="0.3">
      <c r="C14" t="s">
        <v>155</v>
      </c>
      <c r="F14" s="6">
        <v>11627</v>
      </c>
      <c r="G14" s="6">
        <v>11013</v>
      </c>
      <c r="H14" s="6">
        <v>11794</v>
      </c>
      <c r="I14" s="6">
        <v>10531</v>
      </c>
      <c r="N14" s="222"/>
      <c r="O14" s="2"/>
      <c r="P14" s="2"/>
      <c r="Q14" s="2"/>
      <c r="R14" s="2"/>
      <c r="S14" s="2"/>
      <c r="T14" s="2"/>
      <c r="U14" s="2"/>
      <c r="V14" s="2"/>
      <c r="W14" s="2"/>
      <c r="X14" s="2"/>
    </row>
    <row r="15" spans="2:24" x14ac:dyDescent="0.3">
      <c r="B15" s="181" t="s">
        <v>156</v>
      </c>
      <c r="C15" s="181"/>
      <c r="D15" s="181"/>
      <c r="E15" s="181"/>
      <c r="F15" s="182">
        <f>F13+F14*Bbl_to_Mcfe</f>
        <v>1611575</v>
      </c>
      <c r="G15" s="182">
        <f>G13+G14*Bbl_to_Mcfe</f>
        <v>1744775</v>
      </c>
      <c r="H15" s="182">
        <f>H13+H14*Bbl_to_Mcfe</f>
        <v>2044155</v>
      </c>
      <c r="I15" s="182">
        <f>I13+I14*Bbl_to_Mcfe</f>
        <v>1884180</v>
      </c>
      <c r="N15" s="222"/>
      <c r="O15" s="2"/>
      <c r="P15" s="2"/>
      <c r="Q15" s="2"/>
      <c r="R15" s="2"/>
      <c r="S15" s="2"/>
      <c r="T15" s="2"/>
      <c r="U15" s="2"/>
      <c r="V15" s="2"/>
      <c r="W15" s="2"/>
      <c r="X15" s="2"/>
    </row>
    <row r="16" spans="2:24" x14ac:dyDescent="0.3">
      <c r="B16" t="s">
        <v>157</v>
      </c>
      <c r="N16" s="222"/>
      <c r="O16" s="209"/>
      <c r="P16" s="2"/>
      <c r="Q16" s="2"/>
      <c r="R16" s="2"/>
      <c r="S16" s="2"/>
      <c r="T16" s="2"/>
      <c r="U16" s="2"/>
      <c r="V16" s="2"/>
      <c r="W16" s="2"/>
      <c r="X16" s="2"/>
    </row>
    <row r="17" spans="2:26" x14ac:dyDescent="0.3">
      <c r="C17" t="s">
        <v>208</v>
      </c>
      <c r="F17" s="6">
        <v>2194788</v>
      </c>
      <c r="G17" s="6">
        <v>2521458</v>
      </c>
      <c r="H17" s="6">
        <v>2805163</v>
      </c>
      <c r="I17" s="6">
        <v>1145451</v>
      </c>
      <c r="N17" s="223"/>
      <c r="O17" s="2"/>
      <c r="P17" s="2"/>
      <c r="Q17" s="2"/>
      <c r="R17" s="2"/>
      <c r="S17" s="2"/>
      <c r="T17" s="2"/>
      <c r="U17" s="2"/>
      <c r="V17" s="2"/>
      <c r="W17" s="2"/>
      <c r="X17" s="2"/>
    </row>
    <row r="18" spans="2:26" x14ac:dyDescent="0.3">
      <c r="C18" t="s">
        <v>155</v>
      </c>
      <c r="F18" s="6">
        <v>17558</v>
      </c>
      <c r="G18" s="6">
        <v>20671</v>
      </c>
      <c r="H18" s="6">
        <v>21287</v>
      </c>
      <c r="I18" s="6">
        <v>7606</v>
      </c>
      <c r="N18" s="222"/>
      <c r="O18" s="2"/>
      <c r="P18" s="2"/>
      <c r="Q18" s="2"/>
      <c r="R18" s="2"/>
      <c r="S18" s="2"/>
      <c r="T18" s="2"/>
      <c r="U18" s="2"/>
      <c r="V18" s="2"/>
      <c r="W18" s="2"/>
      <c r="X18" s="2"/>
    </row>
    <row r="19" spans="2:26" x14ac:dyDescent="0.3">
      <c r="B19" s="181" t="s">
        <v>158</v>
      </c>
      <c r="C19" s="181"/>
      <c r="D19" s="181"/>
      <c r="E19" s="181"/>
      <c r="F19" s="182">
        <f>F17+F18*Bbl_to_Mcfe</f>
        <v>2300136</v>
      </c>
      <c r="G19" s="182">
        <f>G17+G18*Bbl_to_Mcfe</f>
        <v>2645484</v>
      </c>
      <c r="H19" s="182">
        <f>H17+H18*Bbl_to_Mcfe</f>
        <v>2932885</v>
      </c>
      <c r="I19" s="182">
        <f>I17+I18*Bbl_to_Mcfe</f>
        <v>1191087</v>
      </c>
      <c r="N19" s="222"/>
      <c r="O19" s="2"/>
      <c r="P19" s="2"/>
      <c r="Q19" s="2"/>
      <c r="R19" s="2"/>
      <c r="S19" s="2"/>
      <c r="T19" s="2"/>
      <c r="U19" s="2"/>
      <c r="V19" s="2"/>
      <c r="W19" s="2"/>
      <c r="X19" s="2"/>
    </row>
    <row r="20" spans="2:26" x14ac:dyDescent="0.3">
      <c r="B20" s="7" t="s">
        <v>209</v>
      </c>
      <c r="C20" s="7"/>
      <c r="D20" s="7"/>
      <c r="E20" s="7"/>
      <c r="F20" s="8">
        <f>F19+F15</f>
        <v>3911711</v>
      </c>
      <c r="G20" s="8">
        <f t="shared" ref="G20:I20" si="2">G19+G15</f>
        <v>4390259</v>
      </c>
      <c r="H20" s="8">
        <f t="shared" si="2"/>
        <v>4977040</v>
      </c>
      <c r="I20" s="8">
        <f t="shared" si="2"/>
        <v>3075267</v>
      </c>
      <c r="K20" s="48"/>
      <c r="N20" s="2"/>
      <c r="O20" s="2"/>
      <c r="P20" s="2"/>
      <c r="Q20" s="2"/>
      <c r="R20" s="2"/>
      <c r="S20" s="2"/>
      <c r="T20" s="2"/>
      <c r="U20" s="2"/>
      <c r="V20" s="2"/>
      <c r="W20" s="2"/>
      <c r="X20" s="2"/>
    </row>
    <row r="21" spans="2:26" x14ac:dyDescent="0.3">
      <c r="B21" s="16"/>
      <c r="C21" s="16"/>
      <c r="D21" s="16"/>
      <c r="E21" s="16"/>
      <c r="F21" s="183"/>
      <c r="G21" s="183"/>
      <c r="H21" s="183"/>
      <c r="I21" s="183"/>
      <c r="N21" s="223"/>
      <c r="O21" s="2"/>
      <c r="P21" s="2"/>
      <c r="Q21" s="2"/>
      <c r="R21" s="2"/>
      <c r="S21" s="2"/>
      <c r="T21" s="2"/>
      <c r="U21" s="2"/>
      <c r="V21" s="2"/>
      <c r="W21" s="2"/>
      <c r="X21" s="2"/>
      <c r="Y21" s="2"/>
      <c r="Z21" s="2"/>
    </row>
    <row r="22" spans="2:26" x14ac:dyDescent="0.3">
      <c r="B22" s="16" t="s">
        <v>159</v>
      </c>
      <c r="C22" s="16"/>
      <c r="D22" s="16"/>
      <c r="E22" s="16"/>
      <c r="F22" s="183"/>
      <c r="G22" s="183"/>
      <c r="H22" s="183">
        <f>H20/Units</f>
        <v>4977.04</v>
      </c>
      <c r="I22" s="183">
        <f>I20/Units</f>
        <v>3075.2669999999998</v>
      </c>
      <c r="N22" s="222"/>
      <c r="O22" s="2"/>
      <c r="P22" s="2"/>
      <c r="Q22" s="2"/>
      <c r="R22" s="2"/>
      <c r="S22" s="2"/>
      <c r="T22" s="2"/>
      <c r="U22" s="2"/>
      <c r="V22" s="2"/>
      <c r="W22" s="2"/>
      <c r="X22" s="2"/>
      <c r="Y22" s="2"/>
      <c r="Z22" s="2"/>
    </row>
    <row r="23" spans="2:26" x14ac:dyDescent="0.3">
      <c r="B23" s="16"/>
      <c r="C23" s="16"/>
      <c r="D23" s="16"/>
      <c r="E23" s="16"/>
      <c r="F23" s="183"/>
      <c r="G23" s="183"/>
      <c r="H23" s="183"/>
      <c r="I23" s="183"/>
      <c r="K23" s="38" t="s">
        <v>226</v>
      </c>
      <c r="N23" s="222"/>
      <c r="O23" s="2"/>
      <c r="P23" s="2"/>
      <c r="Q23" s="2"/>
      <c r="R23" s="2"/>
      <c r="S23" s="2"/>
      <c r="T23" s="2"/>
      <c r="U23" s="2"/>
      <c r="V23" s="2"/>
      <c r="W23" s="2"/>
      <c r="X23" s="2"/>
      <c r="Y23" s="2"/>
      <c r="Z23" s="2"/>
    </row>
    <row r="24" spans="2:26" x14ac:dyDescent="0.3">
      <c r="C24" s="18" t="s">
        <v>160</v>
      </c>
      <c r="D24" s="16"/>
      <c r="E24" s="16"/>
      <c r="F24" s="183"/>
      <c r="G24" s="183"/>
      <c r="H24" s="184">
        <f>H19/Units</f>
        <v>2932.8850000000002</v>
      </c>
      <c r="I24" s="184">
        <f>I19/Units</f>
        <v>1191.087</v>
      </c>
      <c r="K24" s="38" t="s">
        <v>222</v>
      </c>
      <c r="N24" s="2"/>
      <c r="O24" s="2"/>
      <c r="P24" s="2"/>
      <c r="Q24" s="2"/>
      <c r="R24" s="2"/>
      <c r="S24" s="2"/>
      <c r="T24" s="2"/>
      <c r="U24" s="2"/>
      <c r="V24" s="2"/>
      <c r="W24" s="2"/>
      <c r="X24" s="2"/>
      <c r="Y24" s="2"/>
      <c r="Z24" s="2"/>
    </row>
    <row r="25" spans="2:26" x14ac:dyDescent="0.3">
      <c r="C25" s="18" t="s">
        <v>161</v>
      </c>
      <c r="D25" s="16"/>
      <c r="E25" s="16"/>
      <c r="F25" s="183"/>
      <c r="G25" s="183"/>
      <c r="H25" s="6">
        <v>5244</v>
      </c>
      <c r="I25" s="6">
        <v>8022</v>
      </c>
      <c r="J25" s="48"/>
      <c r="K25" s="220" t="s">
        <v>223</v>
      </c>
      <c r="N25" s="222"/>
      <c r="O25" s="2"/>
      <c r="P25" s="2"/>
      <c r="Q25" s="2"/>
      <c r="R25" s="2"/>
      <c r="S25" s="2"/>
      <c r="T25" s="2"/>
      <c r="U25" s="2"/>
      <c r="V25" s="2"/>
      <c r="W25" s="2"/>
      <c r="X25" s="2"/>
      <c r="Y25" s="2"/>
      <c r="Z25" s="2"/>
    </row>
    <row r="26" spans="2:26" x14ac:dyDescent="0.3">
      <c r="C26" s="18" t="s">
        <v>162</v>
      </c>
      <c r="D26" s="16"/>
      <c r="E26" s="16"/>
      <c r="F26" s="183"/>
      <c r="G26" s="183"/>
      <c r="H26" s="6">
        <v>4212</v>
      </c>
      <c r="I26" s="6">
        <v>5841</v>
      </c>
      <c r="J26" s="48"/>
      <c r="K26" s="11" t="s">
        <v>225</v>
      </c>
      <c r="N26" s="222"/>
      <c r="O26" s="2"/>
      <c r="P26" s="2"/>
      <c r="Q26" s="2"/>
      <c r="R26" s="2"/>
      <c r="S26" s="2"/>
      <c r="T26" s="2"/>
      <c r="U26" s="2"/>
      <c r="V26" s="2"/>
      <c r="W26" s="2"/>
      <c r="X26" s="2"/>
      <c r="Y26" s="2"/>
      <c r="Z26" s="2"/>
    </row>
    <row r="27" spans="2:26" x14ac:dyDescent="0.3">
      <c r="B27" s="7" t="s">
        <v>163</v>
      </c>
      <c r="C27" s="9"/>
      <c r="D27" s="7"/>
      <c r="E27" s="7"/>
      <c r="F27" s="8"/>
      <c r="G27" s="8"/>
      <c r="H27" s="185">
        <f>SUM(H24:H26)</f>
        <v>12388.885</v>
      </c>
      <c r="I27" s="185">
        <f>SUM(I24:I26)</f>
        <v>15054.087</v>
      </c>
      <c r="J27" s="48"/>
      <c r="K27" s="48">
        <f>I27/(D59+D60)</f>
        <v>3.2726276086956521</v>
      </c>
      <c r="N27" s="2"/>
      <c r="O27" s="2"/>
      <c r="P27" s="2"/>
      <c r="Q27" s="2"/>
      <c r="R27" s="2"/>
      <c r="S27" s="2"/>
      <c r="T27" s="2"/>
      <c r="U27" s="2"/>
      <c r="V27" s="2"/>
      <c r="W27" s="2"/>
      <c r="X27" s="2"/>
      <c r="Y27" s="2"/>
      <c r="Z27" s="2"/>
    </row>
    <row r="28" spans="2:26" x14ac:dyDescent="0.3">
      <c r="B28" s="16"/>
      <c r="C28" s="16"/>
      <c r="D28" s="16"/>
      <c r="E28" s="16"/>
      <c r="F28" s="183"/>
      <c r="G28" s="183"/>
      <c r="H28" s="183"/>
      <c r="I28" s="183"/>
      <c r="N28" s="222"/>
      <c r="O28" s="2"/>
      <c r="P28" s="2"/>
      <c r="Q28" s="2"/>
      <c r="R28" s="2"/>
      <c r="S28" s="2"/>
      <c r="T28" s="2"/>
      <c r="U28" s="2"/>
      <c r="V28" s="2"/>
      <c r="W28" s="2"/>
      <c r="X28" s="2"/>
      <c r="Y28" s="2"/>
      <c r="Z28" s="2"/>
    </row>
    <row r="29" spans="2:26" x14ac:dyDescent="0.3">
      <c r="B29" s="16"/>
      <c r="C29" s="16"/>
      <c r="D29" s="186" t="s">
        <v>10</v>
      </c>
      <c r="E29" s="186" t="s">
        <v>11</v>
      </c>
      <c r="F29" s="186" t="s">
        <v>12</v>
      </c>
      <c r="I29" s="186" t="s">
        <v>164</v>
      </c>
      <c r="J29" s="187" t="s">
        <v>204</v>
      </c>
      <c r="K29" s="187" t="s">
        <v>166</v>
      </c>
      <c r="N29" s="222"/>
      <c r="O29" s="2"/>
      <c r="P29" s="2"/>
      <c r="Q29" s="2"/>
      <c r="R29" s="2"/>
      <c r="S29" s="2"/>
      <c r="T29" s="2"/>
      <c r="U29" s="2"/>
      <c r="V29" s="2"/>
      <c r="W29" s="2"/>
      <c r="X29" s="2"/>
      <c r="Y29" s="2"/>
      <c r="Z29" s="2"/>
    </row>
    <row r="30" spans="2:26" x14ac:dyDescent="0.3">
      <c r="B30" s="188" t="s">
        <v>167</v>
      </c>
      <c r="C30" s="3"/>
      <c r="D30" s="189" t="s">
        <v>168</v>
      </c>
      <c r="E30" s="189" t="s">
        <v>210</v>
      </c>
      <c r="F30" s="189" t="s">
        <v>169</v>
      </c>
      <c r="G30" s="11" t="s">
        <v>47</v>
      </c>
      <c r="H30" s="11" t="s">
        <v>48</v>
      </c>
      <c r="I30" s="189" t="s">
        <v>170</v>
      </c>
      <c r="J30" s="190" t="s">
        <v>205</v>
      </c>
      <c r="K30" s="190" t="s">
        <v>171</v>
      </c>
      <c r="N30" s="2"/>
      <c r="O30" s="2"/>
      <c r="P30" s="2"/>
      <c r="Q30" s="2"/>
      <c r="R30" s="2"/>
      <c r="S30" s="2"/>
      <c r="T30" s="2"/>
      <c r="U30" s="2"/>
      <c r="V30" s="2"/>
      <c r="W30" s="2"/>
      <c r="X30" s="2"/>
      <c r="Y30" s="2"/>
      <c r="Z30" s="2"/>
    </row>
    <row r="31" spans="2:26" x14ac:dyDescent="0.3">
      <c r="B31" s="16"/>
      <c r="C31" s="18" t="s">
        <v>27</v>
      </c>
      <c r="D31" s="6">
        <v>1795000</v>
      </c>
      <c r="E31" s="6">
        <v>10300</v>
      </c>
      <c r="F31" s="52">
        <f>D31+E31*Bbl_to_Mcfe</f>
        <v>1856800</v>
      </c>
      <c r="G31" s="178">
        <f>D31/F31</f>
        <v>0.96671693235674283</v>
      </c>
      <c r="H31" s="178">
        <f>1-G31</f>
        <v>3.3283067643257169E-2</v>
      </c>
      <c r="I31" s="191">
        <v>2177</v>
      </c>
      <c r="J31" s="5">
        <v>205</v>
      </c>
      <c r="K31" s="20">
        <f>J31/I31</f>
        <v>9.416628387689481E-2</v>
      </c>
      <c r="N31" s="222"/>
      <c r="O31" s="2"/>
      <c r="P31" s="2"/>
      <c r="Q31" s="2"/>
      <c r="R31" s="2"/>
      <c r="S31" s="2"/>
      <c r="T31" s="2"/>
      <c r="U31" s="2"/>
      <c r="V31" s="2"/>
      <c r="W31" s="2"/>
      <c r="X31" s="2"/>
      <c r="Y31" s="2"/>
      <c r="Z31" s="2"/>
    </row>
    <row r="32" spans="2:26" x14ac:dyDescent="0.3">
      <c r="B32" s="16"/>
      <c r="C32" s="18" t="s">
        <v>28</v>
      </c>
      <c r="D32" s="6">
        <v>129000</v>
      </c>
      <c r="E32" s="6">
        <v>500</v>
      </c>
      <c r="F32" s="52">
        <f>D32+E32*Bbl_to_Mcfe</f>
        <v>132000</v>
      </c>
      <c r="G32" s="178">
        <f t="shared" ref="G32:G33" si="3">D32/F32</f>
        <v>0.97727272727272729</v>
      </c>
      <c r="H32" s="178">
        <f t="shared" ref="H32:H34" si="4">1-G32</f>
        <v>2.2727272727272707E-2</v>
      </c>
      <c r="I32" s="191">
        <v>112</v>
      </c>
      <c r="J32" s="6">
        <v>71</v>
      </c>
      <c r="K32" s="48">
        <f t="shared" ref="K32:K33" si="5">J32/I32</f>
        <v>0.6339285714285714</v>
      </c>
      <c r="N32" s="2"/>
      <c r="O32" s="2"/>
      <c r="P32" s="2"/>
      <c r="Q32" s="2"/>
      <c r="R32" s="2"/>
      <c r="S32" s="2"/>
      <c r="T32" s="2"/>
      <c r="U32" s="2"/>
      <c r="V32" s="2"/>
      <c r="W32" s="2"/>
      <c r="X32" s="2"/>
      <c r="Y32" s="2"/>
      <c r="Z32" s="2"/>
    </row>
    <row r="33" spans="2:26" x14ac:dyDescent="0.3">
      <c r="B33" s="16"/>
      <c r="C33" s="18" t="s">
        <v>29</v>
      </c>
      <c r="D33" s="6">
        <v>1149000</v>
      </c>
      <c r="E33" s="6">
        <v>7600</v>
      </c>
      <c r="F33" s="52">
        <f>D33+E33*Bbl_to_Mcfe</f>
        <v>1194600</v>
      </c>
      <c r="G33" s="178">
        <f t="shared" si="3"/>
        <v>0.9618282270215972</v>
      </c>
      <c r="H33" s="178">
        <f t="shared" si="4"/>
        <v>3.8171772978402796E-2</v>
      </c>
      <c r="I33" s="191">
        <v>598</v>
      </c>
      <c r="J33" s="6">
        <v>1386</v>
      </c>
      <c r="K33" s="48">
        <f t="shared" si="5"/>
        <v>2.3177257525083612</v>
      </c>
      <c r="N33" s="223"/>
      <c r="O33" s="2"/>
      <c r="P33" s="2"/>
      <c r="Q33" s="2"/>
      <c r="R33" s="2"/>
      <c r="S33" s="2"/>
      <c r="T33" s="2"/>
      <c r="U33" s="2"/>
      <c r="V33" s="2"/>
      <c r="W33" s="2"/>
      <c r="X33" s="2"/>
      <c r="Y33" s="2"/>
      <c r="Z33" s="2"/>
    </row>
    <row r="34" spans="2:26" x14ac:dyDescent="0.3">
      <c r="B34" s="7" t="s">
        <v>172</v>
      </c>
      <c r="C34" s="192"/>
      <c r="D34" s="193"/>
      <c r="E34" s="193"/>
      <c r="F34" s="185">
        <f>SUM(F31:F33)</f>
        <v>3183400</v>
      </c>
      <c r="G34" s="194">
        <f>SUM(D31:D33)/SUM(F31:F33)</f>
        <v>0.96532009800841867</v>
      </c>
      <c r="H34" s="194">
        <f t="shared" si="4"/>
        <v>3.467990199158133E-2</v>
      </c>
      <c r="I34" s="193"/>
      <c r="J34" s="193"/>
      <c r="K34" s="195"/>
      <c r="N34" s="222"/>
      <c r="O34" s="2"/>
      <c r="P34" s="2"/>
      <c r="Q34" s="2"/>
      <c r="R34" s="2"/>
      <c r="S34" s="2"/>
      <c r="T34" s="2"/>
      <c r="U34" s="2"/>
      <c r="V34" s="2"/>
      <c r="W34" s="2"/>
      <c r="X34" s="2"/>
      <c r="Y34" s="2"/>
      <c r="Z34" s="2"/>
    </row>
    <row r="35" spans="2:26" x14ac:dyDescent="0.3">
      <c r="I35" s="6"/>
      <c r="N35" s="222"/>
      <c r="O35" s="2"/>
      <c r="P35" s="2"/>
      <c r="Q35" s="2"/>
      <c r="R35" s="2"/>
      <c r="S35" s="2"/>
      <c r="T35" s="2"/>
      <c r="U35" s="2"/>
      <c r="V35" s="2"/>
      <c r="W35" s="2"/>
      <c r="X35" s="2"/>
      <c r="Y35" s="2"/>
      <c r="Z35" s="2"/>
    </row>
    <row r="36" spans="2:26" x14ac:dyDescent="0.3">
      <c r="C36" t="s">
        <v>173</v>
      </c>
      <c r="G36" s="178">
        <f>(D31+D32)/(F31+F32)</f>
        <v>0.96741753821399834</v>
      </c>
      <c r="H36" s="178">
        <f>1-G36</f>
        <v>3.258246178600166E-2</v>
      </c>
      <c r="I36" s="6"/>
      <c r="N36" s="2"/>
      <c r="O36" s="2"/>
      <c r="P36" s="2"/>
      <c r="Q36" s="2"/>
      <c r="R36" s="2"/>
      <c r="S36" s="2"/>
      <c r="T36" s="2"/>
      <c r="U36" s="2"/>
      <c r="V36" s="2"/>
      <c r="W36" s="2"/>
      <c r="X36" s="2"/>
      <c r="Y36" s="2"/>
      <c r="Z36" s="2"/>
    </row>
    <row r="37" spans="2:26" x14ac:dyDescent="0.3">
      <c r="C37" t="s">
        <v>174</v>
      </c>
      <c r="G37" s="178">
        <f>G33</f>
        <v>0.9618282270215972</v>
      </c>
      <c r="H37" s="178">
        <f>H33</f>
        <v>3.8171772978402796E-2</v>
      </c>
      <c r="I37" s="6"/>
      <c r="N37" s="222"/>
      <c r="O37" s="2"/>
      <c r="P37" s="2"/>
      <c r="Q37" s="2"/>
      <c r="R37" s="2"/>
      <c r="S37" s="2"/>
      <c r="T37" s="2"/>
      <c r="U37" s="2"/>
      <c r="V37" s="2"/>
      <c r="W37" s="2"/>
      <c r="X37" s="2"/>
      <c r="Y37" s="2"/>
      <c r="Z37" s="2"/>
    </row>
    <row r="38" spans="2:26" x14ac:dyDescent="0.3">
      <c r="I38" s="6"/>
      <c r="N38" s="2"/>
      <c r="O38" s="2"/>
      <c r="P38" s="2"/>
      <c r="Q38" s="2"/>
      <c r="R38" s="2"/>
      <c r="S38" s="2"/>
      <c r="T38" s="2"/>
      <c r="U38" s="2"/>
      <c r="V38" s="2"/>
      <c r="W38" s="2"/>
      <c r="X38" s="2"/>
      <c r="Y38" s="2"/>
      <c r="Z38" s="2"/>
    </row>
    <row r="39" spans="2:26" x14ac:dyDescent="0.3">
      <c r="B39" s="4"/>
      <c r="C39" s="4"/>
      <c r="D39" s="4"/>
      <c r="E39" s="37">
        <v>2010</v>
      </c>
      <c r="F39" s="37"/>
      <c r="G39" s="37">
        <v>2011</v>
      </c>
      <c r="H39" s="37"/>
      <c r="I39" s="37">
        <v>2012</v>
      </c>
      <c r="J39" s="37"/>
      <c r="K39" s="37">
        <v>2013</v>
      </c>
      <c r="L39" s="37"/>
      <c r="N39" s="222"/>
      <c r="O39" s="224"/>
      <c r="P39" s="224"/>
      <c r="Q39" s="224"/>
      <c r="R39" s="224"/>
      <c r="S39" s="2"/>
      <c r="T39" s="2"/>
      <c r="U39" s="2"/>
      <c r="V39" s="2"/>
      <c r="W39" s="2"/>
      <c r="X39" s="2"/>
      <c r="Y39" s="2"/>
      <c r="Z39" s="2"/>
    </row>
    <row r="40" spans="2:26" x14ac:dyDescent="0.3">
      <c r="B40" s="1" t="s">
        <v>175</v>
      </c>
      <c r="E40" s="14"/>
      <c r="F40" s="14"/>
      <c r="G40" s="14"/>
      <c r="H40" s="14"/>
      <c r="I40" s="14"/>
      <c r="J40" s="14"/>
      <c r="K40" s="14"/>
      <c r="L40" s="14"/>
      <c r="N40" s="2"/>
      <c r="O40" s="224"/>
      <c r="P40" s="224"/>
      <c r="Q40" s="224"/>
      <c r="R40" s="224"/>
      <c r="S40" s="2"/>
      <c r="T40" s="2"/>
      <c r="U40" s="2"/>
      <c r="V40" s="2"/>
      <c r="W40" s="2"/>
      <c r="X40" s="2"/>
      <c r="Y40" s="2"/>
      <c r="Z40" s="2"/>
    </row>
    <row r="41" spans="2:26" x14ac:dyDescent="0.3">
      <c r="B41" s="1" t="s">
        <v>176</v>
      </c>
      <c r="E41" s="196">
        <v>4.3099999999999996</v>
      </c>
      <c r="F41" s="197">
        <f>E41</f>
        <v>4.3099999999999996</v>
      </c>
      <c r="G41" s="196">
        <v>4.1500000000000004</v>
      </c>
      <c r="H41" s="198">
        <f>G41</f>
        <v>4.1500000000000004</v>
      </c>
      <c r="I41" s="196">
        <v>2.79</v>
      </c>
      <c r="J41" s="198">
        <f>I41</f>
        <v>2.79</v>
      </c>
      <c r="K41" s="213">
        <f ca="1">Assumptions!$O$63</f>
        <v>3.7</v>
      </c>
      <c r="L41" s="213">
        <f ca="1">Assumptions!$O$63</f>
        <v>3.7</v>
      </c>
      <c r="N41" s="222"/>
      <c r="O41" s="2"/>
      <c r="P41" s="2"/>
      <c r="Q41" s="2"/>
      <c r="R41" s="2"/>
      <c r="S41" s="2"/>
      <c r="T41" s="2"/>
      <c r="U41" s="2"/>
      <c r="V41" s="2"/>
      <c r="W41" s="2"/>
      <c r="X41" s="2"/>
      <c r="Y41" s="2"/>
      <c r="Z41" s="2"/>
    </row>
    <row r="42" spans="2:26" x14ac:dyDescent="0.3">
      <c r="E42" s="14"/>
      <c r="F42" s="14"/>
      <c r="G42" s="14"/>
      <c r="H42" s="14"/>
      <c r="I42" s="14"/>
      <c r="J42" s="14"/>
      <c r="K42" s="14"/>
      <c r="N42" s="222"/>
      <c r="O42" s="2"/>
      <c r="P42" s="2"/>
      <c r="Q42" s="2"/>
      <c r="R42" s="2"/>
      <c r="S42" s="2"/>
      <c r="T42" s="2"/>
      <c r="U42" s="2"/>
      <c r="V42" s="2"/>
      <c r="W42" s="2"/>
      <c r="X42" s="2"/>
      <c r="Y42" s="2"/>
      <c r="Z42" s="2"/>
    </row>
    <row r="43" spans="2:26" x14ac:dyDescent="0.3">
      <c r="B43" s="3" t="s">
        <v>177</v>
      </c>
      <c r="C43" s="4"/>
      <c r="D43" s="4"/>
      <c r="E43" s="11" t="s">
        <v>164</v>
      </c>
      <c r="F43" s="11" t="s">
        <v>178</v>
      </c>
      <c r="G43" s="11" t="s">
        <v>164</v>
      </c>
      <c r="H43" s="11" t="s">
        <v>178</v>
      </c>
      <c r="I43" s="11" t="s">
        <v>164</v>
      </c>
      <c r="J43" s="11" t="s">
        <v>178</v>
      </c>
      <c r="K43" s="11" t="s">
        <v>164</v>
      </c>
      <c r="L43" s="11" t="s">
        <v>178</v>
      </c>
      <c r="N43" s="2"/>
      <c r="O43" s="2"/>
      <c r="P43" s="2"/>
      <c r="Q43" s="2"/>
      <c r="R43" s="2"/>
      <c r="S43" s="2"/>
      <c r="T43" s="2"/>
      <c r="U43" s="2"/>
      <c r="V43" s="2"/>
      <c r="W43" s="2"/>
      <c r="X43" s="2"/>
      <c r="Y43" s="2"/>
      <c r="Z43" s="2"/>
    </row>
    <row r="44" spans="2:26" x14ac:dyDescent="0.3">
      <c r="C44" t="s">
        <v>0</v>
      </c>
      <c r="E44" s="211">
        <f>75+106</f>
        <v>181</v>
      </c>
      <c r="F44" s="211">
        <f>37.3+57.2</f>
        <v>94.5</v>
      </c>
      <c r="G44" s="204">
        <f>117+83</f>
        <v>200</v>
      </c>
      <c r="H44" s="204">
        <f>42.5+71</f>
        <v>113.5</v>
      </c>
      <c r="I44" s="204">
        <f>81+30</f>
        <v>111</v>
      </c>
      <c r="J44" s="204">
        <f>30.6+13.6</f>
        <v>44.2</v>
      </c>
      <c r="K44" s="179">
        <v>122</v>
      </c>
      <c r="L44" s="179">
        <v>56</v>
      </c>
      <c r="N44" s="2"/>
      <c r="O44" s="2"/>
      <c r="P44" s="2"/>
      <c r="Q44" s="2"/>
      <c r="R44" s="2"/>
      <c r="S44" s="2"/>
      <c r="T44" s="2"/>
      <c r="U44" s="2"/>
      <c r="V44" s="2"/>
      <c r="W44" s="2"/>
      <c r="X44" s="2"/>
      <c r="Y44" s="2"/>
      <c r="Z44" s="2"/>
    </row>
    <row r="45" spans="2:26" x14ac:dyDescent="0.3">
      <c r="C45" t="s">
        <v>1</v>
      </c>
      <c r="E45" s="204">
        <f>171+0</f>
        <v>171</v>
      </c>
      <c r="F45" s="204">
        <f>99+0</f>
        <v>99</v>
      </c>
      <c r="G45" s="204">
        <f>184+1</f>
        <v>185</v>
      </c>
      <c r="H45" s="204">
        <f>86.7+0.4</f>
        <v>87.100000000000009</v>
      </c>
      <c r="I45" s="204">
        <f>48+16</f>
        <v>64</v>
      </c>
      <c r="J45" s="204">
        <f>18.9+8</f>
        <v>26.9</v>
      </c>
      <c r="K45" s="179">
        <v>24</v>
      </c>
      <c r="L45" s="179">
        <v>12</v>
      </c>
      <c r="N45" s="2"/>
      <c r="O45" s="2"/>
      <c r="P45" s="2"/>
      <c r="Q45" s="2"/>
      <c r="R45" s="2"/>
      <c r="S45" s="2"/>
      <c r="T45" s="2"/>
      <c r="U45" s="2"/>
      <c r="V45" s="2"/>
      <c r="W45" s="2"/>
      <c r="X45" s="2"/>
      <c r="Y45" s="2"/>
      <c r="Z45" s="2"/>
    </row>
    <row r="46" spans="2:26" x14ac:dyDescent="0.3">
      <c r="B46" s="9"/>
      <c r="C46" s="7" t="s">
        <v>26</v>
      </c>
      <c r="D46" s="9"/>
      <c r="E46" s="199">
        <f>SUM(E44:E45)</f>
        <v>352</v>
      </c>
      <c r="F46" s="199">
        <f t="shared" ref="F46:J46" si="6">SUM(F44:F45)</f>
        <v>193.5</v>
      </c>
      <c r="G46" s="199">
        <f t="shared" si="6"/>
        <v>385</v>
      </c>
      <c r="H46" s="199">
        <f t="shared" si="6"/>
        <v>200.60000000000002</v>
      </c>
      <c r="I46" s="199">
        <f t="shared" si="6"/>
        <v>175</v>
      </c>
      <c r="J46" s="199">
        <f t="shared" si="6"/>
        <v>71.099999999999994</v>
      </c>
      <c r="K46" s="199">
        <f>SUM(K44:K45)</f>
        <v>146</v>
      </c>
      <c r="L46" s="199">
        <f>SUM(L44:L45)</f>
        <v>68</v>
      </c>
      <c r="N46" s="2"/>
      <c r="O46" s="2"/>
      <c r="P46" s="2"/>
      <c r="Q46" s="2"/>
      <c r="R46" s="2"/>
      <c r="S46" s="2"/>
      <c r="T46" s="2"/>
      <c r="U46" s="2"/>
      <c r="V46" s="2"/>
      <c r="W46" s="2"/>
      <c r="X46" s="2"/>
      <c r="Y46" s="2"/>
      <c r="Z46" s="2"/>
    </row>
    <row r="47" spans="2:26" x14ac:dyDescent="0.3">
      <c r="C47" s="200" t="s">
        <v>179</v>
      </c>
      <c r="E47" s="201">
        <f>IFERROR(E46/E41,"N/A")</f>
        <v>81.670533642691424</v>
      </c>
      <c r="F47" s="201">
        <f t="shared" ref="F47:J47" si="7">IFERROR(F46/F41,"N/A")</f>
        <v>44.895591647331791</v>
      </c>
      <c r="G47" s="201">
        <f t="shared" si="7"/>
        <v>92.771084337349393</v>
      </c>
      <c r="H47" s="201">
        <f t="shared" si="7"/>
        <v>48.337349397590366</v>
      </c>
      <c r="I47" s="201">
        <f t="shared" si="7"/>
        <v>62.724014336917563</v>
      </c>
      <c r="J47" s="201">
        <f t="shared" si="7"/>
        <v>25.483870967741932</v>
      </c>
      <c r="K47" s="201">
        <f t="shared" ref="K47" ca="1" si="8">IFERROR(K46/K41,"N/A")</f>
        <v>39.45945945945946</v>
      </c>
      <c r="L47" s="201">
        <f t="shared" ref="L47" ca="1" si="9">IFERROR(L46/L41,"N/A")</f>
        <v>18.378378378378379</v>
      </c>
      <c r="N47" s="2"/>
      <c r="O47" s="2"/>
      <c r="P47" s="2"/>
      <c r="Q47" s="2"/>
      <c r="R47" s="2"/>
      <c r="S47" s="2"/>
      <c r="T47" s="2"/>
      <c r="U47" s="2"/>
      <c r="V47" s="2"/>
      <c r="W47" s="2"/>
      <c r="X47" s="2"/>
      <c r="Y47" s="2"/>
      <c r="Z47" s="2"/>
    </row>
    <row r="48" spans="2:26" x14ac:dyDescent="0.3">
      <c r="E48" s="179"/>
      <c r="F48" s="179"/>
      <c r="G48" s="179"/>
      <c r="H48" s="179"/>
      <c r="I48" s="202"/>
      <c r="J48" s="179"/>
      <c r="K48" s="47"/>
      <c r="N48" s="2"/>
      <c r="O48" s="2"/>
      <c r="P48" s="2"/>
      <c r="Q48" s="2"/>
      <c r="R48" s="2"/>
      <c r="S48" s="2"/>
      <c r="T48" s="2"/>
      <c r="U48" s="2"/>
      <c r="V48" s="2"/>
      <c r="W48" s="2"/>
      <c r="X48" s="2"/>
      <c r="Y48" s="2"/>
      <c r="Z48" s="2"/>
    </row>
    <row r="49" spans="2:26" x14ac:dyDescent="0.3">
      <c r="E49" s="11" t="s">
        <v>164</v>
      </c>
      <c r="F49" s="11" t="s">
        <v>178</v>
      </c>
      <c r="G49" s="179"/>
      <c r="H49" s="179"/>
      <c r="I49" s="202"/>
      <c r="J49" s="179"/>
      <c r="K49" s="47"/>
      <c r="L49" s="38" t="s">
        <v>227</v>
      </c>
      <c r="N49" s="2"/>
      <c r="O49" s="2"/>
      <c r="P49" s="2"/>
      <c r="Q49" s="2"/>
      <c r="R49" s="2"/>
      <c r="S49" s="2"/>
      <c r="T49" s="2"/>
      <c r="U49" s="2"/>
      <c r="V49" s="2"/>
      <c r="W49" s="2"/>
      <c r="X49" s="2"/>
      <c r="Y49" s="2"/>
      <c r="Z49" s="2"/>
    </row>
    <row r="50" spans="2:26" x14ac:dyDescent="0.3">
      <c r="B50" s="1" t="s">
        <v>211</v>
      </c>
      <c r="E50" s="179">
        <v>2334</v>
      </c>
      <c r="F50" s="179">
        <v>1145.5</v>
      </c>
      <c r="G50" s="179"/>
      <c r="H50" s="179"/>
      <c r="I50" s="202"/>
      <c r="J50" s="179"/>
      <c r="K50" s="47"/>
      <c r="L50" s="38" t="s">
        <v>228</v>
      </c>
      <c r="N50" s="2"/>
      <c r="O50" s="2"/>
      <c r="P50" s="2"/>
      <c r="Q50" s="2"/>
      <c r="R50" s="2"/>
      <c r="S50" s="2"/>
      <c r="T50" s="2"/>
      <c r="U50" s="2"/>
      <c r="V50" s="2"/>
      <c r="W50" s="2"/>
      <c r="X50" s="2"/>
      <c r="Y50" s="2"/>
      <c r="Z50" s="2"/>
    </row>
    <row r="51" spans="2:26" x14ac:dyDescent="0.3">
      <c r="B51" s="1" t="s">
        <v>212</v>
      </c>
      <c r="E51" s="179"/>
      <c r="F51" s="179"/>
      <c r="G51" s="179"/>
      <c r="H51" s="179"/>
      <c r="I51" s="202"/>
      <c r="J51" s="179"/>
      <c r="K51" s="47"/>
      <c r="L51" s="11" t="s">
        <v>229</v>
      </c>
      <c r="N51" s="2"/>
      <c r="O51" s="2"/>
      <c r="P51" s="2"/>
      <c r="Q51" s="2"/>
      <c r="R51" s="2"/>
      <c r="S51" s="2"/>
      <c r="T51" s="2"/>
      <c r="U51" s="2"/>
      <c r="V51" s="2"/>
      <c r="W51" s="2"/>
      <c r="X51" s="2"/>
      <c r="Y51" s="2"/>
      <c r="Z51" s="2"/>
    </row>
    <row r="52" spans="2:26" x14ac:dyDescent="0.3">
      <c r="C52" s="78" t="s">
        <v>0</v>
      </c>
      <c r="E52" s="179">
        <v>1850</v>
      </c>
      <c r="F52" s="179"/>
      <c r="G52" s="179"/>
      <c r="H52" s="179"/>
      <c r="I52" s="202"/>
      <c r="J52" s="179"/>
      <c r="K52" s="47"/>
      <c r="L52" s="55">
        <f>L44*P59</f>
        <v>229.59999999999997</v>
      </c>
      <c r="N52" s="2"/>
      <c r="O52" s="2"/>
      <c r="P52" s="2"/>
      <c r="Q52" s="2"/>
      <c r="R52" s="2"/>
      <c r="S52" s="2"/>
      <c r="T52" s="2"/>
      <c r="U52" s="2"/>
      <c r="V52" s="2"/>
      <c r="W52" s="2"/>
      <c r="X52" s="2"/>
      <c r="Y52" s="2"/>
      <c r="Z52" s="2"/>
    </row>
    <row r="53" spans="2:26" x14ac:dyDescent="0.3">
      <c r="C53" s="78" t="s">
        <v>1</v>
      </c>
      <c r="E53" s="179">
        <v>322</v>
      </c>
      <c r="G53" s="19"/>
      <c r="H53" s="48"/>
      <c r="L53" s="12">
        <f>L45*P60</f>
        <v>84</v>
      </c>
      <c r="N53" s="2"/>
      <c r="O53" s="2"/>
      <c r="P53" s="214"/>
      <c r="Q53" s="2"/>
      <c r="R53" s="2"/>
      <c r="S53" s="2"/>
      <c r="T53" s="2"/>
      <c r="U53" s="2"/>
      <c r="V53" s="2"/>
      <c r="W53" s="2"/>
      <c r="X53" s="2"/>
    </row>
    <row r="54" spans="2:26" x14ac:dyDescent="0.3">
      <c r="C54" s="7" t="s">
        <v>26</v>
      </c>
      <c r="D54" s="9"/>
      <c r="E54" s="207">
        <f>SUM(E52:E53)</f>
        <v>2172</v>
      </c>
      <c r="F54" s="9"/>
      <c r="G54" s="19"/>
      <c r="H54" s="48"/>
      <c r="L54" s="55"/>
      <c r="P54" s="48"/>
    </row>
    <row r="55" spans="2:26" x14ac:dyDescent="0.3">
      <c r="E55" s="19"/>
      <c r="G55" s="19"/>
      <c r="H55" s="48"/>
      <c r="M55" s="14" t="s">
        <v>145</v>
      </c>
      <c r="P55" s="48"/>
    </row>
    <row r="56" spans="2:26" x14ac:dyDescent="0.3">
      <c r="F56" s="177" t="s">
        <v>180</v>
      </c>
      <c r="G56" s="177" t="s">
        <v>181</v>
      </c>
      <c r="H56" s="177" t="s">
        <v>181</v>
      </c>
      <c r="I56" s="177" t="s">
        <v>182</v>
      </c>
      <c r="L56" s="177"/>
      <c r="M56" s="14" t="s">
        <v>183</v>
      </c>
      <c r="P56" s="48"/>
    </row>
    <row r="57" spans="2:26" x14ac:dyDescent="0.3">
      <c r="C57" s="1"/>
      <c r="D57" s="177" t="s">
        <v>165</v>
      </c>
      <c r="E57" s="38" t="s">
        <v>165</v>
      </c>
      <c r="F57" s="38" t="s">
        <v>147</v>
      </c>
      <c r="G57" s="177" t="s">
        <v>184</v>
      </c>
      <c r="H57" s="177" t="s">
        <v>185</v>
      </c>
      <c r="I57" s="177" t="s">
        <v>186</v>
      </c>
      <c r="J57" s="177" t="s">
        <v>187</v>
      </c>
      <c r="K57" s="177" t="s">
        <v>188</v>
      </c>
      <c r="L57" s="203" t="s">
        <v>206</v>
      </c>
      <c r="M57" s="210" t="s">
        <v>189</v>
      </c>
      <c r="N57" s="177" t="s">
        <v>165</v>
      </c>
      <c r="O57" s="177" t="s">
        <v>190</v>
      </c>
      <c r="P57" s="177" t="s">
        <v>191</v>
      </c>
      <c r="Q57" s="177" t="s">
        <v>192</v>
      </c>
    </row>
    <row r="58" spans="2:26" x14ac:dyDescent="0.3">
      <c r="B58" s="3" t="s">
        <v>2</v>
      </c>
      <c r="C58" s="3"/>
      <c r="D58" s="11" t="s">
        <v>193</v>
      </c>
      <c r="E58" s="11" t="s">
        <v>194</v>
      </c>
      <c r="F58" s="11" t="s">
        <v>151</v>
      </c>
      <c r="G58" s="11" t="s">
        <v>195</v>
      </c>
      <c r="H58" s="11" t="s">
        <v>195</v>
      </c>
      <c r="I58" s="11" t="s">
        <v>195</v>
      </c>
      <c r="J58" s="53" t="s">
        <v>196</v>
      </c>
      <c r="K58" s="53" t="s">
        <v>196</v>
      </c>
      <c r="L58" s="11" t="s">
        <v>207</v>
      </c>
      <c r="M58" s="37" t="s">
        <v>196</v>
      </c>
      <c r="N58" s="11" t="s">
        <v>197</v>
      </c>
      <c r="O58" s="11" t="s">
        <v>198</v>
      </c>
      <c r="P58" s="11" t="s">
        <v>199</v>
      </c>
      <c r="Q58" s="53" t="s">
        <v>200</v>
      </c>
    </row>
    <row r="59" spans="2:26" x14ac:dyDescent="0.3">
      <c r="C59" t="s">
        <v>0</v>
      </c>
      <c r="D59" s="179">
        <v>2900</v>
      </c>
      <c r="E59" s="179">
        <v>5000</v>
      </c>
      <c r="F59" s="64">
        <f>IFERROR(D59/E59,"N/A")</f>
        <v>0.57999999999999996</v>
      </c>
      <c r="G59" s="204">
        <f>E52+I32/2</f>
        <v>1906</v>
      </c>
      <c r="H59" s="19">
        <f>$F$50*G59/(G59+G60)</f>
        <v>955.92075306479865</v>
      </c>
      <c r="I59" s="19">
        <f>H59+D59</f>
        <v>3855.9207530647986</v>
      </c>
      <c r="J59" s="204">
        <f>L59/I59</f>
        <v>2.4896777228550766</v>
      </c>
      <c r="K59" s="204">
        <f>J59/F59</f>
        <v>4.2925477980259945</v>
      </c>
      <c r="L59" s="179">
        <v>9600</v>
      </c>
      <c r="M59" s="204">
        <f>K59*D59</f>
        <v>12448.388614275384</v>
      </c>
      <c r="N59" s="5">
        <v>13600</v>
      </c>
      <c r="O59" s="10">
        <v>1.42</v>
      </c>
      <c r="P59" s="205">
        <v>4.0999999999999996</v>
      </c>
      <c r="Q59" s="179">
        <v>7.7</v>
      </c>
    </row>
    <row r="60" spans="2:26" x14ac:dyDescent="0.3">
      <c r="C60" t="s">
        <v>1</v>
      </c>
      <c r="D60" s="179">
        <v>1700</v>
      </c>
      <c r="E60" s="179">
        <v>3340</v>
      </c>
      <c r="F60" s="64">
        <f>IFERROR(D60/E60,"N/A")</f>
        <v>0.50898203592814373</v>
      </c>
      <c r="G60" s="204">
        <f>E53+I32/2</f>
        <v>378</v>
      </c>
      <c r="H60" s="19">
        <f>$F$50*G60/(G59+G60)</f>
        <v>189.57924693520141</v>
      </c>
      <c r="I60" s="19">
        <f t="shared" ref="I60" si="10">H60+D60</f>
        <v>1889.5792469352014</v>
      </c>
      <c r="J60" s="204">
        <f>L60/I60</f>
        <v>3.9162157459140245</v>
      </c>
      <c r="K60" s="204">
        <f>J60/F60</f>
        <v>7.6942121125604954</v>
      </c>
      <c r="L60" s="179">
        <v>7400</v>
      </c>
      <c r="M60" s="204">
        <f>K60*D60</f>
        <v>13080.160591352842</v>
      </c>
      <c r="N60" s="6">
        <v>11300</v>
      </c>
      <c r="O60" s="47">
        <v>1.52</v>
      </c>
      <c r="P60" s="179">
        <v>7</v>
      </c>
      <c r="Q60" s="179">
        <v>6.4</v>
      </c>
    </row>
    <row r="61" spans="2:26" x14ac:dyDescent="0.3">
      <c r="C61" t="s">
        <v>134</v>
      </c>
      <c r="D61" s="179">
        <v>575</v>
      </c>
      <c r="E61" s="204">
        <f>+D61/F61</f>
        <v>575</v>
      </c>
      <c r="F61" s="206">
        <v>1</v>
      </c>
      <c r="G61" s="179">
        <v>43</v>
      </c>
      <c r="H61" s="179">
        <v>39</v>
      </c>
      <c r="I61" s="19">
        <f>H61+D61</f>
        <v>614</v>
      </c>
      <c r="J61" s="204">
        <f>L61/I61</f>
        <v>0.88534201954397385</v>
      </c>
      <c r="K61" s="204">
        <f>J61/F61</f>
        <v>0.88534201954397385</v>
      </c>
      <c r="L61" s="204">
        <f>90.6*Bbl_to_Mcfe</f>
        <v>543.59999999999991</v>
      </c>
      <c r="M61" s="204">
        <f>K61*D61</f>
        <v>509.07166123778495</v>
      </c>
      <c r="N61" s="52">
        <f>188+228+352</f>
        <v>768</v>
      </c>
      <c r="O61" s="49">
        <f>(AVERAGE(4.8,11.4)*257/(257+318)+14.6*318/(257+318))/Bbl_to_Mcfe</f>
        <v>1.9491304347826086</v>
      </c>
      <c r="P61" s="204">
        <f>1.5*257/(257+318)+1.2*318/(257+318)</f>
        <v>1.334086956521739</v>
      </c>
      <c r="Q61" s="204">
        <f>AVERAGE(108,166)*Bbl_to_Mcfe/Units</f>
        <v>0.82199999999999995</v>
      </c>
    </row>
    <row r="62" spans="2:26" x14ac:dyDescent="0.3">
      <c r="D62" s="179"/>
      <c r="E62" s="206"/>
      <c r="F62" s="204"/>
      <c r="G62" s="6"/>
      <c r="H62" s="49"/>
      <c r="I62" s="179"/>
      <c r="J62" s="204"/>
      <c r="K62" s="204"/>
      <c r="L62" s="204"/>
      <c r="M62" s="52"/>
      <c r="N62" s="179"/>
      <c r="O62" s="38" t="s">
        <v>230</v>
      </c>
    </row>
    <row r="63" spans="2:26" x14ac:dyDescent="0.3">
      <c r="B63" s="3" t="s">
        <v>201</v>
      </c>
      <c r="C63" s="3"/>
      <c r="D63" s="4"/>
      <c r="E63" s="4"/>
      <c r="F63" s="11" t="s">
        <v>29</v>
      </c>
      <c r="G63" s="11" t="s">
        <v>30</v>
      </c>
      <c r="H63" s="11" t="s">
        <v>31</v>
      </c>
      <c r="I63" s="11" t="s">
        <v>202</v>
      </c>
      <c r="J63" s="4"/>
      <c r="K63" s="4"/>
      <c r="L63" s="4"/>
      <c r="M63" s="180"/>
      <c r="O63" s="11" t="s">
        <v>224</v>
      </c>
    </row>
    <row r="64" spans="2:26" x14ac:dyDescent="0.3">
      <c r="C64" t="s">
        <v>0</v>
      </c>
      <c r="F64" s="19">
        <f>$D59*I24/$I$27</f>
        <v>229.44947109711799</v>
      </c>
      <c r="G64" s="19">
        <f>$D59*I25/$I$27</f>
        <v>1545.347784957002</v>
      </c>
      <c r="H64" s="19">
        <f>$D59*I26/$I$27</f>
        <v>1125.20274394588</v>
      </c>
      <c r="I64" s="19"/>
      <c r="O64" s="221">
        <f>N59/D59</f>
        <v>4.6896551724137927</v>
      </c>
      <c r="P64" s="48" t="s">
        <v>232</v>
      </c>
    </row>
    <row r="65" spans="2:17" x14ac:dyDescent="0.3">
      <c r="C65" t="s">
        <v>1</v>
      </c>
      <c r="F65" s="19">
        <f>$D60*I24/$I$27</f>
        <v>134.50486236727608</v>
      </c>
      <c r="G65" s="19">
        <f>$D60*I25/$I$27</f>
        <v>905.89352911272533</v>
      </c>
      <c r="H65" s="19">
        <f>$D60*I26/$I$27</f>
        <v>659.60160851999865</v>
      </c>
      <c r="I65" s="19"/>
      <c r="O65" s="204">
        <f>N60/D60</f>
        <v>6.6470588235294121</v>
      </c>
      <c r="P65" s="48" t="s">
        <v>231</v>
      </c>
    </row>
    <row r="66" spans="2:17" x14ac:dyDescent="0.3">
      <c r="C66" t="s">
        <v>134</v>
      </c>
      <c r="F66" s="179">
        <v>130</v>
      </c>
      <c r="G66" s="179">
        <v>156</v>
      </c>
      <c r="H66" s="179">
        <v>289</v>
      </c>
      <c r="I66" s="19"/>
      <c r="O66" s="204"/>
    </row>
    <row r="67" spans="2:17" x14ac:dyDescent="0.3">
      <c r="B67" s="7" t="s">
        <v>203</v>
      </c>
      <c r="C67" s="7"/>
      <c r="D67" s="9"/>
      <c r="E67" s="9"/>
      <c r="F67" s="207">
        <f>SUM(F64:F66)</f>
        <v>493.95433346439404</v>
      </c>
      <c r="G67" s="207">
        <f t="shared" ref="G67:H67" si="11">SUM(G64:G66)</f>
        <v>2607.2413140697272</v>
      </c>
      <c r="H67" s="207">
        <f t="shared" si="11"/>
        <v>2073.8043524658788</v>
      </c>
      <c r="I67" s="195"/>
      <c r="J67" s="9"/>
      <c r="K67" s="9"/>
      <c r="L67" s="9"/>
      <c r="M67" s="9"/>
    </row>
    <row r="68" spans="2:17" x14ac:dyDescent="0.3">
      <c r="J68" s="208"/>
      <c r="K68" s="208"/>
      <c r="O68" s="38" t="s">
        <v>230</v>
      </c>
    </row>
    <row r="69" spans="2:17" x14ac:dyDescent="0.3">
      <c r="C69" s="2"/>
      <c r="D69" s="2"/>
      <c r="E69" s="2"/>
      <c r="F69" s="2"/>
      <c r="G69" s="2"/>
      <c r="H69" s="2"/>
      <c r="I69" s="2"/>
      <c r="J69" s="214"/>
      <c r="K69" s="214"/>
      <c r="L69" s="214"/>
      <c r="M69" s="2"/>
      <c r="N69" s="2"/>
      <c r="O69" s="38" t="s">
        <v>233</v>
      </c>
      <c r="Q69" s="38" t="s">
        <v>234</v>
      </c>
    </row>
    <row r="70" spans="2:17" x14ac:dyDescent="0.3">
      <c r="C70" s="2"/>
      <c r="D70" s="2"/>
      <c r="E70" s="2"/>
      <c r="F70" s="2"/>
      <c r="G70" s="2"/>
      <c r="H70" s="2"/>
      <c r="I70" s="2"/>
      <c r="J70" s="214"/>
      <c r="K70" s="214"/>
      <c r="L70" s="214"/>
      <c r="M70" s="2"/>
      <c r="N70" s="2"/>
      <c r="O70" s="11" t="s">
        <v>188</v>
      </c>
      <c r="Q70" s="11" t="s">
        <v>188</v>
      </c>
    </row>
    <row r="71" spans="2:17" x14ac:dyDescent="0.3">
      <c r="C71" s="2"/>
      <c r="D71" s="2"/>
      <c r="E71" s="2"/>
      <c r="F71" s="2"/>
      <c r="G71" s="46"/>
      <c r="H71" s="2"/>
      <c r="I71" s="2"/>
      <c r="J71" s="2"/>
      <c r="K71" s="2"/>
      <c r="L71" s="2"/>
      <c r="M71" s="2"/>
      <c r="N71" s="2"/>
      <c r="O71" s="20">
        <f>N59/D59/K59</f>
        <v>1.0925108800350261</v>
      </c>
      <c r="Q71" s="20">
        <f>P59/K59</f>
        <v>0.95514370320709263</v>
      </c>
    </row>
    <row r="72" spans="2:17" x14ac:dyDescent="0.3">
      <c r="C72" s="2"/>
      <c r="D72" s="2"/>
      <c r="E72" s="2"/>
      <c r="F72" s="2"/>
      <c r="G72" s="46"/>
      <c r="H72" s="2"/>
      <c r="I72" s="2"/>
      <c r="J72" s="2"/>
      <c r="K72" s="2"/>
      <c r="L72" s="2"/>
      <c r="M72" s="2"/>
      <c r="N72" s="2"/>
      <c r="O72" s="20">
        <f>N60/D60/K60</f>
        <v>0.86390376640102662</v>
      </c>
      <c r="Q72" s="20">
        <f>P60/K60</f>
        <v>0.90977476284709879</v>
      </c>
    </row>
    <row r="73" spans="2:17" x14ac:dyDescent="0.3">
      <c r="C73" s="2"/>
      <c r="D73" s="2"/>
      <c r="E73" s="2"/>
      <c r="F73" s="2"/>
      <c r="G73" s="46"/>
      <c r="H73" s="2"/>
      <c r="I73" s="2"/>
      <c r="J73" s="2"/>
      <c r="K73" s="2"/>
      <c r="L73" s="2"/>
      <c r="M73" s="2"/>
      <c r="N73" s="2"/>
    </row>
    <row r="74" spans="2:17" x14ac:dyDescent="0.3">
      <c r="C74" s="2"/>
      <c r="D74" s="2"/>
      <c r="E74" s="2"/>
      <c r="F74" s="2"/>
      <c r="G74" s="46"/>
      <c r="H74" s="2"/>
      <c r="I74" s="2"/>
      <c r="J74" s="2"/>
      <c r="K74" s="2"/>
      <c r="L74" s="2"/>
      <c r="M74" s="2"/>
      <c r="N74" s="2"/>
      <c r="O74" t="s">
        <v>235</v>
      </c>
    </row>
    <row r="75" spans="2:17" x14ac:dyDescent="0.3">
      <c r="C75" s="2"/>
      <c r="D75" s="2"/>
      <c r="E75" s="2"/>
      <c r="F75" s="2"/>
      <c r="G75" s="46"/>
      <c r="H75" s="2"/>
      <c r="I75" s="2"/>
      <c r="J75" s="2"/>
      <c r="K75" s="2"/>
      <c r="L75" s="2"/>
      <c r="M75" s="2"/>
      <c r="N75" s="2"/>
      <c r="O75" t="s">
        <v>236</v>
      </c>
    </row>
    <row r="76" spans="2:17" x14ac:dyDescent="0.3">
      <c r="C76" s="2"/>
      <c r="D76" s="2"/>
      <c r="E76" s="2"/>
      <c r="F76" s="2"/>
      <c r="G76" s="46"/>
      <c r="H76" s="2"/>
      <c r="I76" s="2"/>
      <c r="J76" s="2"/>
      <c r="K76" s="2"/>
      <c r="L76" s="2"/>
      <c r="M76" s="2"/>
      <c r="N76" s="2"/>
      <c r="O76" t="s">
        <v>237</v>
      </c>
    </row>
    <row r="77" spans="2:17" x14ac:dyDescent="0.3">
      <c r="C77" s="2"/>
      <c r="D77" s="2"/>
      <c r="E77" s="2"/>
      <c r="F77" s="2"/>
      <c r="G77" s="46"/>
      <c r="H77" s="2"/>
      <c r="I77" s="2"/>
      <c r="J77" s="2"/>
      <c r="K77" s="2"/>
      <c r="L77" s="2"/>
      <c r="M77" s="2"/>
      <c r="N77" s="2"/>
    </row>
    <row r="78" spans="2:17" x14ac:dyDescent="0.3">
      <c r="C78" s="2"/>
      <c r="D78" s="2"/>
      <c r="E78" s="2"/>
      <c r="F78" s="2"/>
      <c r="G78" s="215"/>
      <c r="H78" s="211"/>
      <c r="I78" s="2"/>
      <c r="J78" s="2"/>
      <c r="K78" s="2"/>
      <c r="L78" s="2"/>
      <c r="M78" s="2"/>
      <c r="N78" s="2"/>
    </row>
    <row r="79" spans="2:17" x14ac:dyDescent="0.3">
      <c r="C79" s="2"/>
      <c r="D79" s="2"/>
      <c r="E79" s="2"/>
      <c r="F79" s="2"/>
      <c r="G79" s="215"/>
      <c r="H79" s="2"/>
      <c r="I79" s="2"/>
      <c r="J79" s="2"/>
      <c r="K79" s="2"/>
      <c r="L79" s="2"/>
      <c r="M79" s="2"/>
      <c r="N79" s="2"/>
    </row>
    <row r="80" spans="2:17" x14ac:dyDescent="0.3">
      <c r="C80" s="2"/>
      <c r="D80" s="2"/>
      <c r="E80" s="2"/>
      <c r="F80" s="2"/>
      <c r="G80" s="215"/>
      <c r="H80" s="2"/>
      <c r="I80" s="2"/>
      <c r="J80" s="2"/>
      <c r="K80" s="2"/>
      <c r="L80" s="2"/>
      <c r="M80" s="2"/>
      <c r="N80" s="2"/>
    </row>
    <row r="81" spans="3:14" x14ac:dyDescent="0.3">
      <c r="C81" s="2"/>
      <c r="D81" s="2"/>
      <c r="E81" s="2"/>
      <c r="F81" s="2"/>
      <c r="G81" s="216"/>
      <c r="H81" s="2"/>
      <c r="I81" s="2"/>
      <c r="J81" s="2"/>
      <c r="K81" s="2"/>
      <c r="L81" s="2"/>
      <c r="M81" s="2"/>
      <c r="N81" s="2"/>
    </row>
    <row r="82" spans="3:14" x14ac:dyDescent="0.3">
      <c r="C82" s="2"/>
      <c r="D82" s="2"/>
      <c r="E82" s="2"/>
      <c r="F82" s="2"/>
      <c r="G82" s="2"/>
      <c r="H82" s="2"/>
      <c r="I82" s="2"/>
      <c r="J82" s="2"/>
      <c r="K82" s="2"/>
      <c r="L82" s="2"/>
      <c r="M82" s="2"/>
      <c r="N82" s="2"/>
    </row>
    <row r="83" spans="3:14" x14ac:dyDescent="0.3">
      <c r="C83" s="2"/>
      <c r="D83" s="2"/>
      <c r="E83" s="2"/>
      <c r="F83" s="2"/>
      <c r="G83" s="2"/>
      <c r="H83" s="2"/>
      <c r="I83" s="2"/>
      <c r="J83" s="2"/>
      <c r="K83" s="2"/>
      <c r="L83" s="2"/>
      <c r="M83" s="2"/>
      <c r="N83" s="2"/>
    </row>
    <row r="84" spans="3:14" x14ac:dyDescent="0.3">
      <c r="C84" s="2"/>
      <c r="D84" s="2"/>
      <c r="E84" s="2"/>
      <c r="F84" s="2"/>
      <c r="G84" s="2"/>
      <c r="H84" s="2"/>
      <c r="I84" s="2"/>
      <c r="J84" s="2"/>
      <c r="K84" s="2"/>
      <c r="L84" s="2"/>
      <c r="M84" s="2"/>
      <c r="N84" s="2"/>
    </row>
    <row r="85" spans="3:14" x14ac:dyDescent="0.3">
      <c r="C85" s="2"/>
      <c r="D85" s="2"/>
      <c r="E85" s="2"/>
      <c r="F85" s="2"/>
      <c r="G85" s="2"/>
      <c r="H85" s="2"/>
      <c r="I85" s="2"/>
      <c r="J85" s="2"/>
      <c r="K85" s="2"/>
      <c r="L85" s="2"/>
      <c r="M85" s="2"/>
      <c r="N85" s="2"/>
    </row>
    <row r="86" spans="3:14" x14ac:dyDescent="0.3">
      <c r="C86" s="2"/>
      <c r="D86" s="2"/>
      <c r="E86" s="2"/>
      <c r="F86" s="2"/>
      <c r="G86" s="2"/>
      <c r="H86" s="2"/>
      <c r="I86" s="2"/>
      <c r="J86" s="2"/>
      <c r="K86" s="2"/>
      <c r="L86" s="2"/>
      <c r="M86" s="2"/>
      <c r="N86" s="2"/>
    </row>
    <row r="87" spans="3:14" x14ac:dyDescent="0.3">
      <c r="C87" s="2"/>
      <c r="D87" s="2"/>
      <c r="E87" s="2"/>
      <c r="F87" s="2"/>
      <c r="G87" s="2"/>
      <c r="H87" s="2"/>
      <c r="I87" s="2"/>
      <c r="J87" s="2"/>
      <c r="K87" s="2"/>
      <c r="L87" s="2"/>
      <c r="M87" s="2"/>
      <c r="N87" s="2"/>
    </row>
    <row r="88" spans="3:14" x14ac:dyDescent="0.3">
      <c r="C88" s="2"/>
      <c r="D88" s="2"/>
      <c r="E88" s="2"/>
      <c r="F88" s="2"/>
      <c r="G88" s="2"/>
      <c r="H88" s="2"/>
      <c r="I88" s="2"/>
      <c r="J88" s="2"/>
      <c r="K88" s="2"/>
      <c r="L88" s="2"/>
      <c r="M88" s="2"/>
      <c r="N88" s="2"/>
    </row>
    <row r="89" spans="3:14" x14ac:dyDescent="0.3">
      <c r="C89" s="2"/>
      <c r="D89" s="2"/>
      <c r="E89" s="2"/>
      <c r="F89" s="2"/>
      <c r="G89" s="2"/>
      <c r="H89" s="2"/>
      <c r="I89" s="2"/>
      <c r="J89" s="2"/>
      <c r="K89" s="2"/>
      <c r="L89" s="2"/>
      <c r="M89" s="2"/>
      <c r="N89" s="2"/>
    </row>
    <row r="90" spans="3:14" x14ac:dyDescent="0.3">
      <c r="C90" s="2"/>
      <c r="D90" s="2"/>
      <c r="E90" s="2"/>
      <c r="F90" s="2"/>
      <c r="G90" s="2"/>
      <c r="H90" s="2"/>
      <c r="I90" s="2"/>
      <c r="J90" s="2"/>
      <c r="K90" s="2"/>
      <c r="L90" s="2"/>
      <c r="M90" s="2"/>
      <c r="N90" s="2"/>
    </row>
    <row r="91" spans="3:14" x14ac:dyDescent="0.3">
      <c r="C91" s="2"/>
      <c r="D91" s="2"/>
      <c r="E91" s="2"/>
      <c r="F91" s="2"/>
      <c r="G91" s="2"/>
      <c r="H91" s="2"/>
      <c r="I91" s="2"/>
      <c r="J91" s="2"/>
      <c r="K91" s="2"/>
      <c r="L91" s="2"/>
      <c r="M91" s="2"/>
      <c r="N91" s="2"/>
    </row>
    <row r="92" spans="3:14" x14ac:dyDescent="0.3">
      <c r="C92" s="2"/>
      <c r="D92" s="2"/>
      <c r="E92" s="2"/>
      <c r="F92" s="2"/>
      <c r="G92" s="2"/>
      <c r="H92" s="2"/>
      <c r="I92" s="2"/>
      <c r="J92" s="2"/>
      <c r="K92" s="2"/>
      <c r="L92" s="2"/>
      <c r="M92" s="2"/>
      <c r="N92" s="2"/>
    </row>
    <row r="93" spans="3:14" x14ac:dyDescent="0.3">
      <c r="C93" s="2"/>
      <c r="D93" s="2"/>
      <c r="E93" s="2"/>
      <c r="F93" s="2"/>
      <c r="G93" s="2"/>
      <c r="H93" s="2"/>
      <c r="I93" s="2"/>
      <c r="J93" s="2"/>
      <c r="K93" s="2"/>
      <c r="L93" s="2"/>
      <c r="M93" s="2"/>
      <c r="N93" s="2"/>
    </row>
    <row r="94" spans="3:14" x14ac:dyDescent="0.3">
      <c r="C94" s="2"/>
      <c r="D94" s="2"/>
      <c r="E94" s="2"/>
      <c r="F94" s="2"/>
      <c r="G94" s="2"/>
      <c r="H94" s="2"/>
      <c r="I94" s="2"/>
      <c r="J94" s="2"/>
      <c r="K94" s="2"/>
      <c r="L94" s="2"/>
      <c r="M94" s="2"/>
      <c r="N94" s="2"/>
    </row>
    <row r="95" spans="3:14" x14ac:dyDescent="0.3">
      <c r="C95" s="2"/>
      <c r="D95" s="2"/>
      <c r="E95" s="2"/>
      <c r="F95" s="2"/>
      <c r="G95" s="2"/>
      <c r="H95" s="2"/>
      <c r="I95" s="2"/>
      <c r="J95" s="2"/>
      <c r="K95" s="2"/>
      <c r="L95" s="2"/>
      <c r="M95" s="2"/>
      <c r="N95" s="2"/>
    </row>
    <row r="96" spans="3:14" x14ac:dyDescent="0.3">
      <c r="C96" s="2"/>
      <c r="D96" s="2"/>
      <c r="E96" s="2"/>
      <c r="F96" s="2"/>
      <c r="G96" s="2"/>
      <c r="H96" s="2"/>
      <c r="I96" s="2"/>
      <c r="J96" s="2"/>
      <c r="K96" s="2"/>
      <c r="L96" s="2"/>
      <c r="M96" s="2"/>
      <c r="N96" s="2"/>
    </row>
    <row r="97" spans="3:14" x14ac:dyDescent="0.3">
      <c r="C97" s="2"/>
      <c r="D97" s="2"/>
      <c r="E97" s="2"/>
      <c r="F97" s="2"/>
      <c r="G97" s="2"/>
      <c r="H97" s="2"/>
      <c r="I97" s="2"/>
      <c r="J97" s="2"/>
      <c r="K97" s="2"/>
      <c r="L97" s="2"/>
      <c r="M97" s="2"/>
      <c r="N97" s="2"/>
    </row>
    <row r="98" spans="3:14" x14ac:dyDescent="0.3">
      <c r="C98" s="2"/>
      <c r="D98" s="2"/>
      <c r="E98" s="2"/>
      <c r="F98" s="2"/>
      <c r="G98" s="2"/>
      <c r="H98" s="2"/>
      <c r="I98" s="2"/>
      <c r="J98" s="2"/>
      <c r="K98" s="2"/>
      <c r="L98" s="2"/>
      <c r="M98" s="2"/>
      <c r="N98" s="2"/>
    </row>
    <row r="99" spans="3:14" x14ac:dyDescent="0.3">
      <c r="C99" s="2"/>
      <c r="D99" s="2"/>
      <c r="E99" s="2"/>
      <c r="F99" s="2"/>
      <c r="G99" s="2"/>
      <c r="H99" s="2"/>
      <c r="I99" s="2"/>
      <c r="J99" s="2"/>
      <c r="K99" s="2"/>
      <c r="L99" s="2"/>
      <c r="M99" s="2"/>
      <c r="N99" s="2"/>
    </row>
    <row r="100" spans="3:14" x14ac:dyDescent="0.3">
      <c r="C100" s="2"/>
      <c r="D100" s="2"/>
      <c r="E100" s="2"/>
      <c r="F100" s="2"/>
      <c r="G100" s="2"/>
      <c r="H100" s="2"/>
      <c r="I100" s="2"/>
      <c r="J100" s="2"/>
      <c r="K100" s="2"/>
      <c r="L100" s="2"/>
      <c r="M100" s="2"/>
      <c r="N100" s="2"/>
    </row>
    <row r="101" spans="3:14" x14ac:dyDescent="0.3">
      <c r="C101" s="2"/>
      <c r="D101" s="2"/>
      <c r="E101" s="2"/>
      <c r="F101" s="2"/>
      <c r="G101" s="2"/>
      <c r="H101" s="2"/>
      <c r="I101" s="2"/>
      <c r="J101" s="2"/>
      <c r="K101" s="2"/>
      <c r="L101" s="2"/>
      <c r="M101" s="2"/>
      <c r="N101" s="2"/>
    </row>
    <row r="102" spans="3:14" x14ac:dyDescent="0.3">
      <c r="C102" s="2"/>
      <c r="D102" s="2"/>
      <c r="E102" s="2"/>
      <c r="F102" s="2"/>
      <c r="G102" s="2"/>
      <c r="H102" s="2"/>
      <c r="I102" s="2"/>
      <c r="J102" s="2"/>
      <c r="K102" s="2"/>
      <c r="L102" s="2"/>
      <c r="M102" s="2"/>
      <c r="N102" s="2"/>
    </row>
    <row r="103" spans="3:14" x14ac:dyDescent="0.3">
      <c r="C103" s="2"/>
      <c r="D103" s="2"/>
      <c r="E103" s="2"/>
      <c r="F103" s="2"/>
      <c r="G103" s="2"/>
      <c r="H103" s="2"/>
      <c r="I103" s="2"/>
      <c r="J103" s="2"/>
      <c r="K103" s="2"/>
      <c r="L103" s="2"/>
      <c r="M103" s="2"/>
      <c r="N103" s="2"/>
    </row>
    <row r="104" spans="3:14" x14ac:dyDescent="0.3">
      <c r="C104" s="2"/>
      <c r="D104" s="2"/>
      <c r="E104" s="2"/>
      <c r="F104" s="2"/>
      <c r="G104" s="2"/>
      <c r="H104" s="2"/>
      <c r="I104" s="2"/>
      <c r="J104" s="2"/>
      <c r="K104" s="2"/>
      <c r="L104" s="2"/>
      <c r="M104" s="2"/>
      <c r="N104" s="2"/>
    </row>
    <row r="105" spans="3:14" x14ac:dyDescent="0.3">
      <c r="C105" s="2"/>
      <c r="D105" s="2"/>
      <c r="E105" s="2"/>
      <c r="F105" s="2"/>
      <c r="G105" s="2"/>
      <c r="H105" s="2"/>
      <c r="I105" s="2"/>
      <c r="J105" s="2"/>
      <c r="K105" s="2"/>
      <c r="L105" s="2"/>
      <c r="M105" s="2"/>
      <c r="N105" s="2"/>
    </row>
    <row r="106" spans="3:14" x14ac:dyDescent="0.3">
      <c r="C106" s="2"/>
      <c r="D106" s="2"/>
      <c r="E106" s="2"/>
      <c r="F106" s="2"/>
      <c r="G106" s="2"/>
      <c r="H106" s="2"/>
      <c r="I106" s="2"/>
      <c r="J106" s="2"/>
      <c r="K106" s="2"/>
      <c r="L106" s="2"/>
      <c r="M106" s="2"/>
      <c r="N106" s="2"/>
    </row>
    <row r="107" spans="3:14" x14ac:dyDescent="0.3">
      <c r="C107" s="2"/>
      <c r="D107" s="2"/>
      <c r="E107" s="2"/>
      <c r="F107" s="2"/>
      <c r="G107" s="2"/>
      <c r="H107" s="2"/>
      <c r="I107" s="2"/>
      <c r="J107" s="2"/>
      <c r="K107" s="2"/>
      <c r="L107" s="2"/>
      <c r="M107" s="2"/>
      <c r="N107" s="2"/>
    </row>
    <row r="108" spans="3:14" x14ac:dyDescent="0.3">
      <c r="C108" s="2"/>
      <c r="D108" s="2"/>
      <c r="E108" s="2"/>
      <c r="F108" s="2"/>
      <c r="G108" s="2"/>
      <c r="H108" s="2"/>
      <c r="I108" s="2"/>
      <c r="J108" s="2"/>
      <c r="K108" s="2"/>
      <c r="L108" s="2"/>
      <c r="M108" s="2"/>
      <c r="N108" s="2"/>
    </row>
    <row r="109" spans="3:14" x14ac:dyDescent="0.3">
      <c r="C109" s="2"/>
      <c r="D109" s="2"/>
      <c r="E109" s="2"/>
      <c r="F109" s="2"/>
      <c r="G109" s="2"/>
      <c r="H109" s="2"/>
      <c r="I109" s="2"/>
      <c r="J109" s="2"/>
      <c r="K109" s="2"/>
      <c r="L109" s="2"/>
      <c r="M109" s="2"/>
      <c r="N109" s="2"/>
    </row>
    <row r="110" spans="3:14" x14ac:dyDescent="0.3">
      <c r="C110" s="2"/>
      <c r="D110" s="2"/>
      <c r="E110" s="2"/>
      <c r="F110" s="2"/>
      <c r="G110" s="2"/>
      <c r="H110" s="2"/>
      <c r="I110" s="2"/>
      <c r="J110" s="2"/>
      <c r="K110" s="2"/>
      <c r="L110" s="2"/>
      <c r="M110" s="2"/>
      <c r="N110" s="2"/>
    </row>
    <row r="111" spans="3:14" x14ac:dyDescent="0.3">
      <c r="C111" s="2"/>
      <c r="D111" s="2"/>
      <c r="E111" s="2"/>
      <c r="F111" s="2"/>
      <c r="G111" s="2"/>
      <c r="H111" s="2"/>
      <c r="I111" s="2"/>
      <c r="J111" s="2"/>
      <c r="K111" s="2"/>
      <c r="L111" s="2"/>
      <c r="M111" s="2"/>
      <c r="N111" s="2"/>
    </row>
    <row r="112" spans="3:14" x14ac:dyDescent="0.3">
      <c r="C112" s="2"/>
      <c r="D112" s="2"/>
      <c r="E112" s="2"/>
      <c r="F112" s="2"/>
      <c r="G112" s="2"/>
      <c r="H112" s="2"/>
      <c r="I112" s="2"/>
      <c r="J112" s="2"/>
      <c r="K112" s="2"/>
      <c r="L112" s="2"/>
      <c r="M112" s="2"/>
      <c r="N112" s="2"/>
    </row>
    <row r="113" spans="3:14" x14ac:dyDescent="0.3">
      <c r="C113" s="2"/>
      <c r="D113" s="2"/>
      <c r="E113" s="2"/>
      <c r="F113" s="2"/>
      <c r="G113" s="2"/>
      <c r="H113" s="2"/>
      <c r="I113" s="2"/>
      <c r="J113" s="2"/>
      <c r="K113" s="2"/>
      <c r="L113" s="2"/>
      <c r="M113" s="2"/>
      <c r="N113" s="2"/>
    </row>
    <row r="114" spans="3:14" x14ac:dyDescent="0.3">
      <c r="C114" s="2"/>
      <c r="D114" s="2"/>
      <c r="E114" s="2"/>
      <c r="F114" s="2"/>
      <c r="G114" s="2"/>
      <c r="H114" s="2"/>
      <c r="I114" s="2"/>
      <c r="J114" s="2"/>
      <c r="K114" s="2"/>
      <c r="L114" s="2"/>
      <c r="M114" s="2"/>
      <c r="N114" s="2"/>
    </row>
    <row r="115" spans="3:14" x14ac:dyDescent="0.3">
      <c r="C115" s="2"/>
      <c r="D115" s="2"/>
      <c r="E115" s="2"/>
      <c r="F115" s="2"/>
      <c r="G115" s="2"/>
      <c r="H115" s="2"/>
      <c r="I115" s="2"/>
      <c r="J115" s="2"/>
      <c r="K115" s="2"/>
      <c r="L115" s="2"/>
      <c r="M115" s="2"/>
      <c r="N115" s="2"/>
    </row>
    <row r="116" spans="3:14" x14ac:dyDescent="0.3">
      <c r="C116" s="2"/>
      <c r="D116" s="2"/>
      <c r="E116" s="2"/>
      <c r="F116" s="2"/>
      <c r="G116" s="2"/>
      <c r="H116" s="2"/>
      <c r="I116" s="2"/>
      <c r="J116" s="2"/>
      <c r="K116" s="2"/>
      <c r="L116" s="2"/>
      <c r="M116" s="2"/>
      <c r="N116" s="2"/>
    </row>
    <row r="117" spans="3:14" x14ac:dyDescent="0.3">
      <c r="C117" s="2"/>
      <c r="D117" s="2"/>
      <c r="E117" s="2"/>
      <c r="F117" s="2"/>
      <c r="G117" s="2"/>
      <c r="H117" s="2"/>
      <c r="I117" s="2"/>
      <c r="J117" s="2"/>
      <c r="K117" s="2"/>
      <c r="L117" s="2"/>
      <c r="M117" s="2"/>
      <c r="N117" s="2"/>
    </row>
    <row r="118" spans="3:14" x14ac:dyDescent="0.3">
      <c r="C118" s="2"/>
      <c r="D118" s="2"/>
      <c r="E118" s="2"/>
      <c r="F118" s="2"/>
      <c r="G118" s="2"/>
      <c r="H118" s="2"/>
      <c r="I118" s="2"/>
      <c r="J118" s="2"/>
      <c r="K118" s="2"/>
      <c r="L118" s="2"/>
      <c r="M118" s="2"/>
      <c r="N118" s="2"/>
    </row>
    <row r="119" spans="3:14" x14ac:dyDescent="0.3">
      <c r="C119" s="2"/>
      <c r="D119" s="2"/>
      <c r="E119" s="2"/>
      <c r="F119" s="2"/>
      <c r="G119" s="2"/>
      <c r="H119" s="2"/>
      <c r="I119" s="2"/>
      <c r="J119" s="2"/>
      <c r="K119" s="2"/>
      <c r="L119" s="2"/>
      <c r="M119" s="2"/>
      <c r="N119" s="2"/>
    </row>
    <row r="120" spans="3:14" x14ac:dyDescent="0.3">
      <c r="C120" s="2"/>
      <c r="D120" s="2"/>
      <c r="E120" s="2"/>
      <c r="F120" s="2"/>
      <c r="G120" s="2"/>
      <c r="H120" s="2"/>
      <c r="I120" s="2"/>
      <c r="J120" s="2"/>
      <c r="K120" s="2"/>
      <c r="L120" s="2"/>
      <c r="M120" s="2"/>
      <c r="N120" s="2"/>
    </row>
  </sheetData>
  <pageMargins left="0.7" right="0.7" top="0.75" bottom="0.75" header="0.3" footer="0.3"/>
  <pageSetup scale="45" orientation="portrait" r:id="rId1"/>
  <rowBreaks count="1" manualBreakCount="1">
    <brk id="38"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N167"/>
  <sheetViews>
    <sheetView showGridLines="0" zoomScaleNormal="100" workbookViewId="0">
      <pane xSplit="6" ySplit="5" topLeftCell="G6" activePane="bottomRight" state="frozen"/>
      <selection pane="topRight" activeCell="G1" sqref="G1"/>
      <selection pane="bottomLeft" activeCell="A6" sqref="A6"/>
      <selection pane="bottomRight"/>
    </sheetView>
  </sheetViews>
  <sheetFormatPr defaultRowHeight="14.4" x14ac:dyDescent="0.3"/>
  <cols>
    <col min="1" max="2" width="2.6640625" customWidth="1"/>
    <col min="3" max="50" width="12.6640625" customWidth="1"/>
  </cols>
  <sheetData>
    <row r="2" spans="2:65" x14ac:dyDescent="0.3">
      <c r="B2" s="1" t="s">
        <v>392</v>
      </c>
    </row>
    <row r="3" spans="2:65" x14ac:dyDescent="0.3">
      <c r="B3" t="s">
        <v>393</v>
      </c>
    </row>
    <row r="5" spans="2:65" x14ac:dyDescent="0.3">
      <c r="B5" s="228" t="s">
        <v>9</v>
      </c>
      <c r="C5" s="54"/>
      <c r="D5" s="54"/>
      <c r="E5" s="54"/>
      <c r="F5" s="54"/>
      <c r="G5" s="310">
        <f>YEAR(FY_Date)</f>
        <v>2013</v>
      </c>
      <c r="H5" s="310">
        <f>G5+1</f>
        <v>2014</v>
      </c>
      <c r="I5" s="310">
        <f t="shared" ref="I5:AU5" si="0">H5+1</f>
        <v>2015</v>
      </c>
      <c r="J5" s="310">
        <f t="shared" si="0"/>
        <v>2016</v>
      </c>
      <c r="K5" s="310">
        <f t="shared" si="0"/>
        <v>2017</v>
      </c>
      <c r="L5" s="310">
        <f t="shared" si="0"/>
        <v>2018</v>
      </c>
      <c r="M5" s="310">
        <f t="shared" si="0"/>
        <v>2019</v>
      </c>
      <c r="N5" s="310">
        <f t="shared" si="0"/>
        <v>2020</v>
      </c>
      <c r="O5" s="310">
        <f t="shared" si="0"/>
        <v>2021</v>
      </c>
      <c r="P5" s="310">
        <f t="shared" si="0"/>
        <v>2022</v>
      </c>
      <c r="Q5" s="310">
        <f t="shared" si="0"/>
        <v>2023</v>
      </c>
      <c r="R5" s="310">
        <f t="shared" si="0"/>
        <v>2024</v>
      </c>
      <c r="S5" s="310">
        <f t="shared" si="0"/>
        <v>2025</v>
      </c>
      <c r="T5" s="310">
        <f t="shared" si="0"/>
        <v>2026</v>
      </c>
      <c r="U5" s="310">
        <f t="shared" si="0"/>
        <v>2027</v>
      </c>
      <c r="V5" s="310">
        <f t="shared" si="0"/>
        <v>2028</v>
      </c>
      <c r="W5" s="310">
        <f t="shared" si="0"/>
        <v>2029</v>
      </c>
      <c r="X5" s="310">
        <f t="shared" si="0"/>
        <v>2030</v>
      </c>
      <c r="Y5" s="310">
        <f t="shared" si="0"/>
        <v>2031</v>
      </c>
      <c r="Z5" s="310">
        <f t="shared" si="0"/>
        <v>2032</v>
      </c>
      <c r="AA5" s="310">
        <f t="shared" si="0"/>
        <v>2033</v>
      </c>
      <c r="AB5" s="310">
        <f t="shared" si="0"/>
        <v>2034</v>
      </c>
      <c r="AC5" s="310">
        <f t="shared" si="0"/>
        <v>2035</v>
      </c>
      <c r="AD5" s="310">
        <f t="shared" si="0"/>
        <v>2036</v>
      </c>
      <c r="AE5" s="310">
        <f t="shared" si="0"/>
        <v>2037</v>
      </c>
      <c r="AF5" s="310">
        <f t="shared" si="0"/>
        <v>2038</v>
      </c>
      <c r="AG5" s="310">
        <f t="shared" si="0"/>
        <v>2039</v>
      </c>
      <c r="AH5" s="310">
        <f t="shared" si="0"/>
        <v>2040</v>
      </c>
      <c r="AI5" s="310">
        <f t="shared" si="0"/>
        <v>2041</v>
      </c>
      <c r="AJ5" s="310">
        <f t="shared" si="0"/>
        <v>2042</v>
      </c>
      <c r="AK5" s="310">
        <f t="shared" si="0"/>
        <v>2043</v>
      </c>
      <c r="AL5" s="310">
        <f t="shared" si="0"/>
        <v>2044</v>
      </c>
      <c r="AM5" s="310">
        <f t="shared" si="0"/>
        <v>2045</v>
      </c>
      <c r="AN5" s="310">
        <f t="shared" si="0"/>
        <v>2046</v>
      </c>
      <c r="AO5" s="310">
        <f t="shared" si="0"/>
        <v>2047</v>
      </c>
      <c r="AP5" s="310">
        <f t="shared" si="0"/>
        <v>2048</v>
      </c>
      <c r="AQ5" s="310">
        <f t="shared" si="0"/>
        <v>2049</v>
      </c>
      <c r="AR5" s="310">
        <f t="shared" si="0"/>
        <v>2050</v>
      </c>
      <c r="AS5" s="310">
        <f t="shared" si="0"/>
        <v>2051</v>
      </c>
      <c r="AT5" s="310">
        <f t="shared" si="0"/>
        <v>2052</v>
      </c>
      <c r="AU5" s="310">
        <f t="shared" si="0"/>
        <v>2053</v>
      </c>
      <c r="AV5" s="310" t="s">
        <v>349</v>
      </c>
      <c r="AW5" s="310" t="s">
        <v>350</v>
      </c>
      <c r="AX5" s="310" t="s">
        <v>12</v>
      </c>
      <c r="AZ5" s="2"/>
    </row>
    <row r="6" spans="2:65" x14ac:dyDescent="0.3">
      <c r="C6" t="s">
        <v>394</v>
      </c>
      <c r="G6" s="75">
        <v>12</v>
      </c>
      <c r="H6" s="17">
        <f>G6</f>
        <v>12</v>
      </c>
      <c r="I6" s="17">
        <f t="shared" ref="I6:AU6" si="1">H6</f>
        <v>12</v>
      </c>
      <c r="J6" s="17">
        <f t="shared" si="1"/>
        <v>12</v>
      </c>
      <c r="K6" s="17">
        <f t="shared" si="1"/>
        <v>12</v>
      </c>
      <c r="L6" s="17">
        <f t="shared" si="1"/>
        <v>12</v>
      </c>
      <c r="M6" s="17">
        <f t="shared" si="1"/>
        <v>12</v>
      </c>
      <c r="N6" s="17">
        <f t="shared" si="1"/>
        <v>12</v>
      </c>
      <c r="O6" s="17">
        <f t="shared" si="1"/>
        <v>12</v>
      </c>
      <c r="P6" s="17">
        <f t="shared" si="1"/>
        <v>12</v>
      </c>
      <c r="Q6" s="17">
        <f t="shared" si="1"/>
        <v>12</v>
      </c>
      <c r="R6" s="17">
        <f t="shared" si="1"/>
        <v>12</v>
      </c>
      <c r="S6" s="17">
        <f t="shared" si="1"/>
        <v>12</v>
      </c>
      <c r="T6" s="17">
        <f t="shared" si="1"/>
        <v>12</v>
      </c>
      <c r="U6" s="17">
        <f t="shared" si="1"/>
        <v>12</v>
      </c>
      <c r="V6" s="17">
        <f t="shared" si="1"/>
        <v>12</v>
      </c>
      <c r="W6" s="17">
        <f t="shared" si="1"/>
        <v>12</v>
      </c>
      <c r="X6" s="17">
        <f t="shared" si="1"/>
        <v>12</v>
      </c>
      <c r="Y6" s="17">
        <f t="shared" si="1"/>
        <v>12</v>
      </c>
      <c r="Z6" s="17">
        <f t="shared" si="1"/>
        <v>12</v>
      </c>
      <c r="AA6" s="17">
        <f t="shared" si="1"/>
        <v>12</v>
      </c>
      <c r="AB6" s="17">
        <f t="shared" si="1"/>
        <v>12</v>
      </c>
      <c r="AC6" s="17">
        <f t="shared" si="1"/>
        <v>12</v>
      </c>
      <c r="AD6" s="17">
        <f t="shared" si="1"/>
        <v>12</v>
      </c>
      <c r="AE6" s="17">
        <f t="shared" si="1"/>
        <v>12</v>
      </c>
      <c r="AF6" s="17">
        <f t="shared" si="1"/>
        <v>12</v>
      </c>
      <c r="AG6" s="17">
        <f t="shared" si="1"/>
        <v>12</v>
      </c>
      <c r="AH6" s="17">
        <f t="shared" si="1"/>
        <v>12</v>
      </c>
      <c r="AI6" s="17">
        <f t="shared" si="1"/>
        <v>12</v>
      </c>
      <c r="AJ6" s="17">
        <f t="shared" si="1"/>
        <v>12</v>
      </c>
      <c r="AK6" s="17">
        <f t="shared" si="1"/>
        <v>12</v>
      </c>
      <c r="AL6" s="17">
        <f t="shared" si="1"/>
        <v>12</v>
      </c>
      <c r="AM6" s="17">
        <f t="shared" si="1"/>
        <v>12</v>
      </c>
      <c r="AN6" s="17">
        <f t="shared" si="1"/>
        <v>12</v>
      </c>
      <c r="AO6" s="17">
        <f t="shared" si="1"/>
        <v>12</v>
      </c>
      <c r="AP6" s="17">
        <f t="shared" si="1"/>
        <v>12</v>
      </c>
      <c r="AQ6" s="17">
        <f t="shared" si="1"/>
        <v>12</v>
      </c>
      <c r="AR6" s="17">
        <f t="shared" si="1"/>
        <v>12</v>
      </c>
      <c r="AS6" s="17">
        <f t="shared" si="1"/>
        <v>12</v>
      </c>
      <c r="AT6" s="17">
        <f t="shared" si="1"/>
        <v>12</v>
      </c>
      <c r="AU6" s="17">
        <f t="shared" si="1"/>
        <v>12</v>
      </c>
      <c r="AW6" s="17">
        <f>AU6</f>
        <v>12</v>
      </c>
    </row>
    <row r="7" spans="2:65" x14ac:dyDescent="0.3">
      <c r="C7" t="s">
        <v>395</v>
      </c>
      <c r="G7" s="436">
        <v>1</v>
      </c>
      <c r="H7" s="29">
        <f>G7+1</f>
        <v>2</v>
      </c>
      <c r="I7" s="29">
        <f t="shared" ref="I7:AU7" si="2">H7+1</f>
        <v>3</v>
      </c>
      <c r="J7" s="29">
        <f t="shared" si="2"/>
        <v>4</v>
      </c>
      <c r="K7" s="29">
        <f t="shared" si="2"/>
        <v>5</v>
      </c>
      <c r="L7" s="29">
        <f t="shared" si="2"/>
        <v>6</v>
      </c>
      <c r="M7" s="29">
        <f t="shared" si="2"/>
        <v>7</v>
      </c>
      <c r="N7" s="29">
        <f t="shared" si="2"/>
        <v>8</v>
      </c>
      <c r="O7" s="29">
        <f t="shared" si="2"/>
        <v>9</v>
      </c>
      <c r="P7" s="29">
        <f t="shared" si="2"/>
        <v>10</v>
      </c>
      <c r="Q7" s="29">
        <f t="shared" si="2"/>
        <v>11</v>
      </c>
      <c r="R7" s="29">
        <f t="shared" si="2"/>
        <v>12</v>
      </c>
      <c r="S7" s="29">
        <f t="shared" si="2"/>
        <v>13</v>
      </c>
      <c r="T7" s="29">
        <f t="shared" si="2"/>
        <v>14</v>
      </c>
      <c r="U7" s="29">
        <f t="shared" si="2"/>
        <v>15</v>
      </c>
      <c r="V7" s="29">
        <f t="shared" si="2"/>
        <v>16</v>
      </c>
      <c r="W7" s="29">
        <f t="shared" si="2"/>
        <v>17</v>
      </c>
      <c r="X7" s="29">
        <f t="shared" si="2"/>
        <v>18</v>
      </c>
      <c r="Y7" s="29">
        <f t="shared" si="2"/>
        <v>19</v>
      </c>
      <c r="Z7" s="29">
        <f t="shared" si="2"/>
        <v>20</v>
      </c>
      <c r="AA7" s="29">
        <f t="shared" si="2"/>
        <v>21</v>
      </c>
      <c r="AB7" s="29">
        <f t="shared" si="2"/>
        <v>22</v>
      </c>
      <c r="AC7" s="29">
        <f t="shared" si="2"/>
        <v>23</v>
      </c>
      <c r="AD7" s="29">
        <f t="shared" si="2"/>
        <v>24</v>
      </c>
      <c r="AE7" s="29">
        <f t="shared" si="2"/>
        <v>25</v>
      </c>
      <c r="AF7" s="29">
        <f t="shared" si="2"/>
        <v>26</v>
      </c>
      <c r="AG7" s="29">
        <f t="shared" si="2"/>
        <v>27</v>
      </c>
      <c r="AH7" s="29">
        <f t="shared" si="2"/>
        <v>28</v>
      </c>
      <c r="AI7" s="29">
        <f t="shared" si="2"/>
        <v>29</v>
      </c>
      <c r="AJ7" s="29">
        <f t="shared" si="2"/>
        <v>30</v>
      </c>
      <c r="AK7" s="29">
        <f t="shared" si="2"/>
        <v>31</v>
      </c>
      <c r="AL7" s="29">
        <f t="shared" si="2"/>
        <v>32</v>
      </c>
      <c r="AM7" s="29">
        <f t="shared" si="2"/>
        <v>33</v>
      </c>
      <c r="AN7" s="29">
        <f t="shared" si="2"/>
        <v>34</v>
      </c>
      <c r="AO7" s="29">
        <f t="shared" si="2"/>
        <v>35</v>
      </c>
      <c r="AP7" s="29">
        <f t="shared" si="2"/>
        <v>36</v>
      </c>
      <c r="AQ7" s="29">
        <f t="shared" si="2"/>
        <v>37</v>
      </c>
      <c r="AR7" s="29">
        <f t="shared" si="2"/>
        <v>38</v>
      </c>
      <c r="AS7" s="29">
        <f t="shared" si="2"/>
        <v>39</v>
      </c>
      <c r="AT7" s="29">
        <f t="shared" si="2"/>
        <v>40</v>
      </c>
      <c r="AU7" s="29">
        <f t="shared" si="2"/>
        <v>41</v>
      </c>
      <c r="AV7" s="29">
        <f>+AU7</f>
        <v>41</v>
      </c>
      <c r="AW7" s="29">
        <f t="shared" ref="AW7:AX7" si="3">+AV7</f>
        <v>41</v>
      </c>
      <c r="AX7" s="29">
        <f t="shared" si="3"/>
        <v>41</v>
      </c>
      <c r="AZ7" s="2"/>
      <c r="BA7" s="2"/>
      <c r="BB7" s="2"/>
      <c r="BC7" s="2"/>
      <c r="BD7" s="2"/>
      <c r="BE7" s="2"/>
      <c r="BF7" s="2"/>
      <c r="BG7" s="2"/>
      <c r="BH7" s="2"/>
      <c r="BI7" s="2"/>
      <c r="BJ7" s="2"/>
      <c r="BK7" s="2"/>
      <c r="BL7" s="2"/>
      <c r="BM7" s="2"/>
    </row>
    <row r="8" spans="2:65" x14ac:dyDescent="0.3">
      <c r="C8" t="s">
        <v>396</v>
      </c>
      <c r="G8" s="437">
        <f t="array" ref="G8:AU8">TRANSPOSE(PD!AQ29:AQ69)</f>
        <v>365</v>
      </c>
      <c r="H8" s="332">
        <v>365</v>
      </c>
      <c r="I8" s="332">
        <v>365</v>
      </c>
      <c r="J8" s="332">
        <v>366</v>
      </c>
      <c r="K8" s="332">
        <v>365</v>
      </c>
      <c r="L8" s="332">
        <v>365</v>
      </c>
      <c r="M8" s="332">
        <v>365</v>
      </c>
      <c r="N8" s="332">
        <v>366</v>
      </c>
      <c r="O8" s="332">
        <v>365</v>
      </c>
      <c r="P8" s="332">
        <v>365</v>
      </c>
      <c r="Q8" s="332">
        <v>365</v>
      </c>
      <c r="R8" s="332">
        <v>366</v>
      </c>
      <c r="S8" s="332">
        <v>365</v>
      </c>
      <c r="T8" s="332">
        <v>365</v>
      </c>
      <c r="U8" s="332">
        <v>365</v>
      </c>
      <c r="V8" s="332">
        <v>366</v>
      </c>
      <c r="W8" s="332">
        <v>365</v>
      </c>
      <c r="X8" s="332">
        <v>365</v>
      </c>
      <c r="Y8" s="332">
        <v>365</v>
      </c>
      <c r="Z8" s="332">
        <v>366</v>
      </c>
      <c r="AA8" s="332">
        <v>365</v>
      </c>
      <c r="AB8" s="332">
        <v>365</v>
      </c>
      <c r="AC8" s="332">
        <v>365</v>
      </c>
      <c r="AD8" s="332">
        <v>366</v>
      </c>
      <c r="AE8" s="332">
        <v>365</v>
      </c>
      <c r="AF8" s="332">
        <v>365</v>
      </c>
      <c r="AG8" s="332">
        <v>365</v>
      </c>
      <c r="AH8" s="332">
        <v>366</v>
      </c>
      <c r="AI8" s="332">
        <v>365</v>
      </c>
      <c r="AJ8" s="332">
        <v>365</v>
      </c>
      <c r="AK8" s="332">
        <v>365</v>
      </c>
      <c r="AL8" s="332">
        <v>366</v>
      </c>
      <c r="AM8" s="332">
        <v>365</v>
      </c>
      <c r="AN8" s="332">
        <v>365</v>
      </c>
      <c r="AO8" s="332">
        <v>365</v>
      </c>
      <c r="AP8" s="332">
        <v>366</v>
      </c>
      <c r="AQ8" s="332">
        <v>365</v>
      </c>
      <c r="AR8" s="332">
        <v>365</v>
      </c>
      <c r="AS8" s="332">
        <v>365</v>
      </c>
      <c r="AT8" s="332">
        <v>366</v>
      </c>
      <c r="AU8" s="332">
        <v>365</v>
      </c>
      <c r="AV8" s="17">
        <f>+AU8</f>
        <v>365</v>
      </c>
      <c r="AW8" s="17">
        <f t="shared" ref="AW8:AX8" si="4">+AV8</f>
        <v>365</v>
      </c>
      <c r="AX8" s="17">
        <f t="shared" si="4"/>
        <v>365</v>
      </c>
      <c r="AZ8" s="2"/>
      <c r="BA8" s="2"/>
      <c r="BB8" s="2"/>
      <c r="BC8" s="2"/>
      <c r="BD8" s="2"/>
      <c r="BE8" s="2"/>
      <c r="BF8" s="2"/>
      <c r="BG8" s="2"/>
      <c r="BH8" s="2"/>
      <c r="BI8" s="2"/>
      <c r="BJ8" s="2"/>
      <c r="BK8" s="2"/>
      <c r="BL8" s="2"/>
      <c r="BM8" s="2"/>
    </row>
    <row r="9" spans="2:65" x14ac:dyDescent="0.3">
      <c r="AZ9" s="2"/>
      <c r="BA9" s="2"/>
      <c r="BB9" s="2"/>
      <c r="BC9" s="2"/>
      <c r="BD9" s="2"/>
      <c r="BE9" s="2"/>
      <c r="BF9" s="2"/>
      <c r="BG9" s="2"/>
      <c r="BH9" s="2"/>
      <c r="BI9" s="2"/>
      <c r="BJ9" s="2"/>
      <c r="BK9" s="2"/>
      <c r="BL9" s="2"/>
      <c r="BM9" s="2"/>
    </row>
    <row r="10" spans="2:65" x14ac:dyDescent="0.3">
      <c r="B10" s="3" t="s">
        <v>380</v>
      </c>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Z10" s="2"/>
      <c r="BA10" s="2"/>
      <c r="BB10" s="2"/>
      <c r="BC10" s="2"/>
      <c r="BD10" s="2"/>
      <c r="BE10" s="2"/>
      <c r="BF10" s="2"/>
      <c r="BG10" s="2"/>
      <c r="BH10" s="2"/>
      <c r="BI10" s="2"/>
      <c r="BJ10" s="2"/>
      <c r="BK10" s="2"/>
      <c r="BL10" s="2"/>
      <c r="BM10" s="2"/>
    </row>
    <row r="11" spans="2:65" x14ac:dyDescent="0.3">
      <c r="C11" s="438" t="s">
        <v>370</v>
      </c>
      <c r="G11" s="419">
        <f t="array" aca="1" ref="G11:L11" ca="1">TRANSPOSE(Assumptions!O63:O68)</f>
        <v>3.7</v>
      </c>
      <c r="H11" s="419">
        <f ca="1"/>
        <v>3.8</v>
      </c>
      <c r="I11" s="419">
        <f ca="1"/>
        <v>4</v>
      </c>
      <c r="J11" s="419">
        <f ca="1"/>
        <v>4.0999999999999996</v>
      </c>
      <c r="K11" s="419">
        <f ca="1"/>
        <v>4.2</v>
      </c>
      <c r="L11" s="419">
        <f ca="1"/>
        <v>4.5</v>
      </c>
      <c r="M11" s="50">
        <f ca="1">L11</f>
        <v>4.5</v>
      </c>
      <c r="N11" s="50">
        <f t="shared" ref="N11:AU11" ca="1" si="5">M11</f>
        <v>4.5</v>
      </c>
      <c r="O11" s="50">
        <f t="shared" ca="1" si="5"/>
        <v>4.5</v>
      </c>
      <c r="P11" s="50">
        <f t="shared" ca="1" si="5"/>
        <v>4.5</v>
      </c>
      <c r="Q11" s="50">
        <f t="shared" ca="1" si="5"/>
        <v>4.5</v>
      </c>
      <c r="R11" s="50">
        <f t="shared" ca="1" si="5"/>
        <v>4.5</v>
      </c>
      <c r="S11" s="50">
        <f t="shared" ca="1" si="5"/>
        <v>4.5</v>
      </c>
      <c r="T11" s="50">
        <f t="shared" ca="1" si="5"/>
        <v>4.5</v>
      </c>
      <c r="U11" s="50">
        <f t="shared" ca="1" si="5"/>
        <v>4.5</v>
      </c>
      <c r="V11" s="50">
        <f t="shared" ca="1" si="5"/>
        <v>4.5</v>
      </c>
      <c r="W11" s="50">
        <f t="shared" ca="1" si="5"/>
        <v>4.5</v>
      </c>
      <c r="X11" s="50">
        <f t="shared" ca="1" si="5"/>
        <v>4.5</v>
      </c>
      <c r="Y11" s="50">
        <f t="shared" ca="1" si="5"/>
        <v>4.5</v>
      </c>
      <c r="Z11" s="50">
        <f t="shared" ca="1" si="5"/>
        <v>4.5</v>
      </c>
      <c r="AA11" s="50">
        <f t="shared" ca="1" si="5"/>
        <v>4.5</v>
      </c>
      <c r="AB11" s="50">
        <f t="shared" ca="1" si="5"/>
        <v>4.5</v>
      </c>
      <c r="AC11" s="50">
        <f t="shared" ca="1" si="5"/>
        <v>4.5</v>
      </c>
      <c r="AD11" s="50">
        <f t="shared" ca="1" si="5"/>
        <v>4.5</v>
      </c>
      <c r="AE11" s="50">
        <f t="shared" ca="1" si="5"/>
        <v>4.5</v>
      </c>
      <c r="AF11" s="50">
        <f t="shared" ca="1" si="5"/>
        <v>4.5</v>
      </c>
      <c r="AG11" s="50">
        <f t="shared" ca="1" si="5"/>
        <v>4.5</v>
      </c>
      <c r="AH11" s="50">
        <f t="shared" ca="1" si="5"/>
        <v>4.5</v>
      </c>
      <c r="AI11" s="50">
        <f t="shared" ca="1" si="5"/>
        <v>4.5</v>
      </c>
      <c r="AJ11" s="50">
        <f t="shared" ca="1" si="5"/>
        <v>4.5</v>
      </c>
      <c r="AK11" s="50">
        <f t="shared" ca="1" si="5"/>
        <v>4.5</v>
      </c>
      <c r="AL11" s="50">
        <f t="shared" ca="1" si="5"/>
        <v>4.5</v>
      </c>
      <c r="AM11" s="50">
        <f t="shared" ca="1" si="5"/>
        <v>4.5</v>
      </c>
      <c r="AN11" s="50">
        <f t="shared" ca="1" si="5"/>
        <v>4.5</v>
      </c>
      <c r="AO11" s="50">
        <f t="shared" ca="1" si="5"/>
        <v>4.5</v>
      </c>
      <c r="AP11" s="50">
        <f t="shared" ca="1" si="5"/>
        <v>4.5</v>
      </c>
      <c r="AQ11" s="50">
        <f t="shared" ca="1" si="5"/>
        <v>4.5</v>
      </c>
      <c r="AR11" s="50">
        <f t="shared" ca="1" si="5"/>
        <v>4.5</v>
      </c>
      <c r="AS11" s="50">
        <f t="shared" ca="1" si="5"/>
        <v>4.5</v>
      </c>
      <c r="AT11" s="50">
        <f t="shared" ca="1" si="5"/>
        <v>4.5</v>
      </c>
      <c r="AU11" s="50">
        <f t="shared" ca="1" si="5"/>
        <v>4.5</v>
      </c>
      <c r="AV11" s="50">
        <f t="shared" ref="AV11:AX11" ca="1" si="6">AU11</f>
        <v>4.5</v>
      </c>
      <c r="AW11" s="50">
        <f t="shared" ca="1" si="6"/>
        <v>4.5</v>
      </c>
      <c r="AX11" s="50">
        <f t="shared" ca="1" si="6"/>
        <v>4.5</v>
      </c>
      <c r="AZ11" s="2"/>
      <c r="BA11" s="2"/>
      <c r="BB11" s="2"/>
      <c r="BC11" s="2"/>
      <c r="BD11" s="2"/>
      <c r="BE11" s="2"/>
      <c r="BF11" s="2"/>
      <c r="BG11" s="2"/>
      <c r="BH11" s="2"/>
      <c r="BI11" s="2"/>
      <c r="BJ11" s="2"/>
      <c r="BK11" s="2"/>
      <c r="BL11" s="2"/>
      <c r="BM11" s="2"/>
    </row>
    <row r="12" spans="2:65" x14ac:dyDescent="0.3">
      <c r="C12" s="438" t="s">
        <v>371</v>
      </c>
      <c r="G12" s="420">
        <f t="array" aca="1" ref="G12:L12" ca="1">TRANSPOSE(Assumptions!P63:P68)</f>
        <v>101</v>
      </c>
      <c r="H12" s="420">
        <f ca="1"/>
        <v>92</v>
      </c>
      <c r="I12" s="420">
        <f ca="1"/>
        <v>88</v>
      </c>
      <c r="J12" s="420">
        <f ca="1"/>
        <v>84</v>
      </c>
      <c r="K12" s="420">
        <f ca="1"/>
        <v>82</v>
      </c>
      <c r="L12" s="420">
        <f ca="1"/>
        <v>80</v>
      </c>
      <c r="M12" s="49">
        <f t="shared" ref="M12:AU12" ca="1" si="7">L12</f>
        <v>80</v>
      </c>
      <c r="N12" s="49">
        <f t="shared" ca="1" si="7"/>
        <v>80</v>
      </c>
      <c r="O12" s="49">
        <f t="shared" ca="1" si="7"/>
        <v>80</v>
      </c>
      <c r="P12" s="49">
        <f t="shared" ca="1" si="7"/>
        <v>80</v>
      </c>
      <c r="Q12" s="49">
        <f t="shared" ca="1" si="7"/>
        <v>80</v>
      </c>
      <c r="R12" s="49">
        <f t="shared" ca="1" si="7"/>
        <v>80</v>
      </c>
      <c r="S12" s="49">
        <f t="shared" ca="1" si="7"/>
        <v>80</v>
      </c>
      <c r="T12" s="49">
        <f t="shared" ca="1" si="7"/>
        <v>80</v>
      </c>
      <c r="U12" s="49">
        <f t="shared" ca="1" si="7"/>
        <v>80</v>
      </c>
      <c r="V12" s="49">
        <f t="shared" ca="1" si="7"/>
        <v>80</v>
      </c>
      <c r="W12" s="49">
        <f t="shared" ca="1" si="7"/>
        <v>80</v>
      </c>
      <c r="X12" s="49">
        <f t="shared" ca="1" si="7"/>
        <v>80</v>
      </c>
      <c r="Y12" s="49">
        <f t="shared" ca="1" si="7"/>
        <v>80</v>
      </c>
      <c r="Z12" s="49">
        <f t="shared" ca="1" si="7"/>
        <v>80</v>
      </c>
      <c r="AA12" s="49">
        <f t="shared" ca="1" si="7"/>
        <v>80</v>
      </c>
      <c r="AB12" s="49">
        <f t="shared" ca="1" si="7"/>
        <v>80</v>
      </c>
      <c r="AC12" s="49">
        <f t="shared" ca="1" si="7"/>
        <v>80</v>
      </c>
      <c r="AD12" s="49">
        <f t="shared" ca="1" si="7"/>
        <v>80</v>
      </c>
      <c r="AE12" s="49">
        <f t="shared" ca="1" si="7"/>
        <v>80</v>
      </c>
      <c r="AF12" s="49">
        <f t="shared" ca="1" si="7"/>
        <v>80</v>
      </c>
      <c r="AG12" s="49">
        <f t="shared" ca="1" si="7"/>
        <v>80</v>
      </c>
      <c r="AH12" s="49">
        <f t="shared" ca="1" si="7"/>
        <v>80</v>
      </c>
      <c r="AI12" s="49">
        <f t="shared" ca="1" si="7"/>
        <v>80</v>
      </c>
      <c r="AJ12" s="49">
        <f t="shared" ca="1" si="7"/>
        <v>80</v>
      </c>
      <c r="AK12" s="49">
        <f t="shared" ca="1" si="7"/>
        <v>80</v>
      </c>
      <c r="AL12" s="49">
        <f t="shared" ca="1" si="7"/>
        <v>80</v>
      </c>
      <c r="AM12" s="49">
        <f t="shared" ca="1" si="7"/>
        <v>80</v>
      </c>
      <c r="AN12" s="49">
        <f t="shared" ca="1" si="7"/>
        <v>80</v>
      </c>
      <c r="AO12" s="49">
        <f t="shared" ca="1" si="7"/>
        <v>80</v>
      </c>
      <c r="AP12" s="49">
        <f t="shared" ca="1" si="7"/>
        <v>80</v>
      </c>
      <c r="AQ12" s="49">
        <f t="shared" ca="1" si="7"/>
        <v>80</v>
      </c>
      <c r="AR12" s="49">
        <f t="shared" ca="1" si="7"/>
        <v>80</v>
      </c>
      <c r="AS12" s="49">
        <f t="shared" ca="1" si="7"/>
        <v>80</v>
      </c>
      <c r="AT12" s="49">
        <f t="shared" ca="1" si="7"/>
        <v>80</v>
      </c>
      <c r="AU12" s="49">
        <f t="shared" ca="1" si="7"/>
        <v>80</v>
      </c>
      <c r="AV12" s="49">
        <f t="shared" ref="AV12:AX12" ca="1" si="8">AU12</f>
        <v>80</v>
      </c>
      <c r="AW12" s="49">
        <f t="shared" ca="1" si="8"/>
        <v>80</v>
      </c>
      <c r="AX12" s="49">
        <f t="shared" ca="1" si="8"/>
        <v>80</v>
      </c>
      <c r="AZ12" s="2"/>
      <c r="BA12" s="2"/>
      <c r="BB12" s="2"/>
      <c r="BC12" s="2"/>
      <c r="BD12" s="2"/>
      <c r="BE12" s="2"/>
      <c r="BF12" s="2"/>
      <c r="BG12" s="2"/>
      <c r="BH12" s="2"/>
      <c r="BI12" s="2"/>
      <c r="BJ12" s="2"/>
      <c r="BK12" s="2"/>
      <c r="BL12" s="2"/>
      <c r="BM12" s="2"/>
    </row>
    <row r="13" spans="2:65" x14ac:dyDescent="0.3">
      <c r="C13" s="438" t="s">
        <v>372</v>
      </c>
      <c r="G13" s="420">
        <f t="array" aca="1" ref="G13:L13" ca="1">TRANSPOSE(Assumptions!P63:P68)*NGL_Price_Diff_vs_Oil</f>
        <v>50.5</v>
      </c>
      <c r="H13" s="420">
        <f ca="1"/>
        <v>46</v>
      </c>
      <c r="I13" s="420">
        <f ca="1"/>
        <v>44</v>
      </c>
      <c r="J13" s="420">
        <f ca="1"/>
        <v>42</v>
      </c>
      <c r="K13" s="420">
        <f ca="1"/>
        <v>41</v>
      </c>
      <c r="L13" s="420">
        <f ca="1"/>
        <v>40</v>
      </c>
      <c r="M13" s="49">
        <f t="shared" ref="M13:AU13" ca="1" si="9">L13</f>
        <v>40</v>
      </c>
      <c r="N13" s="49">
        <f t="shared" ca="1" si="9"/>
        <v>40</v>
      </c>
      <c r="O13" s="49">
        <f t="shared" ca="1" si="9"/>
        <v>40</v>
      </c>
      <c r="P13" s="49">
        <f t="shared" ca="1" si="9"/>
        <v>40</v>
      </c>
      <c r="Q13" s="49">
        <f t="shared" ca="1" si="9"/>
        <v>40</v>
      </c>
      <c r="R13" s="49">
        <f t="shared" ca="1" si="9"/>
        <v>40</v>
      </c>
      <c r="S13" s="49">
        <f t="shared" ca="1" si="9"/>
        <v>40</v>
      </c>
      <c r="T13" s="49">
        <f t="shared" ca="1" si="9"/>
        <v>40</v>
      </c>
      <c r="U13" s="49">
        <f t="shared" ca="1" si="9"/>
        <v>40</v>
      </c>
      <c r="V13" s="49">
        <f t="shared" ca="1" si="9"/>
        <v>40</v>
      </c>
      <c r="W13" s="49">
        <f t="shared" ca="1" si="9"/>
        <v>40</v>
      </c>
      <c r="X13" s="49">
        <f t="shared" ca="1" si="9"/>
        <v>40</v>
      </c>
      <c r="Y13" s="49">
        <f t="shared" ca="1" si="9"/>
        <v>40</v>
      </c>
      <c r="Z13" s="49">
        <f t="shared" ca="1" si="9"/>
        <v>40</v>
      </c>
      <c r="AA13" s="49">
        <f t="shared" ca="1" si="9"/>
        <v>40</v>
      </c>
      <c r="AB13" s="49">
        <f t="shared" ca="1" si="9"/>
        <v>40</v>
      </c>
      <c r="AC13" s="49">
        <f t="shared" ca="1" si="9"/>
        <v>40</v>
      </c>
      <c r="AD13" s="49">
        <f t="shared" ca="1" si="9"/>
        <v>40</v>
      </c>
      <c r="AE13" s="49">
        <f t="shared" ca="1" si="9"/>
        <v>40</v>
      </c>
      <c r="AF13" s="49">
        <f t="shared" ca="1" si="9"/>
        <v>40</v>
      </c>
      <c r="AG13" s="49">
        <f t="shared" ca="1" si="9"/>
        <v>40</v>
      </c>
      <c r="AH13" s="49">
        <f t="shared" ca="1" si="9"/>
        <v>40</v>
      </c>
      <c r="AI13" s="49">
        <f t="shared" ca="1" si="9"/>
        <v>40</v>
      </c>
      <c r="AJ13" s="49">
        <f t="shared" ca="1" si="9"/>
        <v>40</v>
      </c>
      <c r="AK13" s="49">
        <f t="shared" ca="1" si="9"/>
        <v>40</v>
      </c>
      <c r="AL13" s="49">
        <f t="shared" ca="1" si="9"/>
        <v>40</v>
      </c>
      <c r="AM13" s="49">
        <f t="shared" ca="1" si="9"/>
        <v>40</v>
      </c>
      <c r="AN13" s="49">
        <f t="shared" ca="1" si="9"/>
        <v>40</v>
      </c>
      <c r="AO13" s="49">
        <f t="shared" ca="1" si="9"/>
        <v>40</v>
      </c>
      <c r="AP13" s="49">
        <f t="shared" ca="1" si="9"/>
        <v>40</v>
      </c>
      <c r="AQ13" s="49">
        <f t="shared" ca="1" si="9"/>
        <v>40</v>
      </c>
      <c r="AR13" s="49">
        <f t="shared" ca="1" si="9"/>
        <v>40</v>
      </c>
      <c r="AS13" s="49">
        <f t="shared" ca="1" si="9"/>
        <v>40</v>
      </c>
      <c r="AT13" s="49">
        <f t="shared" ca="1" si="9"/>
        <v>40</v>
      </c>
      <c r="AU13" s="49">
        <f t="shared" ca="1" si="9"/>
        <v>40</v>
      </c>
      <c r="AV13" s="49">
        <f t="shared" ref="AV13:AX13" ca="1" si="10">AU13</f>
        <v>40</v>
      </c>
      <c r="AW13" s="49">
        <f t="shared" ca="1" si="10"/>
        <v>40</v>
      </c>
      <c r="AX13" s="49">
        <f t="shared" ca="1" si="10"/>
        <v>40</v>
      </c>
      <c r="AZ13" s="2"/>
      <c r="BA13" s="2"/>
      <c r="BB13" s="2"/>
      <c r="BC13" s="2"/>
      <c r="BD13" s="2"/>
      <c r="BE13" s="2"/>
      <c r="BF13" s="2"/>
      <c r="BG13" s="2"/>
      <c r="BH13" s="2"/>
      <c r="BI13" s="2"/>
      <c r="BJ13" s="2"/>
      <c r="BK13" s="2"/>
      <c r="BL13" s="2"/>
      <c r="BM13" s="2"/>
    </row>
    <row r="14" spans="2:65" x14ac:dyDescent="0.3">
      <c r="AZ14" s="2"/>
      <c r="BA14" s="2"/>
      <c r="BB14" s="2"/>
      <c r="BC14" s="2"/>
      <c r="BD14" s="2"/>
      <c r="BE14" s="2"/>
      <c r="BF14" s="2"/>
      <c r="BG14" s="2"/>
      <c r="BH14" s="2"/>
      <c r="BI14" s="2"/>
      <c r="BJ14" s="2"/>
      <c r="BK14" s="2"/>
      <c r="BL14" s="2"/>
      <c r="BM14" s="2"/>
    </row>
    <row r="15" spans="2:65" x14ac:dyDescent="0.3">
      <c r="B15" s="3" t="s">
        <v>262</v>
      </c>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Z15" s="2"/>
      <c r="BA15" s="2"/>
      <c r="BB15" s="2"/>
      <c r="BC15" s="2"/>
      <c r="BD15" s="2"/>
      <c r="BE15" s="2"/>
      <c r="BF15" s="2"/>
      <c r="BG15" s="2"/>
      <c r="BH15" s="2"/>
      <c r="BI15" s="2"/>
      <c r="BJ15" s="2"/>
      <c r="BK15" s="2"/>
      <c r="BL15" s="2"/>
      <c r="BM15" s="2"/>
    </row>
    <row r="16" spans="2:65" x14ac:dyDescent="0.3">
      <c r="C16" s="438" t="s">
        <v>397</v>
      </c>
      <c r="G16" s="238">
        <f t="array" aca="1" ref="G16:AX18" ca="1">TRANSPOSE(Rollup!D279:F322)</f>
        <v>296977.1842487203</v>
      </c>
      <c r="H16" s="238">
        <f ca="1"/>
        <v>448998.30099749472</v>
      </c>
      <c r="I16" s="238">
        <f ca="1"/>
        <v>346862.53279929567</v>
      </c>
      <c r="J16" s="238">
        <f ca="1"/>
        <v>339545.92849332868</v>
      </c>
      <c r="K16" s="238">
        <f ca="1"/>
        <v>343074.63968035509</v>
      </c>
      <c r="L16" s="238">
        <f ca="1"/>
        <v>328971.4281112398</v>
      </c>
      <c r="M16" s="238">
        <f ca="1"/>
        <v>323667.09769928188</v>
      </c>
      <c r="N16" s="238">
        <f ca="1"/>
        <v>320901.56399060157</v>
      </c>
      <c r="O16" s="238">
        <f ca="1"/>
        <v>318948.2050874728</v>
      </c>
      <c r="P16" s="238">
        <f ca="1"/>
        <v>318218.58363651042</v>
      </c>
      <c r="Q16" s="238">
        <f ca="1"/>
        <v>318257.08986446034</v>
      </c>
      <c r="R16" s="238">
        <f ca="1"/>
        <v>319091.18148585467</v>
      </c>
      <c r="S16" s="238">
        <f ca="1"/>
        <v>320148.30183057295</v>
      </c>
      <c r="T16" s="238">
        <f ca="1"/>
        <v>321823.93361339695</v>
      </c>
      <c r="U16" s="238">
        <f ca="1"/>
        <v>323893.66101884481</v>
      </c>
      <c r="V16" s="238">
        <f ca="1"/>
        <v>326397.42461565009</v>
      </c>
      <c r="W16" s="238">
        <f ca="1"/>
        <v>328994.40769625653</v>
      </c>
      <c r="X16" s="238">
        <f ca="1"/>
        <v>331920.703489515</v>
      </c>
      <c r="Y16" s="238">
        <f ca="1"/>
        <v>313953.27722876263</v>
      </c>
      <c r="Z16" s="238">
        <f ca="1"/>
        <v>296065.59534423216</v>
      </c>
      <c r="AA16" s="238">
        <f ca="1"/>
        <v>287422.0333291617</v>
      </c>
      <c r="AB16" s="238">
        <f ca="1"/>
        <v>276906.99663950532</v>
      </c>
      <c r="AC16" s="238">
        <f ca="1"/>
        <v>250347.58662038657</v>
      </c>
      <c r="AD16" s="238">
        <f ca="1"/>
        <v>228177.98761241109</v>
      </c>
      <c r="AE16" s="238">
        <f ca="1"/>
        <v>216226.18315850914</v>
      </c>
      <c r="AF16" s="238">
        <f ca="1"/>
        <v>207352.69454677723</v>
      </c>
      <c r="AG16" s="238">
        <f ca="1"/>
        <v>200192.39375374827</v>
      </c>
      <c r="AH16" s="238">
        <f ca="1"/>
        <v>179060.24344116607</v>
      </c>
      <c r="AI16" s="238">
        <f ca="1"/>
        <v>166994.85208512761</v>
      </c>
      <c r="AJ16" s="238">
        <f ca="1"/>
        <v>157438.8044583798</v>
      </c>
      <c r="AK16" s="238">
        <f ca="1"/>
        <v>149296.92906331285</v>
      </c>
      <c r="AL16" s="238">
        <f ca="1"/>
        <v>142107.6709995929</v>
      </c>
      <c r="AM16" s="238">
        <f ca="1"/>
        <v>135616.81862261862</v>
      </c>
      <c r="AN16" s="238">
        <f ca="1"/>
        <v>129663.96509707859</v>
      </c>
      <c r="AO16" s="238">
        <f ca="1"/>
        <v>124139.63290089379</v>
      </c>
      <c r="AP16" s="238">
        <f ca="1"/>
        <v>118967.63390961051</v>
      </c>
      <c r="AQ16" s="238">
        <f ca="1"/>
        <v>114093.5599386535</v>
      </c>
      <c r="AR16" s="238">
        <f ca="1"/>
        <v>109476.05935143818</v>
      </c>
      <c r="AS16" s="238">
        <f ca="1"/>
        <v>105082.61375976281</v>
      </c>
      <c r="AT16" s="238">
        <f ca="1"/>
        <v>100888.93011100226</v>
      </c>
      <c r="AU16" s="238">
        <f ca="1"/>
        <v>96877.814091697597</v>
      </c>
      <c r="AV16" s="238">
        <f ca="1"/>
        <v>10083042.444422685</v>
      </c>
      <c r="AW16" s="238">
        <f ca="1"/>
        <v>1278560.3796372144</v>
      </c>
      <c r="AX16" s="238">
        <f ca="1"/>
        <v>11361602.8240599</v>
      </c>
      <c r="AZ16" s="2"/>
      <c r="BA16" s="2"/>
      <c r="BB16" s="2"/>
      <c r="BC16" s="2"/>
      <c r="BD16" s="2"/>
      <c r="BE16" s="2"/>
      <c r="BF16" s="2"/>
      <c r="BG16" s="2"/>
      <c r="BH16" s="2"/>
      <c r="BI16" s="2"/>
      <c r="BJ16" s="2"/>
      <c r="BK16" s="2"/>
      <c r="BL16" s="2"/>
      <c r="BM16" s="2"/>
    </row>
    <row r="17" spans="2:65" x14ac:dyDescent="0.3">
      <c r="C17" s="438" t="s">
        <v>155</v>
      </c>
      <c r="G17" s="238">
        <f ca="1"/>
        <v>1740.9597202320465</v>
      </c>
      <c r="H17" s="238">
        <f ca="1"/>
        <v>5121.737163134796</v>
      </c>
      <c r="I17" s="238">
        <f ca="1"/>
        <v>5047.0489455864436</v>
      </c>
      <c r="J17" s="238">
        <f ca="1"/>
        <v>5142.058321845735</v>
      </c>
      <c r="K17" s="238">
        <f ca="1"/>
        <v>4903.8711112874116</v>
      </c>
      <c r="L17" s="238">
        <f ca="1"/>
        <v>4769.7940943808399</v>
      </c>
      <c r="M17" s="238">
        <f ca="1"/>
        <v>4753.4492499296284</v>
      </c>
      <c r="N17" s="238">
        <f ca="1"/>
        <v>4325.8096637519684</v>
      </c>
      <c r="O17" s="238">
        <f ca="1"/>
        <v>4075.4744678611382</v>
      </c>
      <c r="P17" s="238">
        <f ca="1"/>
        <v>3925.6359069084947</v>
      </c>
      <c r="Q17" s="238">
        <f ca="1"/>
        <v>3800.1834709391815</v>
      </c>
      <c r="R17" s="238">
        <f ca="1"/>
        <v>3692.2764035369596</v>
      </c>
      <c r="S17" s="238">
        <f ca="1"/>
        <v>3597.3734856415772</v>
      </c>
      <c r="T17" s="238">
        <f ca="1"/>
        <v>3400.1710110245431</v>
      </c>
      <c r="U17" s="238">
        <f ca="1"/>
        <v>3044.0081735312874</v>
      </c>
      <c r="V17" s="238">
        <f ca="1"/>
        <v>2876.6563914721755</v>
      </c>
      <c r="W17" s="238">
        <f ca="1"/>
        <v>2822.7027065764396</v>
      </c>
      <c r="X17" s="238">
        <f ca="1"/>
        <v>2777.8892151931814</v>
      </c>
      <c r="Y17" s="238">
        <f ca="1"/>
        <v>2601.2356389647298</v>
      </c>
      <c r="Z17" s="238">
        <f ca="1"/>
        <v>2430.7811425392188</v>
      </c>
      <c r="AA17" s="238">
        <f ca="1"/>
        <v>2326.753415670054</v>
      </c>
      <c r="AB17" s="238">
        <f ca="1"/>
        <v>2219.7592130021308</v>
      </c>
      <c r="AC17" s="238">
        <f ca="1"/>
        <v>2016.1471330403447</v>
      </c>
      <c r="AD17" s="238">
        <f ca="1"/>
        <v>1833.4838674046132</v>
      </c>
      <c r="AE17" s="238">
        <f ca="1"/>
        <v>1722.0080278667433</v>
      </c>
      <c r="AF17" s="238">
        <f ca="1"/>
        <v>1634.1356722091411</v>
      </c>
      <c r="AG17" s="238">
        <f ca="1"/>
        <v>1560.5130204177578</v>
      </c>
      <c r="AH17" s="238">
        <f ca="1"/>
        <v>1397.1004275815731</v>
      </c>
      <c r="AI17" s="238">
        <f ca="1"/>
        <v>1296.0229441875531</v>
      </c>
      <c r="AJ17" s="238">
        <f ca="1"/>
        <v>1213.6705415193751</v>
      </c>
      <c r="AK17" s="238">
        <f ca="1"/>
        <v>1142.5865494961233</v>
      </c>
      <c r="AL17" s="238">
        <f ca="1"/>
        <v>1079.5265932443754</v>
      </c>
      <c r="AM17" s="238">
        <f ca="1"/>
        <v>1022.6369033670103</v>
      </c>
      <c r="AN17" s="238">
        <f ca="1"/>
        <v>970.7014074246398</v>
      </c>
      <c r="AO17" s="238">
        <f ca="1"/>
        <v>922.85640922593143</v>
      </c>
      <c r="AP17" s="238">
        <f ca="1"/>
        <v>878.47235983591122</v>
      </c>
      <c r="AQ17" s="238">
        <f ca="1"/>
        <v>837.0763332448621</v>
      </c>
      <c r="AR17" s="238">
        <f ca="1"/>
        <v>798.29306988603332</v>
      </c>
      <c r="AS17" s="238">
        <f ca="1"/>
        <v>761.81591138338297</v>
      </c>
      <c r="AT17" s="238">
        <f ca="1"/>
        <v>727.40176213089308</v>
      </c>
      <c r="AU17" s="238">
        <f ca="1"/>
        <v>694.8627218078351</v>
      </c>
      <c r="AV17" s="238">
        <f ca="1"/>
        <v>101904.94056828406</v>
      </c>
      <c r="AW17" s="238">
        <f ca="1"/>
        <v>10058.495988491082</v>
      </c>
      <c r="AX17" s="238">
        <f ca="1"/>
        <v>111963.43655677514</v>
      </c>
      <c r="AZ17" s="2"/>
      <c r="BA17" s="2"/>
      <c r="BB17" s="2"/>
      <c r="BC17" s="2"/>
      <c r="BD17" s="2"/>
      <c r="BE17" s="2"/>
      <c r="BF17" s="2"/>
      <c r="BG17" s="2"/>
      <c r="BH17" s="2"/>
      <c r="BI17" s="2"/>
      <c r="BJ17" s="2"/>
      <c r="BK17" s="2"/>
      <c r="BL17" s="2"/>
      <c r="BM17" s="2"/>
    </row>
    <row r="18" spans="2:65" x14ac:dyDescent="0.3">
      <c r="C18" s="438" t="s">
        <v>476</v>
      </c>
      <c r="G18" s="238">
        <f ca="1"/>
        <v>0</v>
      </c>
      <c r="H18" s="238">
        <f ca="1"/>
        <v>0</v>
      </c>
      <c r="I18" s="238">
        <f ca="1"/>
        <v>0</v>
      </c>
      <c r="J18" s="238">
        <f ca="1"/>
        <v>0</v>
      </c>
      <c r="K18" s="238">
        <f ca="1"/>
        <v>0</v>
      </c>
      <c r="L18" s="238">
        <f ca="1"/>
        <v>0</v>
      </c>
      <c r="M18" s="238">
        <f ca="1"/>
        <v>0</v>
      </c>
      <c r="N18" s="238">
        <f ca="1"/>
        <v>0</v>
      </c>
      <c r="O18" s="238">
        <f ca="1"/>
        <v>0</v>
      </c>
      <c r="P18" s="238">
        <f ca="1"/>
        <v>0</v>
      </c>
      <c r="Q18" s="238">
        <f ca="1"/>
        <v>0</v>
      </c>
      <c r="R18" s="238">
        <f ca="1"/>
        <v>0</v>
      </c>
      <c r="S18" s="238">
        <f ca="1"/>
        <v>0</v>
      </c>
      <c r="T18" s="238">
        <f ca="1"/>
        <v>0</v>
      </c>
      <c r="U18" s="238">
        <f ca="1"/>
        <v>0</v>
      </c>
      <c r="V18" s="238">
        <f ca="1"/>
        <v>0</v>
      </c>
      <c r="W18" s="238">
        <f ca="1"/>
        <v>0</v>
      </c>
      <c r="X18" s="238">
        <f ca="1"/>
        <v>0</v>
      </c>
      <c r="Y18" s="238">
        <f ca="1"/>
        <v>0</v>
      </c>
      <c r="Z18" s="238">
        <f ca="1"/>
        <v>0</v>
      </c>
      <c r="AA18" s="238">
        <f ca="1"/>
        <v>0</v>
      </c>
      <c r="AB18" s="238">
        <f ca="1"/>
        <v>0</v>
      </c>
      <c r="AC18" s="238">
        <f ca="1"/>
        <v>0</v>
      </c>
      <c r="AD18" s="238">
        <f ca="1"/>
        <v>0</v>
      </c>
      <c r="AE18" s="238">
        <f ca="1"/>
        <v>0</v>
      </c>
      <c r="AF18" s="238">
        <f ca="1"/>
        <v>0</v>
      </c>
      <c r="AG18" s="238">
        <f ca="1"/>
        <v>0</v>
      </c>
      <c r="AH18" s="238">
        <f ca="1"/>
        <v>0</v>
      </c>
      <c r="AI18" s="238">
        <f ca="1"/>
        <v>0</v>
      </c>
      <c r="AJ18" s="238">
        <f ca="1"/>
        <v>0</v>
      </c>
      <c r="AK18" s="238">
        <f ca="1"/>
        <v>0</v>
      </c>
      <c r="AL18" s="238">
        <f ca="1"/>
        <v>0</v>
      </c>
      <c r="AM18" s="238">
        <f ca="1"/>
        <v>0</v>
      </c>
      <c r="AN18" s="238">
        <f ca="1"/>
        <v>0</v>
      </c>
      <c r="AO18" s="238">
        <f ca="1"/>
        <v>0</v>
      </c>
      <c r="AP18" s="238">
        <f ca="1"/>
        <v>0</v>
      </c>
      <c r="AQ18" s="238">
        <f ca="1"/>
        <v>0</v>
      </c>
      <c r="AR18" s="238">
        <f ca="1"/>
        <v>0</v>
      </c>
      <c r="AS18" s="238">
        <f ca="1"/>
        <v>0</v>
      </c>
      <c r="AT18" s="238">
        <f ca="1"/>
        <v>0</v>
      </c>
      <c r="AU18" s="238">
        <f ca="1"/>
        <v>0</v>
      </c>
      <c r="AV18" s="439">
        <f ca="1"/>
        <v>0</v>
      </c>
      <c r="AW18" s="439">
        <f ca="1"/>
        <v>0</v>
      </c>
      <c r="AX18" s="439">
        <f ca="1"/>
        <v>0</v>
      </c>
      <c r="AZ18" s="2"/>
      <c r="BA18" s="2"/>
      <c r="BB18" s="2"/>
      <c r="BC18" s="2"/>
      <c r="BD18" s="2"/>
      <c r="BE18" s="2"/>
      <c r="BF18" s="2"/>
      <c r="BG18" s="2"/>
      <c r="BH18" s="2"/>
      <c r="BI18" s="2"/>
      <c r="BJ18" s="2"/>
      <c r="BK18" s="2"/>
      <c r="BL18" s="2"/>
      <c r="BM18" s="2"/>
    </row>
    <row r="19" spans="2:65" x14ac:dyDescent="0.3">
      <c r="C19" s="440" t="s">
        <v>398</v>
      </c>
      <c r="D19" s="9"/>
      <c r="E19" s="9"/>
      <c r="F19" s="9"/>
      <c r="G19" s="281">
        <f t="shared" ref="G19:AX19" ca="1" si="11">G16+(G17+G18)*Bbl_to_Mcfe</f>
        <v>307422.94257011259</v>
      </c>
      <c r="H19" s="281">
        <f t="shared" ca="1" si="11"/>
        <v>479728.72397630347</v>
      </c>
      <c r="I19" s="281">
        <f t="shared" ca="1" si="11"/>
        <v>377144.82647281431</v>
      </c>
      <c r="J19" s="281">
        <f t="shared" ca="1" si="11"/>
        <v>370398.27842440311</v>
      </c>
      <c r="K19" s="281">
        <f t="shared" ca="1" si="11"/>
        <v>372497.86634807958</v>
      </c>
      <c r="L19" s="281">
        <f t="shared" ca="1" si="11"/>
        <v>357590.19267752487</v>
      </c>
      <c r="M19" s="281">
        <f t="shared" ca="1" si="11"/>
        <v>352187.79319885967</v>
      </c>
      <c r="N19" s="281">
        <f t="shared" ca="1" si="11"/>
        <v>346856.42197311338</v>
      </c>
      <c r="O19" s="281">
        <f t="shared" ca="1" si="11"/>
        <v>343401.05189463962</v>
      </c>
      <c r="P19" s="281">
        <f t="shared" ca="1" si="11"/>
        <v>341772.3990779614</v>
      </c>
      <c r="Q19" s="281">
        <f t="shared" ca="1" si="11"/>
        <v>341058.19069009542</v>
      </c>
      <c r="R19" s="281">
        <f t="shared" ca="1" si="11"/>
        <v>341244.83990707644</v>
      </c>
      <c r="S19" s="281">
        <f t="shared" ca="1" si="11"/>
        <v>341732.54274442239</v>
      </c>
      <c r="T19" s="281">
        <f t="shared" ca="1" si="11"/>
        <v>342224.9596795442</v>
      </c>
      <c r="U19" s="281">
        <f t="shared" ca="1" si="11"/>
        <v>342157.71006003255</v>
      </c>
      <c r="V19" s="281">
        <f t="shared" ca="1" si="11"/>
        <v>343657.36296448315</v>
      </c>
      <c r="W19" s="281">
        <f t="shared" ca="1" si="11"/>
        <v>345930.62393571518</v>
      </c>
      <c r="X19" s="281">
        <f t="shared" ca="1" si="11"/>
        <v>348588.03878067411</v>
      </c>
      <c r="Y19" s="281">
        <f t="shared" ca="1" si="11"/>
        <v>329560.69106255099</v>
      </c>
      <c r="Z19" s="281">
        <f t="shared" ca="1" si="11"/>
        <v>310650.28219946747</v>
      </c>
      <c r="AA19" s="281">
        <f t="shared" ca="1" si="11"/>
        <v>301382.55382318201</v>
      </c>
      <c r="AB19" s="281">
        <f t="shared" ca="1" si="11"/>
        <v>290225.55191751808</v>
      </c>
      <c r="AC19" s="281">
        <f t="shared" ca="1" si="11"/>
        <v>262444.46941862867</v>
      </c>
      <c r="AD19" s="281">
        <f t="shared" ca="1" si="11"/>
        <v>239178.89081683877</v>
      </c>
      <c r="AE19" s="281">
        <f t="shared" ca="1" si="11"/>
        <v>226558.23132570961</v>
      </c>
      <c r="AF19" s="281">
        <f t="shared" ca="1" si="11"/>
        <v>217157.50858003207</v>
      </c>
      <c r="AG19" s="281">
        <f t="shared" ca="1" si="11"/>
        <v>209555.47187625483</v>
      </c>
      <c r="AH19" s="281">
        <f t="shared" ca="1" si="11"/>
        <v>187442.84600665551</v>
      </c>
      <c r="AI19" s="281">
        <f t="shared" ca="1" si="11"/>
        <v>174770.98975025292</v>
      </c>
      <c r="AJ19" s="281">
        <f t="shared" ca="1" si="11"/>
        <v>164720.82770749606</v>
      </c>
      <c r="AK19" s="281">
        <f t="shared" ca="1" si="11"/>
        <v>156152.44836028959</v>
      </c>
      <c r="AL19" s="281">
        <f t="shared" ca="1" si="11"/>
        <v>148584.83055905916</v>
      </c>
      <c r="AM19" s="281">
        <f t="shared" ca="1" si="11"/>
        <v>141752.64004282068</v>
      </c>
      <c r="AN19" s="281">
        <f t="shared" ca="1" si="11"/>
        <v>135488.17354162643</v>
      </c>
      <c r="AO19" s="281">
        <f t="shared" ca="1" si="11"/>
        <v>129676.77135624937</v>
      </c>
      <c r="AP19" s="281">
        <f t="shared" ca="1" si="11"/>
        <v>124238.46806862598</v>
      </c>
      <c r="AQ19" s="281">
        <f t="shared" ca="1" si="11"/>
        <v>119116.01793812268</v>
      </c>
      <c r="AR19" s="281">
        <f t="shared" ca="1" si="11"/>
        <v>114265.81777075438</v>
      </c>
      <c r="AS19" s="281">
        <f t="shared" ca="1" si="11"/>
        <v>109653.50922806311</v>
      </c>
      <c r="AT19" s="281">
        <f t="shared" ca="1" si="11"/>
        <v>105253.34068378762</v>
      </c>
      <c r="AU19" s="281">
        <f t="shared" ca="1" si="11"/>
        <v>101046.99042254461</v>
      </c>
      <c r="AV19" s="281">
        <f t="shared" ca="1" si="11"/>
        <v>10694472.087832389</v>
      </c>
      <c r="AW19" s="281">
        <f t="shared" ca="1" si="11"/>
        <v>1338911.3555681608</v>
      </c>
      <c r="AX19" s="281">
        <f t="shared" ca="1" si="11"/>
        <v>12033383.443400551</v>
      </c>
      <c r="AZ19" s="2"/>
      <c r="BA19" s="2"/>
      <c r="BB19" s="2"/>
      <c r="BC19" s="2"/>
      <c r="BD19" s="2"/>
      <c r="BE19" s="2"/>
      <c r="BF19" s="2"/>
      <c r="BG19" s="2"/>
      <c r="BH19" s="2"/>
      <c r="BI19" s="2"/>
      <c r="BJ19" s="2"/>
      <c r="BK19" s="2"/>
      <c r="BL19" s="2"/>
      <c r="BM19" s="2"/>
    </row>
    <row r="20" spans="2:65" x14ac:dyDescent="0.3">
      <c r="C20" s="74" t="s">
        <v>399</v>
      </c>
      <c r="G20" s="34">
        <f ca="1">IFERROR(G19/G8,"N/A")</f>
        <v>842.25463717839068</v>
      </c>
      <c r="H20" s="34">
        <f t="shared" ref="H20:AX20" ca="1" si="12">IFERROR(H19/H8,"N/A")</f>
        <v>1314.3252711679547</v>
      </c>
      <c r="I20" s="34">
        <f t="shared" ca="1" si="12"/>
        <v>1033.2734971857926</v>
      </c>
      <c r="J20" s="34">
        <f t="shared" ca="1" si="12"/>
        <v>1012.0171541650358</v>
      </c>
      <c r="K20" s="34">
        <f t="shared" ca="1" si="12"/>
        <v>1020.5420995837796</v>
      </c>
      <c r="L20" s="34">
        <f t="shared" ca="1" si="12"/>
        <v>979.6991580206161</v>
      </c>
      <c r="M20" s="34">
        <f t="shared" ca="1" si="12"/>
        <v>964.89806355851965</v>
      </c>
      <c r="N20" s="34">
        <f t="shared" ca="1" si="12"/>
        <v>947.69514200304206</v>
      </c>
      <c r="O20" s="34">
        <f t="shared" ca="1" si="12"/>
        <v>940.82479971134137</v>
      </c>
      <c r="P20" s="34">
        <f t="shared" ca="1" si="12"/>
        <v>936.36273719989424</v>
      </c>
      <c r="Q20" s="34">
        <f t="shared" ca="1" si="12"/>
        <v>934.40600189067243</v>
      </c>
      <c r="R20" s="34">
        <f t="shared" ca="1" si="12"/>
        <v>932.36295056578263</v>
      </c>
      <c r="S20" s="34">
        <f t="shared" ca="1" si="12"/>
        <v>936.25354176554083</v>
      </c>
      <c r="T20" s="34">
        <f t="shared" ca="1" si="12"/>
        <v>937.60262925902521</v>
      </c>
      <c r="U20" s="34">
        <f t="shared" ca="1" si="12"/>
        <v>937.41838372611653</v>
      </c>
      <c r="V20" s="34">
        <f t="shared" ca="1" si="12"/>
        <v>938.95454361880638</v>
      </c>
      <c r="W20" s="34">
        <f t="shared" ca="1" si="12"/>
        <v>947.75513407045253</v>
      </c>
      <c r="X20" s="34">
        <f t="shared" ca="1" si="12"/>
        <v>955.0357226867784</v>
      </c>
      <c r="Y20" s="34">
        <f t="shared" ca="1" si="12"/>
        <v>902.90600291109865</v>
      </c>
      <c r="Z20" s="34">
        <f t="shared" ca="1" si="12"/>
        <v>848.77126284007511</v>
      </c>
      <c r="AA20" s="34">
        <f t="shared" ca="1" si="12"/>
        <v>825.70562691282737</v>
      </c>
      <c r="AB20" s="34">
        <f t="shared" ca="1" si="12"/>
        <v>795.13849840415912</v>
      </c>
      <c r="AC20" s="34">
        <f t="shared" ca="1" si="12"/>
        <v>719.02594361268132</v>
      </c>
      <c r="AD20" s="34">
        <f t="shared" ca="1" si="12"/>
        <v>653.49423720447749</v>
      </c>
      <c r="AE20" s="34">
        <f t="shared" ca="1" si="12"/>
        <v>620.7074830841359</v>
      </c>
      <c r="AF20" s="34">
        <f t="shared" ca="1" si="12"/>
        <v>594.95207830145773</v>
      </c>
      <c r="AG20" s="34">
        <f t="shared" ca="1" si="12"/>
        <v>574.12458048289</v>
      </c>
      <c r="AH20" s="34">
        <f t="shared" ca="1" si="12"/>
        <v>512.13892351545223</v>
      </c>
      <c r="AI20" s="34">
        <f t="shared" ca="1" si="12"/>
        <v>478.82462945274773</v>
      </c>
      <c r="AJ20" s="34">
        <f t="shared" ca="1" si="12"/>
        <v>451.28993892464678</v>
      </c>
      <c r="AK20" s="34">
        <f t="shared" ca="1" si="12"/>
        <v>427.81492701449201</v>
      </c>
      <c r="AL20" s="34">
        <f t="shared" ca="1" si="12"/>
        <v>405.96948240180097</v>
      </c>
      <c r="AM20" s="34">
        <f t="shared" ca="1" si="12"/>
        <v>388.3633973775909</v>
      </c>
      <c r="AN20" s="34">
        <f t="shared" ca="1" si="12"/>
        <v>371.20047545651079</v>
      </c>
      <c r="AO20" s="34">
        <f t="shared" ca="1" si="12"/>
        <v>355.2788256335599</v>
      </c>
      <c r="AP20" s="34">
        <f t="shared" ca="1" si="12"/>
        <v>339.44936630772128</v>
      </c>
      <c r="AQ20" s="34">
        <f t="shared" ca="1" si="12"/>
        <v>326.34525462499363</v>
      </c>
      <c r="AR20" s="34">
        <f t="shared" ca="1" si="12"/>
        <v>313.05703498836817</v>
      </c>
      <c r="AS20" s="34">
        <f t="shared" ca="1" si="12"/>
        <v>300.42057322757017</v>
      </c>
      <c r="AT20" s="34">
        <f t="shared" ca="1" si="12"/>
        <v>287.57743356226126</v>
      </c>
      <c r="AU20" s="34">
        <f t="shared" ca="1" si="12"/>
        <v>276.84106965080713</v>
      </c>
      <c r="AV20" s="34">
        <f t="shared" ca="1" si="12"/>
        <v>29299.923528307918</v>
      </c>
      <c r="AW20" s="34">
        <f t="shared" ca="1" si="12"/>
        <v>3668.2502892278376</v>
      </c>
      <c r="AX20" s="34">
        <f t="shared" ca="1" si="12"/>
        <v>32968.173817535753</v>
      </c>
      <c r="AZ20" s="2"/>
      <c r="BA20" s="2"/>
      <c r="BB20" s="2"/>
      <c r="BC20" s="2"/>
      <c r="BD20" s="2"/>
      <c r="BE20" s="2"/>
      <c r="BF20" s="2"/>
      <c r="BG20" s="2"/>
      <c r="BH20" s="2"/>
      <c r="BI20" s="2"/>
      <c r="BJ20" s="2"/>
      <c r="BK20" s="2"/>
      <c r="BL20" s="2"/>
      <c r="BM20" s="2"/>
    </row>
    <row r="21" spans="2:65" x14ac:dyDescent="0.3">
      <c r="AZ21" s="2"/>
      <c r="BA21" s="2"/>
      <c r="BB21" s="2"/>
      <c r="BC21" s="2"/>
      <c r="BD21" s="2"/>
      <c r="BE21" s="2"/>
      <c r="BF21" s="2"/>
      <c r="BG21" s="2"/>
      <c r="BH21" s="2"/>
      <c r="BI21" s="2"/>
      <c r="BJ21" s="2"/>
      <c r="BK21" s="2"/>
      <c r="BL21" s="2"/>
      <c r="BM21" s="2"/>
    </row>
    <row r="22" spans="2:65" x14ac:dyDescent="0.3">
      <c r="B22" s="3" t="s">
        <v>400</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Z22" s="2"/>
      <c r="BA22" s="2"/>
      <c r="BB22" s="2"/>
      <c r="BC22" s="2"/>
      <c r="BD22" s="2"/>
      <c r="BE22" s="2"/>
      <c r="BF22" s="2"/>
      <c r="BG22" s="2"/>
      <c r="BH22" s="2"/>
      <c r="BI22" s="2"/>
      <c r="BJ22" s="2"/>
      <c r="BK22" s="2"/>
      <c r="BL22" s="2"/>
      <c r="BM22" s="2"/>
    </row>
    <row r="23" spans="2:65" x14ac:dyDescent="0.3">
      <c r="C23" t="s">
        <v>401</v>
      </c>
      <c r="G23" s="441">
        <f t="array" aca="1" ref="G23:AX25" ca="1">TRANSPOSE(Rollup!Q279:S322)</f>
        <v>1032886.646817049</v>
      </c>
      <c r="H23" s="441">
        <f ca="1"/>
        <v>1603821.9311630512</v>
      </c>
      <c r="I23" s="441">
        <f ca="1"/>
        <v>1304203.1233253514</v>
      </c>
      <c r="J23" s="441">
        <f ca="1"/>
        <v>1308610.0084132887</v>
      </c>
      <c r="K23" s="441">
        <f ca="1"/>
        <v>1354458.6774580418</v>
      </c>
      <c r="L23" s="441">
        <f ca="1"/>
        <v>1391549.140910544</v>
      </c>
      <c r="M23" s="441">
        <f ca="1"/>
        <v>1369111.8232679623</v>
      </c>
      <c r="N23" s="441">
        <f ca="1"/>
        <v>1357413.6156802443</v>
      </c>
      <c r="O23" s="441">
        <f ca="1"/>
        <v>1349150.9075200097</v>
      </c>
      <c r="P23" s="441">
        <f ca="1"/>
        <v>1346064.608782439</v>
      </c>
      <c r="Q23" s="441">
        <f ca="1"/>
        <v>1346227.4901266671</v>
      </c>
      <c r="R23" s="441">
        <f ca="1"/>
        <v>1349755.6976851653</v>
      </c>
      <c r="S23" s="441">
        <f ca="1"/>
        <v>1354227.3167433236</v>
      </c>
      <c r="T23" s="441">
        <f ca="1"/>
        <v>1361315.239184669</v>
      </c>
      <c r="U23" s="441">
        <f ca="1"/>
        <v>1370070.1861097133</v>
      </c>
      <c r="V23" s="441">
        <f ca="1"/>
        <v>1380661.1061241999</v>
      </c>
      <c r="W23" s="441">
        <f ca="1"/>
        <v>1391646.3445551647</v>
      </c>
      <c r="X23" s="441">
        <f ca="1"/>
        <v>1404024.5757606484</v>
      </c>
      <c r="Y23" s="441">
        <f ca="1"/>
        <v>1328022.3626776659</v>
      </c>
      <c r="Z23" s="441">
        <f ca="1"/>
        <v>1252357.4683061019</v>
      </c>
      <c r="AA23" s="441">
        <f ca="1"/>
        <v>1215795.2009823539</v>
      </c>
      <c r="AB23" s="441">
        <f ca="1"/>
        <v>1171316.5957851075</v>
      </c>
      <c r="AC23" s="441">
        <f ca="1"/>
        <v>1058970.2914042349</v>
      </c>
      <c r="AD23" s="441">
        <f ca="1"/>
        <v>965192.88760049886</v>
      </c>
      <c r="AE23" s="441">
        <f ca="1"/>
        <v>914636.75476049352</v>
      </c>
      <c r="AF23" s="441">
        <f ca="1"/>
        <v>877101.89793286752</v>
      </c>
      <c r="AG23" s="441">
        <f ca="1"/>
        <v>846813.825578355</v>
      </c>
      <c r="AH23" s="441">
        <f ca="1"/>
        <v>757424.82975613233</v>
      </c>
      <c r="AI23" s="441">
        <f ca="1"/>
        <v>706388.22432008968</v>
      </c>
      <c r="AJ23" s="441">
        <f ca="1"/>
        <v>665966.14285894646</v>
      </c>
      <c r="AK23" s="441">
        <f ca="1"/>
        <v>631526.00993781339</v>
      </c>
      <c r="AL23" s="441">
        <f ca="1"/>
        <v>601115.44832827779</v>
      </c>
      <c r="AM23" s="441">
        <f ca="1"/>
        <v>573659.14277367678</v>
      </c>
      <c r="AN23" s="441">
        <f ca="1"/>
        <v>548478.57236064237</v>
      </c>
      <c r="AO23" s="441">
        <f ca="1"/>
        <v>525110.64717078069</v>
      </c>
      <c r="AP23" s="441">
        <f ca="1"/>
        <v>503233.09143765236</v>
      </c>
      <c r="AQ23" s="441">
        <f ca="1"/>
        <v>482615.75854050426</v>
      </c>
      <c r="AR23" s="441">
        <f ca="1"/>
        <v>463083.73105658346</v>
      </c>
      <c r="AS23" s="441">
        <f ca="1"/>
        <v>444499.45620379667</v>
      </c>
      <c r="AT23" s="441">
        <f ca="1"/>
        <v>426760.17436953954</v>
      </c>
      <c r="AU23" s="441">
        <f ca="1"/>
        <v>409793.15360788075</v>
      </c>
      <c r="AV23" s="441">
        <f ca="1"/>
        <v>41745060.107377544</v>
      </c>
      <c r="AW23" s="441">
        <f ca="1"/>
        <v>5408310.4058654159</v>
      </c>
      <c r="AX23" s="441">
        <f ca="1"/>
        <v>47153370.51324296</v>
      </c>
      <c r="AZ23" s="2"/>
      <c r="BA23" s="2"/>
      <c r="BB23" s="2"/>
      <c r="BC23" s="2"/>
      <c r="BD23" s="2"/>
      <c r="BE23" s="2"/>
      <c r="BF23" s="2"/>
      <c r="BG23" s="2"/>
      <c r="BH23" s="2"/>
      <c r="BI23" s="2"/>
      <c r="BJ23" s="2"/>
      <c r="BK23" s="2"/>
      <c r="BL23" s="2"/>
      <c r="BM23" s="2"/>
    </row>
    <row r="24" spans="2:65" x14ac:dyDescent="0.3">
      <c r="C24" t="s">
        <v>402</v>
      </c>
      <c r="G24" s="76">
        <f ca="1"/>
        <v>163528.34652139613</v>
      </c>
      <c r="H24" s="76">
        <f ca="1"/>
        <v>408587.8963060386</v>
      </c>
      <c r="I24" s="76">
        <f ca="1"/>
        <v>379560.52714842174</v>
      </c>
      <c r="J24" s="76">
        <f ca="1"/>
        <v>368379.93965820916</v>
      </c>
      <c r="K24" s="76">
        <f ca="1"/>
        <v>344427.69927059044</v>
      </c>
      <c r="L24" s="76">
        <f ca="1"/>
        <v>326640.2644037744</v>
      </c>
      <c r="M24" s="76">
        <f ca="1"/>
        <v>325374.6358063058</v>
      </c>
      <c r="N24" s="76">
        <f ca="1"/>
        <v>297941.28821151989</v>
      </c>
      <c r="O24" s="76">
        <f ca="1"/>
        <v>281901.8124485694</v>
      </c>
      <c r="P24" s="76">
        <f ca="1"/>
        <v>272362.46541126654</v>
      </c>
      <c r="Q24" s="76">
        <f ca="1"/>
        <v>264425.04560319183</v>
      </c>
      <c r="R24" s="76">
        <f ca="1"/>
        <v>257653.33105910735</v>
      </c>
      <c r="S24" s="76">
        <f ca="1"/>
        <v>251723.42670172948</v>
      </c>
      <c r="T24" s="76">
        <f ca="1"/>
        <v>239279.21176351159</v>
      </c>
      <c r="U24" s="76">
        <f ca="1"/>
        <v>216681.53362807148</v>
      </c>
      <c r="V24" s="76">
        <f ca="1"/>
        <v>206190.32564480882</v>
      </c>
      <c r="W24" s="76">
        <f ca="1"/>
        <v>202959.46247663817</v>
      </c>
      <c r="X24" s="76">
        <f ca="1"/>
        <v>200330.30060698866</v>
      </c>
      <c r="Y24" s="76">
        <f ca="1"/>
        <v>187821.74023593028</v>
      </c>
      <c r="Z24" s="76">
        <f ca="1"/>
        <v>175710.94483217676</v>
      </c>
      <c r="AA24" s="76">
        <f ca="1"/>
        <v>168485.19917038505</v>
      </c>
      <c r="AB24" s="76">
        <f ca="1"/>
        <v>160987.35598743826</v>
      </c>
      <c r="AC24" s="76">
        <f ca="1"/>
        <v>146254.89018427339</v>
      </c>
      <c r="AD24" s="76">
        <f ca="1"/>
        <v>133039.3888723678</v>
      </c>
      <c r="AE24" s="76">
        <f ca="1"/>
        <v>125082.76749700382</v>
      </c>
      <c r="AF24" s="76">
        <f ca="1"/>
        <v>118848.52721370643</v>
      </c>
      <c r="AG24" s="76">
        <f ca="1"/>
        <v>113644.11860029287</v>
      </c>
      <c r="AH24" s="76">
        <f ca="1"/>
        <v>101732.02670515956</v>
      </c>
      <c r="AI24" s="76">
        <f ca="1"/>
        <v>94433.086451335403</v>
      </c>
      <c r="AJ24" s="76">
        <f ca="1"/>
        <v>88505.169752444839</v>
      </c>
      <c r="AK24" s="76">
        <f ca="1"/>
        <v>83395.712599574574</v>
      </c>
      <c r="AL24" s="76">
        <f ca="1"/>
        <v>78865.324522738214</v>
      </c>
      <c r="AM24" s="76">
        <f ca="1"/>
        <v>74777.876997326588</v>
      </c>
      <c r="AN24" s="76">
        <f ca="1"/>
        <v>71044.506960532119</v>
      </c>
      <c r="AO24" s="76">
        <f ca="1"/>
        <v>67602.406869734332</v>
      </c>
      <c r="AP24" s="76">
        <f ca="1"/>
        <v>64406.044592784318</v>
      </c>
      <c r="AQ24" s="76">
        <f ca="1"/>
        <v>61421.410112311016</v>
      </c>
      <c r="AR24" s="76">
        <f ca="1"/>
        <v>58621.642226524811</v>
      </c>
      <c r="AS24" s="76">
        <f ca="1"/>
        <v>55984.877851227247</v>
      </c>
      <c r="AT24" s="76">
        <f ca="1"/>
        <v>53493.887742411636</v>
      </c>
      <c r="AU24" s="76">
        <f ca="1"/>
        <v>51135.463478388803</v>
      </c>
      <c r="AV24" s="76">
        <f ca="1"/>
        <v>7343241.8821262093</v>
      </c>
      <c r="AW24" s="76">
        <f ca="1"/>
        <v>731696.23447885597</v>
      </c>
      <c r="AX24" s="76">
        <f ca="1"/>
        <v>8074938.1166050658</v>
      </c>
      <c r="AZ24" s="2"/>
      <c r="BA24" s="2"/>
      <c r="BB24" s="2"/>
      <c r="BC24" s="2"/>
      <c r="BD24" s="2"/>
      <c r="BE24" s="2"/>
      <c r="BF24" s="2"/>
      <c r="BG24" s="2"/>
      <c r="BH24" s="2"/>
      <c r="BI24" s="2"/>
      <c r="BJ24" s="2"/>
      <c r="BK24" s="2"/>
      <c r="BL24" s="2"/>
      <c r="BM24" s="2"/>
    </row>
    <row r="25" spans="2:65" x14ac:dyDescent="0.3">
      <c r="C25" t="s">
        <v>403</v>
      </c>
      <c r="G25" s="76">
        <f ca="1"/>
        <v>0</v>
      </c>
      <c r="H25" s="76">
        <f ca="1"/>
        <v>0</v>
      </c>
      <c r="I25" s="76">
        <f ca="1"/>
        <v>0</v>
      </c>
      <c r="J25" s="76">
        <f ca="1"/>
        <v>0</v>
      </c>
      <c r="K25" s="76">
        <f ca="1"/>
        <v>0</v>
      </c>
      <c r="L25" s="76">
        <f ca="1"/>
        <v>0</v>
      </c>
      <c r="M25" s="76">
        <f ca="1"/>
        <v>0</v>
      </c>
      <c r="N25" s="76">
        <f ca="1"/>
        <v>0</v>
      </c>
      <c r="O25" s="76">
        <f ca="1"/>
        <v>0</v>
      </c>
      <c r="P25" s="76">
        <f ca="1"/>
        <v>0</v>
      </c>
      <c r="Q25" s="76">
        <f ca="1"/>
        <v>0</v>
      </c>
      <c r="R25" s="76">
        <f ca="1"/>
        <v>0</v>
      </c>
      <c r="S25" s="76">
        <f ca="1"/>
        <v>0</v>
      </c>
      <c r="T25" s="76">
        <f ca="1"/>
        <v>0</v>
      </c>
      <c r="U25" s="76">
        <f ca="1"/>
        <v>0</v>
      </c>
      <c r="V25" s="76">
        <f ca="1"/>
        <v>0</v>
      </c>
      <c r="W25" s="76">
        <f ca="1"/>
        <v>0</v>
      </c>
      <c r="X25" s="76">
        <f ca="1"/>
        <v>0</v>
      </c>
      <c r="Y25" s="76">
        <f ca="1"/>
        <v>0</v>
      </c>
      <c r="Z25" s="76">
        <f ca="1"/>
        <v>0</v>
      </c>
      <c r="AA25" s="76">
        <f ca="1"/>
        <v>0</v>
      </c>
      <c r="AB25" s="76">
        <f ca="1"/>
        <v>0</v>
      </c>
      <c r="AC25" s="76">
        <f ca="1"/>
        <v>0</v>
      </c>
      <c r="AD25" s="76">
        <f ca="1"/>
        <v>0</v>
      </c>
      <c r="AE25" s="76">
        <f ca="1"/>
        <v>0</v>
      </c>
      <c r="AF25" s="76">
        <f ca="1"/>
        <v>0</v>
      </c>
      <c r="AG25" s="76">
        <f ca="1"/>
        <v>0</v>
      </c>
      <c r="AH25" s="76">
        <f ca="1"/>
        <v>0</v>
      </c>
      <c r="AI25" s="76">
        <f ca="1"/>
        <v>0</v>
      </c>
      <c r="AJ25" s="76">
        <f ca="1"/>
        <v>0</v>
      </c>
      <c r="AK25" s="76">
        <f ca="1"/>
        <v>0</v>
      </c>
      <c r="AL25" s="76">
        <f ca="1"/>
        <v>0</v>
      </c>
      <c r="AM25" s="76">
        <f ca="1"/>
        <v>0</v>
      </c>
      <c r="AN25" s="76">
        <f ca="1"/>
        <v>0</v>
      </c>
      <c r="AO25" s="76">
        <f ca="1"/>
        <v>0</v>
      </c>
      <c r="AP25" s="76">
        <f ca="1"/>
        <v>0</v>
      </c>
      <c r="AQ25" s="76">
        <f ca="1"/>
        <v>0</v>
      </c>
      <c r="AR25" s="76">
        <f ca="1"/>
        <v>0</v>
      </c>
      <c r="AS25" s="76">
        <f ca="1"/>
        <v>0</v>
      </c>
      <c r="AT25" s="76">
        <f ca="1"/>
        <v>0</v>
      </c>
      <c r="AU25" s="76">
        <f ca="1"/>
        <v>0</v>
      </c>
      <c r="AV25" s="76">
        <f ca="1"/>
        <v>0</v>
      </c>
      <c r="AW25" s="76">
        <f ca="1"/>
        <v>0</v>
      </c>
      <c r="AX25" s="76">
        <f ca="1"/>
        <v>0</v>
      </c>
      <c r="AZ25" s="2"/>
      <c r="BA25" s="2"/>
      <c r="BB25" s="2"/>
      <c r="BC25" s="2"/>
      <c r="BD25" s="2"/>
      <c r="BE25" s="2"/>
      <c r="BF25" s="2"/>
      <c r="BG25" s="2"/>
      <c r="BH25" s="2"/>
      <c r="BI25" s="2"/>
      <c r="BJ25" s="2"/>
      <c r="BK25" s="2"/>
      <c r="BL25" s="2"/>
      <c r="BM25" s="2"/>
    </row>
    <row r="26" spans="2:65" x14ac:dyDescent="0.3">
      <c r="C26" s="442" t="s">
        <v>404</v>
      </c>
      <c r="D26" s="9"/>
      <c r="E26" s="9"/>
      <c r="F26" s="9"/>
      <c r="G26" s="443">
        <f ca="1">SUM(G23:G25)</f>
        <v>1196414.9933384452</v>
      </c>
      <c r="H26" s="443">
        <f t="shared" ref="H26:I26" ca="1" si="13">SUM(H23:H25)</f>
        <v>2012409.8274690898</v>
      </c>
      <c r="I26" s="443">
        <f t="shared" ca="1" si="13"/>
        <v>1683763.650473773</v>
      </c>
      <c r="J26" s="443">
        <f t="shared" ref="J26" ca="1" si="14">SUM(J23:J25)</f>
        <v>1676989.948071498</v>
      </c>
      <c r="K26" s="443">
        <f t="shared" ref="K26" ca="1" si="15">SUM(K23:K25)</f>
        <v>1698886.3767286323</v>
      </c>
      <c r="L26" s="443">
        <f t="shared" ref="L26" ca="1" si="16">SUM(L23:L25)</f>
        <v>1718189.4053143184</v>
      </c>
      <c r="M26" s="443">
        <f t="shared" ref="M26" ca="1" si="17">SUM(M23:M25)</f>
        <v>1694486.4590742681</v>
      </c>
      <c r="N26" s="443">
        <f t="shared" ref="N26" ca="1" si="18">SUM(N23:N25)</f>
        <v>1655354.9038917641</v>
      </c>
      <c r="O26" s="443">
        <f t="shared" ref="O26" ca="1" si="19">SUM(O23:O25)</f>
        <v>1631052.719968579</v>
      </c>
      <c r="P26" s="443">
        <f t="shared" ref="P26" ca="1" si="20">SUM(P23:P25)</f>
        <v>1618427.0741937056</v>
      </c>
      <c r="Q26" s="443">
        <f t="shared" ref="Q26" ca="1" si="21">SUM(Q23:Q25)</f>
        <v>1610652.535729859</v>
      </c>
      <c r="R26" s="443">
        <f t="shared" ref="R26" ca="1" si="22">SUM(R23:R25)</f>
        <v>1607409.0287442727</v>
      </c>
      <c r="S26" s="443">
        <f t="shared" ref="S26" ca="1" si="23">SUM(S23:S25)</f>
        <v>1605950.743445053</v>
      </c>
      <c r="T26" s="443">
        <f t="shared" ref="T26" ca="1" si="24">SUM(T23:T25)</f>
        <v>1600594.4509481806</v>
      </c>
      <c r="U26" s="443">
        <f t="shared" ref="U26" ca="1" si="25">SUM(U23:U25)</f>
        <v>1586751.7197377847</v>
      </c>
      <c r="V26" s="443">
        <f t="shared" ref="V26" ca="1" si="26">SUM(V23:V25)</f>
        <v>1586851.4317690087</v>
      </c>
      <c r="W26" s="443">
        <f t="shared" ref="W26" ca="1" si="27">SUM(W23:W25)</f>
        <v>1594605.8070318028</v>
      </c>
      <c r="X26" s="443">
        <f t="shared" ref="X26" ca="1" si="28">SUM(X23:X25)</f>
        <v>1604354.876367637</v>
      </c>
      <c r="Y26" s="443">
        <f t="shared" ref="Y26" ca="1" si="29">SUM(Y23:Y25)</f>
        <v>1515844.1029135962</v>
      </c>
      <c r="Z26" s="443">
        <f t="shared" ref="Z26" ca="1" si="30">SUM(Z23:Z25)</f>
        <v>1428068.4131382785</v>
      </c>
      <c r="AA26" s="443">
        <f t="shared" ref="AA26" ca="1" si="31">SUM(AA23:AA25)</f>
        <v>1384280.4001527389</v>
      </c>
      <c r="AB26" s="443">
        <f t="shared" ref="AB26" ca="1" si="32">SUM(AB23:AB25)</f>
        <v>1332303.9517725457</v>
      </c>
      <c r="AC26" s="443">
        <f t="shared" ref="AC26" ca="1" si="33">SUM(AC23:AC25)</f>
        <v>1205225.1815885084</v>
      </c>
      <c r="AD26" s="443">
        <f t="shared" ref="AD26" ca="1" si="34">SUM(AD23:AD25)</f>
        <v>1098232.2764728665</v>
      </c>
      <c r="AE26" s="443">
        <f t="shared" ref="AE26" ca="1" si="35">SUM(AE23:AE25)</f>
        <v>1039719.5222574973</v>
      </c>
      <c r="AF26" s="443">
        <f t="shared" ref="AF26" ca="1" si="36">SUM(AF23:AF25)</f>
        <v>995950.42514657392</v>
      </c>
      <c r="AG26" s="443">
        <f t="shared" ref="AG26" ca="1" si="37">SUM(AG23:AG25)</f>
        <v>960457.94417864783</v>
      </c>
      <c r="AH26" s="443">
        <f t="shared" ref="AH26" ca="1" si="38">SUM(AH23:AH25)</f>
        <v>859156.8564612919</v>
      </c>
      <c r="AI26" s="443">
        <f t="shared" ref="AI26" ca="1" si="39">SUM(AI23:AI25)</f>
        <v>800821.31077142502</v>
      </c>
      <c r="AJ26" s="443">
        <f t="shared" ref="AJ26" ca="1" si="40">SUM(AJ23:AJ25)</f>
        <v>754471.3126113913</v>
      </c>
      <c r="AK26" s="443">
        <f t="shared" ref="AK26" ca="1" si="41">SUM(AK23:AK25)</f>
        <v>714921.72253738798</v>
      </c>
      <c r="AL26" s="443">
        <f t="shared" ref="AL26" ca="1" si="42">SUM(AL23:AL25)</f>
        <v>679980.77285101602</v>
      </c>
      <c r="AM26" s="443">
        <f t="shared" ref="AM26" ca="1" si="43">SUM(AM23:AM25)</f>
        <v>648437.0197710034</v>
      </c>
      <c r="AN26" s="443">
        <f t="shared" ref="AN26" ca="1" si="44">SUM(AN23:AN25)</f>
        <v>619523.07932117453</v>
      </c>
      <c r="AO26" s="443">
        <f t="shared" ref="AO26" ca="1" si="45">SUM(AO23:AO25)</f>
        <v>592713.05404051498</v>
      </c>
      <c r="AP26" s="443">
        <f t="shared" ref="AP26" ca="1" si="46">SUM(AP23:AP25)</f>
        <v>567639.13603043673</v>
      </c>
      <c r="AQ26" s="443">
        <f t="shared" ref="AQ26" ca="1" si="47">SUM(AQ23:AQ25)</f>
        <v>544037.16865281528</v>
      </c>
      <c r="AR26" s="443">
        <f t="shared" ref="AR26" ca="1" si="48">SUM(AR23:AR25)</f>
        <v>521705.37328310829</v>
      </c>
      <c r="AS26" s="443">
        <f t="shared" ref="AS26" ca="1" si="49">SUM(AS23:AS25)</f>
        <v>500484.33405502391</v>
      </c>
      <c r="AT26" s="443">
        <f t="shared" ref="AT26" ca="1" si="50">SUM(AT23:AT25)</f>
        <v>480254.06211195118</v>
      </c>
      <c r="AU26" s="443">
        <f t="shared" ref="AU26" ca="1" si="51">SUM(AU23:AU25)</f>
        <v>460928.61708626954</v>
      </c>
      <c r="AV26" s="443">
        <f t="shared" ref="AV26" ca="1" si="52">SUM(AV23:AV25)</f>
        <v>49088301.989503756</v>
      </c>
      <c r="AW26" s="443">
        <f t="shared" ref="AW26" ca="1" si="53">SUM(AW23:AW25)</f>
        <v>6140006.6403442714</v>
      </c>
      <c r="AX26" s="443">
        <f t="shared" ref="AX26" ca="1" si="54">SUM(AX23:AX25)</f>
        <v>55228308.629848026</v>
      </c>
      <c r="AZ26" s="2"/>
      <c r="BA26" s="2"/>
      <c r="BB26" s="2"/>
      <c r="BC26" s="2"/>
      <c r="BD26" s="2"/>
      <c r="BE26" s="2"/>
      <c r="BF26" s="2"/>
      <c r="BG26" s="2"/>
      <c r="BH26" s="2"/>
      <c r="BI26" s="2"/>
      <c r="BJ26" s="2"/>
      <c r="BK26" s="2"/>
      <c r="BL26" s="2"/>
      <c r="BM26" s="2"/>
    </row>
    <row r="27" spans="2:65" x14ac:dyDescent="0.3">
      <c r="C27" t="s">
        <v>405</v>
      </c>
      <c r="G27" s="76">
        <f ca="1">Hedges!G17</f>
        <v>3256.0000000000027</v>
      </c>
      <c r="H27" s="76">
        <f ca="1">Hedges!H17</f>
        <v>0</v>
      </c>
      <c r="I27" s="76">
        <f ca="1">Hedges!I17</f>
        <v>0</v>
      </c>
      <c r="J27" s="444">
        <v>0</v>
      </c>
      <c r="K27" s="444">
        <v>0</v>
      </c>
      <c r="L27" s="444">
        <v>0</v>
      </c>
      <c r="M27" s="444">
        <v>0</v>
      </c>
      <c r="N27" s="444">
        <v>0</v>
      </c>
      <c r="O27" s="444">
        <v>0</v>
      </c>
      <c r="P27" s="444">
        <v>0</v>
      </c>
      <c r="Q27" s="444">
        <v>0</v>
      </c>
      <c r="R27" s="444">
        <v>0</v>
      </c>
      <c r="S27" s="444">
        <v>0</v>
      </c>
      <c r="T27" s="444">
        <v>0</v>
      </c>
      <c r="U27" s="444">
        <v>0</v>
      </c>
      <c r="V27" s="444">
        <v>0</v>
      </c>
      <c r="W27" s="444">
        <v>0</v>
      </c>
      <c r="X27" s="444">
        <v>0</v>
      </c>
      <c r="Y27" s="444">
        <v>0</v>
      </c>
      <c r="Z27" s="444">
        <v>0</v>
      </c>
      <c r="AA27" s="444">
        <v>0</v>
      </c>
      <c r="AB27" s="444">
        <v>0</v>
      </c>
      <c r="AC27" s="444">
        <v>0</v>
      </c>
      <c r="AD27" s="444">
        <v>0</v>
      </c>
      <c r="AE27" s="444">
        <v>0</v>
      </c>
      <c r="AF27" s="444">
        <v>0</v>
      </c>
      <c r="AG27" s="444">
        <v>0</v>
      </c>
      <c r="AH27" s="444">
        <v>0</v>
      </c>
      <c r="AI27" s="444">
        <v>0</v>
      </c>
      <c r="AJ27" s="444">
        <v>0</v>
      </c>
      <c r="AK27" s="444">
        <v>0</v>
      </c>
      <c r="AL27" s="444">
        <v>0</v>
      </c>
      <c r="AM27" s="444">
        <v>0</v>
      </c>
      <c r="AN27" s="444">
        <v>0</v>
      </c>
      <c r="AO27" s="444">
        <v>0</v>
      </c>
      <c r="AP27" s="444">
        <v>0</v>
      </c>
      <c r="AQ27" s="444">
        <v>0</v>
      </c>
      <c r="AR27" s="444">
        <v>0</v>
      </c>
      <c r="AS27" s="444">
        <v>0</v>
      </c>
      <c r="AT27" s="444">
        <v>0</v>
      </c>
      <c r="AU27" s="444">
        <v>0</v>
      </c>
      <c r="AV27" s="12">
        <f ca="1">SUM(G27:AU27)</f>
        <v>3256.0000000000027</v>
      </c>
      <c r="AW27" s="444">
        <v>0</v>
      </c>
      <c r="AX27" s="12">
        <f ca="1">+AV27+AW27</f>
        <v>3256.0000000000027</v>
      </c>
      <c r="AZ27" s="2"/>
      <c r="BA27" s="2"/>
      <c r="BB27" s="2"/>
      <c r="BC27" s="2"/>
      <c r="BD27" s="2"/>
      <c r="BE27" s="2"/>
      <c r="BF27" s="2"/>
      <c r="BG27" s="2"/>
      <c r="BH27" s="2"/>
      <c r="BI27" s="2"/>
      <c r="BJ27" s="2"/>
      <c r="BK27" s="2"/>
      <c r="BL27" s="2"/>
      <c r="BM27" s="2"/>
    </row>
    <row r="28" spans="2:65" x14ac:dyDescent="0.3">
      <c r="C28" s="60" t="s">
        <v>406</v>
      </c>
      <c r="D28" s="9"/>
      <c r="E28" s="9"/>
      <c r="F28" s="9"/>
      <c r="G28" s="65">
        <f ca="1">SUM(G26:G27)</f>
        <v>1199670.9933384452</v>
      </c>
      <c r="H28" s="65">
        <f t="shared" ref="H28:I28" ca="1" si="55">SUM(H26:H27)</f>
        <v>2012409.8274690898</v>
      </c>
      <c r="I28" s="65">
        <f t="shared" ca="1" si="55"/>
        <v>1683763.650473773</v>
      </c>
      <c r="J28" s="65">
        <f t="shared" ref="J28" ca="1" si="56">SUM(J26:J27)</f>
        <v>1676989.948071498</v>
      </c>
      <c r="K28" s="65">
        <f t="shared" ref="K28" ca="1" si="57">SUM(K26:K27)</f>
        <v>1698886.3767286323</v>
      </c>
      <c r="L28" s="65">
        <f t="shared" ref="L28" ca="1" si="58">SUM(L26:L27)</f>
        <v>1718189.4053143184</v>
      </c>
      <c r="M28" s="65">
        <f t="shared" ref="M28" ca="1" si="59">SUM(M26:M27)</f>
        <v>1694486.4590742681</v>
      </c>
      <c r="N28" s="65">
        <f t="shared" ref="N28" ca="1" si="60">SUM(N26:N27)</f>
        <v>1655354.9038917641</v>
      </c>
      <c r="O28" s="65">
        <f t="shared" ref="O28" ca="1" si="61">SUM(O26:O27)</f>
        <v>1631052.719968579</v>
      </c>
      <c r="P28" s="65">
        <f t="shared" ref="P28" ca="1" si="62">SUM(P26:P27)</f>
        <v>1618427.0741937056</v>
      </c>
      <c r="Q28" s="65">
        <f t="shared" ref="Q28" ca="1" si="63">SUM(Q26:Q27)</f>
        <v>1610652.535729859</v>
      </c>
      <c r="R28" s="65">
        <f t="shared" ref="R28" ca="1" si="64">SUM(R26:R27)</f>
        <v>1607409.0287442727</v>
      </c>
      <c r="S28" s="65">
        <f t="shared" ref="S28" ca="1" si="65">SUM(S26:S27)</f>
        <v>1605950.743445053</v>
      </c>
      <c r="T28" s="65">
        <f t="shared" ref="T28" ca="1" si="66">SUM(T26:T27)</f>
        <v>1600594.4509481806</v>
      </c>
      <c r="U28" s="65">
        <f t="shared" ref="U28" ca="1" si="67">SUM(U26:U27)</f>
        <v>1586751.7197377847</v>
      </c>
      <c r="V28" s="65">
        <f t="shared" ref="V28" ca="1" si="68">SUM(V26:V27)</f>
        <v>1586851.4317690087</v>
      </c>
      <c r="W28" s="65">
        <f t="shared" ref="W28" ca="1" si="69">SUM(W26:W27)</f>
        <v>1594605.8070318028</v>
      </c>
      <c r="X28" s="65">
        <f t="shared" ref="X28" ca="1" si="70">SUM(X26:X27)</f>
        <v>1604354.876367637</v>
      </c>
      <c r="Y28" s="65">
        <f t="shared" ref="Y28" ca="1" si="71">SUM(Y26:Y27)</f>
        <v>1515844.1029135962</v>
      </c>
      <c r="Z28" s="65">
        <f t="shared" ref="Z28" ca="1" si="72">SUM(Z26:Z27)</f>
        <v>1428068.4131382785</v>
      </c>
      <c r="AA28" s="65">
        <f t="shared" ref="AA28" ca="1" si="73">SUM(AA26:AA27)</f>
        <v>1384280.4001527389</v>
      </c>
      <c r="AB28" s="65">
        <f t="shared" ref="AB28" ca="1" si="74">SUM(AB26:AB27)</f>
        <v>1332303.9517725457</v>
      </c>
      <c r="AC28" s="65">
        <f t="shared" ref="AC28" ca="1" si="75">SUM(AC26:AC27)</f>
        <v>1205225.1815885084</v>
      </c>
      <c r="AD28" s="65">
        <f t="shared" ref="AD28" ca="1" si="76">SUM(AD26:AD27)</f>
        <v>1098232.2764728665</v>
      </c>
      <c r="AE28" s="65">
        <f t="shared" ref="AE28" ca="1" si="77">SUM(AE26:AE27)</f>
        <v>1039719.5222574973</v>
      </c>
      <c r="AF28" s="65">
        <f t="shared" ref="AF28" ca="1" si="78">SUM(AF26:AF27)</f>
        <v>995950.42514657392</v>
      </c>
      <c r="AG28" s="65">
        <f t="shared" ref="AG28" ca="1" si="79">SUM(AG26:AG27)</f>
        <v>960457.94417864783</v>
      </c>
      <c r="AH28" s="65">
        <f t="shared" ref="AH28" ca="1" si="80">SUM(AH26:AH27)</f>
        <v>859156.8564612919</v>
      </c>
      <c r="AI28" s="65">
        <f t="shared" ref="AI28" ca="1" si="81">SUM(AI26:AI27)</f>
        <v>800821.31077142502</v>
      </c>
      <c r="AJ28" s="65">
        <f t="shared" ref="AJ28" ca="1" si="82">SUM(AJ26:AJ27)</f>
        <v>754471.3126113913</v>
      </c>
      <c r="AK28" s="65">
        <f t="shared" ref="AK28" ca="1" si="83">SUM(AK26:AK27)</f>
        <v>714921.72253738798</v>
      </c>
      <c r="AL28" s="65">
        <f t="shared" ref="AL28" ca="1" si="84">SUM(AL26:AL27)</f>
        <v>679980.77285101602</v>
      </c>
      <c r="AM28" s="65">
        <f t="shared" ref="AM28" ca="1" si="85">SUM(AM26:AM27)</f>
        <v>648437.0197710034</v>
      </c>
      <c r="AN28" s="65">
        <f t="shared" ref="AN28" ca="1" si="86">SUM(AN26:AN27)</f>
        <v>619523.07932117453</v>
      </c>
      <c r="AO28" s="65">
        <f t="shared" ref="AO28" ca="1" si="87">SUM(AO26:AO27)</f>
        <v>592713.05404051498</v>
      </c>
      <c r="AP28" s="65">
        <f t="shared" ref="AP28" ca="1" si="88">SUM(AP26:AP27)</f>
        <v>567639.13603043673</v>
      </c>
      <c r="AQ28" s="65">
        <f t="shared" ref="AQ28" ca="1" si="89">SUM(AQ26:AQ27)</f>
        <v>544037.16865281528</v>
      </c>
      <c r="AR28" s="65">
        <f t="shared" ref="AR28" ca="1" si="90">SUM(AR26:AR27)</f>
        <v>521705.37328310829</v>
      </c>
      <c r="AS28" s="65">
        <f t="shared" ref="AS28" ca="1" si="91">SUM(AS26:AS27)</f>
        <v>500484.33405502391</v>
      </c>
      <c r="AT28" s="65">
        <f t="shared" ref="AT28" ca="1" si="92">SUM(AT26:AT27)</f>
        <v>480254.06211195118</v>
      </c>
      <c r="AU28" s="65">
        <f t="shared" ref="AU28" ca="1" si="93">SUM(AU26:AU27)</f>
        <v>460928.61708626954</v>
      </c>
      <c r="AV28" s="65">
        <f t="shared" ref="AV28" ca="1" si="94">SUM(AV26:AV27)</f>
        <v>49091557.989503756</v>
      </c>
      <c r="AW28" s="65">
        <f t="shared" ref="AW28" ca="1" si="95">SUM(AW26:AW27)</f>
        <v>6140006.6403442714</v>
      </c>
      <c r="AX28" s="65">
        <f t="shared" ref="AX28" ca="1" si="96">SUM(AX26:AX27)</f>
        <v>55231564.629848026</v>
      </c>
      <c r="AZ28" s="2"/>
      <c r="BA28" s="2"/>
      <c r="BB28" s="2"/>
      <c r="BC28" s="2"/>
      <c r="BD28" s="2"/>
      <c r="BE28" s="2"/>
      <c r="BF28" s="2"/>
      <c r="BG28" s="2"/>
      <c r="BH28" s="2"/>
      <c r="BI28" s="2"/>
      <c r="BJ28" s="2"/>
      <c r="BK28" s="2"/>
      <c r="BL28" s="2"/>
      <c r="BM28" s="2"/>
    </row>
    <row r="29" spans="2:65" x14ac:dyDescent="0.3">
      <c r="AZ29" s="2"/>
      <c r="BA29" s="2"/>
      <c r="BB29" s="2"/>
      <c r="BC29" s="2"/>
      <c r="BD29" s="2"/>
      <c r="BE29" s="2"/>
      <c r="BF29" s="2"/>
      <c r="BG29" s="2"/>
      <c r="BH29" s="2"/>
      <c r="BI29" s="2"/>
      <c r="BJ29" s="2"/>
      <c r="BK29" s="2"/>
      <c r="BL29" s="2"/>
      <c r="BM29" s="2"/>
    </row>
    <row r="30" spans="2:65" x14ac:dyDescent="0.3">
      <c r="B30" s="3" t="s">
        <v>407</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Z30" s="2"/>
      <c r="BA30" s="2"/>
      <c r="BB30" s="2"/>
      <c r="BC30" s="2"/>
      <c r="BD30" s="2"/>
      <c r="BE30" s="2"/>
      <c r="BF30" s="2"/>
      <c r="BG30" s="2"/>
      <c r="BH30" s="2"/>
      <c r="BI30" s="2"/>
      <c r="BJ30" s="2"/>
      <c r="BK30" s="2"/>
      <c r="BL30" s="2"/>
      <c r="BM30" s="2"/>
    </row>
    <row r="31" spans="2:65" x14ac:dyDescent="0.3">
      <c r="C31" s="73" t="s">
        <v>408</v>
      </c>
      <c r="G31" s="441">
        <f t="array" aca="1" ref="G31:AX31" ca="1">TRANSPOSE(Rollup!W279:W322)</f>
        <v>95301.112196734888</v>
      </c>
      <c r="H31" s="441">
        <f ca="1"/>
        <v>156719.6808321134</v>
      </c>
      <c r="I31" s="441">
        <f ca="1"/>
        <v>126373.20141290249</v>
      </c>
      <c r="J31" s="441">
        <f ca="1"/>
        <v>124681.18784031333</v>
      </c>
      <c r="K31" s="441">
        <f ca="1"/>
        <v>124427.99134781006</v>
      </c>
      <c r="L31" s="441">
        <f ca="1"/>
        <v>119623.76455864642</v>
      </c>
      <c r="M31" s="441">
        <f ca="1"/>
        <v>117964.42102561344</v>
      </c>
      <c r="N31" s="441">
        <f ca="1"/>
        <v>114950.04247620718</v>
      </c>
      <c r="O31" s="441">
        <f ca="1"/>
        <v>113075.66666521448</v>
      </c>
      <c r="P31" s="441">
        <f ca="1"/>
        <v>112071.03662561264</v>
      </c>
      <c r="Q31" s="441">
        <f ca="1"/>
        <v>111415.86960970443</v>
      </c>
      <c r="R31" s="441">
        <f ca="1"/>
        <v>111083.35898796003</v>
      </c>
      <c r="S31" s="441">
        <f ca="1"/>
        <v>110883.2250408963</v>
      </c>
      <c r="T31" s="441">
        <f ca="1"/>
        <v>110343.82314027085</v>
      </c>
      <c r="U31" s="441">
        <f ca="1"/>
        <v>109111.12483114158</v>
      </c>
      <c r="V31" s="441">
        <f ca="1"/>
        <v>108967.1882634026</v>
      </c>
      <c r="W31" s="441">
        <f ca="1"/>
        <v>109428.55859004323</v>
      </c>
      <c r="X31" s="441">
        <f ca="1"/>
        <v>110033.35067498335</v>
      </c>
      <c r="Y31" s="441">
        <f ca="1"/>
        <v>103937.76701706774</v>
      </c>
      <c r="Z31" s="441">
        <f ca="1"/>
        <v>97898.144990744186</v>
      </c>
      <c r="AA31" s="441">
        <f ca="1"/>
        <v>94865.493443204745</v>
      </c>
      <c r="AB31" s="441">
        <f ca="1"/>
        <v>91263.132676647103</v>
      </c>
      <c r="AC31" s="441">
        <f ca="1"/>
        <v>82521.675943769704</v>
      </c>
      <c r="AD31" s="441">
        <f ca="1"/>
        <v>75192.957534815374</v>
      </c>
      <c r="AE31" s="441">
        <f ca="1"/>
        <v>71175.802954405808</v>
      </c>
      <c r="AF31" s="441">
        <f ca="1"/>
        <v>68167.303778902176</v>
      </c>
      <c r="AG31" s="441">
        <f ca="1"/>
        <v>65725.824788822007</v>
      </c>
      <c r="AH31" s="441">
        <f ca="1"/>
        <v>58794.547918527904</v>
      </c>
      <c r="AI31" s="441">
        <f ca="1"/>
        <v>54797.545913396651</v>
      </c>
      <c r="AJ31" s="441">
        <f ca="1"/>
        <v>51620.141771060189</v>
      </c>
      <c r="AK31" s="441">
        <f ca="1"/>
        <v>48908.275655252553</v>
      </c>
      <c r="AL31" s="441">
        <f ca="1"/>
        <v>46512.212470514831</v>
      </c>
      <c r="AM31" s="441">
        <f ca="1"/>
        <v>44349.141910760263</v>
      </c>
      <c r="AN31" s="441">
        <f ca="1"/>
        <v>42366.574945641456</v>
      </c>
      <c r="AO31" s="441">
        <f ca="1"/>
        <v>40528.516153400844</v>
      </c>
      <c r="AP31" s="441">
        <f ca="1"/>
        <v>38809.770430941229</v>
      </c>
      <c r="AQ31" s="441">
        <f ca="1"/>
        <v>37192.226357518499</v>
      </c>
      <c r="AR31" s="441">
        <f ca="1"/>
        <v>35662.038225964279</v>
      </c>
      <c r="AS31" s="441">
        <f ca="1"/>
        <v>34208.259106026933</v>
      </c>
      <c r="AT31" s="441">
        <f ca="1"/>
        <v>32822.639732768803</v>
      </c>
      <c r="AU31" s="441">
        <f ca="1"/>
        <v>31499.260739703997</v>
      </c>
      <c r="AV31" s="441">
        <f ca="1"/>
        <v>3435273.8585794275</v>
      </c>
      <c r="AW31" s="441">
        <f ca="1"/>
        <v>420236.90410275373</v>
      </c>
      <c r="AX31" s="441">
        <f ca="1"/>
        <v>3855510.7626821813</v>
      </c>
      <c r="AZ31" s="2"/>
      <c r="BA31" s="2"/>
      <c r="BB31" s="2"/>
      <c r="BC31" s="2"/>
      <c r="BD31" s="2"/>
      <c r="BE31" s="2"/>
      <c r="BF31" s="2"/>
      <c r="BG31" s="2"/>
      <c r="BH31" s="2"/>
      <c r="BI31" s="2"/>
      <c r="BJ31" s="2"/>
      <c r="BK31" s="2"/>
      <c r="BL31" s="2"/>
      <c r="BM31" s="2"/>
    </row>
    <row r="32" spans="2:65" x14ac:dyDescent="0.3">
      <c r="C32" s="73" t="s">
        <v>409</v>
      </c>
      <c r="G32" s="76">
        <f t="array" aca="1" ref="G32:AX32" ca="1">TRANSPOSE(Rollup!Y279:Y322)</f>
        <v>113746.48875094163</v>
      </c>
      <c r="H32" s="76">
        <f ca="1"/>
        <v>175999.76431410233</v>
      </c>
      <c r="I32" s="76">
        <f ca="1"/>
        <v>137771.15156100327</v>
      </c>
      <c r="J32" s="76">
        <f ca="1"/>
        <v>135200.08036701611</v>
      </c>
      <c r="K32" s="76">
        <f ca="1"/>
        <v>136146.34539644924</v>
      </c>
      <c r="L32" s="76">
        <f ca="1"/>
        <v>130664.77083602556</v>
      </c>
      <c r="M32" s="76">
        <f ca="1"/>
        <v>128662.99709662759</v>
      </c>
      <c r="N32" s="76">
        <f ca="1"/>
        <v>126945.55609387159</v>
      </c>
      <c r="O32" s="76">
        <f ca="1"/>
        <v>125817.58649283838</v>
      </c>
      <c r="P32" s="76">
        <f ca="1"/>
        <v>125308.63490729194</v>
      </c>
      <c r="Q32" s="76">
        <f ca="1"/>
        <v>125125.66248831616</v>
      </c>
      <c r="R32" s="76">
        <f ca="1"/>
        <v>125267.87623585846</v>
      </c>
      <c r="S32" s="76">
        <f ca="1"/>
        <v>125514.16205847981</v>
      </c>
      <c r="T32" s="76">
        <f ca="1"/>
        <v>125826.04289347927</v>
      </c>
      <c r="U32" s="76">
        <f ca="1"/>
        <v>126028.2547147427</v>
      </c>
      <c r="V32" s="76">
        <f ca="1"/>
        <v>126697.21748037622</v>
      </c>
      <c r="W32" s="76">
        <f ca="1"/>
        <v>127583.92472138032</v>
      </c>
      <c r="X32" s="76">
        <f ca="1"/>
        <v>128608.20882749857</v>
      </c>
      <c r="Y32" s="76">
        <f ca="1"/>
        <v>121605.02672392811</v>
      </c>
      <c r="Z32" s="76">
        <f ca="1"/>
        <v>114641.41834150878</v>
      </c>
      <c r="AA32" s="76">
        <f ca="1"/>
        <v>111242.27744951256</v>
      </c>
      <c r="AB32" s="76">
        <f ca="1"/>
        <v>107141.11349092341</v>
      </c>
      <c r="AC32" s="76">
        <f ca="1"/>
        <v>96886.347038190142</v>
      </c>
      <c r="AD32" s="76">
        <f ca="1"/>
        <v>88299.893620198127</v>
      </c>
      <c r="AE32" s="76">
        <f ca="1"/>
        <v>83649.879206683559</v>
      </c>
      <c r="AF32" s="76">
        <f ca="1"/>
        <v>80189.278429165759</v>
      </c>
      <c r="AG32" s="76">
        <f ca="1"/>
        <v>77392.424823312787</v>
      </c>
      <c r="AH32" s="76">
        <f ca="1"/>
        <v>69225.063228651197</v>
      </c>
      <c r="AI32" s="76">
        <f ca="1"/>
        <v>64549.35539316338</v>
      </c>
      <c r="AJ32" s="76">
        <f ca="1"/>
        <v>60842.386518786356</v>
      </c>
      <c r="AK32" s="76">
        <f ca="1"/>
        <v>57682.51813361868</v>
      </c>
      <c r="AL32" s="76">
        <f ca="1"/>
        <v>54891.888323132269</v>
      </c>
      <c r="AM32" s="76">
        <f ca="1"/>
        <v>52372.427730495991</v>
      </c>
      <c r="AN32" s="76">
        <f ca="1"/>
        <v>50062.180033588884</v>
      </c>
      <c r="AO32" s="76">
        <f ca="1"/>
        <v>47918.805642680665</v>
      </c>
      <c r="AP32" s="76">
        <f ca="1"/>
        <v>45912.793402173163</v>
      </c>
      <c r="AQ32" s="76">
        <f ca="1"/>
        <v>44023.030832208795</v>
      </c>
      <c r="AR32" s="76">
        <f ca="1"/>
        <v>42233.446350772181</v>
      </c>
      <c r="AS32" s="76">
        <f ca="1"/>
        <v>40531.382812417105</v>
      </c>
      <c r="AT32" s="76">
        <f ca="1"/>
        <v>38907.362011231802</v>
      </c>
      <c r="AU32" s="76">
        <f ca="1"/>
        <v>37354.64981874884</v>
      </c>
      <c r="AV32" s="76">
        <f ca="1"/>
        <v>3934469.6745913918</v>
      </c>
      <c r="AW32" s="76">
        <f ca="1"/>
        <v>494427.55055801489</v>
      </c>
      <c r="AX32" s="76">
        <f ca="1"/>
        <v>4428897.2251494071</v>
      </c>
      <c r="AZ32" s="2"/>
      <c r="BA32" s="2"/>
      <c r="BB32" s="2"/>
      <c r="BC32" s="2"/>
      <c r="BD32" s="2"/>
      <c r="BE32" s="2"/>
      <c r="BF32" s="2"/>
      <c r="BG32" s="2"/>
      <c r="BH32" s="2"/>
      <c r="BI32" s="2"/>
      <c r="BJ32" s="2"/>
      <c r="BK32" s="2"/>
      <c r="BL32" s="2"/>
      <c r="BM32" s="2"/>
    </row>
    <row r="33" spans="2:65" x14ac:dyDescent="0.3">
      <c r="C33" s="73" t="s">
        <v>410</v>
      </c>
      <c r="G33" s="76">
        <f t="array" aca="1" ref="G33:AX33" ca="1">TRANSPOSE(Rollup!AA279:AA322)</f>
        <v>178305.30669066525</v>
      </c>
      <c r="H33" s="76">
        <f ca="1"/>
        <v>275891.52243832254</v>
      </c>
      <c r="I33" s="76">
        <f ca="1"/>
        <v>215965.58893346455</v>
      </c>
      <c r="J33" s="76">
        <f ca="1"/>
        <v>211935.2611158631</v>
      </c>
      <c r="K33" s="76">
        <f ca="1"/>
        <v>213418.59548632582</v>
      </c>
      <c r="L33" s="76">
        <f ca="1"/>
        <v>204825.85698620224</v>
      </c>
      <c r="M33" s="76">
        <f ca="1"/>
        <v>201687.94139471353</v>
      </c>
      <c r="N33" s="76">
        <f ca="1"/>
        <v>198995.73657958244</v>
      </c>
      <c r="O33" s="76">
        <f ca="1"/>
        <v>197227.56801580073</v>
      </c>
      <c r="P33" s="76">
        <f ca="1"/>
        <v>196429.75201683599</v>
      </c>
      <c r="Q33" s="76">
        <f ca="1"/>
        <v>196142.93038709016</v>
      </c>
      <c r="R33" s="76">
        <f ca="1"/>
        <v>196365.86004539972</v>
      </c>
      <c r="S33" s="76">
        <f ca="1"/>
        <v>196751.92971329263</v>
      </c>
      <c r="T33" s="76">
        <f ca="1"/>
        <v>197240.82399518377</v>
      </c>
      <c r="U33" s="76">
        <f ca="1"/>
        <v>197557.80468797506</v>
      </c>
      <c r="V33" s="76">
        <f ca="1"/>
        <v>198606.44902329246</v>
      </c>
      <c r="W33" s="76">
        <f ca="1"/>
        <v>199996.42253621781</v>
      </c>
      <c r="X33" s="76">
        <f ca="1"/>
        <v>201602.05708094366</v>
      </c>
      <c r="Y33" s="76">
        <f ca="1"/>
        <v>190624.09594561701</v>
      </c>
      <c r="Z33" s="76">
        <f ca="1"/>
        <v>179708.16929209483</v>
      </c>
      <c r="AA33" s="76">
        <f ca="1"/>
        <v>174379.7862722089</v>
      </c>
      <c r="AB33" s="76">
        <f ca="1"/>
        <v>167950.93466144751</v>
      </c>
      <c r="AC33" s="76">
        <f ca="1"/>
        <v>151875.89535716292</v>
      </c>
      <c r="AD33" s="76">
        <f ca="1"/>
        <v>138416.04945868894</v>
      </c>
      <c r="AE33" s="76">
        <f ca="1"/>
        <v>131126.83767534175</v>
      </c>
      <c r="AF33" s="76">
        <f ca="1"/>
        <v>125702.11213220577</v>
      </c>
      <c r="AG33" s="76">
        <f ca="1"/>
        <v>121317.85512843626</v>
      </c>
      <c r="AH33" s="76">
        <f ca="1"/>
        <v>108514.96398004782</v>
      </c>
      <c r="AI33" s="76">
        <f ca="1"/>
        <v>101185.47602171556</v>
      </c>
      <c r="AJ33" s="76">
        <f ca="1"/>
        <v>95374.551840259679</v>
      </c>
      <c r="AK33" s="76">
        <f ca="1"/>
        <v>90421.244641888741</v>
      </c>
      <c r="AL33" s="76">
        <f ca="1"/>
        <v>86046.743857883004</v>
      </c>
      <c r="AM33" s="76">
        <f ca="1"/>
        <v>82097.319145101836</v>
      </c>
      <c r="AN33" s="76">
        <f ca="1"/>
        <v>78475.84978238256</v>
      </c>
      <c r="AO33" s="76">
        <f ca="1"/>
        <v>75115.965602039956</v>
      </c>
      <c r="AP33" s="76">
        <f ca="1"/>
        <v>71971.405873676849</v>
      </c>
      <c r="AQ33" s="76">
        <f ca="1"/>
        <v>69009.075358597562</v>
      </c>
      <c r="AR33" s="76">
        <f ca="1"/>
        <v>66203.780766075302</v>
      </c>
      <c r="AS33" s="76">
        <f ca="1"/>
        <v>63535.681165410591</v>
      </c>
      <c r="AT33" s="76">
        <f ca="1"/>
        <v>60989.918828417416</v>
      </c>
      <c r="AU33" s="76">
        <f ca="1"/>
        <v>58555.937553714401</v>
      </c>
      <c r="AV33" s="76">
        <f ca="1"/>
        <v>6167547.0574675845</v>
      </c>
      <c r="AW33" s="76">
        <f ca="1"/>
        <v>775048.59276661789</v>
      </c>
      <c r="AX33" s="76">
        <f ca="1"/>
        <v>6942595.6502342019</v>
      </c>
      <c r="AZ33" s="2"/>
      <c r="BA33" s="2"/>
      <c r="BB33" s="2"/>
      <c r="BC33" s="2"/>
      <c r="BD33" s="2"/>
      <c r="BE33" s="2"/>
      <c r="BF33" s="2"/>
      <c r="BG33" s="2"/>
      <c r="BH33" s="2"/>
      <c r="BI33" s="2"/>
      <c r="BJ33" s="2"/>
      <c r="BK33" s="2"/>
      <c r="BL33" s="2"/>
      <c r="BM33" s="2"/>
    </row>
    <row r="34" spans="2:65" x14ac:dyDescent="0.3">
      <c r="C34" s="73" t="s">
        <v>411</v>
      </c>
      <c r="G34" s="52">
        <f t="shared" ref="G34:AX34" ca="1" si="97">G19*GA_Per_Mcfe</f>
        <v>21519.605979907883</v>
      </c>
      <c r="H34" s="52">
        <f t="shared" ca="1" si="97"/>
        <v>33581.010678341248</v>
      </c>
      <c r="I34" s="52">
        <f t="shared" ca="1" si="97"/>
        <v>26400.137853097003</v>
      </c>
      <c r="J34" s="52">
        <f t="shared" ca="1" si="97"/>
        <v>25927.879489708219</v>
      </c>
      <c r="K34" s="52">
        <f t="shared" ca="1" si="97"/>
        <v>26074.850644365571</v>
      </c>
      <c r="L34" s="52">
        <f t="shared" ca="1" si="97"/>
        <v>25031.313487426742</v>
      </c>
      <c r="M34" s="52">
        <f t="shared" ca="1" si="97"/>
        <v>24653.145523920179</v>
      </c>
      <c r="N34" s="52">
        <f t="shared" ca="1" si="97"/>
        <v>24279.94953811794</v>
      </c>
      <c r="O34" s="52">
        <f t="shared" ca="1" si="97"/>
        <v>24038.073632624775</v>
      </c>
      <c r="P34" s="52">
        <f t="shared" ca="1" si="97"/>
        <v>23924.0679354573</v>
      </c>
      <c r="Q34" s="52">
        <f t="shared" ca="1" si="97"/>
        <v>23874.073348306683</v>
      </c>
      <c r="R34" s="52">
        <f t="shared" ca="1" si="97"/>
        <v>23887.138793495353</v>
      </c>
      <c r="S34" s="52">
        <f t="shared" ca="1" si="97"/>
        <v>23921.277992109568</v>
      </c>
      <c r="T34" s="52">
        <f t="shared" ca="1" si="97"/>
        <v>23955.747177568097</v>
      </c>
      <c r="U34" s="52">
        <f t="shared" ca="1" si="97"/>
        <v>23951.039704202281</v>
      </c>
      <c r="V34" s="52">
        <f t="shared" ca="1" si="97"/>
        <v>24056.015407513823</v>
      </c>
      <c r="W34" s="52">
        <f t="shared" ca="1" si="97"/>
        <v>24215.143675500065</v>
      </c>
      <c r="X34" s="52">
        <f t="shared" ca="1" si="97"/>
        <v>24401.162714647191</v>
      </c>
      <c r="Y34" s="52">
        <f t="shared" ca="1" si="97"/>
        <v>23069.248374378571</v>
      </c>
      <c r="Z34" s="52">
        <f t="shared" ca="1" si="97"/>
        <v>21745.519753962726</v>
      </c>
      <c r="AA34" s="52">
        <f t="shared" ca="1" si="97"/>
        <v>21096.778767622742</v>
      </c>
      <c r="AB34" s="52">
        <f t="shared" ca="1" si="97"/>
        <v>20315.788634226268</v>
      </c>
      <c r="AC34" s="52">
        <f t="shared" ca="1" si="97"/>
        <v>18371.112859304008</v>
      </c>
      <c r="AD34" s="52">
        <f t="shared" ca="1" si="97"/>
        <v>16742.522357178717</v>
      </c>
      <c r="AE34" s="52">
        <f t="shared" ca="1" si="97"/>
        <v>15859.076192799674</v>
      </c>
      <c r="AF34" s="52">
        <f t="shared" ca="1" si="97"/>
        <v>15201.025600602246</v>
      </c>
      <c r="AG34" s="52">
        <f t="shared" ca="1" si="97"/>
        <v>14668.88303133784</v>
      </c>
      <c r="AH34" s="52">
        <f t="shared" ca="1" si="97"/>
        <v>13120.999220465887</v>
      </c>
      <c r="AI34" s="52">
        <f t="shared" ca="1" si="97"/>
        <v>12233.969282517706</v>
      </c>
      <c r="AJ34" s="52">
        <f t="shared" ca="1" si="97"/>
        <v>11530.457939524726</v>
      </c>
      <c r="AK34" s="52">
        <f t="shared" ca="1" si="97"/>
        <v>10930.671385220272</v>
      </c>
      <c r="AL34" s="52">
        <f t="shared" ca="1" si="97"/>
        <v>10400.938139134143</v>
      </c>
      <c r="AM34" s="52">
        <f t="shared" ca="1" si="97"/>
        <v>9922.6848029974481</v>
      </c>
      <c r="AN34" s="52">
        <f t="shared" ca="1" si="97"/>
        <v>9484.1721479138505</v>
      </c>
      <c r="AO34" s="52">
        <f t="shared" ca="1" si="97"/>
        <v>9077.3739949374576</v>
      </c>
      <c r="AP34" s="52">
        <f t="shared" ca="1" si="97"/>
        <v>8696.69276480382</v>
      </c>
      <c r="AQ34" s="52">
        <f t="shared" ca="1" si="97"/>
        <v>8338.1212556685878</v>
      </c>
      <c r="AR34" s="52">
        <f t="shared" ca="1" si="97"/>
        <v>7998.607243952807</v>
      </c>
      <c r="AS34" s="52">
        <f t="shared" ca="1" si="97"/>
        <v>7675.7456459644181</v>
      </c>
      <c r="AT34" s="52">
        <f t="shared" ca="1" si="97"/>
        <v>7367.7338478651345</v>
      </c>
      <c r="AU34" s="52">
        <f t="shared" ca="1" si="97"/>
        <v>7073.2893295781232</v>
      </c>
      <c r="AV34" s="52">
        <f t="shared" ca="1" si="97"/>
        <v>748613.04614826734</v>
      </c>
      <c r="AW34" s="52">
        <f t="shared" ca="1" si="97"/>
        <v>93723.794889771263</v>
      </c>
      <c r="AX34" s="52">
        <f t="shared" ca="1" si="97"/>
        <v>842336.8410380386</v>
      </c>
      <c r="AZ34" s="2"/>
      <c r="BA34" s="2"/>
      <c r="BB34" s="2"/>
      <c r="BC34" s="2"/>
      <c r="BD34" s="2"/>
      <c r="BE34" s="2"/>
      <c r="BF34" s="2"/>
      <c r="BG34" s="2"/>
      <c r="BH34" s="2"/>
      <c r="BI34" s="2"/>
      <c r="BJ34" s="2"/>
      <c r="BK34" s="2"/>
      <c r="BL34" s="2"/>
      <c r="BM34" s="2"/>
    </row>
    <row r="35" spans="2:65" x14ac:dyDescent="0.3">
      <c r="C35" s="60" t="s">
        <v>412</v>
      </c>
      <c r="D35" s="7"/>
      <c r="E35" s="7"/>
      <c r="F35" s="7"/>
      <c r="G35" s="65">
        <f ca="1">SUM(G31:G34)</f>
        <v>408872.51361824968</v>
      </c>
      <c r="H35" s="65">
        <f t="shared" ref="H35:AX35" ca="1" si="98">SUM(H31:H34)</f>
        <v>642191.97826287954</v>
      </c>
      <c r="I35" s="65">
        <f t="shared" ca="1" si="98"/>
        <v>506510.07976046728</v>
      </c>
      <c r="J35" s="65">
        <f t="shared" ca="1" si="98"/>
        <v>497744.40881290077</v>
      </c>
      <c r="K35" s="65">
        <f t="shared" ca="1" si="98"/>
        <v>500067.78287495073</v>
      </c>
      <c r="L35" s="65">
        <f t="shared" ca="1" si="98"/>
        <v>480145.70586830098</v>
      </c>
      <c r="M35" s="65">
        <f t="shared" ca="1" si="98"/>
        <v>472968.50504087476</v>
      </c>
      <c r="N35" s="65">
        <f t="shared" ca="1" si="98"/>
        <v>465171.28468777915</v>
      </c>
      <c r="O35" s="65">
        <f t="shared" ca="1" si="98"/>
        <v>460158.89480647835</v>
      </c>
      <c r="P35" s="65">
        <f t="shared" ca="1" si="98"/>
        <v>457733.49148519785</v>
      </c>
      <c r="Q35" s="65">
        <f t="shared" ca="1" si="98"/>
        <v>456558.53583341744</v>
      </c>
      <c r="R35" s="65">
        <f t="shared" ca="1" si="98"/>
        <v>456604.23406271357</v>
      </c>
      <c r="S35" s="65">
        <f t="shared" ca="1" si="98"/>
        <v>457070.59480477835</v>
      </c>
      <c r="T35" s="65">
        <f t="shared" ca="1" si="98"/>
        <v>457366.43720650201</v>
      </c>
      <c r="U35" s="65">
        <f t="shared" ca="1" si="98"/>
        <v>456648.22393806156</v>
      </c>
      <c r="V35" s="65">
        <f t="shared" ca="1" si="98"/>
        <v>458326.87017458508</v>
      </c>
      <c r="W35" s="65">
        <f t="shared" ca="1" si="98"/>
        <v>461224.04952314147</v>
      </c>
      <c r="X35" s="65">
        <f t="shared" ca="1" si="98"/>
        <v>464644.77929807274</v>
      </c>
      <c r="Y35" s="65">
        <f t="shared" ca="1" si="98"/>
        <v>439236.13806099142</v>
      </c>
      <c r="Z35" s="65">
        <f t="shared" ca="1" si="98"/>
        <v>413993.25237831054</v>
      </c>
      <c r="AA35" s="65">
        <f t="shared" ca="1" si="98"/>
        <v>401584.33593254891</v>
      </c>
      <c r="AB35" s="65">
        <f t="shared" ca="1" si="98"/>
        <v>386670.96946324426</v>
      </c>
      <c r="AC35" s="65">
        <f t="shared" ca="1" si="98"/>
        <v>349655.03119842679</v>
      </c>
      <c r="AD35" s="65">
        <f t="shared" ca="1" si="98"/>
        <v>318651.42297088116</v>
      </c>
      <c r="AE35" s="65">
        <f t="shared" ca="1" si="98"/>
        <v>301811.5960292308</v>
      </c>
      <c r="AF35" s="65">
        <f t="shared" ca="1" si="98"/>
        <v>289259.71994087601</v>
      </c>
      <c r="AG35" s="65">
        <f t="shared" ca="1" si="98"/>
        <v>279104.98777190887</v>
      </c>
      <c r="AH35" s="65">
        <f t="shared" ca="1" si="98"/>
        <v>249655.5743476928</v>
      </c>
      <c r="AI35" s="65">
        <f t="shared" ca="1" si="98"/>
        <v>232766.34661079329</v>
      </c>
      <c r="AJ35" s="65">
        <f t="shared" ca="1" si="98"/>
        <v>219367.53806963097</v>
      </c>
      <c r="AK35" s="65">
        <f t="shared" ca="1" si="98"/>
        <v>207942.70981598026</v>
      </c>
      <c r="AL35" s="65">
        <f t="shared" ca="1" si="98"/>
        <v>197851.78279066423</v>
      </c>
      <c r="AM35" s="65">
        <f t="shared" ca="1" si="98"/>
        <v>188741.57358935554</v>
      </c>
      <c r="AN35" s="65">
        <f t="shared" ca="1" si="98"/>
        <v>180388.77690952673</v>
      </c>
      <c r="AO35" s="65">
        <f t="shared" ca="1" si="98"/>
        <v>172640.66139305892</v>
      </c>
      <c r="AP35" s="65">
        <f t="shared" ca="1" si="98"/>
        <v>165390.66247159507</v>
      </c>
      <c r="AQ35" s="65">
        <f t="shared" ca="1" si="98"/>
        <v>158562.45380399344</v>
      </c>
      <c r="AR35" s="65">
        <f t="shared" ca="1" si="98"/>
        <v>152097.87258676457</v>
      </c>
      <c r="AS35" s="65">
        <f t="shared" ca="1" si="98"/>
        <v>145951.06872981906</v>
      </c>
      <c r="AT35" s="65">
        <f t="shared" ca="1" si="98"/>
        <v>140087.65442028316</v>
      </c>
      <c r="AU35" s="65">
        <f t="shared" ca="1" si="98"/>
        <v>134483.13744174535</v>
      </c>
      <c r="AV35" s="65">
        <f t="shared" ca="1" si="98"/>
        <v>14285903.636786669</v>
      </c>
      <c r="AW35" s="65">
        <f t="shared" ca="1" si="98"/>
        <v>1783436.8423171579</v>
      </c>
      <c r="AX35" s="65">
        <f t="shared" ca="1" si="98"/>
        <v>16069340.47910383</v>
      </c>
      <c r="AZ35" s="2"/>
      <c r="BA35" s="2"/>
      <c r="BB35" s="2"/>
      <c r="BC35" s="2"/>
      <c r="BD35" s="2"/>
      <c r="BE35" s="2"/>
      <c r="BF35" s="2"/>
      <c r="BG35" s="2"/>
      <c r="BH35" s="2"/>
      <c r="BI35" s="2"/>
      <c r="BJ35" s="2"/>
      <c r="BK35" s="2"/>
      <c r="BL35" s="2"/>
      <c r="BM35" s="2"/>
    </row>
    <row r="36" spans="2:65" x14ac:dyDescent="0.3">
      <c r="C36" s="249"/>
      <c r="D36" s="16"/>
      <c r="E36" s="16"/>
      <c r="F36" s="16"/>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Z36" s="2"/>
      <c r="BA36" s="2"/>
      <c r="BB36" s="2"/>
      <c r="BC36" s="2"/>
      <c r="BD36" s="2"/>
      <c r="BE36" s="2"/>
      <c r="BF36" s="2"/>
      <c r="BG36" s="2"/>
      <c r="BH36" s="2"/>
      <c r="BI36" s="2"/>
      <c r="BJ36" s="2"/>
      <c r="BK36" s="2"/>
      <c r="BL36" s="2"/>
      <c r="BM36" s="2"/>
    </row>
    <row r="37" spans="2:65" x14ac:dyDescent="0.3">
      <c r="C37" s="445" t="s">
        <v>413</v>
      </c>
      <c r="D37" s="16"/>
      <c r="E37" s="16"/>
      <c r="F37" s="16"/>
      <c r="G37" s="446">
        <f ca="1">G31/G$28</f>
        <v>7.943937356652335E-2</v>
      </c>
      <c r="H37" s="446">
        <f t="shared" ref="H37:AX40" ca="1" si="99">H31/H$28</f>
        <v>7.7876622690325525E-2</v>
      </c>
      <c r="I37" s="446">
        <f t="shared" ca="1" si="99"/>
        <v>7.5054002607399167E-2</v>
      </c>
      <c r="J37" s="446">
        <f t="shared" ca="1" si="99"/>
        <v>7.4348202255889478E-2</v>
      </c>
      <c r="K37" s="446">
        <f t="shared" ca="1" si="99"/>
        <v>7.3240914196632756E-2</v>
      </c>
      <c r="L37" s="446">
        <f t="shared" ca="1" si="99"/>
        <v>6.9621989396892445E-2</v>
      </c>
      <c r="M37" s="446">
        <f t="shared" ca="1" si="99"/>
        <v>6.9616620654531378E-2</v>
      </c>
      <c r="N37" s="446">
        <f t="shared" ca="1" si="99"/>
        <v>6.9441327781708875E-2</v>
      </c>
      <c r="O37" s="446">
        <f t="shared" ca="1" si="99"/>
        <v>6.9326800587655307E-2</v>
      </c>
      <c r="P37" s="446">
        <f t="shared" ca="1" si="99"/>
        <v>6.9246886938941016E-2</v>
      </c>
      <c r="Q37" s="446">
        <f t="shared" ca="1" si="99"/>
        <v>6.917436699605535E-2</v>
      </c>
      <c r="R37" s="446">
        <f t="shared" ca="1" si="99"/>
        <v>6.9107089111437731E-2</v>
      </c>
      <c r="S37" s="446">
        <f t="shared" ca="1" si="99"/>
        <v>6.9045221650467226E-2</v>
      </c>
      <c r="T37" s="446">
        <f t="shared" ca="1" si="99"/>
        <v>6.8939276326307364E-2</v>
      </c>
      <c r="U37" s="446">
        <f t="shared" ca="1" si="99"/>
        <v>6.8763829573269666E-2</v>
      </c>
      <c r="V37" s="446">
        <f t="shared" ca="1" si="99"/>
        <v>6.8668802940125839E-2</v>
      </c>
      <c r="W37" s="446">
        <f t="shared" ca="1" si="99"/>
        <v>6.8624206752221362E-2</v>
      </c>
      <c r="X37" s="446">
        <f t="shared" ca="1" si="99"/>
        <v>6.8584171928411472E-2</v>
      </c>
      <c r="Y37" s="446">
        <f t="shared" ca="1" si="99"/>
        <v>6.8567583445612576E-2</v>
      </c>
      <c r="Z37" s="446">
        <f t="shared" ca="1" si="99"/>
        <v>6.8552839688965791E-2</v>
      </c>
      <c r="AA37" s="446">
        <f t="shared" ca="1" si="99"/>
        <v>6.8530547302943445E-2</v>
      </c>
      <c r="AB37" s="446">
        <f t="shared" ca="1" si="99"/>
        <v>6.8500234165955382E-2</v>
      </c>
      <c r="AC37" s="446">
        <f t="shared" ca="1" si="99"/>
        <v>6.846992346691981E-2</v>
      </c>
      <c r="AD37" s="446">
        <f t="shared" ca="1" si="99"/>
        <v>6.8467262477759763E-2</v>
      </c>
      <c r="AE37" s="446">
        <f t="shared" ca="1" si="99"/>
        <v>6.8456734177564454E-2</v>
      </c>
      <c r="AF37" s="446">
        <f t="shared" ca="1" si="99"/>
        <v>6.8444474802920041E-2</v>
      </c>
      <c r="AG37" s="446">
        <f t="shared" ca="1" si="99"/>
        <v>6.8431757150000549E-2</v>
      </c>
      <c r="AH37" s="446">
        <f t="shared" ca="1" si="99"/>
        <v>6.8432844918088376E-2</v>
      </c>
      <c r="AI37" s="446">
        <f t="shared" ca="1" si="99"/>
        <v>6.8426682927069701E-2</v>
      </c>
      <c r="AJ37" s="446">
        <f t="shared" ca="1" si="99"/>
        <v>6.8418958956029105E-2</v>
      </c>
      <c r="AK37" s="446">
        <f t="shared" ca="1" si="99"/>
        <v>6.8410672264465733E-2</v>
      </c>
      <c r="AL37" s="446">
        <f t="shared" ca="1" si="99"/>
        <v>6.8402246545147052E-2</v>
      </c>
      <c r="AM37" s="446">
        <f t="shared" ca="1" si="99"/>
        <v>6.8393908056671768E-2</v>
      </c>
      <c r="AN37" s="446">
        <f t="shared" ca="1" si="99"/>
        <v>6.838578958521363E-2</v>
      </c>
      <c r="AO37" s="446">
        <f t="shared" ca="1" si="99"/>
        <v>6.8377971224218237E-2</v>
      </c>
      <c r="AP37" s="446">
        <f t="shared" ca="1" si="99"/>
        <v>6.8370498028628268E-2</v>
      </c>
      <c r="AQ37" s="446">
        <f t="shared" ca="1" si="99"/>
        <v>6.8363392246924268E-2</v>
      </c>
      <c r="AR37" s="446">
        <f t="shared" ca="1" si="99"/>
        <v>6.8356662691706538E-2</v>
      </c>
      <c r="AS37" s="446">
        <f t="shared" ca="1" si="99"/>
        <v>6.8350309446980673E-2</v>
      </c>
      <c r="AT37" s="446">
        <f t="shared" ca="1" si="99"/>
        <v>6.8344325060841593E-2</v>
      </c>
      <c r="AU37" s="446">
        <f t="shared" ca="1" si="99"/>
        <v>6.8338696214664513E-2</v>
      </c>
      <c r="AV37" s="446">
        <f t="shared" ca="1" si="99"/>
        <v>6.9976875847246933E-2</v>
      </c>
      <c r="AW37" s="446">
        <f t="shared" ca="1" si="99"/>
        <v>6.8442418505135522E-2</v>
      </c>
      <c r="AX37" s="446">
        <f t="shared" ca="1" si="99"/>
        <v>6.9806292624898791E-2</v>
      </c>
      <c r="AZ37" s="2"/>
      <c r="BA37" s="2"/>
      <c r="BB37" s="2"/>
      <c r="BC37" s="2"/>
      <c r="BD37" s="2"/>
      <c r="BE37" s="2"/>
      <c r="BF37" s="2"/>
      <c r="BG37" s="2"/>
      <c r="BH37" s="2"/>
      <c r="BI37" s="2"/>
      <c r="BJ37" s="2"/>
      <c r="BK37" s="2"/>
      <c r="BL37" s="2"/>
      <c r="BM37" s="2"/>
    </row>
    <row r="38" spans="2:65" x14ac:dyDescent="0.3">
      <c r="C38" s="445" t="s">
        <v>414</v>
      </c>
      <c r="D38" s="16"/>
      <c r="E38" s="16"/>
      <c r="F38" s="16"/>
      <c r="G38" s="446">
        <f t="shared" ref="G38:V40" ca="1" si="100">G32/G$28</f>
        <v>9.4814736192302046E-2</v>
      </c>
      <c r="H38" s="446">
        <f t="shared" ca="1" si="100"/>
        <v>8.7457217665970505E-2</v>
      </c>
      <c r="I38" s="446">
        <f t="shared" ca="1" si="100"/>
        <v>8.1823331631038346E-2</v>
      </c>
      <c r="J38" s="446">
        <f t="shared" ca="1" si="100"/>
        <v>8.0620686201782699E-2</v>
      </c>
      <c r="K38" s="446">
        <f t="shared" ca="1" si="100"/>
        <v>8.0138582109659393E-2</v>
      </c>
      <c r="L38" s="446">
        <f t="shared" ca="1" si="100"/>
        <v>7.6047943510699448E-2</v>
      </c>
      <c r="M38" s="446">
        <f t="shared" ca="1" si="100"/>
        <v>7.5930377848471425E-2</v>
      </c>
      <c r="N38" s="446">
        <f t="shared" ca="1" si="100"/>
        <v>7.6687818301332658E-2</v>
      </c>
      <c r="O38" s="446">
        <f t="shared" ca="1" si="100"/>
        <v>7.7138883956652346E-2</v>
      </c>
      <c r="P38" s="446">
        <f t="shared" ca="1" si="100"/>
        <v>7.7426185526289618E-2</v>
      </c>
      <c r="Q38" s="446">
        <f t="shared" ca="1" si="100"/>
        <v>7.7686316392018159E-2</v>
      </c>
      <c r="R38" s="446">
        <f t="shared" ca="1" si="100"/>
        <v>7.7931549466111458E-2</v>
      </c>
      <c r="S38" s="446">
        <f t="shared" ca="1" si="100"/>
        <v>7.815567356021727E-2</v>
      </c>
      <c r="T38" s="446">
        <f t="shared" ca="1" si="100"/>
        <v>7.8612069921235095E-2</v>
      </c>
      <c r="U38" s="446">
        <f t="shared" ca="1" si="100"/>
        <v>7.9425314715001055E-2</v>
      </c>
      <c r="V38" s="446">
        <f t="shared" ca="1" si="100"/>
        <v>7.9841890011804834E-2</v>
      </c>
      <c r="W38" s="446">
        <f t="shared" ca="1" si="99"/>
        <v>8.0009695285673685E-2</v>
      </c>
      <c r="X38" s="446">
        <f t="shared" ca="1" si="99"/>
        <v>8.0161945914781568E-2</v>
      </c>
      <c r="Y38" s="446">
        <f t="shared" ca="1" si="99"/>
        <v>8.0222647230141747E-2</v>
      </c>
      <c r="Z38" s="446">
        <f t="shared" ca="1" si="99"/>
        <v>8.0277259329317688E-2</v>
      </c>
      <c r="AA38" s="446">
        <f t="shared" ca="1" si="99"/>
        <v>8.0361086841393037E-2</v>
      </c>
      <c r="AB38" s="446">
        <f t="shared" ca="1" si="99"/>
        <v>8.0417920661707096E-2</v>
      </c>
      <c r="AC38" s="446">
        <f t="shared" ca="1" si="99"/>
        <v>8.0388585069631716E-2</v>
      </c>
      <c r="AD38" s="446">
        <f t="shared" ca="1" si="99"/>
        <v>8.0401838037201148E-2</v>
      </c>
      <c r="AE38" s="446">
        <f t="shared" ca="1" si="99"/>
        <v>8.045427388442053E-2</v>
      </c>
      <c r="AF38" s="446">
        <f t="shared" ca="1" si="99"/>
        <v>8.0515331290073308E-2</v>
      </c>
      <c r="AG38" s="446">
        <f t="shared" ca="1" si="99"/>
        <v>8.0578671135357466E-2</v>
      </c>
      <c r="AH38" s="446">
        <f t="shared" ca="1" si="99"/>
        <v>8.057325354275402E-2</v>
      </c>
      <c r="AI38" s="446">
        <f t="shared" ca="1" si="99"/>
        <v>8.0603943133061087E-2</v>
      </c>
      <c r="AJ38" s="446">
        <f t="shared" ca="1" si="99"/>
        <v>8.0642412112658685E-2</v>
      </c>
      <c r="AK38" s="446">
        <f t="shared" ca="1" si="99"/>
        <v>8.0683683703011391E-2</v>
      </c>
      <c r="AL38" s="446">
        <f t="shared" ca="1" si="99"/>
        <v>8.0725647716452562E-2</v>
      </c>
      <c r="AM38" s="446">
        <f t="shared" ca="1" si="99"/>
        <v>8.0767177279593635E-2</v>
      </c>
      <c r="AN38" s="446">
        <f t="shared" ca="1" si="99"/>
        <v>8.0807611055334932E-2</v>
      </c>
      <c r="AO38" s="446">
        <f t="shared" ca="1" si="99"/>
        <v>8.0846550140947576E-2</v>
      </c>
      <c r="AP38" s="446">
        <f t="shared" ca="1" si="99"/>
        <v>8.0883770141795375E-2</v>
      </c>
      <c r="AQ38" s="446">
        <f t="shared" ca="1" si="99"/>
        <v>8.0919160250064986E-2</v>
      </c>
      <c r="AR38" s="446">
        <f t="shared" ca="1" si="99"/>
        <v>8.0952676574894716E-2</v>
      </c>
      <c r="AS38" s="446">
        <f t="shared" ca="1" si="99"/>
        <v>8.0984318697897614E-2</v>
      </c>
      <c r="AT38" s="446">
        <f t="shared" ca="1" si="99"/>
        <v>8.1014123733038151E-2</v>
      </c>
      <c r="AU38" s="446">
        <f t="shared" ca="1" si="99"/>
        <v>8.1042158013281629E-2</v>
      </c>
      <c r="AV38" s="446">
        <f t="shared" ca="1" si="99"/>
        <v>8.0145545094181342E-2</v>
      </c>
      <c r="AW38" s="446">
        <f t="shared" ca="1" si="99"/>
        <v>8.0525572612457672E-2</v>
      </c>
      <c r="AX38" s="446">
        <f t="shared" ca="1" si="99"/>
        <v>8.0187792158905452E-2</v>
      </c>
      <c r="AZ38" s="2"/>
      <c r="BA38" s="2"/>
      <c r="BB38" s="2"/>
      <c r="BC38" s="2"/>
      <c r="BD38" s="2"/>
      <c r="BE38" s="2"/>
      <c r="BF38" s="2"/>
      <c r="BG38" s="2"/>
      <c r="BH38" s="2"/>
      <c r="BI38" s="2"/>
      <c r="BJ38" s="2"/>
      <c r="BK38" s="2"/>
      <c r="BL38" s="2"/>
      <c r="BM38" s="2"/>
    </row>
    <row r="39" spans="2:65" x14ac:dyDescent="0.3">
      <c r="C39" s="445" t="s">
        <v>415</v>
      </c>
      <c r="D39" s="16"/>
      <c r="E39" s="16"/>
      <c r="F39" s="16"/>
      <c r="G39" s="446">
        <f t="shared" ca="1" si="100"/>
        <v>0.14862850538252753</v>
      </c>
      <c r="H39" s="446">
        <f t="shared" ca="1" si="99"/>
        <v>0.13709509796287267</v>
      </c>
      <c r="I39" s="446">
        <f t="shared" ca="1" si="99"/>
        <v>0.12826360093514116</v>
      </c>
      <c r="J39" s="446">
        <f t="shared" ca="1" si="99"/>
        <v>0.12637837296495669</v>
      </c>
      <c r="K39" s="446">
        <f t="shared" ca="1" si="99"/>
        <v>0.12562264222595257</v>
      </c>
      <c r="L39" s="446">
        <f t="shared" ca="1" si="99"/>
        <v>0.11921028982758293</v>
      </c>
      <c r="M39" s="446">
        <f t="shared" ca="1" si="99"/>
        <v>0.11902599770841467</v>
      </c>
      <c r="N39" s="446">
        <f t="shared" ca="1" si="99"/>
        <v>0.1202133367966836</v>
      </c>
      <c r="O39" s="446">
        <f t="shared" ca="1" si="99"/>
        <v>0.12092041268880639</v>
      </c>
      <c r="P39" s="446">
        <f t="shared" ca="1" si="99"/>
        <v>0.12137077731148101</v>
      </c>
      <c r="Q39" s="446">
        <f t="shared" ca="1" si="99"/>
        <v>0.12177855001992034</v>
      </c>
      <c r="R39" s="446">
        <f t="shared" ca="1" si="99"/>
        <v>0.1221629694333639</v>
      </c>
      <c r="S39" s="446">
        <f t="shared" ca="1" si="99"/>
        <v>0.12251429909439462</v>
      </c>
      <c r="T39" s="446">
        <f t="shared" ca="1" si="99"/>
        <v>0.12322973122788207</v>
      </c>
      <c r="U39" s="446">
        <f t="shared" ca="1" si="99"/>
        <v>0.12450454739108274</v>
      </c>
      <c r="V39" s="446">
        <f t="shared" ca="1" si="99"/>
        <v>0.12515755731580216</v>
      </c>
      <c r="W39" s="446">
        <f t="shared" ca="1" si="99"/>
        <v>0.12542060342078579</v>
      </c>
      <c r="X39" s="446">
        <f t="shared" ca="1" si="99"/>
        <v>0.12565926656911702</v>
      </c>
      <c r="Y39" s="446">
        <f t="shared" ca="1" si="99"/>
        <v>0.12575441998238435</v>
      </c>
      <c r="Z39" s="446">
        <f t="shared" ca="1" si="99"/>
        <v>0.12584002813784934</v>
      </c>
      <c r="AA39" s="446">
        <f t="shared" ca="1" si="99"/>
        <v>0.12597143342704856</v>
      </c>
      <c r="AB39" s="446">
        <f t="shared" ca="1" si="99"/>
        <v>0.12606052428051381</v>
      </c>
      <c r="AC39" s="446">
        <f t="shared" ca="1" si="99"/>
        <v>0.12601453875780108</v>
      </c>
      <c r="AD39" s="446">
        <f t="shared" ca="1" si="99"/>
        <v>0.12603531367993692</v>
      </c>
      <c r="AE39" s="446">
        <f t="shared" ca="1" si="99"/>
        <v>0.12611751041341593</v>
      </c>
      <c r="AF39" s="446">
        <f t="shared" ca="1" si="99"/>
        <v>0.12621322202227708</v>
      </c>
      <c r="AG39" s="446">
        <f t="shared" ca="1" si="99"/>
        <v>0.12631251150947928</v>
      </c>
      <c r="AH39" s="446">
        <f t="shared" ca="1" si="99"/>
        <v>0.12630401906701982</v>
      </c>
      <c r="AI39" s="446">
        <f t="shared" ca="1" si="99"/>
        <v>0.12635212707344709</v>
      </c>
      <c r="AJ39" s="446">
        <f t="shared" ca="1" si="99"/>
        <v>0.1264124297982217</v>
      </c>
      <c r="AK39" s="446">
        <f t="shared" ca="1" si="99"/>
        <v>0.12647712580472056</v>
      </c>
      <c r="AL39" s="446">
        <f t="shared" ca="1" si="99"/>
        <v>0.12654290723119588</v>
      </c>
      <c r="AM39" s="446">
        <f t="shared" ca="1" si="99"/>
        <v>0.12660800762747113</v>
      </c>
      <c r="AN39" s="446">
        <f t="shared" ca="1" si="99"/>
        <v>0.12667139030295743</v>
      </c>
      <c r="AO39" s="446">
        <f t="shared" ca="1" si="99"/>
        <v>0.12673242995067457</v>
      </c>
      <c r="AP39" s="446">
        <f t="shared" ca="1" si="99"/>
        <v>0.12679077481686843</v>
      </c>
      <c r="AQ39" s="446">
        <f t="shared" ca="1" si="99"/>
        <v>0.12684625120280457</v>
      </c>
      <c r="AR39" s="446">
        <f t="shared" ca="1" si="99"/>
        <v>0.12689879030659168</v>
      </c>
      <c r="AS39" s="446">
        <f t="shared" ca="1" si="99"/>
        <v>0.12694839147238002</v>
      </c>
      <c r="AT39" s="446">
        <f t="shared" ca="1" si="99"/>
        <v>0.12699511287881654</v>
      </c>
      <c r="AU39" s="446">
        <f t="shared" ca="1" si="99"/>
        <v>0.12703905850730635</v>
      </c>
      <c r="AV39" s="446">
        <f t="shared" ca="1" si="99"/>
        <v>0.1256335571746626</v>
      </c>
      <c r="AW39" s="446">
        <f t="shared" ca="1" si="99"/>
        <v>0.1262292759870958</v>
      </c>
      <c r="AX39" s="446">
        <f t="shared" ca="1" si="99"/>
        <v>0.12569978230314902</v>
      </c>
      <c r="AZ39" s="2"/>
      <c r="BA39" s="2"/>
      <c r="BB39" s="2"/>
      <c r="BC39" s="2"/>
      <c r="BD39" s="2"/>
      <c r="BE39" s="2"/>
      <c r="BF39" s="2"/>
      <c r="BG39" s="2"/>
      <c r="BH39" s="2"/>
      <c r="BI39" s="2"/>
      <c r="BJ39" s="2"/>
      <c r="BK39" s="2"/>
      <c r="BL39" s="2"/>
      <c r="BM39" s="2"/>
    </row>
    <row r="40" spans="2:65" x14ac:dyDescent="0.3">
      <c r="C40" s="445" t="s">
        <v>416</v>
      </c>
      <c r="G40" s="446">
        <f t="shared" ca="1" si="100"/>
        <v>1.7937923063408502E-2</v>
      </c>
      <c r="H40" s="446">
        <f t="shared" ca="1" si="99"/>
        <v>1.6686964166028974E-2</v>
      </c>
      <c r="I40" s="446">
        <f t="shared" ca="1" si="99"/>
        <v>1.5679242063260244E-2</v>
      </c>
      <c r="J40" s="446">
        <f t="shared" ca="1" si="99"/>
        <v>1.5460962970901953E-2</v>
      </c>
      <c r="K40" s="446">
        <f t="shared" ca="1" si="99"/>
        <v>1.5348201622862609E-2</v>
      </c>
      <c r="L40" s="446">
        <f t="shared" ca="1" si="99"/>
        <v>1.4568425000180709E-2</v>
      </c>
      <c r="M40" s="446">
        <f t="shared" ca="1" si="99"/>
        <v>1.4549036607461995E-2</v>
      </c>
      <c r="N40" s="446">
        <f t="shared" ca="1" si="99"/>
        <v>1.4667519020262915E-2</v>
      </c>
      <c r="O40" s="446">
        <f t="shared" ca="1" si="99"/>
        <v>1.4737766191326943E-2</v>
      </c>
      <c r="P40" s="446">
        <f t="shared" ca="1" si="99"/>
        <v>1.4782295919867865E-2</v>
      </c>
      <c r="Q40" s="446">
        <f t="shared" ca="1" si="99"/>
        <v>1.4822609357820473E-2</v>
      </c>
      <c r="R40" s="446">
        <f t="shared" ca="1" si="99"/>
        <v>1.4860647393623435E-2</v>
      </c>
      <c r="S40" s="446">
        <f t="shared" ca="1" si="99"/>
        <v>1.4895399556772288E-2</v>
      </c>
      <c r="T40" s="446">
        <f t="shared" ca="1" si="99"/>
        <v>1.4966781350127063E-2</v>
      </c>
      <c r="U40" s="446">
        <f t="shared" ca="1" si="99"/>
        <v>1.5094383958292013E-2</v>
      </c>
      <c r="V40" s="446">
        <f t="shared" ca="1" si="99"/>
        <v>1.5159588935617229E-2</v>
      </c>
      <c r="W40" s="446">
        <f t="shared" ca="1" si="99"/>
        <v>1.5185661289277569E-2</v>
      </c>
      <c r="X40" s="446">
        <f t="shared" ca="1" si="99"/>
        <v>1.5209329976852128E-2</v>
      </c>
      <c r="Y40" s="446">
        <f t="shared" ca="1" si="99"/>
        <v>1.5218747317113472E-2</v>
      </c>
      <c r="Z40" s="446">
        <f t="shared" ca="1" si="99"/>
        <v>1.5227225498374726E-2</v>
      </c>
      <c r="AA40" s="446">
        <f t="shared" ca="1" si="99"/>
        <v>1.5240249565980246E-2</v>
      </c>
      <c r="AB40" s="446">
        <f t="shared" ca="1" si="99"/>
        <v>1.5248613957196032E-2</v>
      </c>
      <c r="AC40" s="446">
        <f t="shared" ca="1" si="99"/>
        <v>1.5242888333191439E-2</v>
      </c>
      <c r="AD40" s="446">
        <f t="shared" ca="1" si="99"/>
        <v>1.5244973869234452E-2</v>
      </c>
      <c r="AE40" s="446">
        <f t="shared" ca="1" si="99"/>
        <v>1.5253225368285437E-2</v>
      </c>
      <c r="AF40" s="446">
        <f t="shared" ca="1" si="99"/>
        <v>1.5262833587690986E-2</v>
      </c>
      <c r="AG40" s="446">
        <f t="shared" ca="1" si="99"/>
        <v>1.5272800980247176E-2</v>
      </c>
      <c r="AH40" s="446">
        <f t="shared" ca="1" si="99"/>
        <v>1.5271948447817613E-2</v>
      </c>
      <c r="AI40" s="446">
        <f t="shared" ca="1" si="99"/>
        <v>1.5276777875369997E-2</v>
      </c>
      <c r="AJ40" s="446">
        <f t="shared" ca="1" si="99"/>
        <v>1.5282831496422671E-2</v>
      </c>
      <c r="AK40" s="446">
        <f t="shared" ca="1" si="99"/>
        <v>1.5289326146679834E-2</v>
      </c>
      <c r="AL40" s="446">
        <f t="shared" ca="1" si="99"/>
        <v>1.5295929759197753E-2</v>
      </c>
      <c r="AM40" s="446">
        <f t="shared" ca="1" si="99"/>
        <v>1.5302465005007981E-2</v>
      </c>
      <c r="AN40" s="446">
        <f t="shared" ca="1" si="99"/>
        <v>1.5308827813656067E-2</v>
      </c>
      <c r="AO40" s="446">
        <f t="shared" ca="1" si="99"/>
        <v>1.5314955412331736E-2</v>
      </c>
      <c r="AP40" s="446">
        <f t="shared" ca="1" si="99"/>
        <v>1.5320812489464266E-2</v>
      </c>
      <c r="AQ40" s="446">
        <f t="shared" ca="1" si="99"/>
        <v>1.5326381607925897E-2</v>
      </c>
      <c r="AR40" s="446">
        <f t="shared" ca="1" si="99"/>
        <v>1.533165586088815E-2</v>
      </c>
      <c r="AS40" s="446">
        <f t="shared" ca="1" si="99"/>
        <v>1.5336635182512099E-2</v>
      </c>
      <c r="AT40" s="446">
        <f t="shared" ca="1" si="99"/>
        <v>1.5341325413188603E-2</v>
      </c>
      <c r="AU40" s="446">
        <f t="shared" ca="1" si="99"/>
        <v>1.5345736991318665E-2</v>
      </c>
      <c r="AV40" s="446">
        <f t="shared" ca="1" si="99"/>
        <v>1.5249323443927527E-2</v>
      </c>
      <c r="AW40" s="446">
        <f t="shared" ca="1" si="99"/>
        <v>1.5264445200097723E-2</v>
      </c>
      <c r="AX40" s="446">
        <f t="shared" ca="1" si="99"/>
        <v>1.5251004505905781E-2</v>
      </c>
      <c r="AZ40" s="2"/>
      <c r="BA40" s="2"/>
      <c r="BB40" s="2"/>
      <c r="BC40" s="2"/>
      <c r="BD40" s="2"/>
      <c r="BE40" s="2"/>
      <c r="BF40" s="2"/>
      <c r="BG40" s="2"/>
      <c r="BH40" s="2"/>
      <c r="BI40" s="2"/>
      <c r="BJ40" s="2"/>
      <c r="BK40" s="2"/>
      <c r="BL40" s="2"/>
      <c r="BM40" s="2"/>
    </row>
    <row r="41" spans="2:65" x14ac:dyDescent="0.3">
      <c r="C41" s="73"/>
      <c r="AZ41" s="2"/>
      <c r="BA41" s="2"/>
      <c r="BB41" s="2"/>
      <c r="BC41" s="2"/>
      <c r="BD41" s="2"/>
      <c r="BE41" s="2"/>
      <c r="BF41" s="2"/>
      <c r="BG41" s="2"/>
      <c r="BH41" s="2"/>
      <c r="BI41" s="2"/>
      <c r="BJ41" s="2"/>
      <c r="BK41" s="2"/>
      <c r="BL41" s="2"/>
      <c r="BM41" s="2"/>
    </row>
    <row r="42" spans="2:65" x14ac:dyDescent="0.3">
      <c r="B42" s="1" t="s">
        <v>417</v>
      </c>
      <c r="G42" s="422">
        <f ca="1">G28-G35</f>
        <v>790798.47972019552</v>
      </c>
      <c r="H42" s="422">
        <f t="shared" ref="H42:AX42" ca="1" si="101">H28-H35</f>
        <v>1370217.8492062101</v>
      </c>
      <c r="I42" s="422">
        <f t="shared" ca="1" si="101"/>
        <v>1177253.5707133058</v>
      </c>
      <c r="J42" s="422">
        <f t="shared" ca="1" si="101"/>
        <v>1179245.5392585972</v>
      </c>
      <c r="K42" s="422">
        <f t="shared" ca="1" si="101"/>
        <v>1198818.5938536816</v>
      </c>
      <c r="L42" s="422">
        <f t="shared" ca="1" si="101"/>
        <v>1238043.6994460174</v>
      </c>
      <c r="M42" s="422">
        <f t="shared" ca="1" si="101"/>
        <v>1221517.9540333934</v>
      </c>
      <c r="N42" s="422">
        <f t="shared" ca="1" si="101"/>
        <v>1190183.619203985</v>
      </c>
      <c r="O42" s="422">
        <f t="shared" ca="1" si="101"/>
        <v>1170893.8251621006</v>
      </c>
      <c r="P42" s="422">
        <f t="shared" ca="1" si="101"/>
        <v>1160693.5827085078</v>
      </c>
      <c r="Q42" s="422">
        <f t="shared" ca="1" si="101"/>
        <v>1154093.9998964416</v>
      </c>
      <c r="R42" s="422">
        <f t="shared" ca="1" si="101"/>
        <v>1150804.7946815591</v>
      </c>
      <c r="S42" s="422">
        <f t="shared" ca="1" si="101"/>
        <v>1148880.1486402745</v>
      </c>
      <c r="T42" s="422">
        <f t="shared" ca="1" si="101"/>
        <v>1143228.0137416786</v>
      </c>
      <c r="U42" s="422">
        <f t="shared" ca="1" si="101"/>
        <v>1130103.4957997231</v>
      </c>
      <c r="V42" s="422">
        <f t="shared" ca="1" si="101"/>
        <v>1128524.5615944236</v>
      </c>
      <c r="W42" s="422">
        <f t="shared" ca="1" si="101"/>
        <v>1133381.7575086614</v>
      </c>
      <c r="X42" s="422">
        <f t="shared" ca="1" si="101"/>
        <v>1139710.0970695643</v>
      </c>
      <c r="Y42" s="422">
        <f t="shared" ca="1" si="101"/>
        <v>1076607.9648526048</v>
      </c>
      <c r="Z42" s="422">
        <f t="shared" ca="1" si="101"/>
        <v>1014075.160759968</v>
      </c>
      <c r="AA42" s="422">
        <f t="shared" ca="1" si="101"/>
        <v>982696.06422019005</v>
      </c>
      <c r="AB42" s="422">
        <f t="shared" ca="1" si="101"/>
        <v>945632.98230930138</v>
      </c>
      <c r="AC42" s="422">
        <f t="shared" ca="1" si="101"/>
        <v>855570.15039008157</v>
      </c>
      <c r="AD42" s="422">
        <f t="shared" ca="1" si="101"/>
        <v>779580.85350198532</v>
      </c>
      <c r="AE42" s="422">
        <f t="shared" ca="1" si="101"/>
        <v>737907.92622826644</v>
      </c>
      <c r="AF42" s="422">
        <f t="shared" ca="1" si="101"/>
        <v>706690.70520569792</v>
      </c>
      <c r="AG42" s="422">
        <f t="shared" ca="1" si="101"/>
        <v>681352.95640673896</v>
      </c>
      <c r="AH42" s="422">
        <f t="shared" ca="1" si="101"/>
        <v>609501.28211359913</v>
      </c>
      <c r="AI42" s="422">
        <f t="shared" ca="1" si="101"/>
        <v>568054.96416063176</v>
      </c>
      <c r="AJ42" s="422">
        <f t="shared" ca="1" si="101"/>
        <v>535103.77454176033</v>
      </c>
      <c r="AK42" s="422">
        <f t="shared" ca="1" si="101"/>
        <v>506979.01272140769</v>
      </c>
      <c r="AL42" s="422">
        <f t="shared" ca="1" si="101"/>
        <v>482128.99006035179</v>
      </c>
      <c r="AM42" s="422">
        <f t="shared" ca="1" si="101"/>
        <v>459695.44618164783</v>
      </c>
      <c r="AN42" s="422">
        <f t="shared" ca="1" si="101"/>
        <v>439134.3024116478</v>
      </c>
      <c r="AO42" s="422">
        <f t="shared" ca="1" si="101"/>
        <v>420072.39264745603</v>
      </c>
      <c r="AP42" s="422">
        <f t="shared" ca="1" si="101"/>
        <v>402248.47355884162</v>
      </c>
      <c r="AQ42" s="422">
        <f t="shared" ca="1" si="101"/>
        <v>385474.71484882187</v>
      </c>
      <c r="AR42" s="422">
        <f t="shared" ca="1" si="101"/>
        <v>369607.50069634372</v>
      </c>
      <c r="AS42" s="422">
        <f t="shared" ca="1" si="101"/>
        <v>354533.26532520482</v>
      </c>
      <c r="AT42" s="422">
        <f t="shared" ca="1" si="101"/>
        <v>340166.40769166802</v>
      </c>
      <c r="AU42" s="422">
        <f t="shared" ca="1" si="101"/>
        <v>326445.47964452417</v>
      </c>
      <c r="AV42" s="422">
        <f t="shared" ca="1" si="101"/>
        <v>34805654.352717087</v>
      </c>
      <c r="AW42" s="422">
        <f t="shared" ca="1" si="101"/>
        <v>4356569.7980271131</v>
      </c>
      <c r="AX42" s="422">
        <f t="shared" ca="1" si="101"/>
        <v>39162224.1507442</v>
      </c>
      <c r="AZ42" s="2"/>
      <c r="BA42" s="2"/>
      <c r="BB42" s="2"/>
      <c r="BC42" s="2"/>
      <c r="BD42" s="2"/>
      <c r="BE42" s="2"/>
      <c r="BF42" s="2"/>
      <c r="BG42" s="2"/>
      <c r="BH42" s="2"/>
      <c r="BI42" s="2"/>
      <c r="BJ42" s="2"/>
      <c r="BK42" s="2"/>
      <c r="BL42" s="2"/>
      <c r="BM42" s="2"/>
    </row>
    <row r="43" spans="2:65" x14ac:dyDescent="0.3">
      <c r="C43" s="447" t="s">
        <v>418</v>
      </c>
      <c r="G43" s="446">
        <f ca="1">G42/G$28</f>
        <v>0.65917946179523856</v>
      </c>
      <c r="H43" s="446">
        <f t="shared" ref="H43:AX43" ca="1" si="102">H42/H$28</f>
        <v>0.68088409751480228</v>
      </c>
      <c r="I43" s="446">
        <f t="shared" ca="1" si="102"/>
        <v>0.69917982276316115</v>
      </c>
      <c r="J43" s="446">
        <f t="shared" ca="1" si="102"/>
        <v>0.70319177560646917</v>
      </c>
      <c r="K43" s="446">
        <f t="shared" ca="1" si="102"/>
        <v>0.7056496598448927</v>
      </c>
      <c r="L43" s="446">
        <f t="shared" ca="1" si="102"/>
        <v>0.72055135226464451</v>
      </c>
      <c r="M43" s="446">
        <f t="shared" ca="1" si="102"/>
        <v>0.72087796718112052</v>
      </c>
      <c r="N43" s="446">
        <f t="shared" ca="1" si="102"/>
        <v>0.71898999810001196</v>
      </c>
      <c r="O43" s="446">
        <f t="shared" ca="1" si="102"/>
        <v>0.71787613657555904</v>
      </c>
      <c r="P43" s="446">
        <f t="shared" ca="1" si="102"/>
        <v>0.71717385430342051</v>
      </c>
      <c r="Q43" s="446">
        <f t="shared" ca="1" si="102"/>
        <v>0.71653815723418568</v>
      </c>
      <c r="R43" s="446">
        <f t="shared" ca="1" si="102"/>
        <v>0.71593774459546344</v>
      </c>
      <c r="S43" s="446">
        <f t="shared" ca="1" si="102"/>
        <v>0.7153894061381485</v>
      </c>
      <c r="T43" s="446">
        <f t="shared" ca="1" si="102"/>
        <v>0.71425214117444835</v>
      </c>
      <c r="U43" s="446">
        <f t="shared" ca="1" si="102"/>
        <v>0.71221192436235448</v>
      </c>
      <c r="V43" s="446">
        <f t="shared" ca="1" si="102"/>
        <v>0.71117216079664991</v>
      </c>
      <c r="W43" s="446">
        <f t="shared" ca="1" si="102"/>
        <v>0.71075983325204162</v>
      </c>
      <c r="X43" s="446">
        <f t="shared" ca="1" si="102"/>
        <v>0.71038528561083791</v>
      </c>
      <c r="Y43" s="446">
        <f t="shared" ca="1" si="102"/>
        <v>0.71023660202474792</v>
      </c>
      <c r="Z43" s="446">
        <f t="shared" ca="1" si="102"/>
        <v>0.71010264734549244</v>
      </c>
      <c r="AA43" s="446">
        <f t="shared" ca="1" si="102"/>
        <v>0.70989668286263474</v>
      </c>
      <c r="AB43" s="446">
        <f t="shared" ca="1" si="102"/>
        <v>0.70977270693462768</v>
      </c>
      <c r="AC43" s="446">
        <f t="shared" ca="1" si="102"/>
        <v>0.70988406437245588</v>
      </c>
      <c r="AD43" s="446">
        <f t="shared" ca="1" si="102"/>
        <v>0.70985061193586763</v>
      </c>
      <c r="AE43" s="446">
        <f t="shared" ca="1" si="102"/>
        <v>0.70971825615631356</v>
      </c>
      <c r="AF43" s="446">
        <f t="shared" ca="1" si="102"/>
        <v>0.70956413829703857</v>
      </c>
      <c r="AG43" s="446">
        <f t="shared" ca="1" si="102"/>
        <v>0.70940425922491557</v>
      </c>
      <c r="AH43" s="446">
        <f t="shared" ca="1" si="102"/>
        <v>0.70941793402432018</v>
      </c>
      <c r="AI43" s="446">
        <f t="shared" ca="1" si="102"/>
        <v>0.70934046899105219</v>
      </c>
      <c r="AJ43" s="446">
        <f t="shared" ca="1" si="102"/>
        <v>0.70924336763666784</v>
      </c>
      <c r="AK43" s="446">
        <f t="shared" ca="1" si="102"/>
        <v>0.70913919208112242</v>
      </c>
      <c r="AL43" s="446">
        <f t="shared" ca="1" si="102"/>
        <v>0.70903326874800676</v>
      </c>
      <c r="AM43" s="446">
        <f t="shared" ca="1" si="102"/>
        <v>0.70892844203125549</v>
      </c>
      <c r="AN43" s="446">
        <f t="shared" ca="1" si="102"/>
        <v>0.70882638124283792</v>
      </c>
      <c r="AO43" s="446">
        <f t="shared" ca="1" si="102"/>
        <v>0.70872809327182784</v>
      </c>
      <c r="AP43" s="446">
        <f t="shared" ca="1" si="102"/>
        <v>0.70863414452324358</v>
      </c>
      <c r="AQ43" s="446">
        <f t="shared" ca="1" si="102"/>
        <v>0.70854481469228037</v>
      </c>
      <c r="AR43" s="446">
        <f t="shared" ca="1" si="102"/>
        <v>0.7084602145659189</v>
      </c>
      <c r="AS43" s="446">
        <f t="shared" ca="1" si="102"/>
        <v>0.70838034520022952</v>
      </c>
      <c r="AT43" s="446">
        <f t="shared" ca="1" si="102"/>
        <v>0.70830511291411513</v>
      </c>
      <c r="AU43" s="446">
        <f t="shared" ca="1" si="102"/>
        <v>0.70823435027342885</v>
      </c>
      <c r="AV43" s="446">
        <f t="shared" ca="1" si="102"/>
        <v>0.70899469843998164</v>
      </c>
      <c r="AW43" s="446">
        <f t="shared" ca="1" si="102"/>
        <v>0.70953828769521321</v>
      </c>
      <c r="AX43" s="446">
        <f t="shared" ca="1" si="102"/>
        <v>0.70905512840714102</v>
      </c>
      <c r="AZ43" s="2"/>
      <c r="BA43" s="2"/>
      <c r="BB43" s="2"/>
      <c r="BC43" s="2"/>
      <c r="BD43" s="2"/>
      <c r="BE43" s="2"/>
      <c r="BF43" s="2"/>
      <c r="BG43" s="2"/>
      <c r="BH43" s="2"/>
      <c r="BI43" s="2"/>
      <c r="BJ43" s="2"/>
      <c r="BK43" s="2"/>
      <c r="BL43" s="2"/>
      <c r="BM43" s="2"/>
    </row>
    <row r="44" spans="2:65" x14ac:dyDescent="0.3">
      <c r="AZ44" s="2"/>
      <c r="BA44" s="2"/>
      <c r="BB44" s="2"/>
      <c r="BC44" s="2"/>
      <c r="BD44" s="2"/>
      <c r="BE44" s="2"/>
      <c r="BF44" s="2"/>
      <c r="BG44" s="2"/>
      <c r="BH44" s="2"/>
      <c r="BI44" s="2"/>
      <c r="BJ44" s="2"/>
      <c r="BK44" s="2"/>
      <c r="BL44" s="2"/>
      <c r="BM44" s="2"/>
    </row>
    <row r="45" spans="2:65" x14ac:dyDescent="0.3">
      <c r="B45" t="s">
        <v>419</v>
      </c>
      <c r="G45" s="12">
        <f ca="1">+G105</f>
        <v>179756.71098004287</v>
      </c>
      <c r="H45" s="12">
        <f t="shared" ref="H45:AU45" ca="1" si="103">+H105</f>
        <v>378125.90301518957</v>
      </c>
      <c r="I45" s="12">
        <f t="shared" ca="1" si="103"/>
        <v>463034.16655362287</v>
      </c>
      <c r="J45" s="12">
        <f t="shared" ca="1" si="103"/>
        <v>527435.8524373495</v>
      </c>
      <c r="K45" s="12">
        <f t="shared" ca="1" si="103"/>
        <v>553589.04668223031</v>
      </c>
      <c r="L45" s="12">
        <f t="shared" ca="1" si="103"/>
        <v>555838.71069632214</v>
      </c>
      <c r="M45" s="12">
        <f t="shared" ca="1" si="103"/>
        <v>560513.20606681681</v>
      </c>
      <c r="N45" s="12">
        <f t="shared" ca="1" si="103"/>
        <v>557397.84885959444</v>
      </c>
      <c r="O45" s="12">
        <f t="shared" ca="1" si="103"/>
        <v>530557.38644309412</v>
      </c>
      <c r="P45" s="12">
        <f t="shared" ca="1" si="103"/>
        <v>499433.82805345848</v>
      </c>
      <c r="Q45" s="12">
        <f t="shared" ca="1" si="103"/>
        <v>475051.13678441494</v>
      </c>
      <c r="R45" s="12">
        <f t="shared" ca="1" si="103"/>
        <v>457764.08429360489</v>
      </c>
      <c r="S45" s="12">
        <f t="shared" ca="1" si="103"/>
        <v>445445.13889142708</v>
      </c>
      <c r="T45" s="12">
        <f t="shared" ca="1" si="103"/>
        <v>436965.50237831118</v>
      </c>
      <c r="U45" s="12">
        <f t="shared" ca="1" si="103"/>
        <v>429411.57854058145</v>
      </c>
      <c r="V45" s="12">
        <f t="shared" ca="1" si="103"/>
        <v>424089.54879497865</v>
      </c>
      <c r="W45" s="12">
        <f t="shared" ca="1" si="103"/>
        <v>419721.63807747286</v>
      </c>
      <c r="X45" s="12">
        <f t="shared" ca="1" si="103"/>
        <v>416027.46548945521</v>
      </c>
      <c r="Y45" s="12">
        <f t="shared" ca="1" si="103"/>
        <v>396697.78262120148</v>
      </c>
      <c r="Z45" s="12">
        <f t="shared" ca="1" si="103"/>
        <v>358601.45101595321</v>
      </c>
      <c r="AA45" s="12">
        <f t="shared" ca="1" si="103"/>
        <v>322909.37858663971</v>
      </c>
      <c r="AB45" s="12">
        <f t="shared" ca="1" si="103"/>
        <v>297019.20592049835</v>
      </c>
      <c r="AC45" s="12">
        <f t="shared" ca="1" si="103"/>
        <v>268194.51415489276</v>
      </c>
      <c r="AD45" s="12">
        <f t="shared" ca="1" si="103"/>
        <v>224394.41504312653</v>
      </c>
      <c r="AE45" s="12">
        <f t="shared" ca="1" si="103"/>
        <v>177810.62294153788</v>
      </c>
      <c r="AF45" s="12">
        <f t="shared" ca="1" si="103"/>
        <v>144916.72918729275</v>
      </c>
      <c r="AG45" s="12">
        <f t="shared" ca="1" si="103"/>
        <v>125862.52775999764</v>
      </c>
      <c r="AH45" s="12">
        <f t="shared" ca="1" si="103"/>
        <v>100931.26344255071</v>
      </c>
      <c r="AI45" s="12">
        <f t="shared" ca="1" si="103"/>
        <v>68594.106599019782</v>
      </c>
      <c r="AJ45" s="12">
        <f t="shared" ca="1" si="103"/>
        <v>44695.598376728973</v>
      </c>
      <c r="AK45" s="12">
        <f t="shared" ca="1" si="103"/>
        <v>31122.615638584379</v>
      </c>
      <c r="AL45" s="12">
        <f t="shared" ca="1" si="103"/>
        <v>23907.587766743331</v>
      </c>
      <c r="AM45" s="12">
        <f t="shared" ca="1" si="103"/>
        <v>16725.633907848984</v>
      </c>
      <c r="AN45" s="12">
        <f t="shared" ca="1" si="103"/>
        <v>9569.2120244563739</v>
      </c>
      <c r="AO45" s="12">
        <f t="shared" ca="1" si="103"/>
        <v>5831.8902524394571</v>
      </c>
      <c r="AP45" s="12">
        <f t="shared" ca="1" si="103"/>
        <v>5587.3160885302495</v>
      </c>
      <c r="AQ45" s="12">
        <f t="shared" ca="1" si="103"/>
        <v>5356.9466347549042</v>
      </c>
      <c r="AR45" s="12">
        <f t="shared" ca="1" si="103"/>
        <v>5138.8209459162435</v>
      </c>
      <c r="AS45" s="12">
        <f t="shared" ca="1" si="103"/>
        <v>4931.393841200098</v>
      </c>
      <c r="AT45" s="12">
        <f t="shared" ca="1" si="103"/>
        <v>4733.507205266249</v>
      </c>
      <c r="AU45" s="12">
        <f t="shared" ca="1" si="103"/>
        <v>4544.3370645361292</v>
      </c>
      <c r="AV45" s="12">
        <f t="shared" ref="AV45:AX45" si="104">+AV105</f>
        <v>0</v>
      </c>
      <c r="AW45" s="12">
        <f t="shared" ca="1" si="104"/>
        <v>447231.0200496359</v>
      </c>
      <c r="AX45" s="12">
        <f t="shared" si="104"/>
        <v>0</v>
      </c>
      <c r="AZ45" s="2"/>
      <c r="BA45" s="2"/>
      <c r="BB45" s="2"/>
      <c r="BC45" s="2"/>
      <c r="BD45" s="2"/>
      <c r="BE45" s="2"/>
      <c r="BF45" s="2"/>
      <c r="BG45" s="2"/>
      <c r="BH45" s="2"/>
      <c r="BI45" s="2"/>
      <c r="BJ45" s="2"/>
      <c r="BK45" s="2"/>
      <c r="BL45" s="2"/>
      <c r="BM45" s="2"/>
    </row>
    <row r="46" spans="2:65" x14ac:dyDescent="0.3">
      <c r="B46" s="9"/>
      <c r="C46" s="9" t="s">
        <v>420</v>
      </c>
      <c r="D46" s="9"/>
      <c r="E46" s="9"/>
      <c r="F46" s="9"/>
      <c r="G46" s="443">
        <f ca="1">+G42-G45</f>
        <v>611041.76874015271</v>
      </c>
      <c r="H46" s="443">
        <f t="shared" ref="H46:AU46" ca="1" si="105">+H42-H45</f>
        <v>992091.94619102054</v>
      </c>
      <c r="I46" s="443">
        <f t="shared" ca="1" si="105"/>
        <v>714219.40415968304</v>
      </c>
      <c r="J46" s="443">
        <f t="shared" ca="1" si="105"/>
        <v>651809.68682124768</v>
      </c>
      <c r="K46" s="443">
        <f t="shared" ca="1" si="105"/>
        <v>645229.54717145127</v>
      </c>
      <c r="L46" s="443">
        <f t="shared" ca="1" si="105"/>
        <v>682204.98874969524</v>
      </c>
      <c r="M46" s="443">
        <f t="shared" ca="1" si="105"/>
        <v>661004.7479665766</v>
      </c>
      <c r="N46" s="443">
        <f t="shared" ca="1" si="105"/>
        <v>632785.77034439053</v>
      </c>
      <c r="O46" s="443">
        <f t="shared" ca="1" si="105"/>
        <v>640336.43871900649</v>
      </c>
      <c r="P46" s="443">
        <f t="shared" ca="1" si="105"/>
        <v>661259.7546550493</v>
      </c>
      <c r="Q46" s="443">
        <f t="shared" ca="1" si="105"/>
        <v>679042.86311202659</v>
      </c>
      <c r="R46" s="443">
        <f t="shared" ca="1" si="105"/>
        <v>693040.71038795426</v>
      </c>
      <c r="S46" s="443">
        <f t="shared" ca="1" si="105"/>
        <v>703435.00974884746</v>
      </c>
      <c r="T46" s="443">
        <f t="shared" ca="1" si="105"/>
        <v>706262.51136336732</v>
      </c>
      <c r="U46" s="443">
        <f t="shared" ca="1" si="105"/>
        <v>700691.91725914157</v>
      </c>
      <c r="V46" s="443">
        <f t="shared" ca="1" si="105"/>
        <v>704435.01279944496</v>
      </c>
      <c r="W46" s="443">
        <f t="shared" ca="1" si="105"/>
        <v>713660.11943118856</v>
      </c>
      <c r="X46" s="443">
        <f t="shared" ca="1" si="105"/>
        <v>723682.63158010901</v>
      </c>
      <c r="Y46" s="443">
        <f t="shared" ca="1" si="105"/>
        <v>679910.18223140331</v>
      </c>
      <c r="Z46" s="443">
        <f t="shared" ca="1" si="105"/>
        <v>655473.70974401478</v>
      </c>
      <c r="AA46" s="443">
        <f t="shared" ca="1" si="105"/>
        <v>659786.6856335504</v>
      </c>
      <c r="AB46" s="443">
        <f t="shared" ca="1" si="105"/>
        <v>648613.77638880303</v>
      </c>
      <c r="AC46" s="443">
        <f t="shared" ca="1" si="105"/>
        <v>587375.63623518881</v>
      </c>
      <c r="AD46" s="443">
        <f t="shared" ca="1" si="105"/>
        <v>555186.43845885876</v>
      </c>
      <c r="AE46" s="443">
        <f t="shared" ca="1" si="105"/>
        <v>560097.30328672857</v>
      </c>
      <c r="AF46" s="443">
        <f t="shared" ca="1" si="105"/>
        <v>561773.97601840517</v>
      </c>
      <c r="AG46" s="443">
        <f t="shared" ca="1" si="105"/>
        <v>555490.42864674132</v>
      </c>
      <c r="AH46" s="443">
        <f t="shared" ca="1" si="105"/>
        <v>508570.0186710484</v>
      </c>
      <c r="AI46" s="443">
        <f t="shared" ca="1" si="105"/>
        <v>499460.85756161198</v>
      </c>
      <c r="AJ46" s="443">
        <f t="shared" ca="1" si="105"/>
        <v>490408.17616503139</v>
      </c>
      <c r="AK46" s="443">
        <f t="shared" ca="1" si="105"/>
        <v>475856.39708282333</v>
      </c>
      <c r="AL46" s="443">
        <f t="shared" ca="1" si="105"/>
        <v>458221.40229360847</v>
      </c>
      <c r="AM46" s="443">
        <f t="shared" ca="1" si="105"/>
        <v>442969.81227379886</v>
      </c>
      <c r="AN46" s="443">
        <f t="shared" ca="1" si="105"/>
        <v>429565.09038719145</v>
      </c>
      <c r="AO46" s="443">
        <f t="shared" ca="1" si="105"/>
        <v>414240.50239501655</v>
      </c>
      <c r="AP46" s="443">
        <f t="shared" ca="1" si="105"/>
        <v>396661.15747031139</v>
      </c>
      <c r="AQ46" s="443">
        <f t="shared" ca="1" si="105"/>
        <v>380117.76821406698</v>
      </c>
      <c r="AR46" s="443">
        <f t="shared" ca="1" si="105"/>
        <v>364468.67975042749</v>
      </c>
      <c r="AS46" s="443">
        <f t="shared" ca="1" si="105"/>
        <v>349601.87148400472</v>
      </c>
      <c r="AT46" s="443">
        <f t="shared" ca="1" si="105"/>
        <v>335432.90048640175</v>
      </c>
      <c r="AU46" s="443">
        <f t="shared" ca="1" si="105"/>
        <v>321901.14257998805</v>
      </c>
      <c r="AV46" s="443">
        <f t="shared" ref="AV46" ca="1" si="106">+AV42-AV45</f>
        <v>34805654.352717087</v>
      </c>
      <c r="AW46" s="443">
        <f t="shared" ref="AW46" ca="1" si="107">+AW42-AW45</f>
        <v>3909338.7779774773</v>
      </c>
      <c r="AX46" s="443">
        <f t="shared" ref="AX46" ca="1" si="108">+AX42-AX45</f>
        <v>39162224.1507442</v>
      </c>
    </row>
    <row r="47" spans="2:65" x14ac:dyDescent="0.3">
      <c r="C47" s="447" t="s">
        <v>418</v>
      </c>
      <c r="G47" s="448">
        <f ca="1">IFERROR(+G46/G28,"N/A")</f>
        <v>0.50934112113500829</v>
      </c>
      <c r="H47" s="448">
        <f t="shared" ref="H47:AU47" ca="1" si="109">IFERROR(+H46/H28,"N/A")</f>
        <v>0.49298703109531444</v>
      </c>
      <c r="I47" s="448">
        <f t="shared" ca="1" si="109"/>
        <v>0.42418032005781681</v>
      </c>
      <c r="J47" s="448">
        <f t="shared" ca="1" si="109"/>
        <v>0.38867835049984328</v>
      </c>
      <c r="K47" s="448">
        <f t="shared" ca="1" si="109"/>
        <v>0.37979558610264585</v>
      </c>
      <c r="L47" s="448">
        <f t="shared" ca="1" si="109"/>
        <v>0.3970487692681911</v>
      </c>
      <c r="M47" s="448">
        <f t="shared" ca="1" si="109"/>
        <v>0.39009149021332207</v>
      </c>
      <c r="N47" s="448">
        <f t="shared" ca="1" si="109"/>
        <v>0.38226592306985152</v>
      </c>
      <c r="O47" s="448">
        <f t="shared" ca="1" si="109"/>
        <v>0.39259088984649254</v>
      </c>
      <c r="P47" s="448">
        <f t="shared" ca="1" si="109"/>
        <v>0.40858174285331111</v>
      </c>
      <c r="Q47" s="448">
        <f t="shared" ca="1" si="109"/>
        <v>0.42159488036587717</v>
      </c>
      <c r="R47" s="448">
        <f t="shared" ca="1" si="109"/>
        <v>0.43115392410690018</v>
      </c>
      <c r="S47" s="448">
        <f t="shared" ca="1" si="109"/>
        <v>0.43801779887710185</v>
      </c>
      <c r="T47" s="448">
        <f t="shared" ca="1" si="109"/>
        <v>0.44125013112783346</v>
      </c>
      <c r="U47" s="448">
        <f t="shared" ca="1" si="109"/>
        <v>0.44158888157684362</v>
      </c>
      <c r="V47" s="448">
        <f t="shared" ca="1" si="109"/>
        <v>0.44391995286801783</v>
      </c>
      <c r="W47" s="448">
        <f t="shared" ca="1" si="109"/>
        <v>0.44754641948758145</v>
      </c>
      <c r="X47" s="448">
        <f t="shared" ca="1" si="109"/>
        <v>0.4510739127857879</v>
      </c>
      <c r="Y47" s="448">
        <f t="shared" ca="1" si="109"/>
        <v>0.44853569105460872</v>
      </c>
      <c r="Z47" s="448">
        <f t="shared" ca="1" si="109"/>
        <v>0.45899321328980747</v>
      </c>
      <c r="AA47" s="448">
        <f t="shared" ca="1" si="109"/>
        <v>0.47662791841938296</v>
      </c>
      <c r="AB47" s="448">
        <f t="shared" ca="1" si="109"/>
        <v>0.48683618743745649</v>
      </c>
      <c r="AC47" s="448">
        <f t="shared" ca="1" si="109"/>
        <v>0.48735758695401399</v>
      </c>
      <c r="AD47" s="448">
        <f t="shared" ca="1" si="109"/>
        <v>0.50552733729691601</v>
      </c>
      <c r="AE47" s="448">
        <f t="shared" ca="1" si="109"/>
        <v>0.5387003814938609</v>
      </c>
      <c r="AF47" s="448">
        <f t="shared" ca="1" si="109"/>
        <v>0.56405817180682361</v>
      </c>
      <c r="AG47" s="448">
        <f t="shared" ca="1" si="109"/>
        <v>0.57835997090094193</v>
      </c>
      <c r="AH47" s="448">
        <f t="shared" ca="1" si="109"/>
        <v>0.59194082529441039</v>
      </c>
      <c r="AI47" s="448">
        <f t="shared" ca="1" si="109"/>
        <v>0.62368577214870213</v>
      </c>
      <c r="AJ47" s="448">
        <f t="shared" ca="1" si="109"/>
        <v>0.6500024162186111</v>
      </c>
      <c r="AK47" s="448">
        <f t="shared" ca="1" si="109"/>
        <v>0.66560629238390168</v>
      </c>
      <c r="AL47" s="448">
        <f t="shared" ca="1" si="109"/>
        <v>0.67387405730956584</v>
      </c>
      <c r="AM47" s="448">
        <f t="shared" ca="1" si="109"/>
        <v>0.68313467425137819</v>
      </c>
      <c r="AN47" s="448">
        <f t="shared" ca="1" si="109"/>
        <v>0.69338028674876107</v>
      </c>
      <c r="AO47" s="448">
        <f t="shared" ca="1" si="109"/>
        <v>0.69888877859386755</v>
      </c>
      <c r="AP47" s="448">
        <f t="shared" ca="1" si="109"/>
        <v>0.69879106688134074</v>
      </c>
      <c r="AQ47" s="448">
        <f t="shared" ca="1" si="109"/>
        <v>0.69869815908964905</v>
      </c>
      <c r="AR47" s="448">
        <f t="shared" ca="1" si="109"/>
        <v>0.69861017044316531</v>
      </c>
      <c r="AS47" s="448">
        <f t="shared" ca="1" si="109"/>
        <v>0.69852710204025892</v>
      </c>
      <c r="AT47" s="448">
        <f t="shared" ca="1" si="109"/>
        <v>0.69844885644758914</v>
      </c>
      <c r="AU47" s="448">
        <f t="shared" ca="1" si="109"/>
        <v>0.69837525952470758</v>
      </c>
      <c r="AV47" s="448">
        <f t="shared" ref="AV47" ca="1" si="110">IFERROR(+AV46/AV28,"N/A")</f>
        <v>0.70899469843998164</v>
      </c>
      <c r="AW47" s="448">
        <f t="shared" ref="AW47" ca="1" si="111">IFERROR(+AW46/AW28,"N/A")</f>
        <v>0.63669943812280305</v>
      </c>
      <c r="AX47" s="448">
        <f t="shared" ref="AX47" ca="1" si="112">IFERROR(+AX46/AX28,"N/A")</f>
        <v>0.70905512840714102</v>
      </c>
    </row>
    <row r="49" spans="2:66" x14ac:dyDescent="0.3">
      <c r="B49" t="s">
        <v>421</v>
      </c>
      <c r="G49" s="12">
        <f ca="1">+G119</f>
        <v>8899.30153110229</v>
      </c>
      <c r="H49" s="12">
        <f t="shared" ref="H49:AW49" ca="1" si="113">+H119</f>
        <v>14881.379192865308</v>
      </c>
      <c r="I49" s="12">
        <f t="shared" ca="1" si="113"/>
        <v>249976.79145588903</v>
      </c>
      <c r="J49" s="12">
        <f t="shared" ca="1" si="113"/>
        <v>228133.39038743667</v>
      </c>
      <c r="K49" s="12">
        <f t="shared" ca="1" si="113"/>
        <v>225830.34151000794</v>
      </c>
      <c r="L49" s="12">
        <f t="shared" ca="1" si="113"/>
        <v>238771.74606239333</v>
      </c>
      <c r="M49" s="12">
        <f t="shared" ca="1" si="113"/>
        <v>231351.6617883018</v>
      </c>
      <c r="N49" s="12">
        <f t="shared" ca="1" si="113"/>
        <v>221475.01962053668</v>
      </c>
      <c r="O49" s="12">
        <f t="shared" ca="1" si="113"/>
        <v>224117.75355165225</v>
      </c>
      <c r="P49" s="12">
        <f t="shared" ca="1" si="113"/>
        <v>231440.91412926724</v>
      </c>
      <c r="Q49" s="12">
        <f t="shared" ca="1" si="113"/>
        <v>237665.0020892093</v>
      </c>
      <c r="R49" s="12">
        <f t="shared" ca="1" si="113"/>
        <v>242564.24863578397</v>
      </c>
      <c r="S49" s="12">
        <f t="shared" ca="1" si="113"/>
        <v>246202.25341209659</v>
      </c>
      <c r="T49" s="12">
        <f t="shared" ca="1" si="113"/>
        <v>247191.87897717854</v>
      </c>
      <c r="U49" s="12">
        <f t="shared" ca="1" si="113"/>
        <v>245242.17104069953</v>
      </c>
      <c r="V49" s="12">
        <f t="shared" ca="1" si="113"/>
        <v>246552.25447980571</v>
      </c>
      <c r="W49" s="12">
        <f t="shared" ca="1" si="113"/>
        <v>249781.04180091599</v>
      </c>
      <c r="X49" s="12">
        <f t="shared" ca="1" si="113"/>
        <v>253288.92105303812</v>
      </c>
      <c r="Y49" s="12">
        <f t="shared" ca="1" si="113"/>
        <v>237968.56378099113</v>
      </c>
      <c r="Z49" s="12">
        <f t="shared" ca="1" si="113"/>
        <v>229415.79841040517</v>
      </c>
      <c r="AA49" s="12">
        <f t="shared" ca="1" si="113"/>
        <v>230925.33997174262</v>
      </c>
      <c r="AB49" s="12">
        <f t="shared" ca="1" si="113"/>
        <v>227014.82173608104</v>
      </c>
      <c r="AC49" s="12">
        <f t="shared" ca="1" si="113"/>
        <v>205581.47268231606</v>
      </c>
      <c r="AD49" s="12">
        <f t="shared" ca="1" si="113"/>
        <v>194315.25346060056</v>
      </c>
      <c r="AE49" s="12">
        <f t="shared" ca="1" si="113"/>
        <v>196034.056150355</v>
      </c>
      <c r="AF49" s="12">
        <f t="shared" ca="1" si="113"/>
        <v>196620.89160644179</v>
      </c>
      <c r="AG49" s="12">
        <f t="shared" ca="1" si="113"/>
        <v>194421.65002635945</v>
      </c>
      <c r="AH49" s="12">
        <f t="shared" ca="1" si="113"/>
        <v>177999.50653486693</v>
      </c>
      <c r="AI49" s="12">
        <f t="shared" ca="1" si="113"/>
        <v>174811.30014656417</v>
      </c>
      <c r="AJ49" s="12">
        <f t="shared" ca="1" si="113"/>
        <v>171642.86165776098</v>
      </c>
      <c r="AK49" s="12">
        <f t="shared" ca="1" si="113"/>
        <v>166549.73897898814</v>
      </c>
      <c r="AL49" s="12">
        <f t="shared" ca="1" si="113"/>
        <v>160377.49080276294</v>
      </c>
      <c r="AM49" s="12">
        <f t="shared" ca="1" si="113"/>
        <v>155039.43429582959</v>
      </c>
      <c r="AN49" s="12">
        <f t="shared" ca="1" si="113"/>
        <v>150347.78163551699</v>
      </c>
      <c r="AO49" s="12">
        <f t="shared" ca="1" si="113"/>
        <v>144984.17583825579</v>
      </c>
      <c r="AP49" s="12">
        <f t="shared" ca="1" si="113"/>
        <v>138831.40511460896</v>
      </c>
      <c r="AQ49" s="12">
        <f t="shared" ca="1" si="113"/>
        <v>133041.21887492345</v>
      </c>
      <c r="AR49" s="12">
        <f t="shared" ca="1" si="113"/>
        <v>127564.03791264961</v>
      </c>
      <c r="AS49" s="12">
        <f t="shared" ca="1" si="113"/>
        <v>122360.65501940165</v>
      </c>
      <c r="AT49" s="12">
        <f t="shared" ca="1" si="113"/>
        <v>117401.5151702406</v>
      </c>
      <c r="AU49" s="12">
        <f t="shared" ca="1" si="113"/>
        <v>112665.39990299581</v>
      </c>
      <c r="AV49" s="12">
        <f ca="1">SUM(G49:AU49)</f>
        <v>7809280.44042884</v>
      </c>
      <c r="AW49" s="12">
        <f t="shared" ca="1" si="113"/>
        <v>1368268.5722921169</v>
      </c>
      <c r="AX49" s="12">
        <f ca="1">SUM(AV49:AW49)</f>
        <v>9177549.0127209574</v>
      </c>
    </row>
    <row r="50" spans="2:66" x14ac:dyDescent="0.3">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row>
    <row r="51" spans="2:66" x14ac:dyDescent="0.3">
      <c r="B51" t="s">
        <v>422</v>
      </c>
      <c r="G51" s="55">
        <f ca="1">+G46-G49</f>
        <v>602142.46720905043</v>
      </c>
      <c r="H51" s="55">
        <f t="shared" ref="H51:AU51" ca="1" si="114">+H46-H49</f>
        <v>977210.56699815521</v>
      </c>
      <c r="I51" s="55">
        <f t="shared" ca="1" si="114"/>
        <v>464242.61270379403</v>
      </c>
      <c r="J51" s="55">
        <f t="shared" ca="1" si="114"/>
        <v>423676.29643381102</v>
      </c>
      <c r="K51" s="55">
        <f t="shared" ca="1" si="114"/>
        <v>419399.20566144329</v>
      </c>
      <c r="L51" s="55">
        <f t="shared" ca="1" si="114"/>
        <v>443433.24268730194</v>
      </c>
      <c r="M51" s="55">
        <f t="shared" ca="1" si="114"/>
        <v>429653.08617827483</v>
      </c>
      <c r="N51" s="55">
        <f t="shared" ca="1" si="114"/>
        <v>411310.75072385382</v>
      </c>
      <c r="O51" s="55">
        <f t="shared" ca="1" si="114"/>
        <v>416218.68516735424</v>
      </c>
      <c r="P51" s="55">
        <f t="shared" ca="1" si="114"/>
        <v>429818.84052578209</v>
      </c>
      <c r="Q51" s="55">
        <f t="shared" ca="1" si="114"/>
        <v>441377.86102281732</v>
      </c>
      <c r="R51" s="55">
        <f t="shared" ca="1" si="114"/>
        <v>450476.46175217029</v>
      </c>
      <c r="S51" s="55">
        <f t="shared" ca="1" si="114"/>
        <v>457232.75633675087</v>
      </c>
      <c r="T51" s="55">
        <f t="shared" ca="1" si="114"/>
        <v>459070.63238618878</v>
      </c>
      <c r="U51" s="55">
        <f t="shared" ca="1" si="114"/>
        <v>455449.74621844204</v>
      </c>
      <c r="V51" s="55">
        <f t="shared" ca="1" si="114"/>
        <v>457882.75831963925</v>
      </c>
      <c r="W51" s="55">
        <f t="shared" ca="1" si="114"/>
        <v>463879.0776302726</v>
      </c>
      <c r="X51" s="55">
        <f t="shared" ca="1" si="114"/>
        <v>470393.71052707091</v>
      </c>
      <c r="Y51" s="55">
        <f t="shared" ca="1" si="114"/>
        <v>441941.61845041218</v>
      </c>
      <c r="Z51" s="55">
        <f t="shared" ca="1" si="114"/>
        <v>426057.91133360961</v>
      </c>
      <c r="AA51" s="55">
        <f t="shared" ca="1" si="114"/>
        <v>428861.34566180781</v>
      </c>
      <c r="AB51" s="55">
        <f t="shared" ca="1" si="114"/>
        <v>421598.95465272199</v>
      </c>
      <c r="AC51" s="55">
        <f t="shared" ca="1" si="114"/>
        <v>381794.16355287272</v>
      </c>
      <c r="AD51" s="55">
        <f t="shared" ca="1" si="114"/>
        <v>360871.18499825819</v>
      </c>
      <c r="AE51" s="55">
        <f t="shared" ca="1" si="114"/>
        <v>364063.24713637354</v>
      </c>
      <c r="AF51" s="55">
        <f t="shared" ca="1" si="114"/>
        <v>365153.08441196335</v>
      </c>
      <c r="AG51" s="55">
        <f t="shared" ca="1" si="114"/>
        <v>361068.77862038184</v>
      </c>
      <c r="AH51" s="55">
        <f t="shared" ca="1" si="114"/>
        <v>330570.51213618147</v>
      </c>
      <c r="AI51" s="55">
        <f t="shared" ca="1" si="114"/>
        <v>324649.55741504778</v>
      </c>
      <c r="AJ51" s="55">
        <f t="shared" ca="1" si="114"/>
        <v>318765.31450727041</v>
      </c>
      <c r="AK51" s="55">
        <f t="shared" ca="1" si="114"/>
        <v>309306.65810383519</v>
      </c>
      <c r="AL51" s="55">
        <f t="shared" ca="1" si="114"/>
        <v>297843.91149084549</v>
      </c>
      <c r="AM51" s="55">
        <f t="shared" ca="1" si="114"/>
        <v>287930.37797796924</v>
      </c>
      <c r="AN51" s="55">
        <f t="shared" ca="1" si="114"/>
        <v>279217.30875167449</v>
      </c>
      <c r="AO51" s="55">
        <f t="shared" ca="1" si="114"/>
        <v>269256.32655676076</v>
      </c>
      <c r="AP51" s="55">
        <f t="shared" ca="1" si="114"/>
        <v>257829.75235570243</v>
      </c>
      <c r="AQ51" s="55">
        <f t="shared" ca="1" si="114"/>
        <v>247076.54933914353</v>
      </c>
      <c r="AR51" s="55">
        <f t="shared" ca="1" si="114"/>
        <v>236904.64183777786</v>
      </c>
      <c r="AS51" s="55">
        <f t="shared" ca="1" si="114"/>
        <v>227241.21646460309</v>
      </c>
      <c r="AT51" s="55">
        <f t="shared" ca="1" si="114"/>
        <v>218031.38531616115</v>
      </c>
      <c r="AU51" s="55">
        <f t="shared" ca="1" si="114"/>
        <v>209235.74267699226</v>
      </c>
      <c r="AV51" s="55">
        <f t="shared" ref="AV51:AV56" ca="1" si="115">SUM(G51:AU51)</f>
        <v>16038138.302230537</v>
      </c>
      <c r="AW51" s="55">
        <f t="shared" ref="AW51" ca="1" si="116">+AW46-AW49</f>
        <v>2541070.2056853604</v>
      </c>
      <c r="AX51" s="55">
        <f ca="1">SUM(AV51:AW51)</f>
        <v>18579208.507915899</v>
      </c>
    </row>
    <row r="52" spans="2:66" x14ac:dyDescent="0.3">
      <c r="B52" t="s">
        <v>423</v>
      </c>
      <c r="G52" s="12">
        <f ca="1">+G45</f>
        <v>179756.71098004287</v>
      </c>
      <c r="H52" s="12">
        <f t="shared" ref="H52:AU52" ca="1" si="117">+H45</f>
        <v>378125.90301518957</v>
      </c>
      <c r="I52" s="12">
        <f t="shared" ca="1" si="117"/>
        <v>463034.16655362287</v>
      </c>
      <c r="J52" s="12">
        <f t="shared" ca="1" si="117"/>
        <v>527435.8524373495</v>
      </c>
      <c r="K52" s="12">
        <f t="shared" ca="1" si="117"/>
        <v>553589.04668223031</v>
      </c>
      <c r="L52" s="12">
        <f t="shared" ca="1" si="117"/>
        <v>555838.71069632214</v>
      </c>
      <c r="M52" s="12">
        <f t="shared" ca="1" si="117"/>
        <v>560513.20606681681</v>
      </c>
      <c r="N52" s="12">
        <f t="shared" ca="1" si="117"/>
        <v>557397.84885959444</v>
      </c>
      <c r="O52" s="12">
        <f t="shared" ca="1" si="117"/>
        <v>530557.38644309412</v>
      </c>
      <c r="P52" s="12">
        <f t="shared" ca="1" si="117"/>
        <v>499433.82805345848</v>
      </c>
      <c r="Q52" s="12">
        <f t="shared" ca="1" si="117"/>
        <v>475051.13678441494</v>
      </c>
      <c r="R52" s="12">
        <f t="shared" ca="1" si="117"/>
        <v>457764.08429360489</v>
      </c>
      <c r="S52" s="12">
        <f t="shared" ca="1" si="117"/>
        <v>445445.13889142708</v>
      </c>
      <c r="T52" s="12">
        <f t="shared" ca="1" si="117"/>
        <v>436965.50237831118</v>
      </c>
      <c r="U52" s="12">
        <f t="shared" ca="1" si="117"/>
        <v>429411.57854058145</v>
      </c>
      <c r="V52" s="12">
        <f t="shared" ca="1" si="117"/>
        <v>424089.54879497865</v>
      </c>
      <c r="W52" s="12">
        <f t="shared" ca="1" si="117"/>
        <v>419721.63807747286</v>
      </c>
      <c r="X52" s="12">
        <f t="shared" ca="1" si="117"/>
        <v>416027.46548945521</v>
      </c>
      <c r="Y52" s="12">
        <f t="shared" ca="1" si="117"/>
        <v>396697.78262120148</v>
      </c>
      <c r="Z52" s="12">
        <f t="shared" ca="1" si="117"/>
        <v>358601.45101595321</v>
      </c>
      <c r="AA52" s="12">
        <f t="shared" ca="1" si="117"/>
        <v>322909.37858663971</v>
      </c>
      <c r="AB52" s="12">
        <f t="shared" ca="1" si="117"/>
        <v>297019.20592049835</v>
      </c>
      <c r="AC52" s="12">
        <f t="shared" ca="1" si="117"/>
        <v>268194.51415489276</v>
      </c>
      <c r="AD52" s="12">
        <f t="shared" ca="1" si="117"/>
        <v>224394.41504312653</v>
      </c>
      <c r="AE52" s="12">
        <f t="shared" ca="1" si="117"/>
        <v>177810.62294153788</v>
      </c>
      <c r="AF52" s="12">
        <f t="shared" ca="1" si="117"/>
        <v>144916.72918729275</v>
      </c>
      <c r="AG52" s="12">
        <f t="shared" ca="1" si="117"/>
        <v>125862.52775999764</v>
      </c>
      <c r="AH52" s="12">
        <f t="shared" ca="1" si="117"/>
        <v>100931.26344255071</v>
      </c>
      <c r="AI52" s="12">
        <f t="shared" ca="1" si="117"/>
        <v>68594.106599019782</v>
      </c>
      <c r="AJ52" s="12">
        <f t="shared" ca="1" si="117"/>
        <v>44695.598376728973</v>
      </c>
      <c r="AK52" s="12">
        <f t="shared" ca="1" si="117"/>
        <v>31122.615638584379</v>
      </c>
      <c r="AL52" s="12">
        <f t="shared" ca="1" si="117"/>
        <v>23907.587766743331</v>
      </c>
      <c r="AM52" s="12">
        <f t="shared" ca="1" si="117"/>
        <v>16725.633907848984</v>
      </c>
      <c r="AN52" s="12">
        <f t="shared" ca="1" si="117"/>
        <v>9569.2120244563739</v>
      </c>
      <c r="AO52" s="12">
        <f t="shared" ca="1" si="117"/>
        <v>5831.8902524394571</v>
      </c>
      <c r="AP52" s="12">
        <f t="shared" ca="1" si="117"/>
        <v>5587.3160885302495</v>
      </c>
      <c r="AQ52" s="12">
        <f t="shared" ca="1" si="117"/>
        <v>5356.9466347549042</v>
      </c>
      <c r="AR52" s="12">
        <f t="shared" ca="1" si="117"/>
        <v>5138.8209459162435</v>
      </c>
      <c r="AS52" s="12">
        <f t="shared" ca="1" si="117"/>
        <v>4931.393841200098</v>
      </c>
      <c r="AT52" s="12">
        <f t="shared" ca="1" si="117"/>
        <v>4733.507205266249</v>
      </c>
      <c r="AU52" s="12">
        <f t="shared" ca="1" si="117"/>
        <v>4544.3370645361292</v>
      </c>
      <c r="AV52" s="12">
        <f t="shared" ca="1" si="115"/>
        <v>10958235.610057684</v>
      </c>
      <c r="AW52" s="12">
        <f t="shared" ref="AW52" ca="1" si="118">+AW45</f>
        <v>447231.0200496359</v>
      </c>
      <c r="AX52" s="12">
        <f ca="1">SUM(AV52:AW52)</f>
        <v>11405466.630107319</v>
      </c>
    </row>
    <row r="53" spans="2:66" x14ac:dyDescent="0.3">
      <c r="B53" t="s">
        <v>424</v>
      </c>
      <c r="G53" s="76">
        <f t="array" aca="1" ref="G53:AX53" ca="1">TRANSPOSE(Rollup!AE279:AE322)</f>
        <v>401088.82466131222</v>
      </c>
      <c r="H53" s="76">
        <f ca="1"/>
        <v>621358.5222140745</v>
      </c>
      <c r="I53" s="76">
        <f ca="1"/>
        <v>635025.6670391605</v>
      </c>
      <c r="J53" s="76">
        <f ca="1"/>
        <v>525824.53502454737</v>
      </c>
      <c r="K53" s="76">
        <f ca="1"/>
        <v>520861.64289576886</v>
      </c>
      <c r="L53" s="76">
        <f ca="1"/>
        <v>432387.58429982106</v>
      </c>
      <c r="M53" s="76">
        <f ca="1"/>
        <v>430690.12830382615</v>
      </c>
      <c r="N53" s="76">
        <f ca="1"/>
        <v>406270.57564893976</v>
      </c>
      <c r="O53" s="76">
        <f ca="1"/>
        <v>402776.09093401907</v>
      </c>
      <c r="P53" s="76">
        <f ca="1"/>
        <v>401598.20678225358</v>
      </c>
      <c r="Q53" s="76">
        <f ca="1"/>
        <v>400555.36173011112</v>
      </c>
      <c r="R53" s="76">
        <f ca="1"/>
        <v>399650.10705201054</v>
      </c>
      <c r="S53" s="76">
        <f ca="1"/>
        <v>398814.57390079316</v>
      </c>
      <c r="T53" s="76">
        <f ca="1"/>
        <v>391820.56169482379</v>
      </c>
      <c r="U53" s="76">
        <f ca="1"/>
        <v>390902.30683278514</v>
      </c>
      <c r="V53" s="76">
        <f ca="1"/>
        <v>390259.38630243327</v>
      </c>
      <c r="W53" s="76">
        <f ca="1"/>
        <v>389782.30754837539</v>
      </c>
      <c r="X53" s="76">
        <f ca="1"/>
        <v>389370.16759142402</v>
      </c>
      <c r="Y53" s="76">
        <f ca="1"/>
        <v>282466.79272870952</v>
      </c>
      <c r="Z53" s="76">
        <f ca="1"/>
        <v>222230.12304879876</v>
      </c>
      <c r="AA53" s="76">
        <f ca="1"/>
        <v>221938.32581171225</v>
      </c>
      <c r="AB53" s="76">
        <f ca="1"/>
        <v>221136.8893792142</v>
      </c>
      <c r="AC53" s="76">
        <f ca="1"/>
        <v>155736.4841679559</v>
      </c>
      <c r="AD53" s="76">
        <f ca="1"/>
        <v>77243.742514970072</v>
      </c>
      <c r="AE53" s="76">
        <f ca="1"/>
        <v>77243.742514970072</v>
      </c>
      <c r="AF53" s="76">
        <f ca="1"/>
        <v>77243.742514970072</v>
      </c>
      <c r="AG53" s="76">
        <f ca="1"/>
        <v>77243.742514970072</v>
      </c>
      <c r="AH53" s="76">
        <f ca="1"/>
        <v>0</v>
      </c>
      <c r="AI53" s="76">
        <f ca="1"/>
        <v>0</v>
      </c>
      <c r="AJ53" s="76">
        <f ca="1"/>
        <v>0</v>
      </c>
      <c r="AK53" s="76">
        <f ca="1"/>
        <v>0</v>
      </c>
      <c r="AL53" s="76">
        <f ca="1"/>
        <v>0</v>
      </c>
      <c r="AM53" s="76">
        <f ca="1"/>
        <v>0</v>
      </c>
      <c r="AN53" s="76">
        <f ca="1"/>
        <v>0</v>
      </c>
      <c r="AO53" s="76">
        <f ca="1"/>
        <v>0</v>
      </c>
      <c r="AP53" s="76">
        <f ca="1"/>
        <v>0</v>
      </c>
      <c r="AQ53" s="76">
        <f ca="1"/>
        <v>0</v>
      </c>
      <c r="AR53" s="76">
        <f ca="1"/>
        <v>0</v>
      </c>
      <c r="AS53" s="76">
        <f ca="1"/>
        <v>0</v>
      </c>
      <c r="AT53" s="76">
        <f ca="1"/>
        <v>0</v>
      </c>
      <c r="AU53" s="76">
        <f ca="1"/>
        <v>0</v>
      </c>
      <c r="AV53" s="76">
        <f ca="1"/>
        <v>9341520.1356527489</v>
      </c>
      <c r="AW53" s="76">
        <f ca="1"/>
        <v>406446.49445456924</v>
      </c>
      <c r="AX53" s="76">
        <f ca="1"/>
        <v>9747966.630107319</v>
      </c>
    </row>
    <row r="54" spans="2:66" x14ac:dyDescent="0.3">
      <c r="B54" s="9"/>
      <c r="C54" s="7" t="s">
        <v>425</v>
      </c>
      <c r="D54" s="9"/>
      <c r="E54" s="9"/>
      <c r="F54" s="9"/>
      <c r="G54" s="65">
        <f ca="1">+G51+G52-G53</f>
        <v>380810.35352778103</v>
      </c>
      <c r="H54" s="65">
        <f t="shared" ref="H54:AW54" ca="1" si="119">+H51+H52-H53</f>
        <v>733977.94779927016</v>
      </c>
      <c r="I54" s="65">
        <f t="shared" ca="1" si="119"/>
        <v>292251.11221825646</v>
      </c>
      <c r="J54" s="65">
        <f t="shared" ca="1" si="119"/>
        <v>425287.61384661321</v>
      </c>
      <c r="K54" s="65">
        <f t="shared" ca="1" si="119"/>
        <v>452126.60944790475</v>
      </c>
      <c r="L54" s="65">
        <f t="shared" ca="1" si="119"/>
        <v>566884.36908380303</v>
      </c>
      <c r="M54" s="65">
        <f t="shared" ca="1" si="119"/>
        <v>559476.16394126555</v>
      </c>
      <c r="N54" s="65">
        <f t="shared" ca="1" si="119"/>
        <v>562438.02393450844</v>
      </c>
      <c r="O54" s="65">
        <f t="shared" ca="1" si="119"/>
        <v>543999.98067642935</v>
      </c>
      <c r="P54" s="65">
        <f t="shared" ca="1" si="119"/>
        <v>527654.46179698699</v>
      </c>
      <c r="Q54" s="65">
        <f t="shared" ca="1" si="119"/>
        <v>515873.63607712107</v>
      </c>
      <c r="R54" s="65">
        <f t="shared" ca="1" si="119"/>
        <v>508590.43899376463</v>
      </c>
      <c r="S54" s="65">
        <f t="shared" ca="1" si="119"/>
        <v>503863.32132738485</v>
      </c>
      <c r="T54" s="65">
        <f t="shared" ca="1" si="119"/>
        <v>504215.57306967617</v>
      </c>
      <c r="U54" s="65">
        <f t="shared" ca="1" si="119"/>
        <v>493959.01792623836</v>
      </c>
      <c r="V54" s="65">
        <f t="shared" ca="1" si="119"/>
        <v>491712.92081218463</v>
      </c>
      <c r="W54" s="65">
        <f t="shared" ca="1" si="119"/>
        <v>493818.40815937001</v>
      </c>
      <c r="X54" s="65">
        <f t="shared" ca="1" si="119"/>
        <v>497051.00842510205</v>
      </c>
      <c r="Y54" s="65">
        <f t="shared" ca="1" si="119"/>
        <v>556172.60834290413</v>
      </c>
      <c r="Z54" s="65">
        <f t="shared" ca="1" si="119"/>
        <v>562429.23930076405</v>
      </c>
      <c r="AA54" s="65">
        <f t="shared" ca="1" si="119"/>
        <v>529832.39843673515</v>
      </c>
      <c r="AB54" s="65">
        <f t="shared" ca="1" si="119"/>
        <v>497481.27119400614</v>
      </c>
      <c r="AC54" s="65">
        <f t="shared" ca="1" si="119"/>
        <v>494252.19353980955</v>
      </c>
      <c r="AD54" s="65">
        <f t="shared" ca="1" si="119"/>
        <v>508021.85752641462</v>
      </c>
      <c r="AE54" s="65">
        <f t="shared" ca="1" si="119"/>
        <v>464630.12756294134</v>
      </c>
      <c r="AF54" s="65">
        <f t="shared" ca="1" si="119"/>
        <v>432826.07108428603</v>
      </c>
      <c r="AG54" s="65">
        <f t="shared" ca="1" si="119"/>
        <v>409687.56386540941</v>
      </c>
      <c r="AH54" s="65">
        <f t="shared" ca="1" si="119"/>
        <v>431501.77557873219</v>
      </c>
      <c r="AI54" s="65">
        <f t="shared" ca="1" si="119"/>
        <v>393243.66401406756</v>
      </c>
      <c r="AJ54" s="65">
        <f t="shared" ca="1" si="119"/>
        <v>363460.91288399941</v>
      </c>
      <c r="AK54" s="65">
        <f t="shared" ca="1" si="119"/>
        <v>340429.27374241955</v>
      </c>
      <c r="AL54" s="65">
        <f t="shared" ca="1" si="119"/>
        <v>321751.49925758882</v>
      </c>
      <c r="AM54" s="65">
        <f t="shared" ca="1" si="119"/>
        <v>304656.01188581821</v>
      </c>
      <c r="AN54" s="65">
        <f t="shared" ca="1" si="119"/>
        <v>288786.52077613084</v>
      </c>
      <c r="AO54" s="65">
        <f t="shared" ca="1" si="119"/>
        <v>275088.21680920024</v>
      </c>
      <c r="AP54" s="65">
        <f t="shared" ca="1" si="119"/>
        <v>263417.06844423269</v>
      </c>
      <c r="AQ54" s="65">
        <f t="shared" ca="1" si="119"/>
        <v>252433.49597389845</v>
      </c>
      <c r="AR54" s="65">
        <f t="shared" ca="1" si="119"/>
        <v>242043.46278369409</v>
      </c>
      <c r="AS54" s="65">
        <f t="shared" ca="1" si="119"/>
        <v>232172.61030580319</v>
      </c>
      <c r="AT54" s="65">
        <f t="shared" ca="1" si="119"/>
        <v>222764.89252142739</v>
      </c>
      <c r="AU54" s="65">
        <f t="shared" ca="1" si="119"/>
        <v>213780.0797415284</v>
      </c>
      <c r="AV54" s="65">
        <f t="shared" ca="1" si="115"/>
        <v>17654853.776635468</v>
      </c>
      <c r="AW54" s="65">
        <f t="shared" ca="1" si="119"/>
        <v>2581854.731280427</v>
      </c>
      <c r="AX54" s="65">
        <f ca="1">SUM(AV54:AW54)</f>
        <v>20236708.507915895</v>
      </c>
    </row>
    <row r="56" spans="2:66" x14ac:dyDescent="0.3">
      <c r="B56" t="s">
        <v>426</v>
      </c>
      <c r="G56" s="55">
        <f ca="1">+G42-G53+G34-G27</f>
        <v>407973.26103879121</v>
      </c>
      <c r="H56" s="55">
        <f t="shared" ref="H56:AW56" ca="1" si="120">+H42-H53+H34-H27</f>
        <v>782440.33767047687</v>
      </c>
      <c r="I56" s="55">
        <f t="shared" ca="1" si="120"/>
        <v>568628.0415272424</v>
      </c>
      <c r="J56" s="55">
        <f t="shared" ca="1" si="120"/>
        <v>679348.88372375804</v>
      </c>
      <c r="K56" s="55">
        <f t="shared" ca="1" si="120"/>
        <v>704031.80160227825</v>
      </c>
      <c r="L56" s="55">
        <f t="shared" ca="1" si="120"/>
        <v>830687.42863362306</v>
      </c>
      <c r="M56" s="55">
        <f t="shared" ca="1" si="120"/>
        <v>815480.97125348751</v>
      </c>
      <c r="N56" s="55">
        <f t="shared" ca="1" si="120"/>
        <v>808192.99309316324</v>
      </c>
      <c r="O56" s="55">
        <f t="shared" ca="1" si="120"/>
        <v>792155.80786070635</v>
      </c>
      <c r="P56" s="55">
        <f t="shared" ca="1" si="120"/>
        <v>783019.44386171154</v>
      </c>
      <c r="Q56" s="55">
        <f t="shared" ca="1" si="120"/>
        <v>777412.71151463722</v>
      </c>
      <c r="R56" s="55">
        <f t="shared" ca="1" si="120"/>
        <v>775041.82642304397</v>
      </c>
      <c r="S56" s="55">
        <f t="shared" ca="1" si="120"/>
        <v>773986.85273159086</v>
      </c>
      <c r="T56" s="55">
        <f t="shared" ca="1" si="120"/>
        <v>775363.19922442292</v>
      </c>
      <c r="U56" s="55">
        <f t="shared" ca="1" si="120"/>
        <v>763152.22867114027</v>
      </c>
      <c r="V56" s="55">
        <f t="shared" ca="1" si="120"/>
        <v>762321.19069950422</v>
      </c>
      <c r="W56" s="55">
        <f t="shared" ca="1" si="120"/>
        <v>767814.59363578609</v>
      </c>
      <c r="X56" s="55">
        <f t="shared" ca="1" si="120"/>
        <v>774741.09219278756</v>
      </c>
      <c r="Y56" s="55">
        <f t="shared" ca="1" si="120"/>
        <v>817210.4204982738</v>
      </c>
      <c r="Z56" s="55">
        <f t="shared" ca="1" si="120"/>
        <v>813590.55746513198</v>
      </c>
      <c r="AA56" s="55">
        <f t="shared" ca="1" si="120"/>
        <v>781854.51717610052</v>
      </c>
      <c r="AB56" s="55">
        <f t="shared" ca="1" si="120"/>
        <v>744811.88156431343</v>
      </c>
      <c r="AC56" s="55">
        <f t="shared" ca="1" si="120"/>
        <v>718204.7790814297</v>
      </c>
      <c r="AD56" s="55">
        <f t="shared" ca="1" si="120"/>
        <v>719079.63334419404</v>
      </c>
      <c r="AE56" s="55">
        <f t="shared" ca="1" si="120"/>
        <v>676523.25990609615</v>
      </c>
      <c r="AF56" s="55">
        <f t="shared" ca="1" si="120"/>
        <v>644647.98829133005</v>
      </c>
      <c r="AG56" s="55">
        <f t="shared" ca="1" si="120"/>
        <v>618778.0969231067</v>
      </c>
      <c r="AH56" s="55">
        <f t="shared" ca="1" si="120"/>
        <v>622622.28133406502</v>
      </c>
      <c r="AI56" s="55">
        <f t="shared" ca="1" si="120"/>
        <v>580288.93344314944</v>
      </c>
      <c r="AJ56" s="55">
        <f t="shared" ca="1" si="120"/>
        <v>546634.232481285</v>
      </c>
      <c r="AK56" s="55">
        <f t="shared" ca="1" si="120"/>
        <v>517909.68410662794</v>
      </c>
      <c r="AL56" s="55">
        <f t="shared" ca="1" si="120"/>
        <v>492529.92819948593</v>
      </c>
      <c r="AM56" s="55">
        <f t="shared" ca="1" si="120"/>
        <v>469618.13098464528</v>
      </c>
      <c r="AN56" s="55">
        <f t="shared" ca="1" si="120"/>
        <v>448618.47455956164</v>
      </c>
      <c r="AO56" s="55">
        <f t="shared" ca="1" si="120"/>
        <v>429149.76664239349</v>
      </c>
      <c r="AP56" s="55">
        <f t="shared" ca="1" si="120"/>
        <v>410945.16632364545</v>
      </c>
      <c r="AQ56" s="55">
        <f t="shared" ca="1" si="120"/>
        <v>393812.83610449044</v>
      </c>
      <c r="AR56" s="55">
        <f t="shared" ca="1" si="120"/>
        <v>377606.10794029653</v>
      </c>
      <c r="AS56" s="55">
        <f t="shared" ca="1" si="120"/>
        <v>362209.01097116922</v>
      </c>
      <c r="AT56" s="55">
        <f t="shared" ca="1" si="120"/>
        <v>347534.14153953316</v>
      </c>
      <c r="AU56" s="55">
        <f t="shared" ca="1" si="120"/>
        <v>333518.76897410228</v>
      </c>
      <c r="AV56" s="55">
        <f t="shared" ca="1" si="115"/>
        <v>26209491.26321258</v>
      </c>
      <c r="AW56" s="55">
        <f t="shared" ca="1" si="120"/>
        <v>4043847.0984623153</v>
      </c>
      <c r="AX56" s="55">
        <f ca="1">SUM(AV56:AW56)</f>
        <v>30253338.361674897</v>
      </c>
    </row>
    <row r="58" spans="2:66" x14ac:dyDescent="0.3">
      <c r="B58" s="3" t="s">
        <v>427</v>
      </c>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Z58" s="2"/>
      <c r="BA58" s="2"/>
      <c r="BB58" s="2"/>
      <c r="BC58" s="2"/>
      <c r="BD58" s="2"/>
      <c r="BE58" s="2"/>
      <c r="BF58" s="2"/>
      <c r="BG58" s="2"/>
      <c r="BH58" s="2"/>
      <c r="BI58" s="2"/>
      <c r="BJ58" s="2"/>
      <c r="BK58" s="2"/>
      <c r="BL58" s="2"/>
      <c r="BM58" s="2"/>
      <c r="BN58" s="2"/>
    </row>
    <row r="59" spans="2:66" x14ac:dyDescent="0.3">
      <c r="B59" s="449"/>
      <c r="C59" s="449" t="s">
        <v>18</v>
      </c>
      <c r="D59" s="449"/>
      <c r="E59" s="449"/>
      <c r="F59" s="449"/>
      <c r="G59" s="450">
        <f>Valuation_Date</f>
        <v>41579</v>
      </c>
      <c r="H59" s="451">
        <f>+G59</f>
        <v>41579</v>
      </c>
      <c r="I59" s="451">
        <f t="shared" ref="I59:AU59" si="121">+H59</f>
        <v>41579</v>
      </c>
      <c r="J59" s="451">
        <f t="shared" si="121"/>
        <v>41579</v>
      </c>
      <c r="K59" s="451">
        <f t="shared" si="121"/>
        <v>41579</v>
      </c>
      <c r="L59" s="451">
        <f t="shared" si="121"/>
        <v>41579</v>
      </c>
      <c r="M59" s="451">
        <f t="shared" si="121"/>
        <v>41579</v>
      </c>
      <c r="N59" s="451">
        <f t="shared" si="121"/>
        <v>41579</v>
      </c>
      <c r="O59" s="451">
        <f t="shared" si="121"/>
        <v>41579</v>
      </c>
      <c r="P59" s="451">
        <f t="shared" si="121"/>
        <v>41579</v>
      </c>
      <c r="Q59" s="451">
        <f t="shared" si="121"/>
        <v>41579</v>
      </c>
      <c r="R59" s="451">
        <f t="shared" si="121"/>
        <v>41579</v>
      </c>
      <c r="S59" s="451">
        <f t="shared" si="121"/>
        <v>41579</v>
      </c>
      <c r="T59" s="451">
        <f t="shared" si="121"/>
        <v>41579</v>
      </c>
      <c r="U59" s="451">
        <f t="shared" si="121"/>
        <v>41579</v>
      </c>
      <c r="V59" s="451">
        <f t="shared" si="121"/>
        <v>41579</v>
      </c>
      <c r="W59" s="451">
        <f t="shared" si="121"/>
        <v>41579</v>
      </c>
      <c r="X59" s="451">
        <f t="shared" si="121"/>
        <v>41579</v>
      </c>
      <c r="Y59" s="451">
        <f t="shared" si="121"/>
        <v>41579</v>
      </c>
      <c r="Z59" s="451">
        <f t="shared" si="121"/>
        <v>41579</v>
      </c>
      <c r="AA59" s="451">
        <f t="shared" si="121"/>
        <v>41579</v>
      </c>
      <c r="AB59" s="451">
        <f t="shared" si="121"/>
        <v>41579</v>
      </c>
      <c r="AC59" s="451">
        <f t="shared" si="121"/>
        <v>41579</v>
      </c>
      <c r="AD59" s="451">
        <f t="shared" si="121"/>
        <v>41579</v>
      </c>
      <c r="AE59" s="451">
        <f t="shared" si="121"/>
        <v>41579</v>
      </c>
      <c r="AF59" s="451">
        <f t="shared" si="121"/>
        <v>41579</v>
      </c>
      <c r="AG59" s="451">
        <f t="shared" si="121"/>
        <v>41579</v>
      </c>
      <c r="AH59" s="451">
        <f t="shared" si="121"/>
        <v>41579</v>
      </c>
      <c r="AI59" s="451">
        <f t="shared" si="121"/>
        <v>41579</v>
      </c>
      <c r="AJ59" s="451">
        <f t="shared" si="121"/>
        <v>41579</v>
      </c>
      <c r="AK59" s="451">
        <f t="shared" si="121"/>
        <v>41579</v>
      </c>
      <c r="AL59" s="451">
        <f t="shared" si="121"/>
        <v>41579</v>
      </c>
      <c r="AM59" s="451">
        <f t="shared" si="121"/>
        <v>41579</v>
      </c>
      <c r="AN59" s="451">
        <f t="shared" si="121"/>
        <v>41579</v>
      </c>
      <c r="AO59" s="451">
        <f t="shared" si="121"/>
        <v>41579</v>
      </c>
      <c r="AP59" s="451">
        <f t="shared" si="121"/>
        <v>41579</v>
      </c>
      <c r="AQ59" s="451">
        <f t="shared" si="121"/>
        <v>41579</v>
      </c>
      <c r="AR59" s="451">
        <f t="shared" si="121"/>
        <v>41579</v>
      </c>
      <c r="AS59" s="451">
        <f t="shared" si="121"/>
        <v>41579</v>
      </c>
      <c r="AT59" s="451">
        <f t="shared" si="121"/>
        <v>41579</v>
      </c>
      <c r="AU59" s="451">
        <f t="shared" si="121"/>
        <v>41579</v>
      </c>
      <c r="AV59" s="449"/>
      <c r="AW59" s="451">
        <f>+AU59</f>
        <v>41579</v>
      </c>
      <c r="AX59" s="449"/>
      <c r="AZ59" s="2"/>
      <c r="BA59" s="2"/>
      <c r="BB59" s="2"/>
      <c r="BC59" s="2"/>
      <c r="BD59" s="2"/>
      <c r="BE59" s="2"/>
      <c r="BF59" s="2"/>
      <c r="BG59" s="2"/>
      <c r="BH59" s="2"/>
      <c r="BI59" s="2"/>
      <c r="BJ59" s="2"/>
      <c r="BK59" s="2"/>
      <c r="BL59" s="2"/>
      <c r="BM59" s="2"/>
      <c r="BN59" s="2"/>
    </row>
    <row r="60" spans="2:66" x14ac:dyDescent="0.3">
      <c r="B60" s="449"/>
      <c r="C60" s="449" t="s">
        <v>428</v>
      </c>
      <c r="D60" s="449"/>
      <c r="E60" s="449"/>
      <c r="F60" s="449"/>
      <c r="G60" s="450">
        <f>FY_Date</f>
        <v>41639</v>
      </c>
      <c r="H60" s="451">
        <f>EOMONTH(G60,H6)</f>
        <v>42004</v>
      </c>
      <c r="I60" s="451">
        <f t="shared" ref="I60:AU60" si="122">EOMONTH(H60,I6)</f>
        <v>42369</v>
      </c>
      <c r="J60" s="451">
        <f t="shared" si="122"/>
        <v>42735</v>
      </c>
      <c r="K60" s="451">
        <f t="shared" si="122"/>
        <v>43100</v>
      </c>
      <c r="L60" s="451">
        <f t="shared" si="122"/>
        <v>43465</v>
      </c>
      <c r="M60" s="451">
        <f t="shared" si="122"/>
        <v>43830</v>
      </c>
      <c r="N60" s="451">
        <f t="shared" si="122"/>
        <v>44196</v>
      </c>
      <c r="O60" s="451">
        <f t="shared" si="122"/>
        <v>44561</v>
      </c>
      <c r="P60" s="451">
        <f t="shared" si="122"/>
        <v>44926</v>
      </c>
      <c r="Q60" s="451">
        <f t="shared" si="122"/>
        <v>45291</v>
      </c>
      <c r="R60" s="451">
        <f t="shared" si="122"/>
        <v>45657</v>
      </c>
      <c r="S60" s="451">
        <f t="shared" si="122"/>
        <v>46022</v>
      </c>
      <c r="T60" s="451">
        <f t="shared" si="122"/>
        <v>46387</v>
      </c>
      <c r="U60" s="451">
        <f t="shared" si="122"/>
        <v>46752</v>
      </c>
      <c r="V60" s="451">
        <f t="shared" si="122"/>
        <v>47118</v>
      </c>
      <c r="W60" s="451">
        <f t="shared" si="122"/>
        <v>47483</v>
      </c>
      <c r="X60" s="451">
        <f t="shared" si="122"/>
        <v>47848</v>
      </c>
      <c r="Y60" s="451">
        <f t="shared" si="122"/>
        <v>48213</v>
      </c>
      <c r="Z60" s="451">
        <f t="shared" si="122"/>
        <v>48579</v>
      </c>
      <c r="AA60" s="451">
        <f t="shared" si="122"/>
        <v>48944</v>
      </c>
      <c r="AB60" s="451">
        <f t="shared" si="122"/>
        <v>49309</v>
      </c>
      <c r="AC60" s="451">
        <f t="shared" si="122"/>
        <v>49674</v>
      </c>
      <c r="AD60" s="451">
        <f t="shared" si="122"/>
        <v>50040</v>
      </c>
      <c r="AE60" s="451">
        <f t="shared" si="122"/>
        <v>50405</v>
      </c>
      <c r="AF60" s="451">
        <f t="shared" si="122"/>
        <v>50770</v>
      </c>
      <c r="AG60" s="451">
        <f t="shared" si="122"/>
        <v>51135</v>
      </c>
      <c r="AH60" s="451">
        <f t="shared" si="122"/>
        <v>51501</v>
      </c>
      <c r="AI60" s="451">
        <f t="shared" si="122"/>
        <v>51866</v>
      </c>
      <c r="AJ60" s="451">
        <f t="shared" si="122"/>
        <v>52231</v>
      </c>
      <c r="AK60" s="451">
        <f t="shared" si="122"/>
        <v>52596</v>
      </c>
      <c r="AL60" s="451">
        <f t="shared" si="122"/>
        <v>52962</v>
      </c>
      <c r="AM60" s="451">
        <f t="shared" si="122"/>
        <v>53327</v>
      </c>
      <c r="AN60" s="451">
        <f t="shared" si="122"/>
        <v>53692</v>
      </c>
      <c r="AO60" s="451">
        <f t="shared" si="122"/>
        <v>54057</v>
      </c>
      <c r="AP60" s="451">
        <f t="shared" si="122"/>
        <v>54423</v>
      </c>
      <c r="AQ60" s="451">
        <f t="shared" si="122"/>
        <v>54788</v>
      </c>
      <c r="AR60" s="451">
        <f t="shared" si="122"/>
        <v>55153</v>
      </c>
      <c r="AS60" s="451">
        <f t="shared" si="122"/>
        <v>55518</v>
      </c>
      <c r="AT60" s="451">
        <f t="shared" si="122"/>
        <v>55884</v>
      </c>
      <c r="AU60" s="451">
        <f t="shared" si="122"/>
        <v>56249</v>
      </c>
      <c r="AV60" s="449"/>
      <c r="AW60" s="451">
        <f>+EDATE(AW59,AW61*AW6)</f>
        <v>56066</v>
      </c>
      <c r="AX60" s="449"/>
      <c r="AZ60" s="2"/>
      <c r="BA60" s="2"/>
      <c r="BB60" s="2"/>
      <c r="BC60" s="2"/>
      <c r="BD60" s="2"/>
      <c r="BE60" s="2"/>
      <c r="BF60" s="2"/>
      <c r="BG60" s="2"/>
      <c r="BH60" s="2"/>
      <c r="BI60" s="2"/>
      <c r="BJ60" s="2"/>
      <c r="BK60" s="2"/>
      <c r="BL60" s="2"/>
      <c r="BM60" s="2"/>
      <c r="BN60" s="2"/>
    </row>
    <row r="61" spans="2:66" x14ac:dyDescent="0.3">
      <c r="B61" s="449"/>
      <c r="C61" s="449" t="s">
        <v>429</v>
      </c>
      <c r="D61" s="449"/>
      <c r="E61" s="449"/>
      <c r="F61" s="449"/>
      <c r="G61" s="452">
        <f>+DAYS360(G59,G60)/360</f>
        <v>0.16666666666666666</v>
      </c>
      <c r="H61" s="452">
        <f t="shared" ref="H61:AU61" si="123">+DAYS360(H59,H60)/360</f>
        <v>1.1666666666666667</v>
      </c>
      <c r="I61" s="452">
        <f t="shared" si="123"/>
        <v>2.1666666666666665</v>
      </c>
      <c r="J61" s="452">
        <f t="shared" si="123"/>
        <v>3.1666666666666665</v>
      </c>
      <c r="K61" s="452">
        <f t="shared" si="123"/>
        <v>4.166666666666667</v>
      </c>
      <c r="L61" s="452">
        <f t="shared" si="123"/>
        <v>5.166666666666667</v>
      </c>
      <c r="M61" s="452">
        <f t="shared" si="123"/>
        <v>6.166666666666667</v>
      </c>
      <c r="N61" s="452">
        <f t="shared" si="123"/>
        <v>7.166666666666667</v>
      </c>
      <c r="O61" s="452">
        <f t="shared" si="123"/>
        <v>8.1666666666666661</v>
      </c>
      <c r="P61" s="452">
        <f t="shared" si="123"/>
        <v>9.1666666666666661</v>
      </c>
      <c r="Q61" s="452">
        <f t="shared" si="123"/>
        <v>10.166666666666666</v>
      </c>
      <c r="R61" s="452">
        <f t="shared" si="123"/>
        <v>11.166666666666666</v>
      </c>
      <c r="S61" s="452">
        <f t="shared" si="123"/>
        <v>12.166666666666666</v>
      </c>
      <c r="T61" s="452">
        <f t="shared" si="123"/>
        <v>13.166666666666666</v>
      </c>
      <c r="U61" s="452">
        <f t="shared" si="123"/>
        <v>14.166666666666666</v>
      </c>
      <c r="V61" s="452">
        <f t="shared" si="123"/>
        <v>15.166666666666666</v>
      </c>
      <c r="W61" s="452">
        <f t="shared" si="123"/>
        <v>16.166666666666668</v>
      </c>
      <c r="X61" s="452">
        <f t="shared" si="123"/>
        <v>17.166666666666668</v>
      </c>
      <c r="Y61" s="452">
        <f t="shared" si="123"/>
        <v>18.166666666666668</v>
      </c>
      <c r="Z61" s="452">
        <f t="shared" si="123"/>
        <v>19.166666666666668</v>
      </c>
      <c r="AA61" s="452">
        <f t="shared" si="123"/>
        <v>20.166666666666668</v>
      </c>
      <c r="AB61" s="452">
        <f t="shared" si="123"/>
        <v>21.166666666666668</v>
      </c>
      <c r="AC61" s="452">
        <f t="shared" si="123"/>
        <v>22.166666666666668</v>
      </c>
      <c r="AD61" s="452">
        <f t="shared" si="123"/>
        <v>23.166666666666668</v>
      </c>
      <c r="AE61" s="452">
        <f t="shared" si="123"/>
        <v>24.166666666666668</v>
      </c>
      <c r="AF61" s="452">
        <f t="shared" si="123"/>
        <v>25.166666666666668</v>
      </c>
      <c r="AG61" s="452">
        <f t="shared" si="123"/>
        <v>26.166666666666668</v>
      </c>
      <c r="AH61" s="452">
        <f t="shared" si="123"/>
        <v>27.166666666666668</v>
      </c>
      <c r="AI61" s="452">
        <f t="shared" si="123"/>
        <v>28.166666666666668</v>
      </c>
      <c r="AJ61" s="452">
        <f t="shared" si="123"/>
        <v>29.166666666666668</v>
      </c>
      <c r="AK61" s="452">
        <f t="shared" si="123"/>
        <v>30.166666666666668</v>
      </c>
      <c r="AL61" s="452">
        <f t="shared" si="123"/>
        <v>31.166666666666668</v>
      </c>
      <c r="AM61" s="452">
        <f t="shared" si="123"/>
        <v>32.166666666666664</v>
      </c>
      <c r="AN61" s="452">
        <f t="shared" si="123"/>
        <v>33.166666666666664</v>
      </c>
      <c r="AO61" s="452">
        <f t="shared" si="123"/>
        <v>34.166666666666664</v>
      </c>
      <c r="AP61" s="452">
        <f t="shared" si="123"/>
        <v>35.166666666666664</v>
      </c>
      <c r="AQ61" s="452">
        <f t="shared" si="123"/>
        <v>36.166666666666664</v>
      </c>
      <c r="AR61" s="452">
        <f t="shared" si="123"/>
        <v>37.166666666666664</v>
      </c>
      <c r="AS61" s="452">
        <f t="shared" si="123"/>
        <v>38.166666666666664</v>
      </c>
      <c r="AT61" s="452">
        <f t="shared" si="123"/>
        <v>39.166666666666664</v>
      </c>
      <c r="AU61" s="452">
        <f t="shared" si="123"/>
        <v>40.166666666666664</v>
      </c>
      <c r="AV61" s="449"/>
      <c r="AW61" s="453">
        <f>PD!AI71</f>
        <v>39.666666666666664</v>
      </c>
      <c r="AX61" s="449"/>
      <c r="AZ61" s="2"/>
      <c r="BA61" s="2"/>
      <c r="BB61" s="2"/>
      <c r="BC61" s="2"/>
      <c r="BD61" s="2"/>
      <c r="BE61" s="2"/>
      <c r="BF61" s="2"/>
      <c r="BG61" s="2"/>
      <c r="BH61" s="2"/>
      <c r="BI61" s="2"/>
      <c r="BJ61" s="2"/>
      <c r="BK61" s="2"/>
      <c r="BL61" s="2"/>
      <c r="BM61" s="2"/>
      <c r="BN61" s="2"/>
    </row>
    <row r="62" spans="2:66" x14ac:dyDescent="0.3">
      <c r="B62" s="449"/>
      <c r="C62" s="449" t="s">
        <v>430</v>
      </c>
      <c r="D62" s="449"/>
      <c r="E62" s="449"/>
      <c r="F62" s="449"/>
      <c r="G62" s="452">
        <f>+MIN(0.5,G61*0.5)</f>
        <v>8.3333333333333329E-2</v>
      </c>
      <c r="H62" s="452">
        <f t="shared" ref="H62:AW62" si="124">+MIN(0.5,H61*0.5)</f>
        <v>0.5</v>
      </c>
      <c r="I62" s="452">
        <f t="shared" si="124"/>
        <v>0.5</v>
      </c>
      <c r="J62" s="452">
        <f t="shared" si="124"/>
        <v>0.5</v>
      </c>
      <c r="K62" s="452">
        <f t="shared" si="124"/>
        <v>0.5</v>
      </c>
      <c r="L62" s="452">
        <f t="shared" si="124"/>
        <v>0.5</v>
      </c>
      <c r="M62" s="452">
        <f t="shared" si="124"/>
        <v>0.5</v>
      </c>
      <c r="N62" s="452">
        <f t="shared" si="124"/>
        <v>0.5</v>
      </c>
      <c r="O62" s="452">
        <f t="shared" si="124"/>
        <v>0.5</v>
      </c>
      <c r="P62" s="452">
        <f t="shared" si="124"/>
        <v>0.5</v>
      </c>
      <c r="Q62" s="452">
        <f t="shared" si="124"/>
        <v>0.5</v>
      </c>
      <c r="R62" s="452">
        <f t="shared" si="124"/>
        <v>0.5</v>
      </c>
      <c r="S62" s="452">
        <f t="shared" si="124"/>
        <v>0.5</v>
      </c>
      <c r="T62" s="452">
        <f t="shared" si="124"/>
        <v>0.5</v>
      </c>
      <c r="U62" s="452">
        <f t="shared" si="124"/>
        <v>0.5</v>
      </c>
      <c r="V62" s="452">
        <f t="shared" si="124"/>
        <v>0.5</v>
      </c>
      <c r="W62" s="452">
        <f t="shared" si="124"/>
        <v>0.5</v>
      </c>
      <c r="X62" s="452">
        <f t="shared" si="124"/>
        <v>0.5</v>
      </c>
      <c r="Y62" s="452">
        <f t="shared" si="124"/>
        <v>0.5</v>
      </c>
      <c r="Z62" s="452">
        <f t="shared" si="124"/>
        <v>0.5</v>
      </c>
      <c r="AA62" s="452">
        <f t="shared" si="124"/>
        <v>0.5</v>
      </c>
      <c r="AB62" s="452">
        <f t="shared" si="124"/>
        <v>0.5</v>
      </c>
      <c r="AC62" s="452">
        <f t="shared" si="124"/>
        <v>0.5</v>
      </c>
      <c r="AD62" s="452">
        <f t="shared" si="124"/>
        <v>0.5</v>
      </c>
      <c r="AE62" s="452">
        <f t="shared" si="124"/>
        <v>0.5</v>
      </c>
      <c r="AF62" s="452">
        <f t="shared" si="124"/>
        <v>0.5</v>
      </c>
      <c r="AG62" s="452">
        <f t="shared" si="124"/>
        <v>0.5</v>
      </c>
      <c r="AH62" s="452">
        <f t="shared" si="124"/>
        <v>0.5</v>
      </c>
      <c r="AI62" s="452">
        <f t="shared" si="124"/>
        <v>0.5</v>
      </c>
      <c r="AJ62" s="452">
        <f t="shared" si="124"/>
        <v>0.5</v>
      </c>
      <c r="AK62" s="452">
        <f t="shared" si="124"/>
        <v>0.5</v>
      </c>
      <c r="AL62" s="452">
        <f t="shared" si="124"/>
        <v>0.5</v>
      </c>
      <c r="AM62" s="452">
        <f t="shared" si="124"/>
        <v>0.5</v>
      </c>
      <c r="AN62" s="452">
        <f t="shared" si="124"/>
        <v>0.5</v>
      </c>
      <c r="AO62" s="452">
        <f t="shared" si="124"/>
        <v>0.5</v>
      </c>
      <c r="AP62" s="452">
        <f t="shared" si="124"/>
        <v>0.5</v>
      </c>
      <c r="AQ62" s="452">
        <f t="shared" si="124"/>
        <v>0.5</v>
      </c>
      <c r="AR62" s="452">
        <f t="shared" si="124"/>
        <v>0.5</v>
      </c>
      <c r="AS62" s="452">
        <f t="shared" si="124"/>
        <v>0.5</v>
      </c>
      <c r="AT62" s="452">
        <f t="shared" si="124"/>
        <v>0.5</v>
      </c>
      <c r="AU62" s="452">
        <f t="shared" si="124"/>
        <v>0.5</v>
      </c>
      <c r="AV62" s="449"/>
      <c r="AW62" s="452">
        <f t="shared" si="124"/>
        <v>0.5</v>
      </c>
      <c r="AX62" s="449"/>
      <c r="AZ62" s="2"/>
      <c r="BA62" s="2"/>
      <c r="BB62" s="2"/>
      <c r="BC62" s="2"/>
      <c r="BD62" s="2"/>
      <c r="BE62" s="2"/>
      <c r="BF62" s="2"/>
      <c r="BG62" s="2"/>
      <c r="BH62" s="2"/>
      <c r="BI62" s="2"/>
      <c r="BJ62" s="2"/>
      <c r="BK62" s="2"/>
      <c r="BL62" s="2"/>
      <c r="BM62" s="2"/>
      <c r="BN62" s="2"/>
    </row>
    <row r="63" spans="2:66" x14ac:dyDescent="0.3">
      <c r="B63" s="54"/>
      <c r="C63" s="449" t="s">
        <v>431</v>
      </c>
      <c r="D63" s="449"/>
      <c r="E63" s="449"/>
      <c r="F63" s="449"/>
      <c r="G63" s="452">
        <f>+G61-G62</f>
        <v>8.3333333333333329E-2</v>
      </c>
      <c r="H63" s="452">
        <f t="shared" ref="H63:AW63" si="125">+H61-H62</f>
        <v>0.66666666666666674</v>
      </c>
      <c r="I63" s="452">
        <f t="shared" si="125"/>
        <v>1.6666666666666665</v>
      </c>
      <c r="J63" s="452">
        <f t="shared" si="125"/>
        <v>2.6666666666666665</v>
      </c>
      <c r="K63" s="452">
        <f t="shared" si="125"/>
        <v>3.666666666666667</v>
      </c>
      <c r="L63" s="452">
        <f t="shared" si="125"/>
        <v>4.666666666666667</v>
      </c>
      <c r="M63" s="452">
        <f t="shared" si="125"/>
        <v>5.666666666666667</v>
      </c>
      <c r="N63" s="452">
        <f t="shared" si="125"/>
        <v>6.666666666666667</v>
      </c>
      <c r="O63" s="452">
        <f t="shared" si="125"/>
        <v>7.6666666666666661</v>
      </c>
      <c r="P63" s="452">
        <f t="shared" si="125"/>
        <v>8.6666666666666661</v>
      </c>
      <c r="Q63" s="452">
        <f t="shared" si="125"/>
        <v>9.6666666666666661</v>
      </c>
      <c r="R63" s="452">
        <f t="shared" si="125"/>
        <v>10.666666666666666</v>
      </c>
      <c r="S63" s="452">
        <f t="shared" si="125"/>
        <v>11.666666666666666</v>
      </c>
      <c r="T63" s="452">
        <f t="shared" si="125"/>
        <v>12.666666666666666</v>
      </c>
      <c r="U63" s="452">
        <f t="shared" si="125"/>
        <v>13.666666666666666</v>
      </c>
      <c r="V63" s="452">
        <f t="shared" si="125"/>
        <v>14.666666666666666</v>
      </c>
      <c r="W63" s="452">
        <f t="shared" si="125"/>
        <v>15.666666666666668</v>
      </c>
      <c r="X63" s="452">
        <f t="shared" si="125"/>
        <v>16.666666666666668</v>
      </c>
      <c r="Y63" s="452">
        <f t="shared" si="125"/>
        <v>17.666666666666668</v>
      </c>
      <c r="Z63" s="452">
        <f t="shared" si="125"/>
        <v>18.666666666666668</v>
      </c>
      <c r="AA63" s="452">
        <f t="shared" si="125"/>
        <v>19.666666666666668</v>
      </c>
      <c r="AB63" s="452">
        <f t="shared" si="125"/>
        <v>20.666666666666668</v>
      </c>
      <c r="AC63" s="452">
        <f t="shared" si="125"/>
        <v>21.666666666666668</v>
      </c>
      <c r="AD63" s="452">
        <f t="shared" si="125"/>
        <v>22.666666666666668</v>
      </c>
      <c r="AE63" s="452">
        <f t="shared" si="125"/>
        <v>23.666666666666668</v>
      </c>
      <c r="AF63" s="452">
        <f t="shared" si="125"/>
        <v>24.666666666666668</v>
      </c>
      <c r="AG63" s="452">
        <f t="shared" si="125"/>
        <v>25.666666666666668</v>
      </c>
      <c r="AH63" s="452">
        <f t="shared" si="125"/>
        <v>26.666666666666668</v>
      </c>
      <c r="AI63" s="452">
        <f t="shared" si="125"/>
        <v>27.666666666666668</v>
      </c>
      <c r="AJ63" s="452">
        <f t="shared" si="125"/>
        <v>28.666666666666668</v>
      </c>
      <c r="AK63" s="452">
        <f t="shared" si="125"/>
        <v>29.666666666666668</v>
      </c>
      <c r="AL63" s="452">
        <f t="shared" si="125"/>
        <v>30.666666666666668</v>
      </c>
      <c r="AM63" s="452">
        <f t="shared" si="125"/>
        <v>31.666666666666664</v>
      </c>
      <c r="AN63" s="452">
        <f t="shared" si="125"/>
        <v>32.666666666666664</v>
      </c>
      <c r="AO63" s="452">
        <f t="shared" si="125"/>
        <v>33.666666666666664</v>
      </c>
      <c r="AP63" s="452">
        <f t="shared" si="125"/>
        <v>34.666666666666664</v>
      </c>
      <c r="AQ63" s="452">
        <f t="shared" si="125"/>
        <v>35.666666666666664</v>
      </c>
      <c r="AR63" s="452">
        <f t="shared" si="125"/>
        <v>36.666666666666664</v>
      </c>
      <c r="AS63" s="452">
        <f t="shared" si="125"/>
        <v>37.666666666666664</v>
      </c>
      <c r="AT63" s="452">
        <f t="shared" si="125"/>
        <v>38.666666666666664</v>
      </c>
      <c r="AU63" s="452">
        <f t="shared" si="125"/>
        <v>39.666666666666664</v>
      </c>
      <c r="AV63" s="449"/>
      <c r="AW63" s="452">
        <f t="shared" si="125"/>
        <v>39.166666666666664</v>
      </c>
      <c r="AX63" s="449"/>
      <c r="AZ63" s="2"/>
      <c r="BA63" s="2"/>
      <c r="BB63" s="2"/>
      <c r="BC63" s="2"/>
      <c r="BD63" s="2"/>
      <c r="BE63" s="2"/>
      <c r="BF63" s="2"/>
      <c r="BG63" s="2"/>
      <c r="BH63" s="2"/>
      <c r="BI63" s="2"/>
      <c r="BJ63" s="2"/>
      <c r="BK63" s="2"/>
      <c r="BL63" s="2"/>
      <c r="BM63" s="2"/>
      <c r="BN63" s="2"/>
    </row>
    <row r="64" spans="2:66" x14ac:dyDescent="0.3">
      <c r="C64" s="442" t="s">
        <v>432</v>
      </c>
      <c r="D64" s="9"/>
      <c r="E64" s="9"/>
      <c r="F64" s="9"/>
      <c r="G64" s="454">
        <f>+Stub_Per_Adj</f>
        <v>0.25</v>
      </c>
      <c r="H64" s="455">
        <v>1</v>
      </c>
      <c r="I64" s="455">
        <v>1</v>
      </c>
      <c r="J64" s="455">
        <v>1</v>
      </c>
      <c r="K64" s="455">
        <v>1</v>
      </c>
      <c r="L64" s="455">
        <v>1</v>
      </c>
      <c r="M64" s="455">
        <v>1</v>
      </c>
      <c r="N64" s="455">
        <v>1</v>
      </c>
      <c r="O64" s="455">
        <v>1</v>
      </c>
      <c r="P64" s="455">
        <v>1</v>
      </c>
      <c r="Q64" s="455">
        <v>1</v>
      </c>
      <c r="R64" s="455">
        <v>1</v>
      </c>
      <c r="S64" s="455">
        <v>1</v>
      </c>
      <c r="T64" s="455">
        <v>1</v>
      </c>
      <c r="U64" s="455">
        <v>1</v>
      </c>
      <c r="V64" s="455">
        <v>1</v>
      </c>
      <c r="W64" s="455">
        <v>1</v>
      </c>
      <c r="X64" s="455">
        <v>1</v>
      </c>
      <c r="Y64" s="455">
        <v>1</v>
      </c>
      <c r="Z64" s="455">
        <v>1</v>
      </c>
      <c r="AA64" s="455">
        <v>1</v>
      </c>
      <c r="AB64" s="455">
        <v>1</v>
      </c>
      <c r="AC64" s="455">
        <v>1</v>
      </c>
      <c r="AD64" s="455">
        <v>1</v>
      </c>
      <c r="AE64" s="455">
        <v>1</v>
      </c>
      <c r="AF64" s="455">
        <v>1</v>
      </c>
      <c r="AG64" s="455">
        <v>1</v>
      </c>
      <c r="AH64" s="455">
        <v>1</v>
      </c>
      <c r="AI64" s="455">
        <v>1</v>
      </c>
      <c r="AJ64" s="455">
        <v>1</v>
      </c>
      <c r="AK64" s="455">
        <v>1</v>
      </c>
      <c r="AL64" s="455">
        <v>1</v>
      </c>
      <c r="AM64" s="455">
        <v>1</v>
      </c>
      <c r="AN64" s="455">
        <v>1</v>
      </c>
      <c r="AO64" s="455">
        <v>1</v>
      </c>
      <c r="AP64" s="455">
        <v>1</v>
      </c>
      <c r="AQ64" s="455">
        <v>1</v>
      </c>
      <c r="AR64" s="455">
        <v>1</v>
      </c>
      <c r="AS64" s="455">
        <v>1</v>
      </c>
      <c r="AT64" s="455">
        <v>1</v>
      </c>
      <c r="AU64" s="455">
        <v>1</v>
      </c>
      <c r="AV64" s="9"/>
      <c r="AW64" s="455">
        <v>1</v>
      </c>
      <c r="AX64" s="9"/>
      <c r="AZ64" s="2"/>
      <c r="BA64" s="2"/>
      <c r="BB64" s="2"/>
      <c r="BC64" s="2"/>
      <c r="BD64" s="2"/>
      <c r="BE64" s="2"/>
      <c r="BF64" s="2"/>
      <c r="BG64" s="2"/>
      <c r="BH64" s="2"/>
      <c r="BI64" s="2"/>
      <c r="BJ64" s="2"/>
      <c r="BK64" s="2"/>
      <c r="BL64" s="2"/>
      <c r="BM64" s="2"/>
      <c r="BN64" s="2"/>
    </row>
    <row r="65" spans="2:66" x14ac:dyDescent="0.3">
      <c r="C65" s="249" t="s">
        <v>433</v>
      </c>
      <c r="D65" s="15"/>
      <c r="E65" s="15"/>
      <c r="F65" s="15"/>
      <c r="G65" s="456">
        <f t="shared" ref="G65:AU65" si="126">1/((1+Discount_Rate)^G63)</f>
        <v>0.99208894344699095</v>
      </c>
      <c r="H65" s="456">
        <f t="shared" si="126"/>
        <v>0.93843646859669738</v>
      </c>
      <c r="I65" s="456">
        <f t="shared" si="126"/>
        <v>0.85312406236063398</v>
      </c>
      <c r="J65" s="456">
        <f t="shared" si="126"/>
        <v>0.77556732941875806</v>
      </c>
      <c r="K65" s="456">
        <f t="shared" si="126"/>
        <v>0.7050612085625072</v>
      </c>
      <c r="L65" s="456">
        <f t="shared" si="126"/>
        <v>0.64096473505682472</v>
      </c>
      <c r="M65" s="456">
        <f t="shared" si="126"/>
        <v>0.58269521368802246</v>
      </c>
      <c r="N65" s="456">
        <f t="shared" si="126"/>
        <v>0.52972292153456579</v>
      </c>
      <c r="O65" s="456">
        <f t="shared" si="126"/>
        <v>0.48156629230415066</v>
      </c>
      <c r="P65" s="456">
        <f t="shared" si="126"/>
        <v>0.4377875384583188</v>
      </c>
      <c r="Q65" s="456">
        <f t="shared" si="126"/>
        <v>0.39798867132574434</v>
      </c>
      <c r="R65" s="456">
        <f t="shared" si="126"/>
        <v>0.36180788302340394</v>
      </c>
      <c r="S65" s="456">
        <f t="shared" si="126"/>
        <v>0.32891625729400353</v>
      </c>
      <c r="T65" s="456">
        <f t="shared" si="126"/>
        <v>0.29901477935818499</v>
      </c>
      <c r="U65" s="456">
        <f t="shared" si="126"/>
        <v>0.27183161759835001</v>
      </c>
      <c r="V65" s="456">
        <f t="shared" si="126"/>
        <v>0.24711965236213634</v>
      </c>
      <c r="W65" s="456">
        <f t="shared" si="126"/>
        <v>0.22465422942012386</v>
      </c>
      <c r="X65" s="456">
        <f t="shared" si="126"/>
        <v>0.2042311176546581</v>
      </c>
      <c r="Y65" s="456">
        <f t="shared" si="126"/>
        <v>0.1856646524133255</v>
      </c>
      <c r="Z65" s="456">
        <f t="shared" si="126"/>
        <v>0.16878604764847771</v>
      </c>
      <c r="AA65" s="456">
        <f t="shared" si="126"/>
        <v>0.15344186149861608</v>
      </c>
      <c r="AB65" s="456">
        <f t="shared" si="126"/>
        <v>0.13949260136237826</v>
      </c>
      <c r="AC65" s="456">
        <f t="shared" si="126"/>
        <v>0.12681145578398023</v>
      </c>
      <c r="AD65" s="456">
        <f t="shared" si="126"/>
        <v>0.11528314162180023</v>
      </c>
      <c r="AE65" s="456">
        <f t="shared" si="126"/>
        <v>0.10480285601981834</v>
      </c>
      <c r="AF65" s="456">
        <f t="shared" si="126"/>
        <v>9.5275323654380323E-2</v>
      </c>
      <c r="AG65" s="456">
        <f t="shared" si="126"/>
        <v>8.661393059489117E-2</v>
      </c>
      <c r="AH65" s="456">
        <f t="shared" si="126"/>
        <v>7.8739936904446528E-2</v>
      </c>
      <c r="AI65" s="456">
        <f t="shared" si="126"/>
        <v>7.1581760822224116E-2</v>
      </c>
      <c r="AJ65" s="456">
        <f t="shared" si="126"/>
        <v>6.5074328020203728E-2</v>
      </c>
      <c r="AK65" s="456">
        <f t="shared" si="126"/>
        <v>5.915848001836703E-2</v>
      </c>
      <c r="AL65" s="456">
        <f t="shared" si="126"/>
        <v>5.3780436380333668E-2</v>
      </c>
      <c r="AM65" s="456">
        <f t="shared" si="126"/>
        <v>4.889130580030334E-2</v>
      </c>
      <c r="AN65" s="456">
        <f t="shared" si="126"/>
        <v>4.4446641636639403E-2</v>
      </c>
      <c r="AO65" s="456">
        <f t="shared" si="126"/>
        <v>4.0406037851490349E-2</v>
      </c>
      <c r="AP65" s="456">
        <f t="shared" si="126"/>
        <v>3.6732761683173049E-2</v>
      </c>
      <c r="AQ65" s="456">
        <f t="shared" si="126"/>
        <v>3.3393419711975486E-2</v>
      </c>
      <c r="AR65" s="456">
        <f t="shared" si="126"/>
        <v>3.0357654283614078E-2</v>
      </c>
      <c r="AS65" s="456">
        <f t="shared" si="126"/>
        <v>2.7597867530558259E-2</v>
      </c>
      <c r="AT65" s="456">
        <f t="shared" si="126"/>
        <v>2.5088970482325681E-2</v>
      </c>
      <c r="AU65" s="456">
        <f t="shared" si="126"/>
        <v>2.280815498393244E-2</v>
      </c>
      <c r="AV65" s="15"/>
      <c r="AW65" s="456">
        <f>1/((1+Discount_Rate)^AW63)</f>
        <v>2.392139475758448E-2</v>
      </c>
      <c r="AX65" s="15"/>
      <c r="AZ65" s="2"/>
      <c r="BA65" s="2"/>
      <c r="BB65" s="2"/>
      <c r="BC65" s="2"/>
      <c r="BD65" s="2"/>
      <c r="BE65" s="2"/>
      <c r="BF65" s="2"/>
      <c r="BG65" s="2"/>
      <c r="BH65" s="2"/>
      <c r="BI65" s="2"/>
      <c r="BJ65" s="2"/>
      <c r="BK65" s="2"/>
      <c r="BL65" s="2"/>
      <c r="BM65" s="2"/>
      <c r="BN65" s="2"/>
    </row>
    <row r="66" spans="2:66" x14ac:dyDescent="0.3">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Z66" s="2"/>
      <c r="BA66" s="2"/>
      <c r="BB66" s="2"/>
      <c r="BC66" s="2"/>
      <c r="BD66" s="2"/>
      <c r="BE66" s="2"/>
      <c r="BF66" s="2"/>
      <c r="BG66" s="2"/>
      <c r="BH66" s="2"/>
      <c r="BI66" s="2"/>
      <c r="BJ66" s="2"/>
      <c r="BK66" s="2"/>
      <c r="BL66" s="2"/>
      <c r="BM66" s="2"/>
      <c r="BN66" s="2"/>
    </row>
    <row r="67" spans="2:66" x14ac:dyDescent="0.3">
      <c r="B67" s="449"/>
      <c r="C67" s="449" t="s">
        <v>434</v>
      </c>
      <c r="D67" s="449"/>
      <c r="E67" s="449"/>
      <c r="F67" s="449"/>
      <c r="G67" s="311">
        <f ca="1">+G56*G$64*G$65</f>
        <v>101186.44037464945</v>
      </c>
      <c r="H67" s="311">
        <f t="shared" ref="H67:AU67" ca="1" si="127">+H56*H$64*H$65</f>
        <v>734270.54737108981</v>
      </c>
      <c r="I67" s="311">
        <f t="shared" ca="1" si="127"/>
        <v>485110.26475989231</v>
      </c>
      <c r="J67" s="311">
        <f t="shared" ca="1" si="127"/>
        <v>526880.79949324939</v>
      </c>
      <c r="K67" s="311">
        <f t="shared" ca="1" si="127"/>
        <v>496385.51290414162</v>
      </c>
      <c r="L67" s="311">
        <f t="shared" ca="1" si="127"/>
        <v>532441.34760918515</v>
      </c>
      <c r="M67" s="311">
        <f t="shared" ca="1" si="127"/>
        <v>475176.85880306701</v>
      </c>
      <c r="N67" s="311">
        <f t="shared" ca="1" si="127"/>
        <v>428118.3534650756</v>
      </c>
      <c r="O67" s="311">
        <f t="shared" ca="1" si="127"/>
        <v>381475.53531867953</v>
      </c>
      <c r="P67" s="311">
        <f t="shared" ca="1" si="127"/>
        <v>342796.15489322046</v>
      </c>
      <c r="Q67" s="311">
        <f t="shared" ca="1" si="127"/>
        <v>309401.45212745463</v>
      </c>
      <c r="R67" s="311">
        <f t="shared" ca="1" si="127"/>
        <v>280416.24247271405</v>
      </c>
      <c r="S67" s="311">
        <f t="shared" ca="1" si="127"/>
        <v>254576.85879523997</v>
      </c>
      <c r="T67" s="311">
        <f t="shared" ca="1" si="127"/>
        <v>231845.05593854724</v>
      </c>
      <c r="U67" s="311">
        <f t="shared" ca="1" si="127"/>
        <v>207448.90479346196</v>
      </c>
      <c r="V67" s="311">
        <f t="shared" ca="1" si="127"/>
        <v>188384.54763395133</v>
      </c>
      <c r="W67" s="311">
        <f t="shared" ca="1" si="127"/>
        <v>172492.79587077306</v>
      </c>
      <c r="X67" s="311">
        <f t="shared" ca="1" si="127"/>
        <v>158226.23915152351</v>
      </c>
      <c r="Y67" s="311">
        <f t="shared" ca="1" si="127"/>
        <v>151727.08867035958</v>
      </c>
      <c r="Z67" s="311">
        <f t="shared" ca="1" si="127"/>
        <v>137322.73459866131</v>
      </c>
      <c r="AA67" s="311">
        <f t="shared" ca="1" si="127"/>
        <v>119969.21253660256</v>
      </c>
      <c r="AB67" s="311">
        <f t="shared" ca="1" si="127"/>
        <v>103895.74688501366</v>
      </c>
      <c r="AC67" s="311">
        <f t="shared" ca="1" si="127"/>
        <v>91076.593586328017</v>
      </c>
      <c r="AD67" s="311">
        <f t="shared" ca="1" si="127"/>
        <v>82897.759208170901</v>
      </c>
      <c r="AE67" s="311">
        <f t="shared" ca="1" si="127"/>
        <v>70901.569801996739</v>
      </c>
      <c r="AF67" s="311">
        <f t="shared" ca="1" si="127"/>
        <v>61419.045727601646</v>
      </c>
      <c r="AG67" s="311">
        <f t="shared" ca="1" si="127"/>
        <v>53594.803140536802</v>
      </c>
      <c r="AH67" s="311">
        <f t="shared" ca="1" si="127"/>
        <v>49025.239147546832</v>
      </c>
      <c r="AI67" s="311">
        <f t="shared" ca="1" si="127"/>
        <v>41538.10364151105</v>
      </c>
      <c r="AJ67" s="311">
        <f t="shared" ca="1" si="127"/>
        <v>35571.855351559447</v>
      </c>
      <c r="AK67" s="311">
        <f t="shared" ca="1" si="127"/>
        <v>30638.749698540731</v>
      </c>
      <c r="AL67" s="311">
        <f t="shared" ca="1" si="127"/>
        <v>26488.474468942764</v>
      </c>
      <c r="AM67" s="311">
        <f t="shared" ca="1" si="127"/>
        <v>22960.243651337201</v>
      </c>
      <c r="AN67" s="311">
        <f t="shared" ca="1" si="127"/>
        <v>19939.584570324667</v>
      </c>
      <c r="AO67" s="311">
        <f t="shared" ca="1" si="127"/>
        <v>17340.241714910801</v>
      </c>
      <c r="AP67" s="311">
        <f t="shared" ca="1" si="127"/>
        <v>15095.15085941838</v>
      </c>
      <c r="AQ67" s="311">
        <f t="shared" ca="1" si="127"/>
        <v>13150.757324000662</v>
      </c>
      <c r="AR67" s="311">
        <f t="shared" ca="1" si="127"/>
        <v>11463.235680232583</v>
      </c>
      <c r="AS67" s="311">
        <f t="shared" ca="1" si="127"/>
        <v>9996.1963031568503</v>
      </c>
      <c r="AT67" s="311">
        <f t="shared" ca="1" si="127"/>
        <v>8719.2738186857423</v>
      </c>
      <c r="AU67" s="311">
        <f t="shared" ca="1" si="127"/>
        <v>7606.9477728116826</v>
      </c>
      <c r="AV67" s="311">
        <f ca="1">SUM(G67:AU67)</f>
        <v>7488972.5199341681</v>
      </c>
      <c r="AW67" s="311">
        <f t="shared" ref="AW67" ca="1" si="128">+AW56*AW$64*AW$65</f>
        <v>96734.462781629642</v>
      </c>
      <c r="AX67" s="311">
        <f ca="1">SUM(AV67:AW67)</f>
        <v>7585706.9827157976</v>
      </c>
      <c r="AZ67" s="2"/>
      <c r="BA67" s="2"/>
      <c r="BB67" s="2"/>
      <c r="BC67" s="2"/>
      <c r="BD67" s="2"/>
      <c r="BE67" s="2"/>
      <c r="BF67" s="2"/>
      <c r="BG67" s="2"/>
      <c r="BH67" s="2"/>
      <c r="BI67" s="2"/>
      <c r="BJ67" s="2"/>
      <c r="BK67" s="2"/>
      <c r="BL67" s="2"/>
      <c r="BM67" s="2"/>
      <c r="BN67" s="2"/>
    </row>
    <row r="68" spans="2:66" x14ac:dyDescent="0.3">
      <c r="B68" s="449"/>
      <c r="C68" s="449" t="s">
        <v>435</v>
      </c>
      <c r="D68" s="449"/>
      <c r="E68" s="449"/>
      <c r="F68" s="449"/>
      <c r="G68" s="312">
        <f ca="1">+G34*G$64*G$65</f>
        <v>5337.3407900005895</v>
      </c>
      <c r="H68" s="312">
        <f t="shared" ref="H68:AU68" ca="1" si="129">+H34*H$64*H$65</f>
        <v>31513.645072890547</v>
      </c>
      <c r="I68" s="312">
        <f t="shared" ca="1" si="129"/>
        <v>22522.59285211486</v>
      </c>
      <c r="J68" s="312">
        <f t="shared" ca="1" si="129"/>
        <v>20108.816253324396</v>
      </c>
      <c r="K68" s="312">
        <f t="shared" ca="1" si="129"/>
        <v>18384.36570840326</v>
      </c>
      <c r="L68" s="312">
        <f t="shared" ca="1" si="129"/>
        <v>16044.189217592804</v>
      </c>
      <c r="M68" s="312">
        <f t="shared" ca="1" si="129"/>
        <v>14365.269899142582</v>
      </c>
      <c r="N68" s="312">
        <f t="shared" ca="1" si="129"/>
        <v>12861.645804043666</v>
      </c>
      <c r="O68" s="312">
        <f t="shared" ca="1" si="129"/>
        <v>11575.925993397279</v>
      </c>
      <c r="P68" s="312">
        <f t="shared" ca="1" si="129"/>
        <v>10473.658811373445</v>
      </c>
      <c r="Q68" s="312">
        <f t="shared" ca="1" si="129"/>
        <v>9501.6107310259413</v>
      </c>
      <c r="R68" s="312">
        <f t="shared" ca="1" si="129"/>
        <v>8642.5551183607804</v>
      </c>
      <c r="S68" s="312">
        <f t="shared" ca="1" si="129"/>
        <v>7868.0972268540945</v>
      </c>
      <c r="T68" s="312">
        <f t="shared" ca="1" si="129"/>
        <v>7163.1224566609872</v>
      </c>
      <c r="U68" s="312">
        <f t="shared" ca="1" si="129"/>
        <v>6510.6498659556128</v>
      </c>
      <c r="V68" s="312">
        <f t="shared" ca="1" si="129"/>
        <v>5944.7141647230119</v>
      </c>
      <c r="W68" s="312">
        <f t="shared" ca="1" si="129"/>
        <v>5440.034442717053</v>
      </c>
      <c r="X68" s="312">
        <f t="shared" ca="1" si="129"/>
        <v>4983.4767332855672</v>
      </c>
      <c r="Y68" s="312">
        <f t="shared" ca="1" si="129"/>
        <v>4283.1439808656714</v>
      </c>
      <c r="Z68" s="312">
        <f t="shared" ca="1" si="129"/>
        <v>3670.3403333332658</v>
      </c>
      <c r="AA68" s="312">
        <f t="shared" ca="1" si="129"/>
        <v>3237.1290057285132</v>
      </c>
      <c r="AB68" s="312">
        <f t="shared" ca="1" si="129"/>
        <v>2833.9022053164599</v>
      </c>
      <c r="AC68" s="312">
        <f t="shared" ca="1" si="129"/>
        <v>2329.6675660601409</v>
      </c>
      <c r="AD68" s="312">
        <f t="shared" ca="1" si="129"/>
        <v>1930.1305760087907</v>
      </c>
      <c r="AE68" s="312">
        <f t="shared" ca="1" si="129"/>
        <v>1662.076478841313</v>
      </c>
      <c r="AF68" s="312">
        <f t="shared" ca="1" si="129"/>
        <v>1448.2826339759001</v>
      </c>
      <c r="AG68" s="312">
        <f t="shared" ca="1" si="129"/>
        <v>1270.5296167808724</v>
      </c>
      <c r="AH68" s="312">
        <f t="shared" ca="1" si="129"/>
        <v>1033.146650742776</v>
      </c>
      <c r="AI68" s="312">
        <f t="shared" ca="1" si="129"/>
        <v>875.72906308761924</v>
      </c>
      <c r="AJ68" s="312">
        <f t="shared" ca="1" si="129"/>
        <v>750.3368021797944</v>
      </c>
      <c r="AK68" s="312">
        <f t="shared" ca="1" si="129"/>
        <v>646.64190472988969</v>
      </c>
      <c r="AL68" s="312">
        <f t="shared" ca="1" si="129"/>
        <v>559.3669918874898</v>
      </c>
      <c r="AM68" s="312">
        <f t="shared" ca="1" si="129"/>
        <v>485.13301706337091</v>
      </c>
      <c r="AN68" s="312">
        <f t="shared" ca="1" si="129"/>
        <v>421.53960067852353</v>
      </c>
      <c r="AO68" s="312">
        <f t="shared" ca="1" si="129"/>
        <v>366.78071723157706</v>
      </c>
      <c r="AP68" s="312">
        <f t="shared" ca="1" si="129"/>
        <v>319.45354276131405</v>
      </c>
      <c r="AQ68" s="312">
        <f t="shared" ca="1" si="129"/>
        <v>278.43838269988521</v>
      </c>
      <c r="AR68" s="312">
        <f t="shared" ca="1" si="129"/>
        <v>242.81895346233054</v>
      </c>
      <c r="AS68" s="312">
        <f t="shared" ca="1" si="129"/>
        <v>211.83421153558535</v>
      </c>
      <c r="AT68" s="312">
        <f t="shared" ca="1" si="129"/>
        <v>184.84885703072018</v>
      </c>
      <c r="AU68" s="312">
        <f t="shared" ca="1" si="129"/>
        <v>161.3286792752134</v>
      </c>
      <c r="AV68" s="312">
        <f t="shared" ref="AV68:AV71" ca="1" si="130">SUM(G68:AU68)</f>
        <v>248444.31091314342</v>
      </c>
      <c r="AW68" s="312">
        <f t="shared" ref="AW68" ca="1" si="131">+AW34*AW$64*AW$65</f>
        <v>2242.0038957370975</v>
      </c>
      <c r="AX68" s="312">
        <f t="shared" ref="AX68:AX71" ca="1" si="132">SUM(AV68:AW68)</f>
        <v>250686.3148088805</v>
      </c>
      <c r="AZ68" s="2"/>
      <c r="BA68" s="2"/>
      <c r="BB68" s="2"/>
      <c r="BC68" s="2"/>
      <c r="BD68" s="2"/>
      <c r="BE68" s="2"/>
      <c r="BF68" s="2"/>
      <c r="BG68" s="2"/>
      <c r="BH68" s="2"/>
      <c r="BI68" s="2"/>
      <c r="BJ68" s="2"/>
      <c r="BK68" s="2"/>
      <c r="BL68" s="2"/>
      <c r="BM68" s="2"/>
      <c r="BN68" s="2"/>
    </row>
    <row r="69" spans="2:66" x14ac:dyDescent="0.3">
      <c r="B69" s="449"/>
      <c r="C69" s="449" t="s">
        <v>436</v>
      </c>
      <c r="D69" s="449"/>
      <c r="E69" s="449"/>
      <c r="F69" s="449"/>
      <c r="G69" s="312">
        <f ca="1">+G27*G$64*G$65</f>
        <v>807.56039996585127</v>
      </c>
      <c r="H69" s="312">
        <f t="shared" ref="H69:AU69" ca="1" si="133">+H27*H$64*H$65</f>
        <v>0</v>
      </c>
      <c r="I69" s="312">
        <f t="shared" ca="1" si="133"/>
        <v>0</v>
      </c>
      <c r="J69" s="312">
        <f t="shared" si="133"/>
        <v>0</v>
      </c>
      <c r="K69" s="312">
        <f t="shared" si="133"/>
        <v>0</v>
      </c>
      <c r="L69" s="312">
        <f t="shared" si="133"/>
        <v>0</v>
      </c>
      <c r="M69" s="312">
        <f t="shared" si="133"/>
        <v>0</v>
      </c>
      <c r="N69" s="312">
        <f t="shared" si="133"/>
        <v>0</v>
      </c>
      <c r="O69" s="312">
        <f t="shared" si="133"/>
        <v>0</v>
      </c>
      <c r="P69" s="312">
        <f t="shared" si="133"/>
        <v>0</v>
      </c>
      <c r="Q69" s="312">
        <f t="shared" si="133"/>
        <v>0</v>
      </c>
      <c r="R69" s="312">
        <f t="shared" si="133"/>
        <v>0</v>
      </c>
      <c r="S69" s="312">
        <f t="shared" si="133"/>
        <v>0</v>
      </c>
      <c r="T69" s="312">
        <f t="shared" si="133"/>
        <v>0</v>
      </c>
      <c r="U69" s="312">
        <f t="shared" si="133"/>
        <v>0</v>
      </c>
      <c r="V69" s="312">
        <f t="shared" si="133"/>
        <v>0</v>
      </c>
      <c r="W69" s="312">
        <f t="shared" si="133"/>
        <v>0</v>
      </c>
      <c r="X69" s="312">
        <f t="shared" si="133"/>
        <v>0</v>
      </c>
      <c r="Y69" s="312">
        <f t="shared" si="133"/>
        <v>0</v>
      </c>
      <c r="Z69" s="312">
        <f t="shared" si="133"/>
        <v>0</v>
      </c>
      <c r="AA69" s="312">
        <f t="shared" si="133"/>
        <v>0</v>
      </c>
      <c r="AB69" s="312">
        <f t="shared" si="133"/>
        <v>0</v>
      </c>
      <c r="AC69" s="312">
        <f t="shared" si="133"/>
        <v>0</v>
      </c>
      <c r="AD69" s="312">
        <f t="shared" si="133"/>
        <v>0</v>
      </c>
      <c r="AE69" s="312">
        <f t="shared" si="133"/>
        <v>0</v>
      </c>
      <c r="AF69" s="312">
        <f t="shared" si="133"/>
        <v>0</v>
      </c>
      <c r="AG69" s="312">
        <f t="shared" si="133"/>
        <v>0</v>
      </c>
      <c r="AH69" s="312">
        <f t="shared" si="133"/>
        <v>0</v>
      </c>
      <c r="AI69" s="312">
        <f t="shared" si="133"/>
        <v>0</v>
      </c>
      <c r="AJ69" s="312">
        <f t="shared" si="133"/>
        <v>0</v>
      </c>
      <c r="AK69" s="312">
        <f t="shared" si="133"/>
        <v>0</v>
      </c>
      <c r="AL69" s="312">
        <f t="shared" si="133"/>
        <v>0</v>
      </c>
      <c r="AM69" s="312">
        <f t="shared" si="133"/>
        <v>0</v>
      </c>
      <c r="AN69" s="312">
        <f t="shared" si="133"/>
        <v>0</v>
      </c>
      <c r="AO69" s="312">
        <f t="shared" si="133"/>
        <v>0</v>
      </c>
      <c r="AP69" s="312">
        <f t="shared" si="133"/>
        <v>0</v>
      </c>
      <c r="AQ69" s="312">
        <f t="shared" si="133"/>
        <v>0</v>
      </c>
      <c r="AR69" s="312">
        <f t="shared" si="133"/>
        <v>0</v>
      </c>
      <c r="AS69" s="312">
        <f t="shared" si="133"/>
        <v>0</v>
      </c>
      <c r="AT69" s="312">
        <f t="shared" si="133"/>
        <v>0</v>
      </c>
      <c r="AU69" s="312">
        <f t="shared" si="133"/>
        <v>0</v>
      </c>
      <c r="AV69" s="312">
        <f t="shared" ca="1" si="130"/>
        <v>807.56039996585127</v>
      </c>
      <c r="AW69" s="312">
        <f t="shared" ref="AW69" si="134">+AW27*AW$64*AW$65</f>
        <v>0</v>
      </c>
      <c r="AX69" s="312">
        <f t="shared" ca="1" si="132"/>
        <v>807.56039996585127</v>
      </c>
      <c r="AZ69" s="2"/>
      <c r="BA69" s="2"/>
      <c r="BB69" s="2"/>
      <c r="BC69" s="2"/>
      <c r="BD69" s="2"/>
      <c r="BE69" s="2"/>
      <c r="BF69" s="2"/>
      <c r="BG69" s="2"/>
      <c r="BH69" s="2"/>
      <c r="BI69" s="2"/>
      <c r="BJ69" s="2"/>
      <c r="BK69" s="2"/>
      <c r="BL69" s="2"/>
      <c r="BM69" s="2"/>
      <c r="BN69" s="2"/>
    </row>
    <row r="70" spans="2:66" x14ac:dyDescent="0.3">
      <c r="B70" s="449"/>
      <c r="C70" s="449" t="s">
        <v>421</v>
      </c>
      <c r="D70" s="449"/>
      <c r="E70" s="449"/>
      <c r="F70" s="449"/>
      <c r="G70" s="312">
        <f ca="1">+G49*G$64*G$65</f>
        <v>2207.2246633518648</v>
      </c>
      <c r="H70" s="312">
        <f t="shared" ref="H70:AU70" ca="1" si="135">+H49*H$64*H$65</f>
        <v>13965.22893760089</v>
      </c>
      <c r="I70" s="312">
        <f t="shared" ca="1" si="135"/>
        <v>213261.21582272506</v>
      </c>
      <c r="J70" s="312">
        <f t="shared" ca="1" si="135"/>
        <v>176932.80433403121</v>
      </c>
      <c r="K70" s="312">
        <f t="shared" ca="1" si="135"/>
        <v>159224.21351512993</v>
      </c>
      <c r="L70" s="312">
        <f t="shared" ca="1" si="135"/>
        <v>153044.26895393737</v>
      </c>
      <c r="M70" s="312">
        <f t="shared" ca="1" si="135"/>
        <v>134807.50600281361</v>
      </c>
      <c r="N70" s="312">
        <f t="shared" ca="1" si="135"/>
        <v>117320.39444031597</v>
      </c>
      <c r="O70" s="312">
        <f t="shared" ca="1" si="135"/>
        <v>107927.55561740456</v>
      </c>
      <c r="P70" s="312">
        <f t="shared" ca="1" si="135"/>
        <v>101321.94809519504</v>
      </c>
      <c r="Q70" s="312">
        <f t="shared" ca="1" si="135"/>
        <v>94587.978402114662</v>
      </c>
      <c r="R70" s="312">
        <f t="shared" ca="1" si="135"/>
        <v>87761.657296075588</v>
      </c>
      <c r="S70" s="312">
        <f t="shared" ca="1" si="135"/>
        <v>80979.923729656613</v>
      </c>
      <c r="T70" s="312">
        <f t="shared" ca="1" si="135"/>
        <v>73914.0251514962</v>
      </c>
      <c r="U70" s="312">
        <f t="shared" ca="1" si="135"/>
        <v>66664.576057324579</v>
      </c>
      <c r="V70" s="312">
        <f t="shared" ca="1" si="135"/>
        <v>60927.907416150556</v>
      </c>
      <c r="W70" s="312">
        <f t="shared" ca="1" si="135"/>
        <v>56114.367469540528</v>
      </c>
      <c r="X70" s="312">
        <f t="shared" ca="1" si="135"/>
        <v>51729.479436204434</v>
      </c>
      <c r="Y70" s="312">
        <f t="shared" ca="1" si="135"/>
        <v>44182.350679695999</v>
      </c>
      <c r="Z70" s="312">
        <f t="shared" ca="1" si="135"/>
        <v>38722.185881812205</v>
      </c>
      <c r="AA70" s="312">
        <f t="shared" ca="1" si="135"/>
        <v>35433.61403246496</v>
      </c>
      <c r="AB70" s="312">
        <f t="shared" ca="1" si="135"/>
        <v>31666.888031782517</v>
      </c>
      <c r="AC70" s="312">
        <f t="shared" ca="1" si="135"/>
        <v>26070.085833059064</v>
      </c>
      <c r="AD70" s="312">
        <f t="shared" ca="1" si="135"/>
        <v>22401.272883974423</v>
      </c>
      <c r="AE70" s="312">
        <f t="shared" ca="1" si="135"/>
        <v>20544.928961706639</v>
      </c>
      <c r="AF70" s="312">
        <f t="shared" ca="1" si="135"/>
        <v>18733.119085016573</v>
      </c>
      <c r="AG70" s="312">
        <f t="shared" ca="1" si="135"/>
        <v>16839.623301527317</v>
      </c>
      <c r="AH70" s="312">
        <f t="shared" ca="1" si="135"/>
        <v>14015.66991357804</v>
      </c>
      <c r="AI70" s="312">
        <f t="shared" ca="1" si="135"/>
        <v>12513.300676113387</v>
      </c>
      <c r="AJ70" s="312">
        <f t="shared" ca="1" si="135"/>
        <v>11169.543881843587</v>
      </c>
      <c r="AK70" s="312">
        <f t="shared" ca="1" si="135"/>
        <v>9852.8294054527141</v>
      </c>
      <c r="AL70" s="312">
        <f t="shared" ca="1" si="135"/>
        <v>8625.1714409555407</v>
      </c>
      <c r="AM70" s="312">
        <f t="shared" ca="1" si="135"/>
        <v>7580.0803932634417</v>
      </c>
      <c r="AN70" s="312">
        <f t="shared" ca="1" si="135"/>
        <v>6682.4539712175383</v>
      </c>
      <c r="AO70" s="312">
        <f t="shared" ca="1" si="135"/>
        <v>5858.2360967876957</v>
      </c>
      <c r="AP70" s="312">
        <f t="shared" ca="1" si="135"/>
        <v>5099.6609182149832</v>
      </c>
      <c r="AQ70" s="312">
        <f t="shared" ca="1" si="135"/>
        <v>4442.7012608831137</v>
      </c>
      <c r="AR70" s="312">
        <f t="shared" ca="1" si="135"/>
        <v>3872.5449619740562</v>
      </c>
      <c r="AS70" s="312">
        <f t="shared" ca="1" si="135"/>
        <v>3376.893148177785</v>
      </c>
      <c r="AT70" s="312">
        <f t="shared" ca="1" si="135"/>
        <v>2945.4831486864773</v>
      </c>
      <c r="AU70" s="312">
        <f t="shared" ca="1" si="135"/>
        <v>2569.6899023142551</v>
      </c>
      <c r="AV70" s="312">
        <f t="shared" ca="1" si="130"/>
        <v>2105890.6031515719</v>
      </c>
      <c r="AW70" s="312">
        <f t="shared" ref="AW70" ca="1" si="136">+AW49*AW$64*AW$65</f>
        <v>32730.892652196246</v>
      </c>
      <c r="AX70" s="312">
        <f t="shared" ca="1" si="132"/>
        <v>2138621.4958037683</v>
      </c>
      <c r="AZ70" s="2"/>
      <c r="BA70" s="2"/>
      <c r="BB70" s="2"/>
      <c r="BC70" s="2"/>
      <c r="BD70" s="2"/>
      <c r="BE70" s="2"/>
      <c r="BF70" s="2"/>
      <c r="BG70" s="2"/>
      <c r="BH70" s="2"/>
      <c r="BI70" s="2"/>
      <c r="BJ70" s="2"/>
      <c r="BK70" s="2"/>
      <c r="BL70" s="2"/>
      <c r="BM70" s="2"/>
      <c r="BN70" s="2"/>
    </row>
    <row r="71" spans="2:66" x14ac:dyDescent="0.3">
      <c r="B71" s="449"/>
      <c r="C71" s="449" t="s">
        <v>437</v>
      </c>
      <c r="D71" s="449"/>
      <c r="E71" s="449"/>
      <c r="F71" s="449"/>
      <c r="G71" s="312">
        <f ca="1">+G54*G$64*G$65</f>
        <v>94449.435321262848</v>
      </c>
      <c r="H71" s="312">
        <f t="shared" ref="H71:AU71" ca="1" si="137">+H54*H$64*H$65</f>
        <v>688791.67336059816</v>
      </c>
      <c r="I71" s="312">
        <f t="shared" ca="1" si="137"/>
        <v>249326.45608505246</v>
      </c>
      <c r="J71" s="312">
        <f t="shared" ca="1" si="137"/>
        <v>329839.17890589382</v>
      </c>
      <c r="K71" s="312">
        <f t="shared" ca="1" si="137"/>
        <v>318776.9336806084</v>
      </c>
      <c r="L71" s="312">
        <f t="shared" ca="1" si="137"/>
        <v>363352.88943765505</v>
      </c>
      <c r="M71" s="312">
        <f t="shared" ca="1" si="137"/>
        <v>326004.08290111081</v>
      </c>
      <c r="N71" s="312">
        <f t="shared" ca="1" si="137"/>
        <v>297936.31322071585</v>
      </c>
      <c r="O71" s="312">
        <f t="shared" ca="1" si="137"/>
        <v>261972.05370787767</v>
      </c>
      <c r="P71" s="312">
        <f t="shared" ca="1" si="137"/>
        <v>231000.54798665195</v>
      </c>
      <c r="Q71" s="312">
        <f t="shared" ca="1" si="137"/>
        <v>205311.862994314</v>
      </c>
      <c r="R71" s="312">
        <f t="shared" ca="1" si="137"/>
        <v>184012.03005827765</v>
      </c>
      <c r="S71" s="312">
        <f t="shared" ca="1" si="137"/>
        <v>165728.83783872929</v>
      </c>
      <c r="T71" s="312">
        <f t="shared" ca="1" si="137"/>
        <v>150767.90833039003</v>
      </c>
      <c r="U71" s="312">
        <f t="shared" ca="1" si="137"/>
        <v>134273.67887018173</v>
      </c>
      <c r="V71" s="312">
        <f t="shared" ca="1" si="137"/>
        <v>121511.92605307774</v>
      </c>
      <c r="W71" s="312">
        <f t="shared" ca="1" si="137"/>
        <v>110938.39395851547</v>
      </c>
      <c r="X71" s="312">
        <f t="shared" ca="1" si="137"/>
        <v>101513.28298203347</v>
      </c>
      <c r="Y71" s="312">
        <f t="shared" ca="1" si="137"/>
        <v>103261.59400979792</v>
      </c>
      <c r="Z71" s="312">
        <f t="shared" ca="1" si="137"/>
        <v>94930.208383515826</v>
      </c>
      <c r="AA71" s="312">
        <f t="shared" ca="1" si="137"/>
        <v>81298.469498409089</v>
      </c>
      <c r="AB71" s="312">
        <f t="shared" ca="1" si="137"/>
        <v>69394.956647914689</v>
      </c>
      <c r="AC71" s="312">
        <f t="shared" ca="1" si="137"/>
        <v>62676.8401872088</v>
      </c>
      <c r="AD71" s="312">
        <f t="shared" ca="1" si="137"/>
        <v>58566.355748187678</v>
      </c>
      <c r="AE71" s="312">
        <f t="shared" ca="1" si="137"/>
        <v>48694.564361448771</v>
      </c>
      <c r="AF71" s="312">
        <f t="shared" ca="1" si="137"/>
        <v>41237.644008609175</v>
      </c>
      <c r="AG71" s="312">
        <f t="shared" ca="1" si="137"/>
        <v>35484.650222228614</v>
      </c>
      <c r="AH71" s="312">
        <f t="shared" ca="1" si="137"/>
        <v>33976.42258322602</v>
      </c>
      <c r="AI71" s="312">
        <f t="shared" ca="1" si="137"/>
        <v>28149.073902310043</v>
      </c>
      <c r="AJ71" s="312">
        <f t="shared" ca="1" si="137"/>
        <v>23651.974667536069</v>
      </c>
      <c r="AK71" s="312">
        <f t="shared" ca="1" si="137"/>
        <v>20139.278388358125</v>
      </c>
      <c r="AL71" s="312">
        <f t="shared" ca="1" si="137"/>
        <v>17303.936036099731</v>
      </c>
      <c r="AM71" s="312">
        <f t="shared" ca="1" si="137"/>
        <v>14895.030241010387</v>
      </c>
      <c r="AN71" s="312">
        <f t="shared" ca="1" si="137"/>
        <v>12835.590998428606</v>
      </c>
      <c r="AO71" s="312">
        <f t="shared" ca="1" si="137"/>
        <v>11115.224900891528</v>
      </c>
      <c r="AP71" s="312">
        <f t="shared" ca="1" si="137"/>
        <v>9676.0363984420837</v>
      </c>
      <c r="AQ71" s="312">
        <f t="shared" ca="1" si="137"/>
        <v>8429.6176804176648</v>
      </c>
      <c r="AR71" s="312">
        <f t="shared" ca="1" si="137"/>
        <v>7347.8717647961957</v>
      </c>
      <c r="AS71" s="312">
        <f t="shared" ca="1" si="137"/>
        <v>6407.4689434434813</v>
      </c>
      <c r="AT71" s="312">
        <f t="shared" ca="1" si="137"/>
        <v>5588.9418129685446</v>
      </c>
      <c r="AU71" s="312">
        <f t="shared" ca="1" si="137"/>
        <v>4875.9291912222152</v>
      </c>
      <c r="AV71" s="312">
        <f t="shared" ca="1" si="130"/>
        <v>5135445.1662694179</v>
      </c>
      <c r="AW71" s="312">
        <f t="shared" ref="AW71" ca="1" si="138">+AW54*AW$64*AW$65</f>
        <v>61761.566233696292</v>
      </c>
      <c r="AX71" s="312">
        <f t="shared" ca="1" si="132"/>
        <v>5197206.7325031143</v>
      </c>
      <c r="AZ71" s="2"/>
      <c r="BA71" s="2"/>
      <c r="BB71" s="2"/>
      <c r="BC71" s="2"/>
      <c r="BD71" s="2"/>
      <c r="BE71" s="2"/>
      <c r="BF71" s="2"/>
      <c r="BG71" s="2"/>
      <c r="BH71" s="2"/>
      <c r="BI71" s="2"/>
      <c r="BJ71" s="2"/>
      <c r="BK71" s="2"/>
      <c r="BL71" s="2"/>
      <c r="BM71" s="2"/>
      <c r="BN71" s="2"/>
    </row>
    <row r="72" spans="2:66" x14ac:dyDescent="0.3">
      <c r="AX72" s="55"/>
      <c r="AZ72" s="2"/>
      <c r="BA72" s="2"/>
      <c r="BB72" s="2"/>
      <c r="BC72" s="2"/>
      <c r="BD72" s="2"/>
      <c r="BE72" s="2"/>
      <c r="BF72" s="2"/>
      <c r="BG72" s="2"/>
      <c r="BH72" s="2"/>
      <c r="BI72" s="2"/>
      <c r="BJ72" s="2"/>
      <c r="BK72" s="2"/>
      <c r="BL72" s="2"/>
      <c r="BM72" s="2"/>
      <c r="BN72" s="2"/>
    </row>
    <row r="73" spans="2:66" x14ac:dyDescent="0.3">
      <c r="B73" s="3" t="s">
        <v>438</v>
      </c>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Z73" s="2"/>
      <c r="BA73" s="2"/>
      <c r="BB73" s="2"/>
      <c r="BC73" s="2"/>
      <c r="BD73" s="2"/>
      <c r="BE73" s="2"/>
      <c r="BF73" s="2"/>
      <c r="BG73" s="2"/>
      <c r="BH73" s="2"/>
      <c r="BI73" s="2"/>
      <c r="BJ73" s="2"/>
      <c r="BK73" s="2"/>
      <c r="BL73" s="2"/>
      <c r="BM73" s="2"/>
      <c r="BN73" s="2"/>
    </row>
    <row r="74" spans="2:66" x14ac:dyDescent="0.3">
      <c r="B74" s="83" t="s">
        <v>439</v>
      </c>
      <c r="AZ74" s="2"/>
      <c r="BA74" s="2"/>
      <c r="BB74" s="2"/>
      <c r="BC74" s="2"/>
      <c r="BD74" s="2"/>
      <c r="BE74" s="2"/>
      <c r="BF74" s="2"/>
      <c r="BG74" s="2"/>
      <c r="BH74" s="2"/>
      <c r="BI74" s="2"/>
      <c r="BJ74" s="2"/>
      <c r="BK74" s="2"/>
      <c r="BL74" s="2"/>
      <c r="BM74" s="2"/>
      <c r="BN74" s="2"/>
    </row>
    <row r="75" spans="2:66" x14ac:dyDescent="0.3">
      <c r="C75" t="s">
        <v>440</v>
      </c>
      <c r="G75" s="12">
        <f ca="1">+F79</f>
        <v>7870398.748663716</v>
      </c>
      <c r="H75" s="12">
        <f t="shared" ref="H75:AU75" ca="1" si="139">+G79</f>
        <v>7870398.748663716</v>
      </c>
      <c r="I75" s="12">
        <f t="shared" ca="1" si="139"/>
        <v>7870398.748663716</v>
      </c>
      <c r="J75" s="12">
        <f t="shared" ca="1" si="139"/>
        <v>7862313.2865594355</v>
      </c>
      <c r="K75" s="12">
        <f t="shared" ca="1" si="139"/>
        <v>7658616.4510524077</v>
      </c>
      <c r="L75" s="12">
        <f t="shared" ca="1" si="139"/>
        <v>7369913.0536397127</v>
      </c>
      <c r="M75" s="12">
        <f t="shared" ca="1" si="139"/>
        <v>6926054.9003486447</v>
      </c>
      <c r="N75" s="12">
        <f t="shared" ca="1" si="139"/>
        <v>6482196.7470575767</v>
      </c>
      <c r="O75" s="12">
        <f t="shared" ca="1" si="139"/>
        <v>6062729.4895759011</v>
      </c>
      <c r="P75" s="12">
        <f t="shared" ca="1" si="139"/>
        <v>5645531.1526346346</v>
      </c>
      <c r="Q75" s="12">
        <f t="shared" ca="1" si="139"/>
        <v>5228332.8156933682</v>
      </c>
      <c r="R75" s="12">
        <f t="shared" ca="1" si="139"/>
        <v>4811134.4787521018</v>
      </c>
      <c r="S75" s="12">
        <f t="shared" ca="1" si="139"/>
        <v>4393936.1418108353</v>
      </c>
      <c r="T75" s="12">
        <f t="shared" ca="1" si="139"/>
        <v>3976737.8048695684</v>
      </c>
      <c r="U75" s="12">
        <f t="shared" ca="1" si="139"/>
        <v>3566204.4220157517</v>
      </c>
      <c r="V75" s="12">
        <f t="shared" ca="1" si="139"/>
        <v>3155671.039161935</v>
      </c>
      <c r="W75" s="12">
        <f t="shared" ca="1" si="139"/>
        <v>2745137.6563081183</v>
      </c>
      <c r="X75" s="12">
        <f t="shared" ca="1" si="139"/>
        <v>2334604.2734543015</v>
      </c>
      <c r="Y75" s="12">
        <f t="shared" ca="1" si="139"/>
        <v>1924070.8906004848</v>
      </c>
      <c r="Z75" s="12">
        <f t="shared" ca="1" si="139"/>
        <v>1626783.639090694</v>
      </c>
      <c r="AA75" s="12">
        <f t="shared" ca="1" si="139"/>
        <v>1393189.8624363111</v>
      </c>
      <c r="AB75" s="12">
        <f t="shared" ca="1" si="139"/>
        <v>1159596.0857819282</v>
      </c>
      <c r="AC75" s="12">
        <f t="shared" ca="1" si="139"/>
        <v>926002.30912754522</v>
      </c>
      <c r="AD75" s="12">
        <f t="shared" ca="1" si="139"/>
        <v>760461.32523013768</v>
      </c>
      <c r="AE75" s="12">
        <f t="shared" ca="1" si="139"/>
        <v>678354.64865937433</v>
      </c>
      <c r="AF75" s="12">
        <f t="shared" ca="1" si="139"/>
        <v>596247.97208861099</v>
      </c>
      <c r="AG75" s="12">
        <f t="shared" ca="1" si="139"/>
        <v>514141.29551784764</v>
      </c>
      <c r="AH75" s="12">
        <f t="shared" ca="1" si="139"/>
        <v>432034.61894708429</v>
      </c>
      <c r="AI75" s="12">
        <f t="shared" ca="1" si="139"/>
        <v>432034.61894708429</v>
      </c>
      <c r="AJ75" s="12">
        <f t="shared" ca="1" si="139"/>
        <v>432034.61894708429</v>
      </c>
      <c r="AK75" s="12">
        <f t="shared" ca="1" si="139"/>
        <v>432034.61894708429</v>
      </c>
      <c r="AL75" s="12">
        <f t="shared" ca="1" si="139"/>
        <v>432034.61894708429</v>
      </c>
      <c r="AM75" s="12">
        <f t="shared" ca="1" si="139"/>
        <v>432034.61894708429</v>
      </c>
      <c r="AN75" s="12">
        <f t="shared" ca="1" si="139"/>
        <v>432034.61894708429</v>
      </c>
      <c r="AO75" s="12">
        <f t="shared" ca="1" si="139"/>
        <v>432034.61894708429</v>
      </c>
      <c r="AP75" s="12">
        <f t="shared" ca="1" si="139"/>
        <v>432034.61894708429</v>
      </c>
      <c r="AQ75" s="12">
        <f t="shared" ca="1" si="139"/>
        <v>432034.61894708429</v>
      </c>
      <c r="AR75" s="12">
        <f t="shared" ca="1" si="139"/>
        <v>432034.61894708429</v>
      </c>
      <c r="AS75" s="12">
        <f t="shared" ca="1" si="139"/>
        <v>432034.61894708429</v>
      </c>
      <c r="AT75" s="12">
        <f t="shared" ca="1" si="139"/>
        <v>432034.61894708429</v>
      </c>
      <c r="AU75" s="12">
        <f t="shared" ca="1" si="139"/>
        <v>432034.61894708429</v>
      </c>
      <c r="AW75" s="12">
        <f ca="1">+AU79</f>
        <v>432034.61894708429</v>
      </c>
      <c r="AZ75" s="2"/>
      <c r="BA75" s="2"/>
      <c r="BB75" s="2"/>
      <c r="BC75" s="2"/>
      <c r="BD75" s="2"/>
      <c r="BE75" s="2"/>
      <c r="BF75" s="2"/>
      <c r="BG75" s="2"/>
      <c r="BH75" s="2"/>
      <c r="BI75" s="2"/>
      <c r="BJ75" s="2"/>
      <c r="BK75" s="2"/>
      <c r="BL75" s="2"/>
      <c r="BM75" s="2"/>
      <c r="BN75" s="2"/>
    </row>
    <row r="76" spans="2:66" x14ac:dyDescent="0.3">
      <c r="C76" t="s">
        <v>441</v>
      </c>
      <c r="G76" s="76">
        <f t="array" aca="1" ref="G76:AX76" ca="1">TRANSPOSE(Rollup!AE279:AE322)-TRANSPOSE(Rollup!AE129:AE172)-TRANSPOSE(Rollup!AE79:AE122)-TRANSPOSE(Rollup!AE29:AE72)</f>
        <v>7.2759576141834259E-12</v>
      </c>
      <c r="H76" s="76">
        <f ca="1"/>
        <v>-1.4551915228366852E-11</v>
      </c>
      <c r="I76" s="76">
        <f ca="1"/>
        <v>7606.5842509081122</v>
      </c>
      <c r="J76" s="76">
        <f ca="1"/>
        <v>191632.47826086951</v>
      </c>
      <c r="K76" s="76">
        <f ca="1"/>
        <v>271604.35453411192</v>
      </c>
      <c r="L76" s="76">
        <f ca="1"/>
        <v>417569.75605311117</v>
      </c>
      <c r="M76" s="76">
        <f ca="1"/>
        <v>417569.75605311117</v>
      </c>
      <c r="N76" s="76">
        <f ca="1"/>
        <v>394623.46040093724</v>
      </c>
      <c r="O76" s="76">
        <f ca="1"/>
        <v>392488.9212705025</v>
      </c>
      <c r="P76" s="76">
        <f ca="1"/>
        <v>392488.9212705025</v>
      </c>
      <c r="Q76" s="76">
        <f ca="1"/>
        <v>392488.9212705025</v>
      </c>
      <c r="R76" s="76">
        <f ca="1"/>
        <v>392488.9212705025</v>
      </c>
      <c r="S76" s="76">
        <f ca="1"/>
        <v>392488.9212705025</v>
      </c>
      <c r="T76" s="76">
        <f ca="1"/>
        <v>386218.7125748503</v>
      </c>
      <c r="U76" s="76">
        <f ca="1"/>
        <v>386218.7125748503</v>
      </c>
      <c r="V76" s="76">
        <f ca="1"/>
        <v>386218.7125748503</v>
      </c>
      <c r="W76" s="76">
        <f ca="1"/>
        <v>386218.7125748503</v>
      </c>
      <c r="X76" s="76">
        <f ca="1"/>
        <v>386218.7125748503</v>
      </c>
      <c r="Y76" s="76">
        <f ca="1"/>
        <v>279679.81250360748</v>
      </c>
      <c r="Z76" s="76">
        <f ca="1"/>
        <v>219758.71257485033</v>
      </c>
      <c r="AA76" s="76">
        <f ca="1"/>
        <v>219758.71257485033</v>
      </c>
      <c r="AB76" s="76">
        <f ca="1"/>
        <v>219758.71257485033</v>
      </c>
      <c r="AC76" s="76">
        <f ca="1"/>
        <v>155736.4841679559</v>
      </c>
      <c r="AD76" s="76">
        <f ca="1"/>
        <v>77243.742514970072</v>
      </c>
      <c r="AE76" s="76">
        <f ca="1"/>
        <v>77243.742514970072</v>
      </c>
      <c r="AF76" s="76">
        <f ca="1"/>
        <v>77243.742514970072</v>
      </c>
      <c r="AG76" s="76">
        <f ca="1"/>
        <v>77243.742514970072</v>
      </c>
      <c r="AH76" s="76">
        <f ca="1"/>
        <v>0</v>
      </c>
      <c r="AI76" s="76">
        <f ca="1"/>
        <v>0</v>
      </c>
      <c r="AJ76" s="76">
        <f ca="1"/>
        <v>0</v>
      </c>
      <c r="AK76" s="76">
        <f ca="1"/>
        <v>0</v>
      </c>
      <c r="AL76" s="76">
        <f ca="1"/>
        <v>0</v>
      </c>
      <c r="AM76" s="76">
        <f ca="1"/>
        <v>0</v>
      </c>
      <c r="AN76" s="76">
        <f ca="1"/>
        <v>0</v>
      </c>
      <c r="AO76" s="76">
        <f ca="1"/>
        <v>0</v>
      </c>
      <c r="AP76" s="76">
        <f ca="1"/>
        <v>0</v>
      </c>
      <c r="AQ76" s="76">
        <f ca="1"/>
        <v>0</v>
      </c>
      <c r="AR76" s="76">
        <f ca="1"/>
        <v>0</v>
      </c>
      <c r="AS76" s="76">
        <f ca="1"/>
        <v>0</v>
      </c>
      <c r="AT76" s="76">
        <f ca="1"/>
        <v>0</v>
      </c>
      <c r="AU76" s="76">
        <f ca="1"/>
        <v>0</v>
      </c>
      <c r="AV76" s="76">
        <f ca="1"/>
        <v>6997811.9632358067</v>
      </c>
      <c r="AW76" s="76">
        <f ca="1"/>
        <v>406446.49445456924</v>
      </c>
      <c r="AX76" s="76">
        <f ca="1"/>
        <v>7404258.4576903768</v>
      </c>
      <c r="AZ76" s="2"/>
      <c r="BA76" s="2"/>
      <c r="BB76" s="2"/>
      <c r="BC76" s="2"/>
      <c r="BD76" s="2"/>
      <c r="BE76" s="2"/>
      <c r="BF76" s="2"/>
      <c r="BG76" s="2"/>
      <c r="BH76" s="2"/>
      <c r="BI76" s="2"/>
      <c r="BJ76" s="2"/>
      <c r="BK76" s="2"/>
      <c r="BL76" s="2"/>
      <c r="BM76" s="2"/>
      <c r="BN76" s="2"/>
    </row>
    <row r="77" spans="2:66" x14ac:dyDescent="0.3">
      <c r="C77" t="s">
        <v>442</v>
      </c>
      <c r="E77" s="458">
        <f ca="1">Assumptions!$K$35</f>
        <v>0.94077297658489245</v>
      </c>
      <c r="G77" s="20">
        <f ca="1">+E77</f>
        <v>0.94077297658489245</v>
      </c>
      <c r="H77" s="20">
        <f ca="1">+G77</f>
        <v>0.94077297658489245</v>
      </c>
      <c r="I77" s="20">
        <f t="shared" ref="I77:AU77" ca="1" si="140">+H77</f>
        <v>0.94077297658489245</v>
      </c>
      <c r="J77" s="20">
        <f t="shared" ca="1" si="140"/>
        <v>0.94077297658489245</v>
      </c>
      <c r="K77" s="20">
        <f t="shared" ca="1" si="140"/>
        <v>0.94077297658489245</v>
      </c>
      <c r="L77" s="20">
        <f t="shared" ca="1" si="140"/>
        <v>0.94077297658489245</v>
      </c>
      <c r="M77" s="20">
        <f t="shared" ca="1" si="140"/>
        <v>0.94077297658489245</v>
      </c>
      <c r="N77" s="20">
        <f t="shared" ca="1" si="140"/>
        <v>0.94077297658489245</v>
      </c>
      <c r="O77" s="20">
        <f t="shared" ca="1" si="140"/>
        <v>0.94077297658489245</v>
      </c>
      <c r="P77" s="20">
        <f t="shared" ca="1" si="140"/>
        <v>0.94077297658489245</v>
      </c>
      <c r="Q77" s="20">
        <f t="shared" ca="1" si="140"/>
        <v>0.94077297658489245</v>
      </c>
      <c r="R77" s="20">
        <f t="shared" ca="1" si="140"/>
        <v>0.94077297658489245</v>
      </c>
      <c r="S77" s="20">
        <f t="shared" ca="1" si="140"/>
        <v>0.94077297658489245</v>
      </c>
      <c r="T77" s="20">
        <f t="shared" ca="1" si="140"/>
        <v>0.94077297658489245</v>
      </c>
      <c r="U77" s="20">
        <f t="shared" ca="1" si="140"/>
        <v>0.94077297658489245</v>
      </c>
      <c r="V77" s="20">
        <f t="shared" ca="1" si="140"/>
        <v>0.94077297658489245</v>
      </c>
      <c r="W77" s="20">
        <f t="shared" ca="1" si="140"/>
        <v>0.94077297658489245</v>
      </c>
      <c r="X77" s="20">
        <f t="shared" ca="1" si="140"/>
        <v>0.94077297658489245</v>
      </c>
      <c r="Y77" s="20">
        <f t="shared" ca="1" si="140"/>
        <v>0.94077297658489245</v>
      </c>
      <c r="Z77" s="20">
        <f t="shared" ca="1" si="140"/>
        <v>0.94077297658489245</v>
      </c>
      <c r="AA77" s="20">
        <f t="shared" ca="1" si="140"/>
        <v>0.94077297658489245</v>
      </c>
      <c r="AB77" s="20">
        <f t="shared" ca="1" si="140"/>
        <v>0.94077297658489245</v>
      </c>
      <c r="AC77" s="20">
        <f t="shared" ca="1" si="140"/>
        <v>0.94077297658489245</v>
      </c>
      <c r="AD77" s="20">
        <f t="shared" ca="1" si="140"/>
        <v>0.94077297658489245</v>
      </c>
      <c r="AE77" s="20">
        <f t="shared" ca="1" si="140"/>
        <v>0.94077297658489245</v>
      </c>
      <c r="AF77" s="20">
        <f t="shared" ca="1" si="140"/>
        <v>0.94077297658489245</v>
      </c>
      <c r="AG77" s="20">
        <f t="shared" ca="1" si="140"/>
        <v>0.94077297658489245</v>
      </c>
      <c r="AH77" s="20">
        <f t="shared" ca="1" si="140"/>
        <v>0.94077297658489245</v>
      </c>
      <c r="AI77" s="20">
        <f t="shared" ca="1" si="140"/>
        <v>0.94077297658489245</v>
      </c>
      <c r="AJ77" s="20">
        <f t="shared" ca="1" si="140"/>
        <v>0.94077297658489245</v>
      </c>
      <c r="AK77" s="20">
        <f t="shared" ca="1" si="140"/>
        <v>0.94077297658489245</v>
      </c>
      <c r="AL77" s="20">
        <f t="shared" ca="1" si="140"/>
        <v>0.94077297658489245</v>
      </c>
      <c r="AM77" s="20">
        <f t="shared" ca="1" si="140"/>
        <v>0.94077297658489245</v>
      </c>
      <c r="AN77" s="20">
        <f t="shared" ca="1" si="140"/>
        <v>0.94077297658489245</v>
      </c>
      <c r="AO77" s="20">
        <f t="shared" ca="1" si="140"/>
        <v>0.94077297658489245</v>
      </c>
      <c r="AP77" s="20">
        <f t="shared" ca="1" si="140"/>
        <v>0.94077297658489245</v>
      </c>
      <c r="AQ77" s="20">
        <f t="shared" ca="1" si="140"/>
        <v>0.94077297658489245</v>
      </c>
      <c r="AR77" s="20">
        <f t="shared" ca="1" si="140"/>
        <v>0.94077297658489245</v>
      </c>
      <c r="AS77" s="20">
        <f t="shared" ca="1" si="140"/>
        <v>0.94077297658489245</v>
      </c>
      <c r="AT77" s="20">
        <f t="shared" ca="1" si="140"/>
        <v>0.94077297658489245</v>
      </c>
      <c r="AU77" s="20">
        <f t="shared" ca="1" si="140"/>
        <v>0.94077297658489245</v>
      </c>
      <c r="AW77" s="20">
        <f ca="1">+AU77</f>
        <v>0.94077297658489245</v>
      </c>
      <c r="AZ77" s="2"/>
      <c r="BA77" s="2"/>
      <c r="BB77" s="2"/>
      <c r="BC77" s="2"/>
      <c r="BD77" s="2"/>
      <c r="BE77" s="2"/>
      <c r="BF77" s="2"/>
      <c r="BG77" s="2"/>
      <c r="BH77" s="2"/>
      <c r="BI77" s="2"/>
      <c r="BJ77" s="2"/>
      <c r="BK77" s="2"/>
      <c r="BL77" s="2"/>
      <c r="BM77" s="2"/>
      <c r="BN77" s="2"/>
    </row>
    <row r="78" spans="2:66" x14ac:dyDescent="0.3">
      <c r="C78" t="s">
        <v>443</v>
      </c>
      <c r="G78" s="12">
        <f ca="1">+MIN(G76/G77,G75)</f>
        <v>7.7340206354522839E-12</v>
      </c>
      <c r="H78" s="12">
        <f t="shared" ref="H78:AW78" ca="1" si="141">+MIN(H76/H77,H75)</f>
        <v>-1.5468041270904568E-11</v>
      </c>
      <c r="I78" s="12">
        <f t="shared" ca="1" si="141"/>
        <v>8085.4621042802855</v>
      </c>
      <c r="J78" s="12">
        <f t="shared" ca="1" si="141"/>
        <v>203696.83550702754</v>
      </c>
      <c r="K78" s="12">
        <f t="shared" ca="1" si="141"/>
        <v>288703.3974126947</v>
      </c>
      <c r="L78" s="12">
        <f t="shared" ca="1" si="141"/>
        <v>443858.15329106763</v>
      </c>
      <c r="M78" s="12">
        <f t="shared" ca="1" si="141"/>
        <v>443858.15329106763</v>
      </c>
      <c r="N78" s="12">
        <f t="shared" ca="1" si="141"/>
        <v>419467.25748167536</v>
      </c>
      <c r="O78" s="12">
        <f t="shared" ca="1" si="141"/>
        <v>417198.33694126684</v>
      </c>
      <c r="P78" s="12">
        <f t="shared" ca="1" si="141"/>
        <v>417198.33694126684</v>
      </c>
      <c r="Q78" s="12">
        <f t="shared" ca="1" si="141"/>
        <v>417198.33694126684</v>
      </c>
      <c r="R78" s="12">
        <f t="shared" ca="1" si="141"/>
        <v>417198.33694126684</v>
      </c>
      <c r="S78" s="12">
        <f t="shared" ca="1" si="141"/>
        <v>417198.33694126684</v>
      </c>
      <c r="T78" s="12">
        <f t="shared" ca="1" si="141"/>
        <v>410533.38285381661</v>
      </c>
      <c r="U78" s="12">
        <f t="shared" ca="1" si="141"/>
        <v>410533.38285381661</v>
      </c>
      <c r="V78" s="12">
        <f t="shared" ca="1" si="141"/>
        <v>410533.38285381661</v>
      </c>
      <c r="W78" s="12">
        <f t="shared" ca="1" si="141"/>
        <v>410533.38285381661</v>
      </c>
      <c r="X78" s="12">
        <f t="shared" ca="1" si="141"/>
        <v>410533.38285381661</v>
      </c>
      <c r="Y78" s="12">
        <f t="shared" ca="1" si="141"/>
        <v>297287.25150979083</v>
      </c>
      <c r="Z78" s="12">
        <f t="shared" ca="1" si="141"/>
        <v>233593.77665438288</v>
      </c>
      <c r="AA78" s="12">
        <f t="shared" ca="1" si="141"/>
        <v>233593.77665438288</v>
      </c>
      <c r="AB78" s="12">
        <f t="shared" ca="1" si="141"/>
        <v>233593.77665438288</v>
      </c>
      <c r="AC78" s="12">
        <f t="shared" ca="1" si="141"/>
        <v>165540.9838974076</v>
      </c>
      <c r="AD78" s="12">
        <f t="shared" ca="1" si="141"/>
        <v>82106.676570763331</v>
      </c>
      <c r="AE78" s="12">
        <f t="shared" ca="1" si="141"/>
        <v>82106.676570763331</v>
      </c>
      <c r="AF78" s="12">
        <f t="shared" ca="1" si="141"/>
        <v>82106.676570763331</v>
      </c>
      <c r="AG78" s="12">
        <f t="shared" ca="1" si="141"/>
        <v>82106.676570763331</v>
      </c>
      <c r="AH78" s="12">
        <f t="shared" ca="1" si="141"/>
        <v>0</v>
      </c>
      <c r="AI78" s="12">
        <f t="shared" ca="1" si="141"/>
        <v>0</v>
      </c>
      <c r="AJ78" s="12">
        <f t="shared" ca="1" si="141"/>
        <v>0</v>
      </c>
      <c r="AK78" s="12">
        <f t="shared" ca="1" si="141"/>
        <v>0</v>
      </c>
      <c r="AL78" s="12">
        <f t="shared" ca="1" si="141"/>
        <v>0</v>
      </c>
      <c r="AM78" s="12">
        <f t="shared" ca="1" si="141"/>
        <v>0</v>
      </c>
      <c r="AN78" s="12">
        <f t="shared" ca="1" si="141"/>
        <v>0</v>
      </c>
      <c r="AO78" s="12">
        <f t="shared" ca="1" si="141"/>
        <v>0</v>
      </c>
      <c r="AP78" s="12">
        <f t="shared" ca="1" si="141"/>
        <v>0</v>
      </c>
      <c r="AQ78" s="12">
        <f t="shared" ca="1" si="141"/>
        <v>0</v>
      </c>
      <c r="AR78" s="12">
        <f t="shared" ca="1" si="141"/>
        <v>0</v>
      </c>
      <c r="AS78" s="12">
        <f t="shared" ca="1" si="141"/>
        <v>0</v>
      </c>
      <c r="AT78" s="12">
        <f t="shared" ca="1" si="141"/>
        <v>0</v>
      </c>
      <c r="AU78" s="12">
        <f t="shared" ca="1" si="141"/>
        <v>0</v>
      </c>
      <c r="AW78" s="12">
        <f t="shared" ca="1" si="141"/>
        <v>432034.61894708429</v>
      </c>
      <c r="AZ78" s="2"/>
      <c r="BA78" s="2"/>
      <c r="BB78" s="2"/>
      <c r="BC78" s="2"/>
      <c r="BD78" s="2"/>
      <c r="BE78" s="2"/>
      <c r="BF78" s="2"/>
      <c r="BG78" s="2"/>
      <c r="BH78" s="2"/>
      <c r="BI78" s="2"/>
      <c r="BJ78" s="2"/>
      <c r="BK78" s="2"/>
      <c r="BL78" s="2"/>
      <c r="BM78" s="2"/>
      <c r="BN78" s="2"/>
    </row>
    <row r="79" spans="2:66" x14ac:dyDescent="0.3">
      <c r="C79" s="60" t="s">
        <v>444</v>
      </c>
      <c r="D79" s="9"/>
      <c r="E79" s="9"/>
      <c r="F79" s="459">
        <f ca="1">Assumptions!$K$34</f>
        <v>7870398.748663716</v>
      </c>
      <c r="G79" s="8">
        <f ca="1">+G75-G78</f>
        <v>7870398.748663716</v>
      </c>
      <c r="H79" s="8">
        <f t="shared" ref="H79:AW79" ca="1" si="142">+H75-H78</f>
        <v>7870398.748663716</v>
      </c>
      <c r="I79" s="8">
        <f t="shared" ca="1" si="142"/>
        <v>7862313.2865594355</v>
      </c>
      <c r="J79" s="8">
        <f t="shared" ca="1" si="142"/>
        <v>7658616.4510524077</v>
      </c>
      <c r="K79" s="8">
        <f t="shared" ca="1" si="142"/>
        <v>7369913.0536397127</v>
      </c>
      <c r="L79" s="8">
        <f t="shared" ca="1" si="142"/>
        <v>6926054.9003486447</v>
      </c>
      <c r="M79" s="8">
        <f t="shared" ca="1" si="142"/>
        <v>6482196.7470575767</v>
      </c>
      <c r="N79" s="8">
        <f t="shared" ca="1" si="142"/>
        <v>6062729.4895759011</v>
      </c>
      <c r="O79" s="8">
        <f t="shared" ca="1" si="142"/>
        <v>5645531.1526346346</v>
      </c>
      <c r="P79" s="8">
        <f t="shared" ca="1" si="142"/>
        <v>5228332.8156933682</v>
      </c>
      <c r="Q79" s="8">
        <f t="shared" ca="1" si="142"/>
        <v>4811134.4787521018</v>
      </c>
      <c r="R79" s="8">
        <f t="shared" ca="1" si="142"/>
        <v>4393936.1418108353</v>
      </c>
      <c r="S79" s="8">
        <f t="shared" ca="1" si="142"/>
        <v>3976737.8048695684</v>
      </c>
      <c r="T79" s="8">
        <f t="shared" ca="1" si="142"/>
        <v>3566204.4220157517</v>
      </c>
      <c r="U79" s="8">
        <f t="shared" ca="1" si="142"/>
        <v>3155671.039161935</v>
      </c>
      <c r="V79" s="8">
        <f t="shared" ca="1" si="142"/>
        <v>2745137.6563081183</v>
      </c>
      <c r="W79" s="8">
        <f t="shared" ca="1" si="142"/>
        <v>2334604.2734543015</v>
      </c>
      <c r="X79" s="8">
        <f t="shared" ca="1" si="142"/>
        <v>1924070.8906004848</v>
      </c>
      <c r="Y79" s="8">
        <f t="shared" ca="1" si="142"/>
        <v>1626783.639090694</v>
      </c>
      <c r="Z79" s="8">
        <f t="shared" ca="1" si="142"/>
        <v>1393189.8624363111</v>
      </c>
      <c r="AA79" s="8">
        <f t="shared" ca="1" si="142"/>
        <v>1159596.0857819282</v>
      </c>
      <c r="AB79" s="8">
        <f t="shared" ca="1" si="142"/>
        <v>926002.30912754522</v>
      </c>
      <c r="AC79" s="8">
        <f t="shared" ca="1" si="142"/>
        <v>760461.32523013768</v>
      </c>
      <c r="AD79" s="8">
        <f t="shared" ca="1" si="142"/>
        <v>678354.64865937433</v>
      </c>
      <c r="AE79" s="8">
        <f t="shared" ca="1" si="142"/>
        <v>596247.97208861099</v>
      </c>
      <c r="AF79" s="8">
        <f t="shared" ca="1" si="142"/>
        <v>514141.29551784764</v>
      </c>
      <c r="AG79" s="8">
        <f t="shared" ca="1" si="142"/>
        <v>432034.61894708429</v>
      </c>
      <c r="AH79" s="8">
        <f t="shared" ca="1" si="142"/>
        <v>432034.61894708429</v>
      </c>
      <c r="AI79" s="8">
        <f t="shared" ca="1" si="142"/>
        <v>432034.61894708429</v>
      </c>
      <c r="AJ79" s="8">
        <f t="shared" ca="1" si="142"/>
        <v>432034.61894708429</v>
      </c>
      <c r="AK79" s="8">
        <f t="shared" ca="1" si="142"/>
        <v>432034.61894708429</v>
      </c>
      <c r="AL79" s="8">
        <f t="shared" ca="1" si="142"/>
        <v>432034.61894708429</v>
      </c>
      <c r="AM79" s="8">
        <f t="shared" ca="1" si="142"/>
        <v>432034.61894708429</v>
      </c>
      <c r="AN79" s="8">
        <f t="shared" ca="1" si="142"/>
        <v>432034.61894708429</v>
      </c>
      <c r="AO79" s="8">
        <f t="shared" ca="1" si="142"/>
        <v>432034.61894708429</v>
      </c>
      <c r="AP79" s="8">
        <f t="shared" ca="1" si="142"/>
        <v>432034.61894708429</v>
      </c>
      <c r="AQ79" s="8">
        <f t="shared" ca="1" si="142"/>
        <v>432034.61894708429</v>
      </c>
      <c r="AR79" s="8">
        <f t="shared" ca="1" si="142"/>
        <v>432034.61894708429</v>
      </c>
      <c r="AS79" s="8">
        <f t="shared" ca="1" si="142"/>
        <v>432034.61894708429</v>
      </c>
      <c r="AT79" s="8">
        <f t="shared" ca="1" si="142"/>
        <v>432034.61894708429</v>
      </c>
      <c r="AU79" s="8">
        <f t="shared" ca="1" si="142"/>
        <v>432034.61894708429</v>
      </c>
      <c r="AV79" s="9"/>
      <c r="AW79" s="8">
        <f t="shared" ca="1" si="142"/>
        <v>0</v>
      </c>
      <c r="AX79" s="9"/>
      <c r="AZ79" s="2"/>
      <c r="BA79" s="2"/>
      <c r="BB79" s="2"/>
      <c r="BC79" s="2"/>
      <c r="BD79" s="2"/>
      <c r="BE79" s="2"/>
      <c r="BF79" s="2"/>
      <c r="BG79" s="2"/>
      <c r="BH79" s="2"/>
      <c r="BI79" s="2"/>
      <c r="BJ79" s="2"/>
      <c r="BK79" s="2"/>
      <c r="BL79" s="2"/>
      <c r="BM79" s="2"/>
      <c r="BN79" s="2"/>
    </row>
    <row r="80" spans="2:66" x14ac:dyDescent="0.3">
      <c r="AZ80" s="2"/>
      <c r="BA80" s="2"/>
      <c r="BB80" s="2"/>
      <c r="BC80" s="2"/>
      <c r="BD80" s="2"/>
      <c r="BE80" s="2"/>
      <c r="BF80" s="2"/>
      <c r="BG80" s="2"/>
      <c r="BH80" s="2"/>
      <c r="BI80" s="2"/>
      <c r="BJ80" s="2"/>
      <c r="BK80" s="2"/>
      <c r="BL80" s="2"/>
      <c r="BM80" s="2"/>
      <c r="BN80" s="2"/>
    </row>
    <row r="81" spans="2:66" x14ac:dyDescent="0.3">
      <c r="B81" s="83" t="s">
        <v>58</v>
      </c>
      <c r="AZ81" s="2"/>
      <c r="BA81" s="2"/>
      <c r="BB81" s="2"/>
      <c r="BC81" s="2"/>
      <c r="BD81" s="2"/>
      <c r="BE81" s="2"/>
      <c r="BF81" s="2"/>
      <c r="BG81" s="2"/>
      <c r="BH81" s="2"/>
      <c r="BI81" s="2"/>
      <c r="BJ81" s="2"/>
      <c r="BK81" s="2"/>
      <c r="BL81" s="2"/>
      <c r="BM81" s="2"/>
      <c r="BN81" s="2"/>
    </row>
    <row r="82" spans="2:66" x14ac:dyDescent="0.3">
      <c r="C82" t="s">
        <v>445</v>
      </c>
      <c r="G82" s="12">
        <f ca="1">+F85</f>
        <v>4162984.6947368309</v>
      </c>
      <c r="H82" s="12">
        <f t="shared" ref="H82:AU82" ca="1" si="143">+G85</f>
        <v>3855561.7521667182</v>
      </c>
      <c r="I82" s="12">
        <f t="shared" ca="1" si="143"/>
        <v>3375833.0281904149</v>
      </c>
      <c r="J82" s="12">
        <f t="shared" ca="1" si="143"/>
        <v>3006773.6638218812</v>
      </c>
      <c r="K82" s="12">
        <f t="shared" ca="1" si="143"/>
        <v>2840072.2209045053</v>
      </c>
      <c r="L82" s="12">
        <f t="shared" ca="1" si="143"/>
        <v>2756277.7519691205</v>
      </c>
      <c r="M82" s="12">
        <f t="shared" ca="1" si="143"/>
        <v>2842545.7125826632</v>
      </c>
      <c r="N82" s="12">
        <f t="shared" ca="1" si="143"/>
        <v>2934216.072674871</v>
      </c>
      <c r="O82" s="12">
        <f t="shared" ca="1" si="143"/>
        <v>3006826.9081834331</v>
      </c>
      <c r="P82" s="12">
        <f t="shared" ca="1" si="143"/>
        <v>3080624.1932300604</v>
      </c>
      <c r="Q82" s="12">
        <f t="shared" ca="1" si="143"/>
        <v>3156050.1310933661</v>
      </c>
      <c r="R82" s="12">
        <f t="shared" ca="1" si="143"/>
        <v>3232190.2773445374</v>
      </c>
      <c r="S82" s="12">
        <f t="shared" ca="1" si="143"/>
        <v>3308143.7743787277</v>
      </c>
      <c r="T82" s="12">
        <f t="shared" ca="1" si="143"/>
        <v>3383609.5685755722</v>
      </c>
      <c r="U82" s="12">
        <f t="shared" ca="1" si="143"/>
        <v>3451917.991749845</v>
      </c>
      <c r="V82" s="12">
        <f t="shared" ca="1" si="143"/>
        <v>3520293.6645436292</v>
      </c>
      <c r="W82" s="12">
        <f t="shared" ca="1" si="143"/>
        <v>3587169.6844329629</v>
      </c>
      <c r="X82" s="12">
        <f t="shared" ca="1" si="143"/>
        <v>3651772.4433510643</v>
      </c>
      <c r="Y82" s="12">
        <f t="shared" ca="1" si="143"/>
        <v>3713717.7874242072</v>
      </c>
      <c r="Z82" s="12">
        <f t="shared" ca="1" si="143"/>
        <v>3681444.347871447</v>
      </c>
      <c r="AA82" s="12">
        <f t="shared" ca="1" si="143"/>
        <v>3604387.8423263622</v>
      </c>
      <c r="AB82" s="12">
        <f t="shared" ca="1" si="143"/>
        <v>3536599.065157563</v>
      </c>
      <c r="AC82" s="12">
        <f t="shared" ca="1" si="143"/>
        <v>3479967.2898944276</v>
      </c>
      <c r="AD82" s="12">
        <f t="shared" ca="1" si="143"/>
        <v>3383063.8043732066</v>
      </c>
      <c r="AE82" s="12">
        <f t="shared" ca="1" si="143"/>
        <v>3225991.590127131</v>
      </c>
      <c r="AF82" s="12">
        <f t="shared" ca="1" si="143"/>
        <v>3081540.0353721846</v>
      </c>
      <c r="AG82" s="12">
        <f t="shared" ca="1" si="143"/>
        <v>2946489.2033629157</v>
      </c>
      <c r="AH82" s="12">
        <f t="shared" ca="1" si="143"/>
        <v>2819040.4080574242</v>
      </c>
      <c r="AI82" s="12">
        <f t="shared" ca="1" si="143"/>
        <v>2631597.5620507686</v>
      </c>
      <c r="AJ82" s="12">
        <f t="shared" ca="1" si="143"/>
        <v>2456826.5723005156</v>
      </c>
      <c r="AK82" s="12">
        <f t="shared" ca="1" si="143"/>
        <v>2292105.7445930196</v>
      </c>
      <c r="AL82" s="12">
        <f t="shared" ca="1" si="143"/>
        <v>2135953.2962327302</v>
      </c>
      <c r="AM82" s="12">
        <f t="shared" ca="1" si="143"/>
        <v>1987368.4656736711</v>
      </c>
      <c r="AN82" s="12">
        <f t="shared" ca="1" si="143"/>
        <v>1845615.8256308504</v>
      </c>
      <c r="AO82" s="12">
        <f t="shared" ca="1" si="143"/>
        <v>1710127.652089224</v>
      </c>
      <c r="AP82" s="12">
        <f t="shared" ca="1" si="143"/>
        <v>1580450.8807329745</v>
      </c>
      <c r="AQ82" s="12">
        <f t="shared" ca="1" si="143"/>
        <v>1456212.4126643485</v>
      </c>
      <c r="AR82" s="12">
        <f t="shared" ca="1" si="143"/>
        <v>1337096.3947262259</v>
      </c>
      <c r="AS82" s="12">
        <f t="shared" ca="1" si="143"/>
        <v>1222830.5769554714</v>
      </c>
      <c r="AT82" s="12">
        <f t="shared" ca="1" si="143"/>
        <v>1113177.0677274084</v>
      </c>
      <c r="AU82" s="12">
        <f t="shared" ca="1" si="143"/>
        <v>1007923.7270436208</v>
      </c>
      <c r="AW82" s="12">
        <f ca="1">+AU85</f>
        <v>906876.73662107612</v>
      </c>
      <c r="AZ82" s="2"/>
      <c r="BA82" s="2"/>
      <c r="BB82" s="2"/>
      <c r="BC82" s="2"/>
      <c r="BD82" s="2"/>
      <c r="BE82" s="2"/>
      <c r="BF82" s="2"/>
      <c r="BG82" s="2"/>
      <c r="BH82" s="2"/>
      <c r="BI82" s="2"/>
      <c r="BJ82" s="2"/>
      <c r="BK82" s="2"/>
      <c r="BL82" s="2"/>
      <c r="BM82" s="2"/>
      <c r="BN82" s="2"/>
    </row>
    <row r="83" spans="2:66" x14ac:dyDescent="0.3">
      <c r="C83" t="s">
        <v>446</v>
      </c>
      <c r="G83" s="12">
        <f ca="1">-G19</f>
        <v>-307422.94257011259</v>
      </c>
      <c r="H83" s="12">
        <f t="shared" ref="H83:AW83" ca="1" si="144">-H19</f>
        <v>-479728.72397630347</v>
      </c>
      <c r="I83" s="12">
        <f t="shared" ca="1" si="144"/>
        <v>-377144.82647281431</v>
      </c>
      <c r="J83" s="12">
        <f t="shared" ca="1" si="144"/>
        <v>-370398.27842440311</v>
      </c>
      <c r="K83" s="12">
        <f t="shared" ca="1" si="144"/>
        <v>-372497.86634807958</v>
      </c>
      <c r="L83" s="12">
        <f t="shared" ca="1" si="144"/>
        <v>-357590.19267752487</v>
      </c>
      <c r="M83" s="12">
        <f t="shared" ca="1" si="144"/>
        <v>-352187.79319885967</v>
      </c>
      <c r="N83" s="12">
        <f t="shared" ca="1" si="144"/>
        <v>-346856.42197311338</v>
      </c>
      <c r="O83" s="12">
        <f t="shared" ca="1" si="144"/>
        <v>-343401.05189463962</v>
      </c>
      <c r="P83" s="12">
        <f t="shared" ca="1" si="144"/>
        <v>-341772.3990779614</v>
      </c>
      <c r="Q83" s="12">
        <f t="shared" ca="1" si="144"/>
        <v>-341058.19069009542</v>
      </c>
      <c r="R83" s="12">
        <f t="shared" ca="1" si="144"/>
        <v>-341244.83990707644</v>
      </c>
      <c r="S83" s="12">
        <f t="shared" ca="1" si="144"/>
        <v>-341732.54274442239</v>
      </c>
      <c r="T83" s="12">
        <f t="shared" ca="1" si="144"/>
        <v>-342224.9596795442</v>
      </c>
      <c r="U83" s="12">
        <f t="shared" ca="1" si="144"/>
        <v>-342157.71006003255</v>
      </c>
      <c r="V83" s="12">
        <f t="shared" ca="1" si="144"/>
        <v>-343657.36296448315</v>
      </c>
      <c r="W83" s="12">
        <f t="shared" ca="1" si="144"/>
        <v>-345930.62393571518</v>
      </c>
      <c r="X83" s="12">
        <f t="shared" ca="1" si="144"/>
        <v>-348588.03878067411</v>
      </c>
      <c r="Y83" s="12">
        <f t="shared" ca="1" si="144"/>
        <v>-329560.69106255099</v>
      </c>
      <c r="Z83" s="12">
        <f t="shared" ca="1" si="144"/>
        <v>-310650.28219946747</v>
      </c>
      <c r="AA83" s="12">
        <f t="shared" ca="1" si="144"/>
        <v>-301382.55382318201</v>
      </c>
      <c r="AB83" s="12">
        <f t="shared" ca="1" si="144"/>
        <v>-290225.55191751808</v>
      </c>
      <c r="AC83" s="12">
        <f t="shared" ca="1" si="144"/>
        <v>-262444.46941862867</v>
      </c>
      <c r="AD83" s="12">
        <f t="shared" ca="1" si="144"/>
        <v>-239178.89081683877</v>
      </c>
      <c r="AE83" s="12">
        <f t="shared" ca="1" si="144"/>
        <v>-226558.23132570961</v>
      </c>
      <c r="AF83" s="12">
        <f t="shared" ca="1" si="144"/>
        <v>-217157.50858003207</v>
      </c>
      <c r="AG83" s="12">
        <f t="shared" ca="1" si="144"/>
        <v>-209555.47187625483</v>
      </c>
      <c r="AH83" s="12">
        <f t="shared" ca="1" si="144"/>
        <v>-187442.84600665551</v>
      </c>
      <c r="AI83" s="12">
        <f t="shared" ca="1" si="144"/>
        <v>-174770.98975025292</v>
      </c>
      <c r="AJ83" s="12">
        <f t="shared" ca="1" si="144"/>
        <v>-164720.82770749606</v>
      </c>
      <c r="AK83" s="12">
        <f t="shared" ca="1" si="144"/>
        <v>-156152.44836028959</v>
      </c>
      <c r="AL83" s="12">
        <f t="shared" ca="1" si="144"/>
        <v>-148584.83055905916</v>
      </c>
      <c r="AM83" s="12">
        <f t="shared" ca="1" si="144"/>
        <v>-141752.64004282068</v>
      </c>
      <c r="AN83" s="12">
        <f t="shared" ca="1" si="144"/>
        <v>-135488.17354162643</v>
      </c>
      <c r="AO83" s="12">
        <f t="shared" ca="1" si="144"/>
        <v>-129676.77135624937</v>
      </c>
      <c r="AP83" s="12">
        <f t="shared" ca="1" si="144"/>
        <v>-124238.46806862598</v>
      </c>
      <c r="AQ83" s="12">
        <f t="shared" ca="1" si="144"/>
        <v>-119116.01793812268</v>
      </c>
      <c r="AR83" s="12">
        <f t="shared" ca="1" si="144"/>
        <v>-114265.81777075438</v>
      </c>
      <c r="AS83" s="12">
        <f t="shared" ca="1" si="144"/>
        <v>-109653.50922806311</v>
      </c>
      <c r="AT83" s="12">
        <f t="shared" ca="1" si="144"/>
        <v>-105253.34068378762</v>
      </c>
      <c r="AU83" s="12">
        <f t="shared" ca="1" si="144"/>
        <v>-101046.99042254461</v>
      </c>
      <c r="AW83" s="12">
        <f t="shared" ca="1" si="144"/>
        <v>-1338911.3555681608</v>
      </c>
      <c r="AZ83" s="2"/>
      <c r="BA83" s="2"/>
      <c r="BB83" s="2"/>
      <c r="BC83" s="2"/>
      <c r="BD83" s="2"/>
      <c r="BE83" s="2"/>
      <c r="BF83" s="2"/>
      <c r="BG83" s="2"/>
      <c r="BH83" s="2"/>
      <c r="BI83" s="2"/>
      <c r="BJ83" s="2"/>
      <c r="BK83" s="2"/>
      <c r="BL83" s="2"/>
      <c r="BM83" s="2"/>
      <c r="BN83" s="2"/>
    </row>
    <row r="84" spans="2:66" x14ac:dyDescent="0.3">
      <c r="C84" t="s">
        <v>447</v>
      </c>
      <c r="G84" s="12">
        <f ca="1">+G78</f>
        <v>7.7340206354522839E-12</v>
      </c>
      <c r="H84" s="12">
        <f t="shared" ref="H84:AU84" ca="1" si="145">+H78</f>
        <v>-1.5468041270904568E-11</v>
      </c>
      <c r="I84" s="12">
        <f t="shared" ca="1" si="145"/>
        <v>8085.4621042802855</v>
      </c>
      <c r="J84" s="12">
        <f t="shared" ca="1" si="145"/>
        <v>203696.83550702754</v>
      </c>
      <c r="K84" s="12">
        <f t="shared" ca="1" si="145"/>
        <v>288703.3974126947</v>
      </c>
      <c r="L84" s="12">
        <f t="shared" ca="1" si="145"/>
        <v>443858.15329106763</v>
      </c>
      <c r="M84" s="12">
        <f t="shared" ca="1" si="145"/>
        <v>443858.15329106763</v>
      </c>
      <c r="N84" s="12">
        <f t="shared" ca="1" si="145"/>
        <v>419467.25748167536</v>
      </c>
      <c r="O84" s="12">
        <f t="shared" ca="1" si="145"/>
        <v>417198.33694126684</v>
      </c>
      <c r="P84" s="12">
        <f t="shared" ca="1" si="145"/>
        <v>417198.33694126684</v>
      </c>
      <c r="Q84" s="12">
        <f t="shared" ca="1" si="145"/>
        <v>417198.33694126684</v>
      </c>
      <c r="R84" s="12">
        <f t="shared" ca="1" si="145"/>
        <v>417198.33694126684</v>
      </c>
      <c r="S84" s="12">
        <f t="shared" ca="1" si="145"/>
        <v>417198.33694126684</v>
      </c>
      <c r="T84" s="12">
        <f t="shared" ca="1" si="145"/>
        <v>410533.38285381661</v>
      </c>
      <c r="U84" s="12">
        <f t="shared" ca="1" si="145"/>
        <v>410533.38285381661</v>
      </c>
      <c r="V84" s="12">
        <f t="shared" ca="1" si="145"/>
        <v>410533.38285381661</v>
      </c>
      <c r="W84" s="12">
        <f t="shared" ca="1" si="145"/>
        <v>410533.38285381661</v>
      </c>
      <c r="X84" s="12">
        <f t="shared" ca="1" si="145"/>
        <v>410533.38285381661</v>
      </c>
      <c r="Y84" s="12">
        <f t="shared" ca="1" si="145"/>
        <v>297287.25150979083</v>
      </c>
      <c r="Z84" s="12">
        <f t="shared" ca="1" si="145"/>
        <v>233593.77665438288</v>
      </c>
      <c r="AA84" s="12">
        <f t="shared" ca="1" si="145"/>
        <v>233593.77665438288</v>
      </c>
      <c r="AB84" s="12">
        <f t="shared" ca="1" si="145"/>
        <v>233593.77665438288</v>
      </c>
      <c r="AC84" s="12">
        <f t="shared" ca="1" si="145"/>
        <v>165540.9838974076</v>
      </c>
      <c r="AD84" s="12">
        <f t="shared" ca="1" si="145"/>
        <v>82106.676570763331</v>
      </c>
      <c r="AE84" s="12">
        <f t="shared" ca="1" si="145"/>
        <v>82106.676570763331</v>
      </c>
      <c r="AF84" s="12">
        <f t="shared" ca="1" si="145"/>
        <v>82106.676570763331</v>
      </c>
      <c r="AG84" s="12">
        <f t="shared" ca="1" si="145"/>
        <v>82106.676570763331</v>
      </c>
      <c r="AH84" s="12">
        <f t="shared" ca="1" si="145"/>
        <v>0</v>
      </c>
      <c r="AI84" s="12">
        <f t="shared" ca="1" si="145"/>
        <v>0</v>
      </c>
      <c r="AJ84" s="12">
        <f t="shared" ca="1" si="145"/>
        <v>0</v>
      </c>
      <c r="AK84" s="12">
        <f t="shared" ca="1" si="145"/>
        <v>0</v>
      </c>
      <c r="AL84" s="12">
        <f t="shared" ca="1" si="145"/>
        <v>0</v>
      </c>
      <c r="AM84" s="12">
        <f t="shared" ca="1" si="145"/>
        <v>0</v>
      </c>
      <c r="AN84" s="12">
        <f t="shared" ca="1" si="145"/>
        <v>0</v>
      </c>
      <c r="AO84" s="12">
        <f t="shared" ca="1" si="145"/>
        <v>0</v>
      </c>
      <c r="AP84" s="12">
        <f t="shared" ca="1" si="145"/>
        <v>0</v>
      </c>
      <c r="AQ84" s="12">
        <f t="shared" ca="1" si="145"/>
        <v>0</v>
      </c>
      <c r="AR84" s="12">
        <f t="shared" ca="1" si="145"/>
        <v>0</v>
      </c>
      <c r="AS84" s="12">
        <f t="shared" ca="1" si="145"/>
        <v>0</v>
      </c>
      <c r="AT84" s="12">
        <f t="shared" ca="1" si="145"/>
        <v>0</v>
      </c>
      <c r="AU84" s="12">
        <f t="shared" ca="1" si="145"/>
        <v>0</v>
      </c>
      <c r="AW84" s="12">
        <f t="shared" ref="AW84" ca="1" si="146">+AW78</f>
        <v>432034.61894708429</v>
      </c>
      <c r="AZ84" s="2"/>
      <c r="BA84" s="2"/>
      <c r="BB84" s="2"/>
      <c r="BC84" s="2"/>
      <c r="BD84" s="2"/>
      <c r="BE84" s="2"/>
      <c r="BF84" s="2"/>
      <c r="BG84" s="2"/>
      <c r="BH84" s="2"/>
      <c r="BI84" s="2"/>
      <c r="BJ84" s="2"/>
      <c r="BK84" s="2"/>
      <c r="BL84" s="2"/>
      <c r="BM84" s="2"/>
      <c r="BN84" s="2"/>
    </row>
    <row r="85" spans="2:66" x14ac:dyDescent="0.3">
      <c r="C85" s="60" t="s">
        <v>448</v>
      </c>
      <c r="D85" s="9"/>
      <c r="E85" s="9"/>
      <c r="F85" s="459">
        <f ca="1">Assumptions!$K$33</f>
        <v>4162984.6947368309</v>
      </c>
      <c r="G85" s="8">
        <f ca="1">SUM(G82:G84)</f>
        <v>3855561.7521667182</v>
      </c>
      <c r="H85" s="8">
        <f t="shared" ref="H85:AW85" ca="1" si="147">SUM(H82:H84)</f>
        <v>3375833.0281904149</v>
      </c>
      <c r="I85" s="8">
        <f t="shared" ca="1" si="147"/>
        <v>3006773.6638218812</v>
      </c>
      <c r="J85" s="8">
        <f t="shared" ca="1" si="147"/>
        <v>2840072.2209045053</v>
      </c>
      <c r="K85" s="8">
        <f t="shared" ca="1" si="147"/>
        <v>2756277.7519691205</v>
      </c>
      <c r="L85" s="8">
        <f t="shared" ca="1" si="147"/>
        <v>2842545.7125826632</v>
      </c>
      <c r="M85" s="8">
        <f t="shared" ca="1" si="147"/>
        <v>2934216.072674871</v>
      </c>
      <c r="N85" s="8">
        <f t="shared" ca="1" si="147"/>
        <v>3006826.9081834331</v>
      </c>
      <c r="O85" s="8">
        <f t="shared" ca="1" si="147"/>
        <v>3080624.1932300604</v>
      </c>
      <c r="P85" s="8">
        <f t="shared" ca="1" si="147"/>
        <v>3156050.1310933661</v>
      </c>
      <c r="Q85" s="8">
        <f t="shared" ca="1" si="147"/>
        <v>3232190.2773445374</v>
      </c>
      <c r="R85" s="8">
        <f t="shared" ca="1" si="147"/>
        <v>3308143.7743787277</v>
      </c>
      <c r="S85" s="8">
        <f t="shared" ca="1" si="147"/>
        <v>3383609.5685755722</v>
      </c>
      <c r="T85" s="8">
        <f t="shared" ca="1" si="147"/>
        <v>3451917.991749845</v>
      </c>
      <c r="U85" s="8">
        <f t="shared" ca="1" si="147"/>
        <v>3520293.6645436292</v>
      </c>
      <c r="V85" s="8">
        <f t="shared" ca="1" si="147"/>
        <v>3587169.6844329629</v>
      </c>
      <c r="W85" s="8">
        <f t="shared" ca="1" si="147"/>
        <v>3651772.4433510643</v>
      </c>
      <c r="X85" s="8">
        <f t="shared" ca="1" si="147"/>
        <v>3713717.7874242072</v>
      </c>
      <c r="Y85" s="8">
        <f t="shared" ca="1" si="147"/>
        <v>3681444.347871447</v>
      </c>
      <c r="Z85" s="8">
        <f t="shared" ca="1" si="147"/>
        <v>3604387.8423263622</v>
      </c>
      <c r="AA85" s="8">
        <f t="shared" ca="1" si="147"/>
        <v>3536599.065157563</v>
      </c>
      <c r="AB85" s="8">
        <f t="shared" ca="1" si="147"/>
        <v>3479967.2898944276</v>
      </c>
      <c r="AC85" s="8">
        <f t="shared" ca="1" si="147"/>
        <v>3383063.8043732066</v>
      </c>
      <c r="AD85" s="8">
        <f t="shared" ca="1" si="147"/>
        <v>3225991.590127131</v>
      </c>
      <c r="AE85" s="8">
        <f t="shared" ca="1" si="147"/>
        <v>3081540.0353721846</v>
      </c>
      <c r="AF85" s="8">
        <f t="shared" ca="1" si="147"/>
        <v>2946489.2033629157</v>
      </c>
      <c r="AG85" s="8">
        <f t="shared" ca="1" si="147"/>
        <v>2819040.4080574242</v>
      </c>
      <c r="AH85" s="8">
        <f t="shared" ca="1" si="147"/>
        <v>2631597.5620507686</v>
      </c>
      <c r="AI85" s="8">
        <f t="shared" ca="1" si="147"/>
        <v>2456826.5723005156</v>
      </c>
      <c r="AJ85" s="8">
        <f t="shared" ca="1" si="147"/>
        <v>2292105.7445930196</v>
      </c>
      <c r="AK85" s="8">
        <f t="shared" ca="1" si="147"/>
        <v>2135953.2962327302</v>
      </c>
      <c r="AL85" s="8">
        <f t="shared" ca="1" si="147"/>
        <v>1987368.4656736711</v>
      </c>
      <c r="AM85" s="8">
        <f t="shared" ca="1" si="147"/>
        <v>1845615.8256308504</v>
      </c>
      <c r="AN85" s="8">
        <f t="shared" ca="1" si="147"/>
        <v>1710127.652089224</v>
      </c>
      <c r="AO85" s="8">
        <f t="shared" ca="1" si="147"/>
        <v>1580450.8807329745</v>
      </c>
      <c r="AP85" s="8">
        <f t="shared" ca="1" si="147"/>
        <v>1456212.4126643485</v>
      </c>
      <c r="AQ85" s="8">
        <f t="shared" ca="1" si="147"/>
        <v>1337096.3947262259</v>
      </c>
      <c r="AR85" s="8">
        <f t="shared" ca="1" si="147"/>
        <v>1222830.5769554714</v>
      </c>
      <c r="AS85" s="8">
        <f t="shared" ca="1" si="147"/>
        <v>1113177.0677274084</v>
      </c>
      <c r="AT85" s="8">
        <f t="shared" ca="1" si="147"/>
        <v>1007923.7270436208</v>
      </c>
      <c r="AU85" s="8">
        <f t="shared" ca="1" si="147"/>
        <v>906876.73662107612</v>
      </c>
      <c r="AV85" s="9"/>
      <c r="AW85" s="8">
        <f t="shared" ca="1" si="147"/>
        <v>0</v>
      </c>
      <c r="AX85" s="9"/>
      <c r="AZ85" s="2"/>
      <c r="BA85" s="2"/>
      <c r="BB85" s="2"/>
      <c r="BC85" s="2"/>
      <c r="BD85" s="2"/>
      <c r="BE85" s="2"/>
      <c r="BF85" s="2"/>
      <c r="BG85" s="2"/>
      <c r="BH85" s="2"/>
      <c r="BI85" s="2"/>
      <c r="BJ85" s="2"/>
      <c r="BK85" s="2"/>
      <c r="BL85" s="2"/>
      <c r="BM85" s="2"/>
      <c r="BN85" s="2"/>
    </row>
    <row r="86" spans="2:66" x14ac:dyDescent="0.3">
      <c r="C86" s="200" t="s">
        <v>449</v>
      </c>
      <c r="G86" s="446">
        <f ca="1">IFERROR(-G83/(G82+G84),"N/A")</f>
        <v>7.3846762626531059E-2</v>
      </c>
      <c r="H86" s="446">
        <f t="shared" ref="H86:AW86" ca="1" si="148">IFERROR(-H83/(H82+H84),"N/A")</f>
        <v>0.12442511748299954</v>
      </c>
      <c r="I86" s="446">
        <f t="shared" ca="1" si="148"/>
        <v>0.11145210133000866</v>
      </c>
      <c r="J86" s="446">
        <f t="shared" ca="1" si="148"/>
        <v>0.11537196136884866</v>
      </c>
      <c r="K86" s="446">
        <f t="shared" ca="1" si="148"/>
        <v>0.1190554746614991</v>
      </c>
      <c r="L86" s="446">
        <f t="shared" ca="1" si="148"/>
        <v>0.11174218947693439</v>
      </c>
      <c r="M86" s="446">
        <f t="shared" ca="1" si="148"/>
        <v>0.10716509825709636</v>
      </c>
      <c r="N86" s="446">
        <f t="shared" ca="1" si="148"/>
        <v>0.103425513927972</v>
      </c>
      <c r="O86" s="446">
        <f t="shared" ca="1" si="148"/>
        <v>0.10029162383764295</v>
      </c>
      <c r="P86" s="446">
        <f t="shared" ca="1" si="148"/>
        <v>9.7710045644088472E-2</v>
      </c>
      <c r="Q86" s="446">
        <f t="shared" ca="1" si="148"/>
        <v>9.5447656030951886E-2</v>
      </c>
      <c r="R86" s="446">
        <f t="shared" ca="1" si="148"/>
        <v>9.350739972477802E-2</v>
      </c>
      <c r="S86" s="446">
        <f t="shared" ca="1" si="148"/>
        <v>9.1731855097554202E-2</v>
      </c>
      <c r="T86" s="446">
        <f t="shared" ca="1" si="148"/>
        <v>9.0198225016960912E-2</v>
      </c>
      <c r="U86" s="446">
        <f t="shared" ca="1" si="148"/>
        <v>8.858563561726196E-2</v>
      </c>
      <c r="V86" s="446">
        <f t="shared" ca="1" si="148"/>
        <v>8.7426223240224879E-2</v>
      </c>
      <c r="W86" s="446">
        <f t="shared" ca="1" si="148"/>
        <v>8.6532345727842283E-2</v>
      </c>
      <c r="X86" s="446">
        <f t="shared" ca="1" si="148"/>
        <v>8.5810387916149269E-2</v>
      </c>
      <c r="Y86" s="446">
        <f t="shared" ca="1" si="148"/>
        <v>8.2164117936420769E-2</v>
      </c>
      <c r="Z86" s="446">
        <f t="shared" ca="1" si="148"/>
        <v>7.934795838982843E-2</v>
      </c>
      <c r="AA86" s="446">
        <f t="shared" ca="1" si="148"/>
        <v>7.8526315064328098E-2</v>
      </c>
      <c r="AB86" s="446">
        <f t="shared" ca="1" si="148"/>
        <v>7.697896741484353E-2</v>
      </c>
      <c r="AC86" s="446">
        <f t="shared" ca="1" si="148"/>
        <v>7.1991187430676146E-2</v>
      </c>
      <c r="AD86" s="446">
        <f t="shared" ca="1" si="148"/>
        <v>6.9023700892108047E-2</v>
      </c>
      <c r="AE86" s="446">
        <f t="shared" ca="1" si="148"/>
        <v>6.8485943602835428E-2</v>
      </c>
      <c r="AF86" s="446">
        <f t="shared" ca="1" si="148"/>
        <v>6.8641516690296042E-2</v>
      </c>
      <c r="AG86" s="446">
        <f t="shared" ca="1" si="148"/>
        <v>6.9192285859163136E-2</v>
      </c>
      <c r="AH86" s="446">
        <f t="shared" ca="1" si="148"/>
        <v>6.6491720186380984E-2</v>
      </c>
      <c r="AI86" s="446">
        <f t="shared" ca="1" si="148"/>
        <v>6.6412506330966598E-2</v>
      </c>
      <c r="AJ86" s="446">
        <f t="shared" ca="1" si="148"/>
        <v>6.704617638242788E-2</v>
      </c>
      <c r="AK86" s="446">
        <f t="shared" ca="1" si="148"/>
        <v>6.8126197374901484E-2</v>
      </c>
      <c r="AL86" s="446">
        <f t="shared" ca="1" si="148"/>
        <v>6.9563707605931474E-2</v>
      </c>
      <c r="AM86" s="446">
        <f t="shared" ca="1" si="148"/>
        <v>7.1326803504839692E-2</v>
      </c>
      <c r="AN86" s="446">
        <f t="shared" ca="1" si="148"/>
        <v>7.3410821287965056E-2</v>
      </c>
      <c r="AO86" s="446">
        <f t="shared" ca="1" si="148"/>
        <v>7.582870857495709E-2</v>
      </c>
      <c r="AP86" s="446">
        <f t="shared" ca="1" si="148"/>
        <v>7.8609509212337697E-2</v>
      </c>
      <c r="AQ86" s="446">
        <f t="shared" ca="1" si="148"/>
        <v>8.1798518473127774E-2</v>
      </c>
      <c r="AR86" s="446">
        <f t="shared" ca="1" si="148"/>
        <v>8.5458175058613195E-2</v>
      </c>
      <c r="AS86" s="446">
        <f t="shared" ca="1" si="148"/>
        <v>8.9671873842958438E-2</v>
      </c>
      <c r="AT86" s="446">
        <f t="shared" ca="1" si="148"/>
        <v>9.4552199946650137E-2</v>
      </c>
      <c r="AU86" s="446">
        <f t="shared" ca="1" si="148"/>
        <v>0.10025261605749609</v>
      </c>
      <c r="AV86" s="446"/>
      <c r="AW86" s="446">
        <f t="shared" ca="1" si="148"/>
        <v>1.0000000000000004</v>
      </c>
      <c r="AX86" s="446"/>
      <c r="AZ86" s="2"/>
      <c r="BA86" s="2"/>
      <c r="BB86" s="2"/>
      <c r="BC86" s="2"/>
      <c r="BD86" s="2"/>
      <c r="BE86" s="2"/>
      <c r="BF86" s="2"/>
      <c r="BG86" s="2"/>
      <c r="BH86" s="2"/>
      <c r="BI86" s="2"/>
      <c r="BJ86" s="2"/>
      <c r="BK86" s="2"/>
      <c r="BL86" s="2"/>
      <c r="BM86" s="2"/>
      <c r="BN86" s="2"/>
    </row>
    <row r="87" spans="2:66" x14ac:dyDescent="0.3">
      <c r="AZ87" s="2"/>
      <c r="BA87" s="2"/>
      <c r="BB87" s="2"/>
      <c r="BC87" s="2"/>
      <c r="BD87" s="2"/>
      <c r="BE87" s="2"/>
      <c r="BF87" s="2"/>
      <c r="BG87" s="2"/>
      <c r="BH87" s="2"/>
      <c r="BI87" s="2"/>
      <c r="BJ87" s="2"/>
      <c r="BK87" s="2"/>
      <c r="BL87" s="2"/>
      <c r="BM87" s="2"/>
      <c r="BN87" s="2"/>
    </row>
    <row r="88" spans="2:66" x14ac:dyDescent="0.3">
      <c r="C88" t="s">
        <v>450</v>
      </c>
      <c r="G88" s="12">
        <f>+F90</f>
        <v>1657500</v>
      </c>
      <c r="H88" s="12">
        <f t="shared" ref="H88:AU88" ca="1" si="149">+G90</f>
        <v>1535098.9909465248</v>
      </c>
      <c r="I88" s="12">
        <f t="shared" ca="1" si="149"/>
        <v>1344094.1186499693</v>
      </c>
      <c r="J88" s="12">
        <f t="shared" ca="1" si="149"/>
        <v>1194292.0047411243</v>
      </c>
      <c r="K88" s="12">
        <f t="shared" ca="1" si="149"/>
        <v>1056504.1937070065</v>
      </c>
      <c r="L88" s="12">
        <f t="shared" ca="1" si="149"/>
        <v>930721.58544335444</v>
      </c>
      <c r="M88" s="12">
        <f t="shared" ca="1" si="149"/>
        <v>826720.71769247041</v>
      </c>
      <c r="N88" s="12">
        <f t="shared" ca="1" si="149"/>
        <v>738125.11074977962</v>
      </c>
      <c r="O88" s="12">
        <f t="shared" ca="1" si="149"/>
        <v>661784.14182734245</v>
      </c>
      <c r="P88" s="12">
        <f t="shared" ca="1" si="149"/>
        <v>595412.7356134773</v>
      </c>
      <c r="Q88" s="12">
        <f t="shared" ca="1" si="149"/>
        <v>537234.93003961281</v>
      </c>
      <c r="R88" s="12">
        <f t="shared" ca="1" si="149"/>
        <v>485957.11522937933</v>
      </c>
      <c r="S88" s="12">
        <f t="shared" ca="1" si="149"/>
        <v>440516.52900652576</v>
      </c>
      <c r="T88" s="12">
        <f t="shared" ca="1" si="149"/>
        <v>400107.13059962163</v>
      </c>
      <c r="U88" s="12">
        <f t="shared" ca="1" si="149"/>
        <v>364018.17760290636</v>
      </c>
      <c r="V88" s="12">
        <f t="shared" ca="1" si="149"/>
        <v>331771.39596371556</v>
      </c>
      <c r="W88" s="12">
        <f t="shared" ca="1" si="149"/>
        <v>302765.87583547074</v>
      </c>
      <c r="X88" s="12">
        <f t="shared" ca="1" si="149"/>
        <v>276566.83439308283</v>
      </c>
      <c r="Y88" s="12">
        <f t="shared" ca="1" si="149"/>
        <v>252834.52704907098</v>
      </c>
      <c r="Z88" s="12">
        <f t="shared" ca="1" si="149"/>
        <v>232060.60115021194</v>
      </c>
      <c r="AA88" s="12">
        <f t="shared" ca="1" si="149"/>
        <v>213647.06622622634</v>
      </c>
      <c r="AB88" s="12">
        <f t="shared" ca="1" si="149"/>
        <v>196870.14939117632</v>
      </c>
      <c r="AC88" s="12">
        <f t="shared" ca="1" si="149"/>
        <v>181715.2885762376</v>
      </c>
      <c r="AD88" s="12">
        <f t="shared" ca="1" si="149"/>
        <v>168633.38917732626</v>
      </c>
      <c r="AE88" s="12">
        <f t="shared" ca="1" si="149"/>
        <v>156993.68856232805</v>
      </c>
      <c r="AF88" s="12">
        <f t="shared" ca="1" si="149"/>
        <v>146241.82766144734</v>
      </c>
      <c r="AG88" s="12">
        <f t="shared" ca="1" si="149"/>
        <v>136203.56680720471</v>
      </c>
      <c r="AH88" s="12">
        <f t="shared" ca="1" si="149"/>
        <v>126779.33067764298</v>
      </c>
      <c r="AI88" s="12">
        <f t="shared" ca="1" si="149"/>
        <v>118349.55489680848</v>
      </c>
      <c r="AJ88" s="12">
        <f t="shared" ca="1" si="149"/>
        <v>110489.66433295711</v>
      </c>
      <c r="AK88" s="12">
        <f t="shared" ca="1" si="149"/>
        <v>103081.75480965442</v>
      </c>
      <c r="AL88" s="12">
        <f t="shared" ca="1" si="149"/>
        <v>96059.186835740707</v>
      </c>
      <c r="AM88" s="12">
        <f t="shared" ca="1" si="149"/>
        <v>89376.953649835705</v>
      </c>
      <c r="AN88" s="12">
        <f t="shared" ca="1" si="149"/>
        <v>83001.98123899271</v>
      </c>
      <c r="AO88" s="12">
        <f t="shared" ca="1" si="149"/>
        <v>76908.737627709983</v>
      </c>
      <c r="AP88" s="12">
        <f t="shared" ca="1" si="149"/>
        <v>71076.847375270532</v>
      </c>
      <c r="AQ88" s="12">
        <f t="shared" ca="1" si="149"/>
        <v>65489.531286740283</v>
      </c>
      <c r="AR88" s="12">
        <f t="shared" ca="1" si="149"/>
        <v>60132.58465198538</v>
      </c>
      <c r="AS88" s="12">
        <f t="shared" ca="1" si="149"/>
        <v>54993.763706069134</v>
      </c>
      <c r="AT88" s="12">
        <f t="shared" ca="1" si="149"/>
        <v>50062.369864869033</v>
      </c>
      <c r="AU88" s="12">
        <f t="shared" ca="1" si="149"/>
        <v>45328.862659602783</v>
      </c>
      <c r="AW88" s="12">
        <f ca="1">+AU90</f>
        <v>40784.525595066654</v>
      </c>
      <c r="AZ88" s="2"/>
      <c r="BA88" s="2"/>
      <c r="BB88" s="2"/>
      <c r="BC88" s="2"/>
      <c r="BD88" s="2"/>
      <c r="BE88" s="2"/>
      <c r="BF88" s="2"/>
      <c r="BG88" s="2"/>
      <c r="BH88" s="2"/>
      <c r="BI88" s="2"/>
      <c r="BJ88" s="2"/>
      <c r="BK88" s="2"/>
      <c r="BL88" s="2"/>
      <c r="BM88" s="2"/>
      <c r="BN88" s="2"/>
    </row>
    <row r="89" spans="2:66" x14ac:dyDescent="0.3">
      <c r="C89" t="s">
        <v>451</v>
      </c>
      <c r="G89" s="12">
        <f ca="1">-G86*G88</f>
        <v>-122401.00905347524</v>
      </c>
      <c r="H89" s="12">
        <f t="shared" ref="H89:AW89" ca="1" si="150">-H86*H88</f>
        <v>-191004.8722965554</v>
      </c>
      <c r="I89" s="12">
        <f t="shared" ca="1" si="150"/>
        <v>-149802.11390884506</v>
      </c>
      <c r="J89" s="12">
        <f t="shared" ca="1" si="150"/>
        <v>-137787.81103411783</v>
      </c>
      <c r="K89" s="12">
        <f t="shared" ca="1" si="150"/>
        <v>-125782.60826365204</v>
      </c>
      <c r="L89" s="12">
        <f t="shared" ca="1" si="150"/>
        <v>-104000.86775088409</v>
      </c>
      <c r="M89" s="12">
        <f t="shared" ca="1" si="150"/>
        <v>-88595.606942690807</v>
      </c>
      <c r="N89" s="12">
        <f t="shared" ca="1" si="150"/>
        <v>-76340.968922437212</v>
      </c>
      <c r="O89" s="12">
        <f t="shared" ca="1" si="150"/>
        <v>-66371.406213865179</v>
      </c>
      <c r="P89" s="12">
        <f t="shared" ca="1" si="150"/>
        <v>-58177.805573864447</v>
      </c>
      <c r="Q89" s="12">
        <f t="shared" ca="1" si="150"/>
        <v>-51277.814810233467</v>
      </c>
      <c r="R89" s="12">
        <f t="shared" ca="1" si="150"/>
        <v>-45440.586222853584</v>
      </c>
      <c r="S89" s="12">
        <f t="shared" ca="1" si="150"/>
        <v>-40409.398406904154</v>
      </c>
      <c r="T89" s="12">
        <f t="shared" ca="1" si="150"/>
        <v>-36088.952996715241</v>
      </c>
      <c r="U89" s="12">
        <f t="shared" ca="1" si="150"/>
        <v>-32246.781639190813</v>
      </c>
      <c r="V89" s="12">
        <f t="shared" ca="1" si="150"/>
        <v>-29005.52012824484</v>
      </c>
      <c r="W89" s="12">
        <f t="shared" ca="1" si="150"/>
        <v>-26199.041442387923</v>
      </c>
      <c r="X89" s="12">
        <f t="shared" ca="1" si="150"/>
        <v>-23732.30734401185</v>
      </c>
      <c r="Y89" s="12">
        <f t="shared" ca="1" si="150"/>
        <v>-20773.925898859034</v>
      </c>
      <c r="Z89" s="12">
        <f t="shared" ca="1" si="150"/>
        <v>-18413.53492398559</v>
      </c>
      <c r="AA89" s="12">
        <f t="shared" ca="1" si="150"/>
        <v>-16776.916835050019</v>
      </c>
      <c r="AB89" s="12">
        <f t="shared" ca="1" si="150"/>
        <v>-15154.86081493874</v>
      </c>
      <c r="AC89" s="12">
        <f t="shared" ca="1" si="150"/>
        <v>-13081.899398911324</v>
      </c>
      <c r="AD89" s="12">
        <f t="shared" ca="1" si="150"/>
        <v>-11639.700614998217</v>
      </c>
      <c r="AE89" s="12">
        <f t="shared" ca="1" si="150"/>
        <v>-10751.860900880709</v>
      </c>
      <c r="AF89" s="12">
        <f t="shared" ca="1" si="150"/>
        <v>-10038.260854242635</v>
      </c>
      <c r="AG89" s="12">
        <f t="shared" ca="1" si="150"/>
        <v>-9424.236129561732</v>
      </c>
      <c r="AH89" s="12">
        <f t="shared" ca="1" si="150"/>
        <v>-8429.7757808345032</v>
      </c>
      <c r="AI89" s="12">
        <f t="shared" ca="1" si="150"/>
        <v>-7859.8905638513716</v>
      </c>
      <c r="AJ89" s="12">
        <f t="shared" ca="1" si="150"/>
        <v>-7407.9095233026928</v>
      </c>
      <c r="AK89" s="12">
        <f t="shared" ca="1" si="150"/>
        <v>-7022.5679739137177</v>
      </c>
      <c r="AL89" s="12">
        <f t="shared" ca="1" si="150"/>
        <v>-6682.2331859050082</v>
      </c>
      <c r="AM89" s="12">
        <f t="shared" ca="1" si="150"/>
        <v>-6374.9724108429964</v>
      </c>
      <c r="AN89" s="12">
        <f t="shared" ca="1" si="150"/>
        <v>-6093.2436112827218</v>
      </c>
      <c r="AO89" s="12">
        <f t="shared" ca="1" si="150"/>
        <v>-5831.8902524394571</v>
      </c>
      <c r="AP89" s="12">
        <f t="shared" ca="1" si="150"/>
        <v>-5587.3160885302495</v>
      </c>
      <c r="AQ89" s="12">
        <f t="shared" ca="1" si="150"/>
        <v>-5356.9466347549042</v>
      </c>
      <c r="AR89" s="12">
        <f t="shared" ca="1" si="150"/>
        <v>-5138.8209459162435</v>
      </c>
      <c r="AS89" s="12">
        <f t="shared" ca="1" si="150"/>
        <v>-4931.393841200098</v>
      </c>
      <c r="AT89" s="12">
        <f t="shared" ca="1" si="150"/>
        <v>-4733.507205266249</v>
      </c>
      <c r="AU89" s="12">
        <f t="shared" ca="1" si="150"/>
        <v>-4544.3370645361292</v>
      </c>
      <c r="AW89" s="12">
        <f t="shared" ca="1" si="150"/>
        <v>-40784.525595066669</v>
      </c>
      <c r="AZ89" s="2"/>
      <c r="BA89" s="2"/>
      <c r="BB89" s="2"/>
      <c r="BC89" s="2"/>
      <c r="BD89" s="2"/>
      <c r="BE89" s="2"/>
      <c r="BF89" s="2"/>
      <c r="BG89" s="2"/>
      <c r="BH89" s="2"/>
      <c r="BI89" s="2"/>
      <c r="BJ89" s="2"/>
      <c r="BK89" s="2"/>
      <c r="BL89" s="2"/>
      <c r="BM89" s="2"/>
      <c r="BN89" s="2"/>
    </row>
    <row r="90" spans="2:66" x14ac:dyDescent="0.3">
      <c r="B90" s="2"/>
      <c r="C90" s="60" t="s">
        <v>452</v>
      </c>
      <c r="D90" s="9"/>
      <c r="E90" s="9"/>
      <c r="F90" s="459">
        <f>Assumptions!$K$45</f>
        <v>1657500</v>
      </c>
      <c r="G90" s="8">
        <f ca="1">SUM(G88:G89)</f>
        <v>1535098.9909465248</v>
      </c>
      <c r="H90" s="8">
        <f t="shared" ref="H90:AW90" ca="1" si="151">SUM(H88:H89)</f>
        <v>1344094.1186499693</v>
      </c>
      <c r="I90" s="8">
        <f t="shared" ca="1" si="151"/>
        <v>1194292.0047411243</v>
      </c>
      <c r="J90" s="8">
        <f t="shared" ca="1" si="151"/>
        <v>1056504.1937070065</v>
      </c>
      <c r="K90" s="8">
        <f t="shared" ca="1" si="151"/>
        <v>930721.58544335444</v>
      </c>
      <c r="L90" s="8">
        <f t="shared" ca="1" si="151"/>
        <v>826720.71769247041</v>
      </c>
      <c r="M90" s="8">
        <f t="shared" ca="1" si="151"/>
        <v>738125.11074977962</v>
      </c>
      <c r="N90" s="8">
        <f t="shared" ca="1" si="151"/>
        <v>661784.14182734245</v>
      </c>
      <c r="O90" s="8">
        <f t="shared" ca="1" si="151"/>
        <v>595412.7356134773</v>
      </c>
      <c r="P90" s="8">
        <f t="shared" ca="1" si="151"/>
        <v>537234.93003961281</v>
      </c>
      <c r="Q90" s="8">
        <f t="shared" ca="1" si="151"/>
        <v>485957.11522937933</v>
      </c>
      <c r="R90" s="8">
        <f t="shared" ca="1" si="151"/>
        <v>440516.52900652576</v>
      </c>
      <c r="S90" s="8">
        <f t="shared" ca="1" si="151"/>
        <v>400107.13059962163</v>
      </c>
      <c r="T90" s="8">
        <f t="shared" ca="1" si="151"/>
        <v>364018.17760290636</v>
      </c>
      <c r="U90" s="8">
        <f t="shared" ca="1" si="151"/>
        <v>331771.39596371556</v>
      </c>
      <c r="V90" s="8">
        <f t="shared" ca="1" si="151"/>
        <v>302765.87583547074</v>
      </c>
      <c r="W90" s="8">
        <f t="shared" ca="1" si="151"/>
        <v>276566.83439308283</v>
      </c>
      <c r="X90" s="8">
        <f t="shared" ca="1" si="151"/>
        <v>252834.52704907098</v>
      </c>
      <c r="Y90" s="8">
        <f t="shared" ca="1" si="151"/>
        <v>232060.60115021194</v>
      </c>
      <c r="Z90" s="8">
        <f t="shared" ca="1" si="151"/>
        <v>213647.06622622634</v>
      </c>
      <c r="AA90" s="8">
        <f t="shared" ca="1" si="151"/>
        <v>196870.14939117632</v>
      </c>
      <c r="AB90" s="8">
        <f t="shared" ca="1" si="151"/>
        <v>181715.2885762376</v>
      </c>
      <c r="AC90" s="8">
        <f t="shared" ca="1" si="151"/>
        <v>168633.38917732626</v>
      </c>
      <c r="AD90" s="8">
        <f t="shared" ca="1" si="151"/>
        <v>156993.68856232805</v>
      </c>
      <c r="AE90" s="8">
        <f t="shared" ca="1" si="151"/>
        <v>146241.82766144734</v>
      </c>
      <c r="AF90" s="8">
        <f t="shared" ca="1" si="151"/>
        <v>136203.56680720471</v>
      </c>
      <c r="AG90" s="8">
        <f t="shared" ca="1" si="151"/>
        <v>126779.33067764298</v>
      </c>
      <c r="AH90" s="8">
        <f t="shared" ca="1" si="151"/>
        <v>118349.55489680848</v>
      </c>
      <c r="AI90" s="8">
        <f t="shared" ca="1" si="151"/>
        <v>110489.66433295711</v>
      </c>
      <c r="AJ90" s="8">
        <f t="shared" ca="1" si="151"/>
        <v>103081.75480965442</v>
      </c>
      <c r="AK90" s="8">
        <f t="shared" ca="1" si="151"/>
        <v>96059.186835740707</v>
      </c>
      <c r="AL90" s="8">
        <f t="shared" ca="1" si="151"/>
        <v>89376.953649835705</v>
      </c>
      <c r="AM90" s="8">
        <f t="shared" ca="1" si="151"/>
        <v>83001.98123899271</v>
      </c>
      <c r="AN90" s="8">
        <f t="shared" ca="1" si="151"/>
        <v>76908.737627709983</v>
      </c>
      <c r="AO90" s="8">
        <f t="shared" ca="1" si="151"/>
        <v>71076.847375270532</v>
      </c>
      <c r="AP90" s="8">
        <f t="shared" ca="1" si="151"/>
        <v>65489.531286740283</v>
      </c>
      <c r="AQ90" s="8">
        <f t="shared" ca="1" si="151"/>
        <v>60132.58465198538</v>
      </c>
      <c r="AR90" s="8">
        <f t="shared" ca="1" si="151"/>
        <v>54993.763706069134</v>
      </c>
      <c r="AS90" s="8">
        <f t="shared" ca="1" si="151"/>
        <v>50062.369864869033</v>
      </c>
      <c r="AT90" s="8">
        <f t="shared" ca="1" si="151"/>
        <v>45328.862659602783</v>
      </c>
      <c r="AU90" s="8">
        <f t="shared" ca="1" si="151"/>
        <v>40784.525595066654</v>
      </c>
      <c r="AV90" s="9"/>
      <c r="AW90" s="8">
        <f t="shared" ca="1" si="151"/>
        <v>0</v>
      </c>
      <c r="AX90" s="9"/>
      <c r="AZ90" s="2"/>
      <c r="BA90" s="2"/>
      <c r="BB90" s="2"/>
      <c r="BC90" s="2"/>
      <c r="BD90" s="2"/>
      <c r="BE90" s="2"/>
      <c r="BF90" s="2"/>
      <c r="BG90" s="2"/>
      <c r="BH90" s="2"/>
      <c r="BI90" s="2"/>
      <c r="BJ90" s="2"/>
      <c r="BK90" s="2"/>
      <c r="BL90" s="2"/>
      <c r="BM90" s="2"/>
      <c r="BN90" s="2"/>
    </row>
    <row r="91" spans="2:66" x14ac:dyDescent="0.3">
      <c r="AZ91" s="2"/>
      <c r="BA91" s="2"/>
      <c r="BB91" s="2"/>
      <c r="BC91" s="2"/>
      <c r="BD91" s="2"/>
      <c r="BE91" s="2"/>
      <c r="BF91" s="2"/>
      <c r="BG91" s="2"/>
      <c r="BH91" s="2"/>
      <c r="BI91" s="2"/>
      <c r="BJ91" s="2"/>
      <c r="BK91" s="2"/>
      <c r="BL91" s="2"/>
      <c r="BM91" s="2"/>
      <c r="BN91" s="2"/>
    </row>
    <row r="92" spans="2:66" x14ac:dyDescent="0.3">
      <c r="B92" s="83" t="s">
        <v>453</v>
      </c>
      <c r="AZ92" s="2"/>
      <c r="BA92" s="2"/>
      <c r="BB92" s="2"/>
      <c r="BC92" s="2"/>
      <c r="BD92" s="2"/>
      <c r="BE92" s="2"/>
      <c r="BF92" s="2"/>
      <c r="BG92" s="2"/>
      <c r="BH92" s="2"/>
      <c r="BI92" s="2"/>
      <c r="BJ92" s="2"/>
      <c r="BK92" s="2"/>
      <c r="BL92" s="2"/>
      <c r="BM92" s="2"/>
      <c r="BN92" s="2"/>
    </row>
    <row r="93" spans="2:66" x14ac:dyDescent="0.3">
      <c r="C93" t="s">
        <v>453</v>
      </c>
      <c r="G93" s="12">
        <f ca="1">+G53</f>
        <v>401088.82466131222</v>
      </c>
      <c r="H93" s="12">
        <f t="shared" ref="H93:AU93" ca="1" si="152">+H53</f>
        <v>621358.5222140745</v>
      </c>
      <c r="I93" s="12">
        <f t="shared" ca="1" si="152"/>
        <v>635025.6670391605</v>
      </c>
      <c r="J93" s="12">
        <f t="shared" ca="1" si="152"/>
        <v>525824.53502454737</v>
      </c>
      <c r="K93" s="12">
        <f t="shared" ca="1" si="152"/>
        <v>520861.64289576886</v>
      </c>
      <c r="L93" s="12">
        <f t="shared" ca="1" si="152"/>
        <v>432387.58429982106</v>
      </c>
      <c r="M93" s="12">
        <f t="shared" ca="1" si="152"/>
        <v>430690.12830382615</v>
      </c>
      <c r="N93" s="12">
        <f t="shared" ca="1" si="152"/>
        <v>406270.57564893976</v>
      </c>
      <c r="O93" s="12">
        <f t="shared" ca="1" si="152"/>
        <v>402776.09093401907</v>
      </c>
      <c r="P93" s="12">
        <f t="shared" ca="1" si="152"/>
        <v>401598.20678225358</v>
      </c>
      <c r="Q93" s="12">
        <f t="shared" ca="1" si="152"/>
        <v>400555.36173011112</v>
      </c>
      <c r="R93" s="12">
        <f t="shared" ca="1" si="152"/>
        <v>399650.10705201054</v>
      </c>
      <c r="S93" s="12">
        <f t="shared" ca="1" si="152"/>
        <v>398814.57390079316</v>
      </c>
      <c r="T93" s="12">
        <f t="shared" ca="1" si="152"/>
        <v>391820.56169482379</v>
      </c>
      <c r="U93" s="12">
        <f t="shared" ca="1" si="152"/>
        <v>390902.30683278514</v>
      </c>
      <c r="V93" s="12">
        <f t="shared" ca="1" si="152"/>
        <v>390259.38630243327</v>
      </c>
      <c r="W93" s="12">
        <f t="shared" ca="1" si="152"/>
        <v>389782.30754837539</v>
      </c>
      <c r="X93" s="12">
        <f t="shared" ca="1" si="152"/>
        <v>389370.16759142402</v>
      </c>
      <c r="Y93" s="12">
        <f t="shared" ca="1" si="152"/>
        <v>282466.79272870952</v>
      </c>
      <c r="Z93" s="12">
        <f t="shared" ca="1" si="152"/>
        <v>222230.12304879876</v>
      </c>
      <c r="AA93" s="12">
        <f t="shared" ca="1" si="152"/>
        <v>221938.32581171225</v>
      </c>
      <c r="AB93" s="12">
        <f t="shared" ca="1" si="152"/>
        <v>221136.8893792142</v>
      </c>
      <c r="AC93" s="12">
        <f t="shared" ca="1" si="152"/>
        <v>155736.4841679559</v>
      </c>
      <c r="AD93" s="12">
        <f t="shared" ca="1" si="152"/>
        <v>77243.742514970072</v>
      </c>
      <c r="AE93" s="12">
        <f t="shared" ca="1" si="152"/>
        <v>77243.742514970072</v>
      </c>
      <c r="AF93" s="12">
        <f t="shared" ca="1" si="152"/>
        <v>77243.742514970072</v>
      </c>
      <c r="AG93" s="12">
        <f t="shared" ca="1" si="152"/>
        <v>77243.742514970072</v>
      </c>
      <c r="AH93" s="12">
        <f t="shared" ca="1" si="152"/>
        <v>0</v>
      </c>
      <c r="AI93" s="12">
        <f t="shared" ca="1" si="152"/>
        <v>0</v>
      </c>
      <c r="AJ93" s="12">
        <f t="shared" ca="1" si="152"/>
        <v>0</v>
      </c>
      <c r="AK93" s="12">
        <f t="shared" ca="1" si="152"/>
        <v>0</v>
      </c>
      <c r="AL93" s="12">
        <f t="shared" ca="1" si="152"/>
        <v>0</v>
      </c>
      <c r="AM93" s="12">
        <f t="shared" ca="1" si="152"/>
        <v>0</v>
      </c>
      <c r="AN93" s="12">
        <f t="shared" ca="1" si="152"/>
        <v>0</v>
      </c>
      <c r="AO93" s="12">
        <f t="shared" ca="1" si="152"/>
        <v>0</v>
      </c>
      <c r="AP93" s="12">
        <f t="shared" ca="1" si="152"/>
        <v>0</v>
      </c>
      <c r="AQ93" s="12">
        <f t="shared" ca="1" si="152"/>
        <v>0</v>
      </c>
      <c r="AR93" s="12">
        <f t="shared" ca="1" si="152"/>
        <v>0</v>
      </c>
      <c r="AS93" s="12">
        <f t="shared" ca="1" si="152"/>
        <v>0</v>
      </c>
      <c r="AT93" s="12">
        <f t="shared" ca="1" si="152"/>
        <v>0</v>
      </c>
      <c r="AU93" s="12">
        <f t="shared" ca="1" si="152"/>
        <v>0</v>
      </c>
      <c r="AV93" s="12">
        <f t="shared" ref="AV93:AX93" ca="1" si="153">+AV53</f>
        <v>9341520.1356527489</v>
      </c>
      <c r="AW93" s="12">
        <f t="shared" ca="1" si="153"/>
        <v>406446.49445456924</v>
      </c>
      <c r="AX93" s="12">
        <f t="shared" ca="1" si="153"/>
        <v>9747966.630107319</v>
      </c>
      <c r="AZ93" s="2"/>
      <c r="BA93" s="2"/>
      <c r="BB93" s="2"/>
      <c r="BC93" s="2"/>
      <c r="BD93" s="2"/>
      <c r="BE93" s="2"/>
      <c r="BF93" s="2"/>
      <c r="BG93" s="2"/>
      <c r="BH93" s="2"/>
      <c r="BI93" s="2"/>
      <c r="BJ93" s="2"/>
      <c r="BK93" s="2"/>
      <c r="BL93" s="2"/>
      <c r="BM93" s="2"/>
      <c r="BN93" s="2"/>
    </row>
    <row r="94" spans="2:66" x14ac:dyDescent="0.3">
      <c r="C94" t="s">
        <v>454</v>
      </c>
      <c r="E94" s="460">
        <f>Assumptions!$K$38</f>
        <v>0</v>
      </c>
      <c r="G94" s="12">
        <f ca="1">-$E$94*G93</f>
        <v>0</v>
      </c>
      <c r="H94" s="12">
        <f t="shared" ref="H94:AU94" ca="1" si="154">-$E$94*H93</f>
        <v>0</v>
      </c>
      <c r="I94" s="12">
        <f t="shared" ca="1" si="154"/>
        <v>0</v>
      </c>
      <c r="J94" s="12">
        <f t="shared" ca="1" si="154"/>
        <v>0</v>
      </c>
      <c r="K94" s="12">
        <f t="shared" ca="1" si="154"/>
        <v>0</v>
      </c>
      <c r="L94" s="12">
        <f t="shared" ca="1" si="154"/>
        <v>0</v>
      </c>
      <c r="M94" s="12">
        <f t="shared" ca="1" si="154"/>
        <v>0</v>
      </c>
      <c r="N94" s="12">
        <f t="shared" ca="1" si="154"/>
        <v>0</v>
      </c>
      <c r="O94" s="12">
        <f t="shared" ca="1" si="154"/>
        <v>0</v>
      </c>
      <c r="P94" s="12">
        <f t="shared" ca="1" si="154"/>
        <v>0</v>
      </c>
      <c r="Q94" s="12">
        <f t="shared" ca="1" si="154"/>
        <v>0</v>
      </c>
      <c r="R94" s="12">
        <f t="shared" ca="1" si="154"/>
        <v>0</v>
      </c>
      <c r="S94" s="12">
        <f t="shared" ca="1" si="154"/>
        <v>0</v>
      </c>
      <c r="T94" s="12">
        <f t="shared" ca="1" si="154"/>
        <v>0</v>
      </c>
      <c r="U94" s="12">
        <f t="shared" ca="1" si="154"/>
        <v>0</v>
      </c>
      <c r="V94" s="12">
        <f t="shared" ca="1" si="154"/>
        <v>0</v>
      </c>
      <c r="W94" s="12">
        <f t="shared" ca="1" si="154"/>
        <v>0</v>
      </c>
      <c r="X94" s="12">
        <f t="shared" ca="1" si="154"/>
        <v>0</v>
      </c>
      <c r="Y94" s="12">
        <f t="shared" ca="1" si="154"/>
        <v>0</v>
      </c>
      <c r="Z94" s="12">
        <f t="shared" ca="1" si="154"/>
        <v>0</v>
      </c>
      <c r="AA94" s="12">
        <f t="shared" ca="1" si="154"/>
        <v>0</v>
      </c>
      <c r="AB94" s="12">
        <f t="shared" ca="1" si="154"/>
        <v>0</v>
      </c>
      <c r="AC94" s="12">
        <f t="shared" ca="1" si="154"/>
        <v>0</v>
      </c>
      <c r="AD94" s="12">
        <f t="shared" ca="1" si="154"/>
        <v>0</v>
      </c>
      <c r="AE94" s="12">
        <f t="shared" ca="1" si="154"/>
        <v>0</v>
      </c>
      <c r="AF94" s="12">
        <f t="shared" ca="1" si="154"/>
        <v>0</v>
      </c>
      <c r="AG94" s="12">
        <f t="shared" ca="1" si="154"/>
        <v>0</v>
      </c>
      <c r="AH94" s="12">
        <f t="shared" ca="1" si="154"/>
        <v>0</v>
      </c>
      <c r="AI94" s="12">
        <f t="shared" ca="1" si="154"/>
        <v>0</v>
      </c>
      <c r="AJ94" s="12">
        <f t="shared" ca="1" si="154"/>
        <v>0</v>
      </c>
      <c r="AK94" s="12">
        <f t="shared" ca="1" si="154"/>
        <v>0</v>
      </c>
      <c r="AL94" s="12">
        <f t="shared" ca="1" si="154"/>
        <v>0</v>
      </c>
      <c r="AM94" s="12">
        <f t="shared" ca="1" si="154"/>
        <v>0</v>
      </c>
      <c r="AN94" s="12">
        <f t="shared" ca="1" si="154"/>
        <v>0</v>
      </c>
      <c r="AO94" s="12">
        <f t="shared" ca="1" si="154"/>
        <v>0</v>
      </c>
      <c r="AP94" s="12">
        <f t="shared" ca="1" si="154"/>
        <v>0</v>
      </c>
      <c r="AQ94" s="12">
        <f t="shared" ca="1" si="154"/>
        <v>0</v>
      </c>
      <c r="AR94" s="12">
        <f t="shared" ca="1" si="154"/>
        <v>0</v>
      </c>
      <c r="AS94" s="12">
        <f t="shared" ca="1" si="154"/>
        <v>0</v>
      </c>
      <c r="AT94" s="12">
        <f t="shared" ca="1" si="154"/>
        <v>0</v>
      </c>
      <c r="AU94" s="12">
        <f t="shared" ca="1" si="154"/>
        <v>0</v>
      </c>
      <c r="AV94" s="12">
        <f t="shared" ref="AV94" ca="1" si="155">-$E$94*AV93</f>
        <v>0</v>
      </c>
      <c r="AW94" s="12">
        <f t="shared" ref="AW94" ca="1" si="156">-$E$94*AW93</f>
        <v>0</v>
      </c>
      <c r="AX94" s="12">
        <f t="shared" ref="AX94" ca="1" si="157">-$E$94*AX93</f>
        <v>0</v>
      </c>
      <c r="AZ94" s="2"/>
      <c r="BA94" s="2"/>
      <c r="BB94" s="2"/>
      <c r="BC94" s="2"/>
      <c r="BD94" s="2"/>
      <c r="BE94" s="2"/>
      <c r="BF94" s="2"/>
      <c r="BG94" s="2"/>
      <c r="BH94" s="2"/>
      <c r="BI94" s="2"/>
      <c r="BJ94" s="2"/>
      <c r="BK94" s="2"/>
      <c r="BL94" s="2"/>
      <c r="BM94" s="2"/>
      <c r="BN94" s="2"/>
    </row>
    <row r="95" spans="2:66" x14ac:dyDescent="0.3">
      <c r="C95" s="60" t="s">
        <v>455</v>
      </c>
      <c r="D95" s="9"/>
      <c r="E95" s="9"/>
      <c r="F95" s="9"/>
      <c r="G95" s="8">
        <f ca="1">SUM(G93:G94)</f>
        <v>401088.82466131222</v>
      </c>
      <c r="H95" s="8">
        <f t="shared" ref="H95:AU95" ca="1" si="158">SUM(H93:H94)</f>
        <v>621358.5222140745</v>
      </c>
      <c r="I95" s="8">
        <f t="shared" ca="1" si="158"/>
        <v>635025.6670391605</v>
      </c>
      <c r="J95" s="8">
        <f t="shared" ca="1" si="158"/>
        <v>525824.53502454737</v>
      </c>
      <c r="K95" s="8">
        <f t="shared" ca="1" si="158"/>
        <v>520861.64289576886</v>
      </c>
      <c r="L95" s="8">
        <f t="shared" ca="1" si="158"/>
        <v>432387.58429982106</v>
      </c>
      <c r="M95" s="8">
        <f t="shared" ca="1" si="158"/>
        <v>430690.12830382615</v>
      </c>
      <c r="N95" s="8">
        <f t="shared" ca="1" si="158"/>
        <v>406270.57564893976</v>
      </c>
      <c r="O95" s="8">
        <f t="shared" ca="1" si="158"/>
        <v>402776.09093401907</v>
      </c>
      <c r="P95" s="8">
        <f t="shared" ca="1" si="158"/>
        <v>401598.20678225358</v>
      </c>
      <c r="Q95" s="8">
        <f t="shared" ca="1" si="158"/>
        <v>400555.36173011112</v>
      </c>
      <c r="R95" s="8">
        <f t="shared" ca="1" si="158"/>
        <v>399650.10705201054</v>
      </c>
      <c r="S95" s="8">
        <f t="shared" ca="1" si="158"/>
        <v>398814.57390079316</v>
      </c>
      <c r="T95" s="8">
        <f t="shared" ca="1" si="158"/>
        <v>391820.56169482379</v>
      </c>
      <c r="U95" s="8">
        <f t="shared" ca="1" si="158"/>
        <v>390902.30683278514</v>
      </c>
      <c r="V95" s="8">
        <f t="shared" ca="1" si="158"/>
        <v>390259.38630243327</v>
      </c>
      <c r="W95" s="8">
        <f t="shared" ca="1" si="158"/>
        <v>389782.30754837539</v>
      </c>
      <c r="X95" s="8">
        <f t="shared" ca="1" si="158"/>
        <v>389370.16759142402</v>
      </c>
      <c r="Y95" s="8">
        <f t="shared" ca="1" si="158"/>
        <v>282466.79272870952</v>
      </c>
      <c r="Z95" s="8">
        <f t="shared" ca="1" si="158"/>
        <v>222230.12304879876</v>
      </c>
      <c r="AA95" s="8">
        <f t="shared" ca="1" si="158"/>
        <v>221938.32581171225</v>
      </c>
      <c r="AB95" s="8">
        <f t="shared" ca="1" si="158"/>
        <v>221136.8893792142</v>
      </c>
      <c r="AC95" s="8">
        <f t="shared" ca="1" si="158"/>
        <v>155736.4841679559</v>
      </c>
      <c r="AD95" s="8">
        <f t="shared" ca="1" si="158"/>
        <v>77243.742514970072</v>
      </c>
      <c r="AE95" s="8">
        <f t="shared" ca="1" si="158"/>
        <v>77243.742514970072</v>
      </c>
      <c r="AF95" s="8">
        <f t="shared" ca="1" si="158"/>
        <v>77243.742514970072</v>
      </c>
      <c r="AG95" s="8">
        <f t="shared" ca="1" si="158"/>
        <v>77243.742514970072</v>
      </c>
      <c r="AH95" s="8">
        <f t="shared" ca="1" si="158"/>
        <v>0</v>
      </c>
      <c r="AI95" s="8">
        <f t="shared" ca="1" si="158"/>
        <v>0</v>
      </c>
      <c r="AJ95" s="8">
        <f t="shared" ca="1" si="158"/>
        <v>0</v>
      </c>
      <c r="AK95" s="8">
        <f t="shared" ca="1" si="158"/>
        <v>0</v>
      </c>
      <c r="AL95" s="8">
        <f t="shared" ca="1" si="158"/>
        <v>0</v>
      </c>
      <c r="AM95" s="8">
        <f t="shared" ca="1" si="158"/>
        <v>0</v>
      </c>
      <c r="AN95" s="8">
        <f t="shared" ca="1" si="158"/>
        <v>0</v>
      </c>
      <c r="AO95" s="8">
        <f t="shared" ca="1" si="158"/>
        <v>0</v>
      </c>
      <c r="AP95" s="8">
        <f t="shared" ca="1" si="158"/>
        <v>0</v>
      </c>
      <c r="AQ95" s="8">
        <f t="shared" ca="1" si="158"/>
        <v>0</v>
      </c>
      <c r="AR95" s="8">
        <f t="shared" ca="1" si="158"/>
        <v>0</v>
      </c>
      <c r="AS95" s="8">
        <f t="shared" ca="1" si="158"/>
        <v>0</v>
      </c>
      <c r="AT95" s="8">
        <f t="shared" ca="1" si="158"/>
        <v>0</v>
      </c>
      <c r="AU95" s="8">
        <f t="shared" ca="1" si="158"/>
        <v>0</v>
      </c>
      <c r="AV95" s="8">
        <f t="shared" ref="AV95" ca="1" si="159">SUM(AV93:AV94)</f>
        <v>9341520.1356527489</v>
      </c>
      <c r="AW95" s="8">
        <f t="shared" ref="AW95" ca="1" si="160">SUM(AW93:AW94)</f>
        <v>406446.49445456924</v>
      </c>
      <c r="AX95" s="8">
        <f t="shared" ref="AX95" ca="1" si="161">SUM(AX93:AX94)</f>
        <v>9747966.630107319</v>
      </c>
      <c r="AZ95" s="2"/>
      <c r="BA95" s="2"/>
      <c r="BB95" s="2"/>
      <c r="BC95" s="2"/>
      <c r="BD95" s="2"/>
      <c r="BE95" s="2"/>
      <c r="BF95" s="2"/>
      <c r="BG95" s="2"/>
      <c r="BH95" s="2"/>
      <c r="BI95" s="2"/>
      <c r="BJ95" s="2"/>
      <c r="BK95" s="2"/>
      <c r="BL95" s="2"/>
      <c r="BM95" s="2"/>
    </row>
    <row r="96" spans="2:66" x14ac:dyDescent="0.3">
      <c r="C96" s="78" t="s">
        <v>456</v>
      </c>
      <c r="G96" s="12">
        <f ca="1">+G167</f>
        <v>57355.701926567643</v>
      </c>
      <c r="H96" s="12">
        <f t="shared" ref="H96:AX96" ca="1" si="162">+H167</f>
        <v>187121.03071863414</v>
      </c>
      <c r="I96" s="12">
        <f t="shared" ca="1" si="162"/>
        <v>313232.05264477781</v>
      </c>
      <c r="J96" s="12">
        <f t="shared" ca="1" si="162"/>
        <v>389648.04140323162</v>
      </c>
      <c r="K96" s="12">
        <f t="shared" ca="1" si="162"/>
        <v>427806.43841857824</v>
      </c>
      <c r="L96" s="12">
        <f t="shared" ca="1" si="162"/>
        <v>451837.84294543805</v>
      </c>
      <c r="M96" s="12">
        <f t="shared" ca="1" si="162"/>
        <v>471917.59912412602</v>
      </c>
      <c r="N96" s="12">
        <f t="shared" ca="1" si="162"/>
        <v>481056.87993715727</v>
      </c>
      <c r="O96" s="12">
        <f t="shared" ca="1" si="162"/>
        <v>464185.98022922891</v>
      </c>
      <c r="P96" s="12">
        <f t="shared" ca="1" si="162"/>
        <v>441256.02247959404</v>
      </c>
      <c r="Q96" s="12">
        <f t="shared" ca="1" si="162"/>
        <v>423773.32197418145</v>
      </c>
      <c r="R96" s="12">
        <f t="shared" ca="1" si="162"/>
        <v>412323.49807075132</v>
      </c>
      <c r="S96" s="12">
        <f t="shared" ca="1" si="162"/>
        <v>405035.74048452295</v>
      </c>
      <c r="T96" s="12">
        <f t="shared" ca="1" si="162"/>
        <v>400876.54938159592</v>
      </c>
      <c r="U96" s="12">
        <f t="shared" ca="1" si="162"/>
        <v>397164.79690139065</v>
      </c>
      <c r="V96" s="12">
        <f t="shared" ca="1" si="162"/>
        <v>395084.02866673382</v>
      </c>
      <c r="W96" s="12">
        <f t="shared" ca="1" si="162"/>
        <v>393522.59663508495</v>
      </c>
      <c r="X96" s="12">
        <f t="shared" ca="1" si="162"/>
        <v>392295.15814544336</v>
      </c>
      <c r="Y96" s="12">
        <f t="shared" ca="1" si="162"/>
        <v>375923.85672234243</v>
      </c>
      <c r="Z96" s="12">
        <f t="shared" ca="1" si="162"/>
        <v>340187.91609196761</v>
      </c>
      <c r="AA96" s="12">
        <f t="shared" ca="1" si="162"/>
        <v>306132.46175158967</v>
      </c>
      <c r="AB96" s="12">
        <f t="shared" ca="1" si="162"/>
        <v>281864.34510555962</v>
      </c>
      <c r="AC96" s="12">
        <f t="shared" ca="1" si="162"/>
        <v>255112.61475598146</v>
      </c>
      <c r="AD96" s="12">
        <f t="shared" ca="1" si="162"/>
        <v>212754.71442812833</v>
      </c>
      <c r="AE96" s="12">
        <f t="shared" ca="1" si="162"/>
        <v>167058.76204065717</v>
      </c>
      <c r="AF96" s="12">
        <f t="shared" ca="1" si="162"/>
        <v>134878.46833305011</v>
      </c>
      <c r="AG96" s="12">
        <f t="shared" ca="1" si="162"/>
        <v>116438.29163043591</v>
      </c>
      <c r="AH96" s="12">
        <f t="shared" ca="1" si="162"/>
        <v>92501.487661716208</v>
      </c>
      <c r="AI96" s="12">
        <f t="shared" ca="1" si="162"/>
        <v>60734.216035168407</v>
      </c>
      <c r="AJ96" s="12">
        <f t="shared" ca="1" si="162"/>
        <v>37287.688853426283</v>
      </c>
      <c r="AK96" s="12">
        <f t="shared" ca="1" si="162"/>
        <v>24100.047664670659</v>
      </c>
      <c r="AL96" s="12">
        <f t="shared" ca="1" si="162"/>
        <v>17225.354580838324</v>
      </c>
      <c r="AM96" s="12">
        <f t="shared" ca="1" si="162"/>
        <v>10350.661497005989</v>
      </c>
      <c r="AN96" s="12">
        <f t="shared" ca="1" si="162"/>
        <v>3475.9684131736531</v>
      </c>
      <c r="AO96" s="12">
        <f t="shared" ca="1" si="162"/>
        <v>0</v>
      </c>
      <c r="AP96" s="12">
        <f t="shared" ca="1" si="162"/>
        <v>0</v>
      </c>
      <c r="AQ96" s="12">
        <f t="shared" ca="1" si="162"/>
        <v>0</v>
      </c>
      <c r="AR96" s="12">
        <f t="shared" ca="1" si="162"/>
        <v>0</v>
      </c>
      <c r="AS96" s="12">
        <f t="shared" ca="1" si="162"/>
        <v>0</v>
      </c>
      <c r="AT96" s="12">
        <f t="shared" ca="1" si="162"/>
        <v>0</v>
      </c>
      <c r="AU96" s="12">
        <f t="shared" ca="1" si="162"/>
        <v>0</v>
      </c>
      <c r="AV96" s="12">
        <f t="shared" ca="1" si="162"/>
        <v>9341520.135652747</v>
      </c>
      <c r="AW96" s="12">
        <f t="shared" ca="1" si="162"/>
        <v>406446.49445456924</v>
      </c>
      <c r="AX96" s="12">
        <f t="shared" ca="1" si="162"/>
        <v>9747966.6301073171</v>
      </c>
      <c r="AZ96" s="2"/>
      <c r="BA96" s="2"/>
      <c r="BB96" s="2"/>
      <c r="BC96" s="2"/>
      <c r="BD96" s="2"/>
      <c r="BE96" s="2"/>
      <c r="BF96" s="2"/>
      <c r="BG96" s="2"/>
      <c r="BH96" s="2"/>
      <c r="BI96" s="2"/>
      <c r="BJ96" s="2"/>
      <c r="BK96" s="2"/>
      <c r="BL96" s="2"/>
      <c r="BM96" s="2"/>
    </row>
    <row r="97" spans="2:65" x14ac:dyDescent="0.3">
      <c r="AZ97" s="2"/>
      <c r="BA97" s="2"/>
      <c r="BB97" s="2"/>
      <c r="BC97" s="2"/>
      <c r="BD97" s="2"/>
      <c r="BE97" s="2"/>
      <c r="BF97" s="2"/>
      <c r="BG97" s="2"/>
      <c r="BH97" s="2"/>
      <c r="BI97" s="2"/>
      <c r="BJ97" s="2"/>
      <c r="BK97" s="2"/>
      <c r="BL97" s="2"/>
      <c r="BM97" s="2"/>
    </row>
    <row r="98" spans="2:65" x14ac:dyDescent="0.3">
      <c r="B98" s="83" t="s">
        <v>457</v>
      </c>
      <c r="AZ98" s="2"/>
      <c r="BA98" s="2"/>
      <c r="BB98" s="2"/>
      <c r="BC98" s="2"/>
      <c r="BD98" s="2"/>
      <c r="BE98" s="2"/>
      <c r="BF98" s="2"/>
      <c r="BG98" s="2"/>
      <c r="BH98" s="2"/>
      <c r="BI98" s="2"/>
      <c r="BJ98" s="2"/>
      <c r="BK98" s="2"/>
      <c r="BL98" s="2"/>
      <c r="BM98" s="2"/>
    </row>
    <row r="99" spans="2:65" x14ac:dyDescent="0.3">
      <c r="C99" t="s">
        <v>450</v>
      </c>
      <c r="G99" s="12">
        <f>+F90</f>
        <v>1657500</v>
      </c>
      <c r="H99" s="12">
        <f t="shared" ref="H99:AU99" ca="1" si="163">+G90</f>
        <v>1535098.9909465248</v>
      </c>
      <c r="I99" s="12">
        <f t="shared" ca="1" si="163"/>
        <v>1344094.1186499693</v>
      </c>
      <c r="J99" s="12">
        <f t="shared" ca="1" si="163"/>
        <v>1194292.0047411243</v>
      </c>
      <c r="K99" s="12">
        <f t="shared" ca="1" si="163"/>
        <v>1056504.1937070065</v>
      </c>
      <c r="L99" s="12">
        <f t="shared" ca="1" si="163"/>
        <v>930721.58544335444</v>
      </c>
      <c r="M99" s="12">
        <f t="shared" ca="1" si="163"/>
        <v>826720.71769247041</v>
      </c>
      <c r="N99" s="12">
        <f t="shared" ca="1" si="163"/>
        <v>738125.11074977962</v>
      </c>
      <c r="O99" s="12">
        <f t="shared" ca="1" si="163"/>
        <v>661784.14182734245</v>
      </c>
      <c r="P99" s="12">
        <f t="shared" ca="1" si="163"/>
        <v>595412.7356134773</v>
      </c>
      <c r="Q99" s="12">
        <f t="shared" ca="1" si="163"/>
        <v>537234.93003961281</v>
      </c>
      <c r="R99" s="12">
        <f t="shared" ca="1" si="163"/>
        <v>485957.11522937933</v>
      </c>
      <c r="S99" s="12">
        <f t="shared" ca="1" si="163"/>
        <v>440516.52900652576</v>
      </c>
      <c r="T99" s="12">
        <f t="shared" ca="1" si="163"/>
        <v>400107.13059962163</v>
      </c>
      <c r="U99" s="12">
        <f t="shared" ca="1" si="163"/>
        <v>364018.17760290636</v>
      </c>
      <c r="V99" s="12">
        <f t="shared" ca="1" si="163"/>
        <v>331771.39596371556</v>
      </c>
      <c r="W99" s="12">
        <f t="shared" ca="1" si="163"/>
        <v>302765.87583547074</v>
      </c>
      <c r="X99" s="12">
        <f t="shared" ca="1" si="163"/>
        <v>276566.83439308283</v>
      </c>
      <c r="Y99" s="12">
        <f t="shared" ca="1" si="163"/>
        <v>252834.52704907098</v>
      </c>
      <c r="Z99" s="12">
        <f t="shared" ca="1" si="163"/>
        <v>232060.60115021194</v>
      </c>
      <c r="AA99" s="12">
        <f t="shared" ca="1" si="163"/>
        <v>213647.06622622634</v>
      </c>
      <c r="AB99" s="12">
        <f t="shared" ca="1" si="163"/>
        <v>196870.14939117632</v>
      </c>
      <c r="AC99" s="12">
        <f t="shared" ca="1" si="163"/>
        <v>181715.2885762376</v>
      </c>
      <c r="AD99" s="12">
        <f t="shared" ca="1" si="163"/>
        <v>168633.38917732626</v>
      </c>
      <c r="AE99" s="12">
        <f t="shared" ca="1" si="163"/>
        <v>156993.68856232805</v>
      </c>
      <c r="AF99" s="12">
        <f t="shared" ca="1" si="163"/>
        <v>146241.82766144734</v>
      </c>
      <c r="AG99" s="12">
        <f t="shared" ca="1" si="163"/>
        <v>136203.56680720471</v>
      </c>
      <c r="AH99" s="12">
        <f t="shared" ca="1" si="163"/>
        <v>126779.33067764298</v>
      </c>
      <c r="AI99" s="12">
        <f t="shared" ca="1" si="163"/>
        <v>118349.55489680848</v>
      </c>
      <c r="AJ99" s="12">
        <f t="shared" ca="1" si="163"/>
        <v>110489.66433295711</v>
      </c>
      <c r="AK99" s="12">
        <f t="shared" ca="1" si="163"/>
        <v>103081.75480965442</v>
      </c>
      <c r="AL99" s="12">
        <f t="shared" ca="1" si="163"/>
        <v>96059.186835740707</v>
      </c>
      <c r="AM99" s="12">
        <f t="shared" ca="1" si="163"/>
        <v>89376.953649835705</v>
      </c>
      <c r="AN99" s="12">
        <f t="shared" ca="1" si="163"/>
        <v>83001.98123899271</v>
      </c>
      <c r="AO99" s="12">
        <f t="shared" ca="1" si="163"/>
        <v>76908.737627709983</v>
      </c>
      <c r="AP99" s="12">
        <f t="shared" ca="1" si="163"/>
        <v>71076.847375270532</v>
      </c>
      <c r="AQ99" s="12">
        <f t="shared" ca="1" si="163"/>
        <v>65489.531286740283</v>
      </c>
      <c r="AR99" s="12">
        <f t="shared" ca="1" si="163"/>
        <v>60132.58465198538</v>
      </c>
      <c r="AS99" s="12">
        <f t="shared" ca="1" si="163"/>
        <v>54993.763706069134</v>
      </c>
      <c r="AT99" s="12">
        <f t="shared" ca="1" si="163"/>
        <v>50062.369864869033</v>
      </c>
      <c r="AU99" s="12">
        <f t="shared" ca="1" si="163"/>
        <v>45328.862659602783</v>
      </c>
      <c r="AV99" s="12"/>
      <c r="AW99" s="12">
        <f ca="1">+AU104</f>
        <v>40784.525595066654</v>
      </c>
      <c r="AX99" s="12"/>
      <c r="AZ99" s="2"/>
      <c r="BA99" s="2"/>
      <c r="BB99" s="2"/>
      <c r="BC99" s="2"/>
      <c r="BD99" s="2"/>
      <c r="BE99" s="2"/>
      <c r="BF99" s="2"/>
      <c r="BG99" s="2"/>
      <c r="BH99" s="2"/>
      <c r="BI99" s="2"/>
      <c r="BJ99" s="2"/>
      <c r="BK99" s="2"/>
      <c r="BL99" s="2"/>
      <c r="BM99" s="2"/>
    </row>
    <row r="100" spans="2:65" x14ac:dyDescent="0.3">
      <c r="C100" t="s">
        <v>458</v>
      </c>
      <c r="G100" s="12">
        <f ca="1">+G53</f>
        <v>401088.82466131222</v>
      </c>
      <c r="H100" s="12">
        <f t="shared" ref="H100:AU100" ca="1" si="164">+H53</f>
        <v>621358.5222140745</v>
      </c>
      <c r="I100" s="12">
        <f t="shared" ca="1" si="164"/>
        <v>635025.6670391605</v>
      </c>
      <c r="J100" s="12">
        <f t="shared" ca="1" si="164"/>
        <v>525824.53502454737</v>
      </c>
      <c r="K100" s="12">
        <f t="shared" ca="1" si="164"/>
        <v>520861.64289576886</v>
      </c>
      <c r="L100" s="12">
        <f t="shared" ca="1" si="164"/>
        <v>432387.58429982106</v>
      </c>
      <c r="M100" s="12">
        <f t="shared" ca="1" si="164"/>
        <v>430690.12830382615</v>
      </c>
      <c r="N100" s="12">
        <f t="shared" ca="1" si="164"/>
        <v>406270.57564893976</v>
      </c>
      <c r="O100" s="12">
        <f t="shared" ca="1" si="164"/>
        <v>402776.09093401907</v>
      </c>
      <c r="P100" s="12">
        <f t="shared" ca="1" si="164"/>
        <v>401598.20678225358</v>
      </c>
      <c r="Q100" s="12">
        <f t="shared" ca="1" si="164"/>
        <v>400555.36173011112</v>
      </c>
      <c r="R100" s="12">
        <f t="shared" ca="1" si="164"/>
        <v>399650.10705201054</v>
      </c>
      <c r="S100" s="12">
        <f t="shared" ca="1" si="164"/>
        <v>398814.57390079316</v>
      </c>
      <c r="T100" s="12">
        <f t="shared" ca="1" si="164"/>
        <v>391820.56169482379</v>
      </c>
      <c r="U100" s="12">
        <f t="shared" ca="1" si="164"/>
        <v>390902.30683278514</v>
      </c>
      <c r="V100" s="12">
        <f t="shared" ca="1" si="164"/>
        <v>390259.38630243327</v>
      </c>
      <c r="W100" s="12">
        <f t="shared" ca="1" si="164"/>
        <v>389782.30754837539</v>
      </c>
      <c r="X100" s="12">
        <f t="shared" ca="1" si="164"/>
        <v>389370.16759142402</v>
      </c>
      <c r="Y100" s="12">
        <f t="shared" ca="1" si="164"/>
        <v>282466.79272870952</v>
      </c>
      <c r="Z100" s="12">
        <f t="shared" ca="1" si="164"/>
        <v>222230.12304879876</v>
      </c>
      <c r="AA100" s="12">
        <f t="shared" ca="1" si="164"/>
        <v>221938.32581171225</v>
      </c>
      <c r="AB100" s="12">
        <f t="shared" ca="1" si="164"/>
        <v>221136.8893792142</v>
      </c>
      <c r="AC100" s="12">
        <f t="shared" ca="1" si="164"/>
        <v>155736.4841679559</v>
      </c>
      <c r="AD100" s="12">
        <f t="shared" ca="1" si="164"/>
        <v>77243.742514970072</v>
      </c>
      <c r="AE100" s="12">
        <f t="shared" ca="1" si="164"/>
        <v>77243.742514970072</v>
      </c>
      <c r="AF100" s="12">
        <f t="shared" ca="1" si="164"/>
        <v>77243.742514970072</v>
      </c>
      <c r="AG100" s="12">
        <f t="shared" ca="1" si="164"/>
        <v>77243.742514970072</v>
      </c>
      <c r="AH100" s="12">
        <f t="shared" ca="1" si="164"/>
        <v>0</v>
      </c>
      <c r="AI100" s="12">
        <f t="shared" ca="1" si="164"/>
        <v>0</v>
      </c>
      <c r="AJ100" s="12">
        <f t="shared" ca="1" si="164"/>
        <v>0</v>
      </c>
      <c r="AK100" s="12">
        <f t="shared" ca="1" si="164"/>
        <v>0</v>
      </c>
      <c r="AL100" s="12">
        <f t="shared" ca="1" si="164"/>
        <v>0</v>
      </c>
      <c r="AM100" s="12">
        <f t="shared" ca="1" si="164"/>
        <v>0</v>
      </c>
      <c r="AN100" s="12">
        <f t="shared" ca="1" si="164"/>
        <v>0</v>
      </c>
      <c r="AO100" s="12">
        <f t="shared" ca="1" si="164"/>
        <v>0</v>
      </c>
      <c r="AP100" s="12">
        <f t="shared" ca="1" si="164"/>
        <v>0</v>
      </c>
      <c r="AQ100" s="12">
        <f t="shared" ca="1" si="164"/>
        <v>0</v>
      </c>
      <c r="AR100" s="12">
        <f t="shared" ca="1" si="164"/>
        <v>0</v>
      </c>
      <c r="AS100" s="12">
        <f t="shared" ca="1" si="164"/>
        <v>0</v>
      </c>
      <c r="AT100" s="12">
        <f t="shared" ca="1" si="164"/>
        <v>0</v>
      </c>
      <c r="AU100" s="12">
        <f t="shared" ca="1" si="164"/>
        <v>0</v>
      </c>
      <c r="AV100" s="12"/>
      <c r="AW100" s="12">
        <f t="shared" ref="AW100" ca="1" si="165">+AW53</f>
        <v>406446.49445456924</v>
      </c>
      <c r="AX100" s="12"/>
      <c r="AZ100" s="2"/>
      <c r="BA100" s="2"/>
      <c r="BB100" s="2"/>
      <c r="BC100" s="2"/>
      <c r="BD100" s="2"/>
      <c r="BE100" s="2"/>
      <c r="BF100" s="2"/>
      <c r="BG100" s="2"/>
      <c r="BH100" s="2"/>
      <c r="BI100" s="2"/>
      <c r="BJ100" s="2"/>
      <c r="BK100" s="2"/>
      <c r="BL100" s="2"/>
      <c r="BM100" s="2"/>
    </row>
    <row r="101" spans="2:65" x14ac:dyDescent="0.3">
      <c r="C101" t="s">
        <v>459</v>
      </c>
      <c r="G101" s="12">
        <f ca="1">+G89</f>
        <v>-122401.00905347524</v>
      </c>
      <c r="H101" s="12">
        <f t="shared" ref="H101:AU101" ca="1" si="166">+H89</f>
        <v>-191004.8722965554</v>
      </c>
      <c r="I101" s="12">
        <f t="shared" ca="1" si="166"/>
        <v>-149802.11390884506</v>
      </c>
      <c r="J101" s="12">
        <f t="shared" ca="1" si="166"/>
        <v>-137787.81103411783</v>
      </c>
      <c r="K101" s="12">
        <f t="shared" ca="1" si="166"/>
        <v>-125782.60826365204</v>
      </c>
      <c r="L101" s="12">
        <f t="shared" ca="1" si="166"/>
        <v>-104000.86775088409</v>
      </c>
      <c r="M101" s="12">
        <f t="shared" ca="1" si="166"/>
        <v>-88595.606942690807</v>
      </c>
      <c r="N101" s="12">
        <f t="shared" ca="1" si="166"/>
        <v>-76340.968922437212</v>
      </c>
      <c r="O101" s="12">
        <f t="shared" ca="1" si="166"/>
        <v>-66371.406213865179</v>
      </c>
      <c r="P101" s="12">
        <f t="shared" ca="1" si="166"/>
        <v>-58177.805573864447</v>
      </c>
      <c r="Q101" s="12">
        <f t="shared" ca="1" si="166"/>
        <v>-51277.814810233467</v>
      </c>
      <c r="R101" s="12">
        <f t="shared" ca="1" si="166"/>
        <v>-45440.586222853584</v>
      </c>
      <c r="S101" s="12">
        <f t="shared" ca="1" si="166"/>
        <v>-40409.398406904154</v>
      </c>
      <c r="T101" s="12">
        <f t="shared" ca="1" si="166"/>
        <v>-36088.952996715241</v>
      </c>
      <c r="U101" s="12">
        <f t="shared" ca="1" si="166"/>
        <v>-32246.781639190813</v>
      </c>
      <c r="V101" s="12">
        <f t="shared" ca="1" si="166"/>
        <v>-29005.52012824484</v>
      </c>
      <c r="W101" s="12">
        <f t="shared" ca="1" si="166"/>
        <v>-26199.041442387923</v>
      </c>
      <c r="X101" s="12">
        <f t="shared" ca="1" si="166"/>
        <v>-23732.30734401185</v>
      </c>
      <c r="Y101" s="12">
        <f t="shared" ca="1" si="166"/>
        <v>-20773.925898859034</v>
      </c>
      <c r="Z101" s="12">
        <f t="shared" ca="1" si="166"/>
        <v>-18413.53492398559</v>
      </c>
      <c r="AA101" s="12">
        <f t="shared" ca="1" si="166"/>
        <v>-16776.916835050019</v>
      </c>
      <c r="AB101" s="12">
        <f t="shared" ca="1" si="166"/>
        <v>-15154.86081493874</v>
      </c>
      <c r="AC101" s="12">
        <f t="shared" ca="1" si="166"/>
        <v>-13081.899398911324</v>
      </c>
      <c r="AD101" s="12">
        <f t="shared" ca="1" si="166"/>
        <v>-11639.700614998217</v>
      </c>
      <c r="AE101" s="12">
        <f t="shared" ca="1" si="166"/>
        <v>-10751.860900880709</v>
      </c>
      <c r="AF101" s="12">
        <f t="shared" ca="1" si="166"/>
        <v>-10038.260854242635</v>
      </c>
      <c r="AG101" s="12">
        <f t="shared" ca="1" si="166"/>
        <v>-9424.236129561732</v>
      </c>
      <c r="AH101" s="12">
        <f t="shared" ca="1" si="166"/>
        <v>-8429.7757808345032</v>
      </c>
      <c r="AI101" s="12">
        <f t="shared" ca="1" si="166"/>
        <v>-7859.8905638513716</v>
      </c>
      <c r="AJ101" s="12">
        <f t="shared" ca="1" si="166"/>
        <v>-7407.9095233026928</v>
      </c>
      <c r="AK101" s="12">
        <f t="shared" ca="1" si="166"/>
        <v>-7022.5679739137177</v>
      </c>
      <c r="AL101" s="12">
        <f t="shared" ca="1" si="166"/>
        <v>-6682.2331859050082</v>
      </c>
      <c r="AM101" s="12">
        <f t="shared" ca="1" si="166"/>
        <v>-6374.9724108429964</v>
      </c>
      <c r="AN101" s="12">
        <f t="shared" ca="1" si="166"/>
        <v>-6093.2436112827218</v>
      </c>
      <c r="AO101" s="12">
        <f t="shared" ca="1" si="166"/>
        <v>-5831.8902524394571</v>
      </c>
      <c r="AP101" s="12">
        <f t="shared" ca="1" si="166"/>
        <v>-5587.3160885302495</v>
      </c>
      <c r="AQ101" s="12">
        <f t="shared" ca="1" si="166"/>
        <v>-5356.9466347549042</v>
      </c>
      <c r="AR101" s="12">
        <f t="shared" ca="1" si="166"/>
        <v>-5138.8209459162435</v>
      </c>
      <c r="AS101" s="12">
        <f t="shared" ca="1" si="166"/>
        <v>-4931.393841200098</v>
      </c>
      <c r="AT101" s="12">
        <f t="shared" ca="1" si="166"/>
        <v>-4733.507205266249</v>
      </c>
      <c r="AU101" s="12">
        <f t="shared" ca="1" si="166"/>
        <v>-4544.3370645361292</v>
      </c>
      <c r="AV101" s="12"/>
      <c r="AW101" s="12">
        <f t="shared" ref="AW101" ca="1" si="167">+AW89</f>
        <v>-40784.525595066669</v>
      </c>
      <c r="AX101" s="12"/>
      <c r="AZ101" s="2"/>
      <c r="BA101" s="2"/>
      <c r="BB101" s="2"/>
      <c r="BC101" s="2"/>
      <c r="BD101" s="2"/>
      <c r="BE101" s="2"/>
      <c r="BF101" s="2"/>
      <c r="BG101" s="2"/>
      <c r="BH101" s="2"/>
      <c r="BI101" s="2"/>
      <c r="BJ101" s="2"/>
      <c r="BK101" s="2"/>
      <c r="BL101" s="2"/>
      <c r="BM101" s="2"/>
    </row>
    <row r="102" spans="2:65" x14ac:dyDescent="0.3">
      <c r="C102" t="s">
        <v>454</v>
      </c>
      <c r="G102" s="12">
        <f ca="1">+G94</f>
        <v>0</v>
      </c>
      <c r="H102" s="12">
        <f t="shared" ref="H102:AU102" ca="1" si="168">+H94</f>
        <v>0</v>
      </c>
      <c r="I102" s="12">
        <f t="shared" ca="1" si="168"/>
        <v>0</v>
      </c>
      <c r="J102" s="12">
        <f t="shared" ca="1" si="168"/>
        <v>0</v>
      </c>
      <c r="K102" s="12">
        <f t="shared" ca="1" si="168"/>
        <v>0</v>
      </c>
      <c r="L102" s="12">
        <f t="shared" ca="1" si="168"/>
        <v>0</v>
      </c>
      <c r="M102" s="12">
        <f t="shared" ca="1" si="168"/>
        <v>0</v>
      </c>
      <c r="N102" s="12">
        <f t="shared" ca="1" si="168"/>
        <v>0</v>
      </c>
      <c r="O102" s="12">
        <f t="shared" ca="1" si="168"/>
        <v>0</v>
      </c>
      <c r="P102" s="12">
        <f t="shared" ca="1" si="168"/>
        <v>0</v>
      </c>
      <c r="Q102" s="12">
        <f t="shared" ca="1" si="168"/>
        <v>0</v>
      </c>
      <c r="R102" s="12">
        <f t="shared" ca="1" si="168"/>
        <v>0</v>
      </c>
      <c r="S102" s="12">
        <f t="shared" ca="1" si="168"/>
        <v>0</v>
      </c>
      <c r="T102" s="12">
        <f t="shared" ca="1" si="168"/>
        <v>0</v>
      </c>
      <c r="U102" s="12">
        <f t="shared" ca="1" si="168"/>
        <v>0</v>
      </c>
      <c r="V102" s="12">
        <f t="shared" ca="1" si="168"/>
        <v>0</v>
      </c>
      <c r="W102" s="12">
        <f t="shared" ca="1" si="168"/>
        <v>0</v>
      </c>
      <c r="X102" s="12">
        <f t="shared" ca="1" si="168"/>
        <v>0</v>
      </c>
      <c r="Y102" s="12">
        <f t="shared" ca="1" si="168"/>
        <v>0</v>
      </c>
      <c r="Z102" s="12">
        <f t="shared" ca="1" si="168"/>
        <v>0</v>
      </c>
      <c r="AA102" s="12">
        <f t="shared" ca="1" si="168"/>
        <v>0</v>
      </c>
      <c r="AB102" s="12">
        <f t="shared" ca="1" si="168"/>
        <v>0</v>
      </c>
      <c r="AC102" s="12">
        <f t="shared" ca="1" si="168"/>
        <v>0</v>
      </c>
      <c r="AD102" s="12">
        <f t="shared" ca="1" si="168"/>
        <v>0</v>
      </c>
      <c r="AE102" s="12">
        <f t="shared" ca="1" si="168"/>
        <v>0</v>
      </c>
      <c r="AF102" s="12">
        <f t="shared" ca="1" si="168"/>
        <v>0</v>
      </c>
      <c r="AG102" s="12">
        <f t="shared" ca="1" si="168"/>
        <v>0</v>
      </c>
      <c r="AH102" s="12">
        <f t="shared" ca="1" si="168"/>
        <v>0</v>
      </c>
      <c r="AI102" s="12">
        <f t="shared" ca="1" si="168"/>
        <v>0</v>
      </c>
      <c r="AJ102" s="12">
        <f t="shared" ca="1" si="168"/>
        <v>0</v>
      </c>
      <c r="AK102" s="12">
        <f t="shared" ca="1" si="168"/>
        <v>0</v>
      </c>
      <c r="AL102" s="12">
        <f t="shared" ca="1" si="168"/>
        <v>0</v>
      </c>
      <c r="AM102" s="12">
        <f t="shared" ca="1" si="168"/>
        <v>0</v>
      </c>
      <c r="AN102" s="12">
        <f t="shared" ca="1" si="168"/>
        <v>0</v>
      </c>
      <c r="AO102" s="12">
        <f t="shared" ca="1" si="168"/>
        <v>0</v>
      </c>
      <c r="AP102" s="12">
        <f t="shared" ca="1" si="168"/>
        <v>0</v>
      </c>
      <c r="AQ102" s="12">
        <f t="shared" ca="1" si="168"/>
        <v>0</v>
      </c>
      <c r="AR102" s="12">
        <f t="shared" ca="1" si="168"/>
        <v>0</v>
      </c>
      <c r="AS102" s="12">
        <f t="shared" ca="1" si="168"/>
        <v>0</v>
      </c>
      <c r="AT102" s="12">
        <f t="shared" ca="1" si="168"/>
        <v>0</v>
      </c>
      <c r="AU102" s="12">
        <f t="shared" ca="1" si="168"/>
        <v>0</v>
      </c>
      <c r="AV102" s="12"/>
      <c r="AW102" s="12">
        <f t="shared" ref="AW102" ca="1" si="169">+AW94</f>
        <v>0</v>
      </c>
      <c r="AX102" s="12"/>
      <c r="AZ102" s="2"/>
      <c r="BA102" s="2"/>
      <c r="BB102" s="2"/>
      <c r="BC102" s="2"/>
      <c r="BD102" s="2"/>
      <c r="BE102" s="2"/>
      <c r="BF102" s="2"/>
      <c r="BG102" s="2"/>
      <c r="BH102" s="2"/>
      <c r="BI102" s="2"/>
      <c r="BJ102" s="2"/>
      <c r="BK102" s="2"/>
      <c r="BL102" s="2"/>
      <c r="BM102" s="2"/>
    </row>
    <row r="103" spans="2:65" x14ac:dyDescent="0.3">
      <c r="C103" t="s">
        <v>460</v>
      </c>
      <c r="G103" s="12">
        <f ca="1">-G96</f>
        <v>-57355.701926567643</v>
      </c>
      <c r="H103" s="12">
        <f t="shared" ref="H103:AU103" ca="1" si="170">-H96</f>
        <v>-187121.03071863414</v>
      </c>
      <c r="I103" s="12">
        <f t="shared" ca="1" si="170"/>
        <v>-313232.05264477781</v>
      </c>
      <c r="J103" s="12">
        <f t="shared" ca="1" si="170"/>
        <v>-389648.04140323162</v>
      </c>
      <c r="K103" s="12">
        <f t="shared" ca="1" si="170"/>
        <v>-427806.43841857824</v>
      </c>
      <c r="L103" s="12">
        <f t="shared" ca="1" si="170"/>
        <v>-451837.84294543805</v>
      </c>
      <c r="M103" s="12">
        <f t="shared" ca="1" si="170"/>
        <v>-471917.59912412602</v>
      </c>
      <c r="N103" s="12">
        <f t="shared" ca="1" si="170"/>
        <v>-481056.87993715727</v>
      </c>
      <c r="O103" s="12">
        <f t="shared" ca="1" si="170"/>
        <v>-464185.98022922891</v>
      </c>
      <c r="P103" s="12">
        <f t="shared" ca="1" si="170"/>
        <v>-441256.02247959404</v>
      </c>
      <c r="Q103" s="12">
        <f t="shared" ca="1" si="170"/>
        <v>-423773.32197418145</v>
      </c>
      <c r="R103" s="12">
        <f t="shared" ca="1" si="170"/>
        <v>-412323.49807075132</v>
      </c>
      <c r="S103" s="12">
        <f t="shared" ca="1" si="170"/>
        <v>-405035.74048452295</v>
      </c>
      <c r="T103" s="12">
        <f t="shared" ca="1" si="170"/>
        <v>-400876.54938159592</v>
      </c>
      <c r="U103" s="12">
        <f t="shared" ca="1" si="170"/>
        <v>-397164.79690139065</v>
      </c>
      <c r="V103" s="12">
        <f t="shared" ca="1" si="170"/>
        <v>-395084.02866673382</v>
      </c>
      <c r="W103" s="12">
        <f t="shared" ca="1" si="170"/>
        <v>-393522.59663508495</v>
      </c>
      <c r="X103" s="12">
        <f t="shared" ca="1" si="170"/>
        <v>-392295.15814544336</v>
      </c>
      <c r="Y103" s="12">
        <f t="shared" ca="1" si="170"/>
        <v>-375923.85672234243</v>
      </c>
      <c r="Z103" s="12">
        <f t="shared" ca="1" si="170"/>
        <v>-340187.91609196761</v>
      </c>
      <c r="AA103" s="12">
        <f t="shared" ca="1" si="170"/>
        <v>-306132.46175158967</v>
      </c>
      <c r="AB103" s="12">
        <f t="shared" ca="1" si="170"/>
        <v>-281864.34510555962</v>
      </c>
      <c r="AC103" s="12">
        <f t="shared" ca="1" si="170"/>
        <v>-255112.61475598146</v>
      </c>
      <c r="AD103" s="12">
        <f t="shared" ca="1" si="170"/>
        <v>-212754.71442812833</v>
      </c>
      <c r="AE103" s="12">
        <f t="shared" ca="1" si="170"/>
        <v>-167058.76204065717</v>
      </c>
      <c r="AF103" s="12">
        <f t="shared" ca="1" si="170"/>
        <v>-134878.46833305011</v>
      </c>
      <c r="AG103" s="12">
        <f t="shared" ca="1" si="170"/>
        <v>-116438.29163043591</v>
      </c>
      <c r="AH103" s="12">
        <f t="shared" ca="1" si="170"/>
        <v>-92501.487661716208</v>
      </c>
      <c r="AI103" s="12">
        <f t="shared" ca="1" si="170"/>
        <v>-60734.216035168407</v>
      </c>
      <c r="AJ103" s="12">
        <f t="shared" ca="1" si="170"/>
        <v>-37287.688853426283</v>
      </c>
      <c r="AK103" s="12">
        <f t="shared" ca="1" si="170"/>
        <v>-24100.047664670659</v>
      </c>
      <c r="AL103" s="12">
        <f t="shared" ca="1" si="170"/>
        <v>-17225.354580838324</v>
      </c>
      <c r="AM103" s="12">
        <f t="shared" ca="1" si="170"/>
        <v>-10350.661497005989</v>
      </c>
      <c r="AN103" s="12">
        <f t="shared" ca="1" si="170"/>
        <v>-3475.9684131736531</v>
      </c>
      <c r="AO103" s="12">
        <f t="shared" ca="1" si="170"/>
        <v>0</v>
      </c>
      <c r="AP103" s="12">
        <f t="shared" ca="1" si="170"/>
        <v>0</v>
      </c>
      <c r="AQ103" s="12">
        <f t="shared" ca="1" si="170"/>
        <v>0</v>
      </c>
      <c r="AR103" s="12">
        <f t="shared" ca="1" si="170"/>
        <v>0</v>
      </c>
      <c r="AS103" s="12">
        <f t="shared" ca="1" si="170"/>
        <v>0</v>
      </c>
      <c r="AT103" s="12">
        <f t="shared" ca="1" si="170"/>
        <v>0</v>
      </c>
      <c r="AU103" s="12">
        <f t="shared" ca="1" si="170"/>
        <v>0</v>
      </c>
      <c r="AV103" s="12"/>
      <c r="AW103" s="12">
        <f t="shared" ref="AW103" ca="1" si="171">-AW96</f>
        <v>-406446.49445456924</v>
      </c>
      <c r="AX103" s="12"/>
      <c r="AZ103" s="2"/>
      <c r="BA103" s="2"/>
      <c r="BB103" s="2"/>
      <c r="BC103" s="2"/>
      <c r="BD103" s="2"/>
      <c r="BE103" s="2"/>
      <c r="BF103" s="2"/>
      <c r="BG103" s="2"/>
      <c r="BH103" s="2"/>
      <c r="BI103" s="2"/>
      <c r="BJ103" s="2"/>
      <c r="BK103" s="2"/>
      <c r="BL103" s="2"/>
      <c r="BM103" s="2"/>
    </row>
    <row r="104" spans="2:65" x14ac:dyDescent="0.3">
      <c r="C104" s="60" t="s">
        <v>461</v>
      </c>
      <c r="D104" s="9"/>
      <c r="E104" s="9"/>
      <c r="F104" s="9"/>
      <c r="G104" s="8">
        <f ca="1">SUM(G99:G103)</f>
        <v>1878832.1136812693</v>
      </c>
      <c r="H104" s="8">
        <f t="shared" ref="H104:AW104" ca="1" si="172">SUM(H99:H103)</f>
        <v>1778331.6101454098</v>
      </c>
      <c r="I104" s="8">
        <f t="shared" ca="1" si="172"/>
        <v>1516085.6191355071</v>
      </c>
      <c r="J104" s="8">
        <f t="shared" ca="1" si="172"/>
        <v>1192680.6873283223</v>
      </c>
      <c r="K104" s="8">
        <f t="shared" ca="1" si="172"/>
        <v>1023776.7899205451</v>
      </c>
      <c r="L104" s="8">
        <f t="shared" ca="1" si="172"/>
        <v>807270.45904685347</v>
      </c>
      <c r="M104" s="8">
        <f t="shared" ca="1" si="172"/>
        <v>696897.63992947957</v>
      </c>
      <c r="N104" s="8">
        <f t="shared" ca="1" si="172"/>
        <v>586997.837539125</v>
      </c>
      <c r="O104" s="8">
        <f t="shared" ca="1" si="172"/>
        <v>534002.84631826752</v>
      </c>
      <c r="P104" s="8">
        <f t="shared" ca="1" si="172"/>
        <v>497577.11434227234</v>
      </c>
      <c r="Q104" s="8">
        <f t="shared" ca="1" si="172"/>
        <v>462739.154985309</v>
      </c>
      <c r="R104" s="8">
        <f t="shared" ca="1" si="172"/>
        <v>427843.13798778492</v>
      </c>
      <c r="S104" s="8">
        <f t="shared" ca="1" si="172"/>
        <v>393885.96401589172</v>
      </c>
      <c r="T104" s="8">
        <f t="shared" ca="1" si="172"/>
        <v>354962.18991613423</v>
      </c>
      <c r="U104" s="8">
        <f t="shared" ca="1" si="172"/>
        <v>325508.90589510999</v>
      </c>
      <c r="V104" s="8">
        <f t="shared" ca="1" si="172"/>
        <v>297941.23347117013</v>
      </c>
      <c r="W104" s="8">
        <f t="shared" ca="1" si="172"/>
        <v>272826.54530637327</v>
      </c>
      <c r="X104" s="8">
        <f t="shared" ca="1" si="172"/>
        <v>249909.53649505164</v>
      </c>
      <c r="Y104" s="8">
        <f t="shared" ca="1" si="172"/>
        <v>138603.53715657897</v>
      </c>
      <c r="Z104" s="8">
        <f t="shared" ca="1" si="172"/>
        <v>95689.273183057492</v>
      </c>
      <c r="AA104" s="8">
        <f t="shared" ca="1" si="172"/>
        <v>112676.01345129887</v>
      </c>
      <c r="AB104" s="8">
        <f t="shared" ca="1" si="172"/>
        <v>120987.83284989221</v>
      </c>
      <c r="AC104" s="8">
        <f t="shared" ca="1" si="172"/>
        <v>69257.258589300705</v>
      </c>
      <c r="AD104" s="8">
        <f t="shared" ca="1" si="172"/>
        <v>21482.716649169801</v>
      </c>
      <c r="AE104" s="8">
        <f t="shared" ca="1" si="172"/>
        <v>56426.80813576025</v>
      </c>
      <c r="AF104" s="8">
        <f t="shared" ca="1" si="172"/>
        <v>78568.84098912467</v>
      </c>
      <c r="AG104" s="8">
        <f t="shared" ca="1" si="172"/>
        <v>87584.781562177144</v>
      </c>
      <c r="AH104" s="8">
        <f t="shared" ca="1" si="172"/>
        <v>25848.067235092269</v>
      </c>
      <c r="AI104" s="8">
        <f t="shared" ca="1" si="172"/>
        <v>49755.448297788702</v>
      </c>
      <c r="AJ104" s="8">
        <f t="shared" ca="1" si="172"/>
        <v>65794.065956228136</v>
      </c>
      <c r="AK104" s="8">
        <f t="shared" ca="1" si="172"/>
        <v>71959.139171070041</v>
      </c>
      <c r="AL104" s="8">
        <f t="shared" ca="1" si="172"/>
        <v>72151.599068997384</v>
      </c>
      <c r="AM104" s="8">
        <f t="shared" ca="1" si="172"/>
        <v>72651.319741986721</v>
      </c>
      <c r="AN104" s="8">
        <f t="shared" ca="1" si="172"/>
        <v>73432.769214536325</v>
      </c>
      <c r="AO104" s="8">
        <f t="shared" ca="1" si="172"/>
        <v>71076.847375270532</v>
      </c>
      <c r="AP104" s="8">
        <f t="shared" ca="1" si="172"/>
        <v>65489.531286740283</v>
      </c>
      <c r="AQ104" s="8">
        <f t="shared" ca="1" si="172"/>
        <v>60132.58465198538</v>
      </c>
      <c r="AR104" s="8">
        <f t="shared" ca="1" si="172"/>
        <v>54993.763706069134</v>
      </c>
      <c r="AS104" s="8">
        <f t="shared" ca="1" si="172"/>
        <v>50062.369864869033</v>
      </c>
      <c r="AT104" s="8">
        <f t="shared" ca="1" si="172"/>
        <v>45328.862659602783</v>
      </c>
      <c r="AU104" s="8">
        <f t="shared" ca="1" si="172"/>
        <v>40784.525595066654</v>
      </c>
      <c r="AV104" s="8"/>
      <c r="AW104" s="8">
        <f t="shared" ca="1" si="172"/>
        <v>0</v>
      </c>
      <c r="AX104" s="8"/>
      <c r="AZ104" s="2"/>
      <c r="BA104" s="2"/>
      <c r="BB104" s="2"/>
      <c r="BC104" s="2"/>
      <c r="BD104" s="2"/>
      <c r="BE104" s="2"/>
      <c r="BF104" s="2"/>
      <c r="BG104" s="2"/>
      <c r="BH104" s="2"/>
      <c r="BI104" s="2"/>
      <c r="BJ104" s="2"/>
      <c r="BK104" s="2"/>
      <c r="BL104" s="2"/>
      <c r="BM104" s="2"/>
    </row>
    <row r="105" spans="2:65" x14ac:dyDescent="0.3">
      <c r="C105" s="421" t="s">
        <v>419</v>
      </c>
      <c r="G105" s="461">
        <f ca="1">-SUM(G101:G103)</f>
        <v>179756.71098004287</v>
      </c>
      <c r="H105" s="461">
        <f t="shared" ref="H105:AU105" ca="1" si="173">-SUM(H101:H103)</f>
        <v>378125.90301518957</v>
      </c>
      <c r="I105" s="461">
        <f t="shared" ca="1" si="173"/>
        <v>463034.16655362287</v>
      </c>
      <c r="J105" s="461">
        <f t="shared" ca="1" si="173"/>
        <v>527435.8524373495</v>
      </c>
      <c r="K105" s="461">
        <f t="shared" ca="1" si="173"/>
        <v>553589.04668223031</v>
      </c>
      <c r="L105" s="461">
        <f t="shared" ca="1" si="173"/>
        <v>555838.71069632214</v>
      </c>
      <c r="M105" s="461">
        <f t="shared" ca="1" si="173"/>
        <v>560513.20606681681</v>
      </c>
      <c r="N105" s="461">
        <f t="shared" ca="1" si="173"/>
        <v>557397.84885959444</v>
      </c>
      <c r="O105" s="461">
        <f t="shared" ca="1" si="173"/>
        <v>530557.38644309412</v>
      </c>
      <c r="P105" s="461">
        <f t="shared" ca="1" si="173"/>
        <v>499433.82805345848</v>
      </c>
      <c r="Q105" s="461">
        <f t="shared" ca="1" si="173"/>
        <v>475051.13678441494</v>
      </c>
      <c r="R105" s="461">
        <f t="shared" ca="1" si="173"/>
        <v>457764.08429360489</v>
      </c>
      <c r="S105" s="461">
        <f t="shared" ca="1" si="173"/>
        <v>445445.13889142708</v>
      </c>
      <c r="T105" s="461">
        <f t="shared" ca="1" si="173"/>
        <v>436965.50237831118</v>
      </c>
      <c r="U105" s="461">
        <f t="shared" ca="1" si="173"/>
        <v>429411.57854058145</v>
      </c>
      <c r="V105" s="461">
        <f t="shared" ca="1" si="173"/>
        <v>424089.54879497865</v>
      </c>
      <c r="W105" s="461">
        <f t="shared" ca="1" si="173"/>
        <v>419721.63807747286</v>
      </c>
      <c r="X105" s="461">
        <f t="shared" ca="1" si="173"/>
        <v>416027.46548945521</v>
      </c>
      <c r="Y105" s="461">
        <f t="shared" ca="1" si="173"/>
        <v>396697.78262120148</v>
      </c>
      <c r="Z105" s="461">
        <f t="shared" ca="1" si="173"/>
        <v>358601.45101595321</v>
      </c>
      <c r="AA105" s="461">
        <f t="shared" ca="1" si="173"/>
        <v>322909.37858663971</v>
      </c>
      <c r="AB105" s="461">
        <f t="shared" ca="1" si="173"/>
        <v>297019.20592049835</v>
      </c>
      <c r="AC105" s="461">
        <f t="shared" ca="1" si="173"/>
        <v>268194.51415489276</v>
      </c>
      <c r="AD105" s="461">
        <f t="shared" ca="1" si="173"/>
        <v>224394.41504312653</v>
      </c>
      <c r="AE105" s="461">
        <f t="shared" ca="1" si="173"/>
        <v>177810.62294153788</v>
      </c>
      <c r="AF105" s="461">
        <f t="shared" ca="1" si="173"/>
        <v>144916.72918729275</v>
      </c>
      <c r="AG105" s="461">
        <f t="shared" ca="1" si="173"/>
        <v>125862.52775999764</v>
      </c>
      <c r="AH105" s="461">
        <f t="shared" ca="1" si="173"/>
        <v>100931.26344255071</v>
      </c>
      <c r="AI105" s="461">
        <f t="shared" ca="1" si="173"/>
        <v>68594.106599019782</v>
      </c>
      <c r="AJ105" s="461">
        <f t="shared" ca="1" si="173"/>
        <v>44695.598376728973</v>
      </c>
      <c r="AK105" s="461">
        <f t="shared" ca="1" si="173"/>
        <v>31122.615638584379</v>
      </c>
      <c r="AL105" s="461">
        <f t="shared" ca="1" si="173"/>
        <v>23907.587766743331</v>
      </c>
      <c r="AM105" s="461">
        <f t="shared" ca="1" si="173"/>
        <v>16725.633907848984</v>
      </c>
      <c r="AN105" s="461">
        <f t="shared" ca="1" si="173"/>
        <v>9569.2120244563739</v>
      </c>
      <c r="AO105" s="461">
        <f t="shared" ca="1" si="173"/>
        <v>5831.8902524394571</v>
      </c>
      <c r="AP105" s="461">
        <f t="shared" ca="1" si="173"/>
        <v>5587.3160885302495</v>
      </c>
      <c r="AQ105" s="461">
        <f t="shared" ca="1" si="173"/>
        <v>5356.9466347549042</v>
      </c>
      <c r="AR105" s="461">
        <f t="shared" ca="1" si="173"/>
        <v>5138.8209459162435</v>
      </c>
      <c r="AS105" s="461">
        <f t="shared" ca="1" si="173"/>
        <v>4931.393841200098</v>
      </c>
      <c r="AT105" s="461">
        <f t="shared" ca="1" si="173"/>
        <v>4733.507205266249</v>
      </c>
      <c r="AU105" s="461">
        <f t="shared" ca="1" si="173"/>
        <v>4544.3370645361292</v>
      </c>
      <c r="AV105" s="461"/>
      <c r="AW105" s="461">
        <f t="shared" ref="AW105" ca="1" si="174">-SUM(AW101:AW103)</f>
        <v>447231.0200496359</v>
      </c>
      <c r="AX105" s="461"/>
      <c r="AZ105" s="2"/>
      <c r="BA105" s="2"/>
      <c r="BB105" s="2"/>
      <c r="BC105" s="2"/>
      <c r="BD105" s="2"/>
      <c r="BE105" s="2"/>
      <c r="BF105" s="2"/>
      <c r="BG105" s="2"/>
      <c r="BH105" s="2"/>
      <c r="BI105" s="2"/>
      <c r="BJ105" s="2"/>
      <c r="BK105" s="2"/>
      <c r="BL105" s="2"/>
      <c r="BM105" s="2"/>
    </row>
    <row r="106" spans="2:65" x14ac:dyDescent="0.3">
      <c r="AZ106" s="2"/>
      <c r="BA106" s="2"/>
      <c r="BB106" s="2"/>
      <c r="BC106" s="2"/>
      <c r="BD106" s="2"/>
      <c r="BE106" s="2"/>
      <c r="BF106" s="2"/>
      <c r="BG106" s="2"/>
      <c r="BH106" s="2"/>
      <c r="BI106" s="2"/>
      <c r="BJ106" s="2"/>
      <c r="BK106" s="2"/>
      <c r="BL106" s="2"/>
      <c r="BM106" s="2"/>
    </row>
    <row r="107" spans="2:65" x14ac:dyDescent="0.3">
      <c r="B107" s="3" t="s">
        <v>462</v>
      </c>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Z107" s="2"/>
      <c r="BA107" s="2"/>
      <c r="BB107" s="2"/>
      <c r="BC107" s="2"/>
      <c r="BD107" s="2"/>
      <c r="BE107" s="2"/>
      <c r="BF107" s="2"/>
      <c r="BG107" s="2"/>
      <c r="BH107" s="2"/>
      <c r="BI107" s="2"/>
      <c r="BJ107" s="2"/>
      <c r="BK107" s="2"/>
      <c r="BL107" s="2"/>
      <c r="BM107" s="2"/>
    </row>
    <row r="108" spans="2:65" x14ac:dyDescent="0.3">
      <c r="C108" s="73" t="s">
        <v>463</v>
      </c>
      <c r="G108" s="55">
        <f>+F111</f>
        <v>17755</v>
      </c>
      <c r="H108" s="55">
        <f t="shared" ref="H108:AU108" ca="1" si="175">+G111</f>
        <v>0</v>
      </c>
      <c r="I108" s="55">
        <f t="shared" ca="1" si="175"/>
        <v>0</v>
      </c>
      <c r="J108" s="55">
        <f t="shared" ca="1" si="175"/>
        <v>0</v>
      </c>
      <c r="K108" s="55">
        <f t="shared" ca="1" si="175"/>
        <v>0</v>
      </c>
      <c r="L108" s="55">
        <f t="shared" ca="1" si="175"/>
        <v>0</v>
      </c>
      <c r="M108" s="55">
        <f t="shared" ca="1" si="175"/>
        <v>0</v>
      </c>
      <c r="N108" s="55">
        <f t="shared" ca="1" si="175"/>
        <v>0</v>
      </c>
      <c r="O108" s="55">
        <f t="shared" ca="1" si="175"/>
        <v>0</v>
      </c>
      <c r="P108" s="55">
        <f t="shared" ca="1" si="175"/>
        <v>0</v>
      </c>
      <c r="Q108" s="55">
        <f t="shared" ca="1" si="175"/>
        <v>0</v>
      </c>
      <c r="R108" s="55">
        <f t="shared" ca="1" si="175"/>
        <v>0</v>
      </c>
      <c r="S108" s="55">
        <f t="shared" ca="1" si="175"/>
        <v>0</v>
      </c>
      <c r="T108" s="55">
        <f t="shared" ca="1" si="175"/>
        <v>0</v>
      </c>
      <c r="U108" s="55">
        <f t="shared" ca="1" si="175"/>
        <v>0</v>
      </c>
      <c r="V108" s="55">
        <f t="shared" ca="1" si="175"/>
        <v>0</v>
      </c>
      <c r="W108" s="55">
        <f t="shared" ca="1" si="175"/>
        <v>0</v>
      </c>
      <c r="X108" s="55">
        <f t="shared" ca="1" si="175"/>
        <v>0</v>
      </c>
      <c r="Y108" s="55">
        <f t="shared" ca="1" si="175"/>
        <v>0</v>
      </c>
      <c r="Z108" s="55">
        <f t="shared" ca="1" si="175"/>
        <v>0</v>
      </c>
      <c r="AA108" s="55">
        <f t="shared" ca="1" si="175"/>
        <v>0</v>
      </c>
      <c r="AB108" s="55">
        <f t="shared" ca="1" si="175"/>
        <v>0</v>
      </c>
      <c r="AC108" s="55">
        <f t="shared" ca="1" si="175"/>
        <v>0</v>
      </c>
      <c r="AD108" s="55">
        <f t="shared" ca="1" si="175"/>
        <v>0</v>
      </c>
      <c r="AE108" s="55">
        <f t="shared" ca="1" si="175"/>
        <v>0</v>
      </c>
      <c r="AF108" s="55">
        <f t="shared" ca="1" si="175"/>
        <v>0</v>
      </c>
      <c r="AG108" s="55">
        <f t="shared" ca="1" si="175"/>
        <v>0</v>
      </c>
      <c r="AH108" s="55">
        <f t="shared" ca="1" si="175"/>
        <v>0</v>
      </c>
      <c r="AI108" s="55">
        <f t="shared" ca="1" si="175"/>
        <v>0</v>
      </c>
      <c r="AJ108" s="55">
        <f t="shared" ca="1" si="175"/>
        <v>0</v>
      </c>
      <c r="AK108" s="55">
        <f t="shared" ca="1" si="175"/>
        <v>0</v>
      </c>
      <c r="AL108" s="55">
        <f t="shared" ca="1" si="175"/>
        <v>0</v>
      </c>
      <c r="AM108" s="55">
        <f t="shared" ca="1" si="175"/>
        <v>0</v>
      </c>
      <c r="AN108" s="55">
        <f t="shared" ca="1" si="175"/>
        <v>0</v>
      </c>
      <c r="AO108" s="55">
        <f t="shared" ca="1" si="175"/>
        <v>0</v>
      </c>
      <c r="AP108" s="55">
        <f t="shared" ca="1" si="175"/>
        <v>0</v>
      </c>
      <c r="AQ108" s="55">
        <f t="shared" ca="1" si="175"/>
        <v>0</v>
      </c>
      <c r="AR108" s="55">
        <f t="shared" ca="1" si="175"/>
        <v>0</v>
      </c>
      <c r="AS108" s="55">
        <f t="shared" ca="1" si="175"/>
        <v>0</v>
      </c>
      <c r="AT108" s="55">
        <f t="shared" ca="1" si="175"/>
        <v>0</v>
      </c>
      <c r="AU108" s="55">
        <f t="shared" ca="1" si="175"/>
        <v>0</v>
      </c>
      <c r="AW108" s="55">
        <f ca="1">+AU111</f>
        <v>0</v>
      </c>
      <c r="AZ108" s="2"/>
      <c r="BA108" s="2"/>
      <c r="BB108" s="2"/>
      <c r="BC108" s="2"/>
      <c r="BD108" s="2"/>
      <c r="BE108" s="2"/>
      <c r="BF108" s="2"/>
      <c r="BG108" s="2"/>
      <c r="BH108" s="2"/>
      <c r="BI108" s="2"/>
      <c r="BJ108" s="2"/>
      <c r="BK108" s="2"/>
      <c r="BL108" s="2"/>
      <c r="BM108" s="2"/>
    </row>
    <row r="109" spans="2:65" x14ac:dyDescent="0.3">
      <c r="C109" s="73" t="s">
        <v>464</v>
      </c>
      <c r="G109" s="12">
        <f ca="1">-MIN(G114,0)</f>
        <v>0</v>
      </c>
      <c r="H109" s="12">
        <f t="shared" ref="H109:AU109" ca="1" si="176">-MIN(H114,0)</f>
        <v>0</v>
      </c>
      <c r="I109" s="12">
        <f t="shared" ca="1" si="176"/>
        <v>0</v>
      </c>
      <c r="J109" s="12">
        <f t="shared" ca="1" si="176"/>
        <v>0</v>
      </c>
      <c r="K109" s="12">
        <f t="shared" ca="1" si="176"/>
        <v>0</v>
      </c>
      <c r="L109" s="12">
        <f t="shared" ca="1" si="176"/>
        <v>0</v>
      </c>
      <c r="M109" s="12">
        <f t="shared" ca="1" si="176"/>
        <v>0</v>
      </c>
      <c r="N109" s="12">
        <f t="shared" ca="1" si="176"/>
        <v>0</v>
      </c>
      <c r="O109" s="12">
        <f t="shared" ca="1" si="176"/>
        <v>0</v>
      </c>
      <c r="P109" s="12">
        <f t="shared" ca="1" si="176"/>
        <v>0</v>
      </c>
      <c r="Q109" s="12">
        <f t="shared" ca="1" si="176"/>
        <v>0</v>
      </c>
      <c r="R109" s="12">
        <f t="shared" ca="1" si="176"/>
        <v>0</v>
      </c>
      <c r="S109" s="12">
        <f t="shared" ca="1" si="176"/>
        <v>0</v>
      </c>
      <c r="T109" s="12">
        <f t="shared" ca="1" si="176"/>
        <v>0</v>
      </c>
      <c r="U109" s="12">
        <f t="shared" ca="1" si="176"/>
        <v>0</v>
      </c>
      <c r="V109" s="12">
        <f t="shared" ca="1" si="176"/>
        <v>0</v>
      </c>
      <c r="W109" s="12">
        <f t="shared" ca="1" si="176"/>
        <v>0</v>
      </c>
      <c r="X109" s="12">
        <f t="shared" ca="1" si="176"/>
        <v>0</v>
      </c>
      <c r="Y109" s="12">
        <f t="shared" ca="1" si="176"/>
        <v>0</v>
      </c>
      <c r="Z109" s="12">
        <f t="shared" ca="1" si="176"/>
        <v>0</v>
      </c>
      <c r="AA109" s="12">
        <f t="shared" ca="1" si="176"/>
        <v>0</v>
      </c>
      <c r="AB109" s="12">
        <f t="shared" ca="1" si="176"/>
        <v>0</v>
      </c>
      <c r="AC109" s="12">
        <f t="shared" ca="1" si="176"/>
        <v>0</v>
      </c>
      <c r="AD109" s="12">
        <f t="shared" ca="1" si="176"/>
        <v>0</v>
      </c>
      <c r="AE109" s="12">
        <f t="shared" ca="1" si="176"/>
        <v>0</v>
      </c>
      <c r="AF109" s="12">
        <f t="shared" ca="1" si="176"/>
        <v>0</v>
      </c>
      <c r="AG109" s="12">
        <f t="shared" ca="1" si="176"/>
        <v>0</v>
      </c>
      <c r="AH109" s="12">
        <f t="shared" ca="1" si="176"/>
        <v>0</v>
      </c>
      <c r="AI109" s="12">
        <f t="shared" ca="1" si="176"/>
        <v>0</v>
      </c>
      <c r="AJ109" s="12">
        <f t="shared" ca="1" si="176"/>
        <v>0</v>
      </c>
      <c r="AK109" s="12">
        <f t="shared" ca="1" si="176"/>
        <v>0</v>
      </c>
      <c r="AL109" s="12">
        <f t="shared" ca="1" si="176"/>
        <v>0</v>
      </c>
      <c r="AM109" s="12">
        <f t="shared" ca="1" si="176"/>
        <v>0</v>
      </c>
      <c r="AN109" s="12">
        <f t="shared" ca="1" si="176"/>
        <v>0</v>
      </c>
      <c r="AO109" s="12">
        <f t="shared" ca="1" si="176"/>
        <v>0</v>
      </c>
      <c r="AP109" s="12">
        <f t="shared" ca="1" si="176"/>
        <v>0</v>
      </c>
      <c r="AQ109" s="12">
        <f t="shared" ca="1" si="176"/>
        <v>0</v>
      </c>
      <c r="AR109" s="12">
        <f t="shared" ca="1" si="176"/>
        <v>0</v>
      </c>
      <c r="AS109" s="12">
        <f t="shared" ca="1" si="176"/>
        <v>0</v>
      </c>
      <c r="AT109" s="12">
        <f t="shared" ca="1" si="176"/>
        <v>0</v>
      </c>
      <c r="AU109" s="12">
        <f t="shared" ca="1" si="176"/>
        <v>0</v>
      </c>
      <c r="AW109" s="12">
        <f t="shared" ref="AW109" ca="1" si="177">-MIN(AW114,0)</f>
        <v>0</v>
      </c>
      <c r="AZ109" s="2"/>
      <c r="BA109" s="2"/>
      <c r="BB109" s="2"/>
      <c r="BC109" s="2"/>
      <c r="BD109" s="2"/>
      <c r="BE109" s="2"/>
      <c r="BF109" s="2"/>
      <c r="BG109" s="2"/>
      <c r="BH109" s="2"/>
      <c r="BI109" s="2"/>
      <c r="BJ109" s="2"/>
      <c r="BK109" s="2"/>
      <c r="BL109" s="2"/>
      <c r="BM109" s="2"/>
    </row>
    <row r="110" spans="2:65" x14ac:dyDescent="0.3">
      <c r="C110" s="73" t="s">
        <v>465</v>
      </c>
      <c r="G110" s="12">
        <f ca="1">IF(G114&gt;0,-MIN(G108,G114),0)</f>
        <v>-17755</v>
      </c>
      <c r="H110" s="12">
        <f t="shared" ref="H110:AU110" ca="1" si="178">IF(H114&gt;0,-MIN(H108,H114),0)</f>
        <v>0</v>
      </c>
      <c r="I110" s="12">
        <f t="shared" ca="1" si="178"/>
        <v>0</v>
      </c>
      <c r="J110" s="12">
        <f t="shared" ca="1" si="178"/>
        <v>0</v>
      </c>
      <c r="K110" s="12">
        <f t="shared" ca="1" si="178"/>
        <v>0</v>
      </c>
      <c r="L110" s="12">
        <f t="shared" ca="1" si="178"/>
        <v>0</v>
      </c>
      <c r="M110" s="12">
        <f t="shared" ca="1" si="178"/>
        <v>0</v>
      </c>
      <c r="N110" s="12">
        <f t="shared" ca="1" si="178"/>
        <v>0</v>
      </c>
      <c r="O110" s="12">
        <f t="shared" ca="1" si="178"/>
        <v>0</v>
      </c>
      <c r="P110" s="12">
        <f t="shared" ca="1" si="178"/>
        <v>0</v>
      </c>
      <c r="Q110" s="12">
        <f t="shared" ca="1" si="178"/>
        <v>0</v>
      </c>
      <c r="R110" s="12">
        <f t="shared" ca="1" si="178"/>
        <v>0</v>
      </c>
      <c r="S110" s="12">
        <f t="shared" ca="1" si="178"/>
        <v>0</v>
      </c>
      <c r="T110" s="12">
        <f t="shared" ca="1" si="178"/>
        <v>0</v>
      </c>
      <c r="U110" s="12">
        <f t="shared" ca="1" si="178"/>
        <v>0</v>
      </c>
      <c r="V110" s="12">
        <f t="shared" ca="1" si="178"/>
        <v>0</v>
      </c>
      <c r="W110" s="12">
        <f t="shared" ca="1" si="178"/>
        <v>0</v>
      </c>
      <c r="X110" s="12">
        <f t="shared" ca="1" si="178"/>
        <v>0</v>
      </c>
      <c r="Y110" s="12">
        <f t="shared" ca="1" si="178"/>
        <v>0</v>
      </c>
      <c r="Z110" s="12">
        <f t="shared" ca="1" si="178"/>
        <v>0</v>
      </c>
      <c r="AA110" s="12">
        <f t="shared" ca="1" si="178"/>
        <v>0</v>
      </c>
      <c r="AB110" s="12">
        <f t="shared" ca="1" si="178"/>
        <v>0</v>
      </c>
      <c r="AC110" s="12">
        <f t="shared" ca="1" si="178"/>
        <v>0</v>
      </c>
      <c r="AD110" s="12">
        <f t="shared" ca="1" si="178"/>
        <v>0</v>
      </c>
      <c r="AE110" s="12">
        <f t="shared" ca="1" si="178"/>
        <v>0</v>
      </c>
      <c r="AF110" s="12">
        <f t="shared" ca="1" si="178"/>
        <v>0</v>
      </c>
      <c r="AG110" s="12">
        <f t="shared" ca="1" si="178"/>
        <v>0</v>
      </c>
      <c r="AH110" s="12">
        <f t="shared" ca="1" si="178"/>
        <v>0</v>
      </c>
      <c r="AI110" s="12">
        <f t="shared" ca="1" si="178"/>
        <v>0</v>
      </c>
      <c r="AJ110" s="12">
        <f t="shared" ca="1" si="178"/>
        <v>0</v>
      </c>
      <c r="AK110" s="12">
        <f t="shared" ca="1" si="178"/>
        <v>0</v>
      </c>
      <c r="AL110" s="12">
        <f t="shared" ca="1" si="178"/>
        <v>0</v>
      </c>
      <c r="AM110" s="12">
        <f t="shared" ca="1" si="178"/>
        <v>0</v>
      </c>
      <c r="AN110" s="12">
        <f t="shared" ca="1" si="178"/>
        <v>0</v>
      </c>
      <c r="AO110" s="12">
        <f t="shared" ca="1" si="178"/>
        <v>0</v>
      </c>
      <c r="AP110" s="12">
        <f t="shared" ca="1" si="178"/>
        <v>0</v>
      </c>
      <c r="AQ110" s="12">
        <f t="shared" ca="1" si="178"/>
        <v>0</v>
      </c>
      <c r="AR110" s="12">
        <f t="shared" ca="1" si="178"/>
        <v>0</v>
      </c>
      <c r="AS110" s="12">
        <f t="shared" ca="1" si="178"/>
        <v>0</v>
      </c>
      <c r="AT110" s="12">
        <f t="shared" ca="1" si="178"/>
        <v>0</v>
      </c>
      <c r="AU110" s="12">
        <f t="shared" ca="1" si="178"/>
        <v>0</v>
      </c>
      <c r="AW110" s="12">
        <f t="shared" ref="AW110" ca="1" si="179">IF(AW114&gt;0,-MIN(AW108,AW114),0)</f>
        <v>0</v>
      </c>
      <c r="AZ110" s="218"/>
      <c r="BA110" s="2"/>
      <c r="BB110" s="2"/>
      <c r="BC110" s="2"/>
      <c r="BD110" s="2"/>
      <c r="BE110" s="2"/>
      <c r="BF110" s="2"/>
      <c r="BG110" s="2"/>
      <c r="BH110" s="2"/>
      <c r="BI110" s="2"/>
      <c r="BJ110" s="2"/>
      <c r="BK110" s="2"/>
      <c r="BL110" s="2"/>
      <c r="BM110" s="2"/>
    </row>
    <row r="111" spans="2:65" x14ac:dyDescent="0.3">
      <c r="C111" s="462" t="s">
        <v>466</v>
      </c>
      <c r="D111" s="9"/>
      <c r="E111" s="9"/>
      <c r="F111" s="463">
        <f>NOL</f>
        <v>17755</v>
      </c>
      <c r="G111" s="65">
        <f ca="1">SUM(G108:G110)</f>
        <v>0</v>
      </c>
      <c r="H111" s="65">
        <f t="shared" ref="H111" ca="1" si="180">SUM(H108:H110)</f>
        <v>0</v>
      </c>
      <c r="I111" s="65">
        <f t="shared" ref="I111" ca="1" si="181">SUM(I108:I110)</f>
        <v>0</v>
      </c>
      <c r="J111" s="65">
        <f t="shared" ref="J111" ca="1" si="182">SUM(J108:J110)</f>
        <v>0</v>
      </c>
      <c r="K111" s="65">
        <f t="shared" ref="K111" ca="1" si="183">SUM(K108:K110)</f>
        <v>0</v>
      </c>
      <c r="L111" s="65">
        <f t="shared" ref="L111" ca="1" si="184">SUM(L108:L110)</f>
        <v>0</v>
      </c>
      <c r="M111" s="65">
        <f t="shared" ref="M111" ca="1" si="185">SUM(M108:M110)</f>
        <v>0</v>
      </c>
      <c r="N111" s="65">
        <f t="shared" ref="N111" ca="1" si="186">SUM(N108:N110)</f>
        <v>0</v>
      </c>
      <c r="O111" s="65">
        <f t="shared" ref="O111" ca="1" si="187">SUM(O108:O110)</f>
        <v>0</v>
      </c>
      <c r="P111" s="65">
        <f t="shared" ref="P111" ca="1" si="188">SUM(P108:P110)</f>
        <v>0</v>
      </c>
      <c r="Q111" s="65">
        <f t="shared" ref="Q111" ca="1" si="189">SUM(Q108:Q110)</f>
        <v>0</v>
      </c>
      <c r="R111" s="65">
        <f t="shared" ref="R111" ca="1" si="190">SUM(R108:R110)</f>
        <v>0</v>
      </c>
      <c r="S111" s="65">
        <f t="shared" ref="S111" ca="1" si="191">SUM(S108:S110)</f>
        <v>0</v>
      </c>
      <c r="T111" s="65">
        <f t="shared" ref="T111" ca="1" si="192">SUM(T108:T110)</f>
        <v>0</v>
      </c>
      <c r="U111" s="65">
        <f t="shared" ref="U111" ca="1" si="193">SUM(U108:U110)</f>
        <v>0</v>
      </c>
      <c r="V111" s="65">
        <f t="shared" ref="V111" ca="1" si="194">SUM(V108:V110)</f>
        <v>0</v>
      </c>
      <c r="W111" s="65">
        <f t="shared" ref="W111" ca="1" si="195">SUM(W108:W110)</f>
        <v>0</v>
      </c>
      <c r="X111" s="65">
        <f t="shared" ref="X111" ca="1" si="196">SUM(X108:X110)</f>
        <v>0</v>
      </c>
      <c r="Y111" s="65">
        <f t="shared" ref="Y111" ca="1" si="197">SUM(Y108:Y110)</f>
        <v>0</v>
      </c>
      <c r="Z111" s="65">
        <f t="shared" ref="Z111" ca="1" si="198">SUM(Z108:Z110)</f>
        <v>0</v>
      </c>
      <c r="AA111" s="65">
        <f t="shared" ref="AA111" ca="1" si="199">SUM(AA108:AA110)</f>
        <v>0</v>
      </c>
      <c r="AB111" s="65">
        <f t="shared" ref="AB111" ca="1" si="200">SUM(AB108:AB110)</f>
        <v>0</v>
      </c>
      <c r="AC111" s="65">
        <f t="shared" ref="AC111" ca="1" si="201">SUM(AC108:AC110)</f>
        <v>0</v>
      </c>
      <c r="AD111" s="65">
        <f t="shared" ref="AD111" ca="1" si="202">SUM(AD108:AD110)</f>
        <v>0</v>
      </c>
      <c r="AE111" s="65">
        <f t="shared" ref="AE111" ca="1" si="203">SUM(AE108:AE110)</f>
        <v>0</v>
      </c>
      <c r="AF111" s="65">
        <f t="shared" ref="AF111" ca="1" si="204">SUM(AF108:AF110)</f>
        <v>0</v>
      </c>
      <c r="AG111" s="65">
        <f t="shared" ref="AG111" ca="1" si="205">SUM(AG108:AG110)</f>
        <v>0</v>
      </c>
      <c r="AH111" s="65">
        <f t="shared" ref="AH111" ca="1" si="206">SUM(AH108:AH110)</f>
        <v>0</v>
      </c>
      <c r="AI111" s="65">
        <f t="shared" ref="AI111" ca="1" si="207">SUM(AI108:AI110)</f>
        <v>0</v>
      </c>
      <c r="AJ111" s="65">
        <f t="shared" ref="AJ111" ca="1" si="208">SUM(AJ108:AJ110)</f>
        <v>0</v>
      </c>
      <c r="AK111" s="65">
        <f t="shared" ref="AK111" ca="1" si="209">SUM(AK108:AK110)</f>
        <v>0</v>
      </c>
      <c r="AL111" s="65">
        <f t="shared" ref="AL111" ca="1" si="210">SUM(AL108:AL110)</f>
        <v>0</v>
      </c>
      <c r="AM111" s="65">
        <f t="shared" ref="AM111" ca="1" si="211">SUM(AM108:AM110)</f>
        <v>0</v>
      </c>
      <c r="AN111" s="65">
        <f t="shared" ref="AN111" ca="1" si="212">SUM(AN108:AN110)</f>
        <v>0</v>
      </c>
      <c r="AO111" s="65">
        <f t="shared" ref="AO111" ca="1" si="213">SUM(AO108:AO110)</f>
        <v>0</v>
      </c>
      <c r="AP111" s="65">
        <f t="shared" ref="AP111" ca="1" si="214">SUM(AP108:AP110)</f>
        <v>0</v>
      </c>
      <c r="AQ111" s="65">
        <f t="shared" ref="AQ111" ca="1" si="215">SUM(AQ108:AQ110)</f>
        <v>0</v>
      </c>
      <c r="AR111" s="65">
        <f t="shared" ref="AR111" ca="1" si="216">SUM(AR108:AR110)</f>
        <v>0</v>
      </c>
      <c r="AS111" s="65">
        <f t="shared" ref="AS111" ca="1" si="217">SUM(AS108:AS110)</f>
        <v>0</v>
      </c>
      <c r="AT111" s="65">
        <f t="shared" ref="AT111" ca="1" si="218">SUM(AT108:AT110)</f>
        <v>0</v>
      </c>
      <c r="AU111" s="65">
        <f t="shared" ref="AU111:AW111" ca="1" si="219">SUM(AU108:AU110)</f>
        <v>0</v>
      </c>
      <c r="AV111" s="9"/>
      <c r="AW111" s="65">
        <f t="shared" ca="1" si="219"/>
        <v>0</v>
      </c>
      <c r="AX111" s="9"/>
      <c r="AZ111" s="2"/>
      <c r="BA111" s="2"/>
      <c r="BB111" s="2"/>
      <c r="BC111" s="2"/>
      <c r="BD111" s="2"/>
      <c r="BE111" s="2"/>
      <c r="BF111" s="2"/>
      <c r="BG111" s="2"/>
      <c r="BH111" s="2"/>
      <c r="BI111" s="2"/>
      <c r="BJ111" s="2"/>
      <c r="BK111" s="2"/>
      <c r="BL111" s="2"/>
      <c r="BM111" s="2"/>
    </row>
    <row r="112" spans="2:65" x14ac:dyDescent="0.3">
      <c r="AZ112" s="2"/>
      <c r="BA112" s="2"/>
      <c r="BB112" s="2"/>
      <c r="BC112" s="2"/>
      <c r="BD112" s="2"/>
      <c r="BE112" s="2"/>
      <c r="BF112" s="2"/>
      <c r="BG112" s="2"/>
      <c r="BH112" s="2"/>
      <c r="BI112" s="2"/>
      <c r="BJ112" s="2"/>
      <c r="BK112" s="2"/>
      <c r="BL112" s="2"/>
      <c r="BM112" s="2"/>
    </row>
    <row r="113" spans="2:65" x14ac:dyDescent="0.3">
      <c r="B113" s="83" t="s">
        <v>467</v>
      </c>
      <c r="AZ113" s="2"/>
      <c r="BA113" s="2"/>
      <c r="BB113" s="2"/>
      <c r="BC113" s="2"/>
      <c r="BD113" s="2"/>
      <c r="BE113" s="2"/>
      <c r="BF113" s="2"/>
      <c r="BG113" s="2"/>
      <c r="BH113" s="2"/>
      <c r="BI113" s="2"/>
      <c r="BJ113" s="2"/>
      <c r="BK113" s="2"/>
      <c r="BL113" s="2"/>
      <c r="BM113" s="2"/>
    </row>
    <row r="114" spans="2:65" x14ac:dyDescent="0.3">
      <c r="C114" t="s">
        <v>468</v>
      </c>
      <c r="G114" s="55">
        <f t="shared" ref="G114:AW114" ca="1" si="220">+G46</f>
        <v>611041.76874015271</v>
      </c>
      <c r="H114" s="55">
        <f t="shared" ca="1" si="220"/>
        <v>992091.94619102054</v>
      </c>
      <c r="I114" s="55">
        <f t="shared" ca="1" si="220"/>
        <v>714219.40415968304</v>
      </c>
      <c r="J114" s="55">
        <f t="shared" ca="1" si="220"/>
        <v>651809.68682124768</v>
      </c>
      <c r="K114" s="55">
        <f t="shared" ca="1" si="220"/>
        <v>645229.54717145127</v>
      </c>
      <c r="L114" s="55">
        <f t="shared" ca="1" si="220"/>
        <v>682204.98874969524</v>
      </c>
      <c r="M114" s="55">
        <f t="shared" ca="1" si="220"/>
        <v>661004.7479665766</v>
      </c>
      <c r="N114" s="55">
        <f t="shared" ca="1" si="220"/>
        <v>632785.77034439053</v>
      </c>
      <c r="O114" s="55">
        <f t="shared" ca="1" si="220"/>
        <v>640336.43871900649</v>
      </c>
      <c r="P114" s="55">
        <f t="shared" ca="1" si="220"/>
        <v>661259.7546550493</v>
      </c>
      <c r="Q114" s="55">
        <f t="shared" ca="1" si="220"/>
        <v>679042.86311202659</v>
      </c>
      <c r="R114" s="55">
        <f t="shared" ca="1" si="220"/>
        <v>693040.71038795426</v>
      </c>
      <c r="S114" s="55">
        <f t="shared" ca="1" si="220"/>
        <v>703435.00974884746</v>
      </c>
      <c r="T114" s="55">
        <f t="shared" ca="1" si="220"/>
        <v>706262.51136336732</v>
      </c>
      <c r="U114" s="55">
        <f t="shared" ca="1" si="220"/>
        <v>700691.91725914157</v>
      </c>
      <c r="V114" s="55">
        <f t="shared" ca="1" si="220"/>
        <v>704435.01279944496</v>
      </c>
      <c r="W114" s="55">
        <f t="shared" ca="1" si="220"/>
        <v>713660.11943118856</v>
      </c>
      <c r="X114" s="55">
        <f t="shared" ca="1" si="220"/>
        <v>723682.63158010901</v>
      </c>
      <c r="Y114" s="55">
        <f t="shared" ca="1" si="220"/>
        <v>679910.18223140331</v>
      </c>
      <c r="Z114" s="55">
        <f t="shared" ca="1" si="220"/>
        <v>655473.70974401478</v>
      </c>
      <c r="AA114" s="55">
        <f t="shared" ca="1" si="220"/>
        <v>659786.6856335504</v>
      </c>
      <c r="AB114" s="55">
        <f t="shared" ca="1" si="220"/>
        <v>648613.77638880303</v>
      </c>
      <c r="AC114" s="55">
        <f t="shared" ca="1" si="220"/>
        <v>587375.63623518881</v>
      </c>
      <c r="AD114" s="55">
        <f t="shared" ca="1" si="220"/>
        <v>555186.43845885876</v>
      </c>
      <c r="AE114" s="55">
        <f t="shared" ca="1" si="220"/>
        <v>560097.30328672857</v>
      </c>
      <c r="AF114" s="55">
        <f t="shared" ca="1" si="220"/>
        <v>561773.97601840517</v>
      </c>
      <c r="AG114" s="55">
        <f t="shared" ca="1" si="220"/>
        <v>555490.42864674132</v>
      </c>
      <c r="AH114" s="55">
        <f t="shared" ca="1" si="220"/>
        <v>508570.0186710484</v>
      </c>
      <c r="AI114" s="55">
        <f t="shared" ca="1" si="220"/>
        <v>499460.85756161198</v>
      </c>
      <c r="AJ114" s="55">
        <f t="shared" ca="1" si="220"/>
        <v>490408.17616503139</v>
      </c>
      <c r="AK114" s="55">
        <f t="shared" ca="1" si="220"/>
        <v>475856.39708282333</v>
      </c>
      <c r="AL114" s="55">
        <f t="shared" ca="1" si="220"/>
        <v>458221.40229360847</v>
      </c>
      <c r="AM114" s="55">
        <f t="shared" ca="1" si="220"/>
        <v>442969.81227379886</v>
      </c>
      <c r="AN114" s="55">
        <f t="shared" ca="1" si="220"/>
        <v>429565.09038719145</v>
      </c>
      <c r="AO114" s="55">
        <f t="shared" ca="1" si="220"/>
        <v>414240.50239501655</v>
      </c>
      <c r="AP114" s="55">
        <f t="shared" ca="1" si="220"/>
        <v>396661.15747031139</v>
      </c>
      <c r="AQ114" s="55">
        <f t="shared" ca="1" si="220"/>
        <v>380117.76821406698</v>
      </c>
      <c r="AR114" s="55">
        <f t="shared" ca="1" si="220"/>
        <v>364468.67975042749</v>
      </c>
      <c r="AS114" s="55">
        <f t="shared" ca="1" si="220"/>
        <v>349601.87148400472</v>
      </c>
      <c r="AT114" s="55">
        <f t="shared" ca="1" si="220"/>
        <v>335432.90048640175</v>
      </c>
      <c r="AU114" s="55">
        <f t="shared" ca="1" si="220"/>
        <v>321901.14257998805</v>
      </c>
      <c r="AV114" s="55">
        <f ca="1">SUM(G114:AU114)</f>
        <v>23847418.742659375</v>
      </c>
      <c r="AW114" s="55">
        <f t="shared" ca="1" si="220"/>
        <v>3909338.7779774773</v>
      </c>
      <c r="AX114" s="55">
        <f ca="1">SUM(AV114:AW114)</f>
        <v>27756757.520636853</v>
      </c>
      <c r="AZ114" s="2"/>
      <c r="BA114" s="2"/>
      <c r="BB114" s="2"/>
      <c r="BC114" s="2"/>
      <c r="BD114" s="2"/>
      <c r="BE114" s="2"/>
      <c r="BF114" s="2"/>
      <c r="BG114" s="2"/>
      <c r="BH114" s="2"/>
      <c r="BI114" s="2"/>
      <c r="BJ114" s="2"/>
      <c r="BK114" s="2"/>
      <c r="BL114" s="2"/>
      <c r="BM114" s="2"/>
    </row>
    <row r="115" spans="2:65" x14ac:dyDescent="0.3">
      <c r="C115" t="s">
        <v>469</v>
      </c>
      <c r="G115" s="12">
        <f ca="1">SUM(G109:G110)</f>
        <v>-17755</v>
      </c>
      <c r="H115" s="12">
        <f t="shared" ref="H115:AW115" ca="1" si="221">SUM(H109:H110)</f>
        <v>0</v>
      </c>
      <c r="I115" s="12">
        <f t="shared" ca="1" si="221"/>
        <v>0</v>
      </c>
      <c r="J115" s="12">
        <f t="shared" ca="1" si="221"/>
        <v>0</v>
      </c>
      <c r="K115" s="12">
        <f t="shared" ca="1" si="221"/>
        <v>0</v>
      </c>
      <c r="L115" s="12">
        <f t="shared" ca="1" si="221"/>
        <v>0</v>
      </c>
      <c r="M115" s="12">
        <f t="shared" ca="1" si="221"/>
        <v>0</v>
      </c>
      <c r="N115" s="12">
        <f t="shared" ca="1" si="221"/>
        <v>0</v>
      </c>
      <c r="O115" s="12">
        <f t="shared" ca="1" si="221"/>
        <v>0</v>
      </c>
      <c r="P115" s="12">
        <f t="shared" ca="1" si="221"/>
        <v>0</v>
      </c>
      <c r="Q115" s="12">
        <f t="shared" ca="1" si="221"/>
        <v>0</v>
      </c>
      <c r="R115" s="12">
        <f t="shared" ca="1" si="221"/>
        <v>0</v>
      </c>
      <c r="S115" s="12">
        <f t="shared" ca="1" si="221"/>
        <v>0</v>
      </c>
      <c r="T115" s="12">
        <f t="shared" ca="1" si="221"/>
        <v>0</v>
      </c>
      <c r="U115" s="12">
        <f t="shared" ca="1" si="221"/>
        <v>0</v>
      </c>
      <c r="V115" s="12">
        <f t="shared" ca="1" si="221"/>
        <v>0</v>
      </c>
      <c r="W115" s="12">
        <f t="shared" ca="1" si="221"/>
        <v>0</v>
      </c>
      <c r="X115" s="12">
        <f t="shared" ca="1" si="221"/>
        <v>0</v>
      </c>
      <c r="Y115" s="12">
        <f t="shared" ca="1" si="221"/>
        <v>0</v>
      </c>
      <c r="Z115" s="12">
        <f t="shared" ca="1" si="221"/>
        <v>0</v>
      </c>
      <c r="AA115" s="12">
        <f t="shared" ca="1" si="221"/>
        <v>0</v>
      </c>
      <c r="AB115" s="12">
        <f t="shared" ca="1" si="221"/>
        <v>0</v>
      </c>
      <c r="AC115" s="12">
        <f t="shared" ca="1" si="221"/>
        <v>0</v>
      </c>
      <c r="AD115" s="12">
        <f t="shared" ca="1" si="221"/>
        <v>0</v>
      </c>
      <c r="AE115" s="12">
        <f t="shared" ca="1" si="221"/>
        <v>0</v>
      </c>
      <c r="AF115" s="12">
        <f t="shared" ca="1" si="221"/>
        <v>0</v>
      </c>
      <c r="AG115" s="12">
        <f t="shared" ca="1" si="221"/>
        <v>0</v>
      </c>
      <c r="AH115" s="12">
        <f t="shared" ca="1" si="221"/>
        <v>0</v>
      </c>
      <c r="AI115" s="12">
        <f t="shared" ca="1" si="221"/>
        <v>0</v>
      </c>
      <c r="AJ115" s="12">
        <f t="shared" ca="1" si="221"/>
        <v>0</v>
      </c>
      <c r="AK115" s="12">
        <f t="shared" ca="1" si="221"/>
        <v>0</v>
      </c>
      <c r="AL115" s="12">
        <f t="shared" ca="1" si="221"/>
        <v>0</v>
      </c>
      <c r="AM115" s="12">
        <f t="shared" ca="1" si="221"/>
        <v>0</v>
      </c>
      <c r="AN115" s="12">
        <f t="shared" ca="1" si="221"/>
        <v>0</v>
      </c>
      <c r="AO115" s="12">
        <f t="shared" ca="1" si="221"/>
        <v>0</v>
      </c>
      <c r="AP115" s="12">
        <f t="shared" ca="1" si="221"/>
        <v>0</v>
      </c>
      <c r="AQ115" s="12">
        <f t="shared" ca="1" si="221"/>
        <v>0</v>
      </c>
      <c r="AR115" s="12">
        <f t="shared" ca="1" si="221"/>
        <v>0</v>
      </c>
      <c r="AS115" s="12">
        <f t="shared" ca="1" si="221"/>
        <v>0</v>
      </c>
      <c r="AT115" s="12">
        <f t="shared" ca="1" si="221"/>
        <v>0</v>
      </c>
      <c r="AU115" s="12">
        <f t="shared" ca="1" si="221"/>
        <v>0</v>
      </c>
      <c r="AV115" s="12">
        <f ca="1">SUM(G115:AU115)</f>
        <v>-17755</v>
      </c>
      <c r="AW115" s="12">
        <f t="shared" ca="1" si="221"/>
        <v>0</v>
      </c>
      <c r="AX115" s="12">
        <f ca="1">SUM(AV115:AW115)</f>
        <v>-17755</v>
      </c>
      <c r="AZ115" s="2"/>
      <c r="BA115" s="2"/>
      <c r="BB115" s="2"/>
      <c r="BC115" s="2"/>
      <c r="BD115" s="2"/>
      <c r="BE115" s="2"/>
      <c r="BF115" s="2"/>
      <c r="BG115" s="2"/>
      <c r="BH115" s="2"/>
      <c r="BI115" s="2"/>
      <c r="BJ115" s="2"/>
      <c r="BK115" s="2"/>
      <c r="BL115" s="2"/>
      <c r="BM115" s="2"/>
    </row>
    <row r="116" spans="2:65" x14ac:dyDescent="0.3">
      <c r="C116" s="60" t="s">
        <v>470</v>
      </c>
      <c r="D116" s="9"/>
      <c r="E116" s="9"/>
      <c r="F116" s="9"/>
      <c r="G116" s="65">
        <f ca="1">SUM(G114:G115)</f>
        <v>593286.76874015271</v>
      </c>
      <c r="H116" s="65">
        <f t="shared" ref="H116:AX116" ca="1" si="222">SUM(H114:H115)</f>
        <v>992091.94619102054</v>
      </c>
      <c r="I116" s="65">
        <f t="shared" ca="1" si="222"/>
        <v>714219.40415968304</v>
      </c>
      <c r="J116" s="65">
        <f t="shared" ca="1" si="222"/>
        <v>651809.68682124768</v>
      </c>
      <c r="K116" s="65">
        <f t="shared" ca="1" si="222"/>
        <v>645229.54717145127</v>
      </c>
      <c r="L116" s="65">
        <f t="shared" ca="1" si="222"/>
        <v>682204.98874969524</v>
      </c>
      <c r="M116" s="65">
        <f t="shared" ca="1" si="222"/>
        <v>661004.7479665766</v>
      </c>
      <c r="N116" s="65">
        <f t="shared" ca="1" si="222"/>
        <v>632785.77034439053</v>
      </c>
      <c r="O116" s="65">
        <f t="shared" ca="1" si="222"/>
        <v>640336.43871900649</v>
      </c>
      <c r="P116" s="65">
        <f t="shared" ca="1" si="222"/>
        <v>661259.7546550493</v>
      </c>
      <c r="Q116" s="65">
        <f t="shared" ca="1" si="222"/>
        <v>679042.86311202659</v>
      </c>
      <c r="R116" s="65">
        <f t="shared" ca="1" si="222"/>
        <v>693040.71038795426</v>
      </c>
      <c r="S116" s="65">
        <f t="shared" ca="1" si="222"/>
        <v>703435.00974884746</v>
      </c>
      <c r="T116" s="65">
        <f t="shared" ca="1" si="222"/>
        <v>706262.51136336732</v>
      </c>
      <c r="U116" s="65">
        <f t="shared" ca="1" si="222"/>
        <v>700691.91725914157</v>
      </c>
      <c r="V116" s="65">
        <f t="shared" ca="1" si="222"/>
        <v>704435.01279944496</v>
      </c>
      <c r="W116" s="65">
        <f t="shared" ca="1" si="222"/>
        <v>713660.11943118856</v>
      </c>
      <c r="X116" s="65">
        <f t="shared" ca="1" si="222"/>
        <v>723682.63158010901</v>
      </c>
      <c r="Y116" s="65">
        <f t="shared" ca="1" si="222"/>
        <v>679910.18223140331</v>
      </c>
      <c r="Z116" s="65">
        <f t="shared" ca="1" si="222"/>
        <v>655473.70974401478</v>
      </c>
      <c r="AA116" s="65">
        <f t="shared" ca="1" si="222"/>
        <v>659786.6856335504</v>
      </c>
      <c r="AB116" s="65">
        <f t="shared" ca="1" si="222"/>
        <v>648613.77638880303</v>
      </c>
      <c r="AC116" s="65">
        <f t="shared" ca="1" si="222"/>
        <v>587375.63623518881</v>
      </c>
      <c r="AD116" s="65">
        <f t="shared" ca="1" si="222"/>
        <v>555186.43845885876</v>
      </c>
      <c r="AE116" s="65">
        <f t="shared" ca="1" si="222"/>
        <v>560097.30328672857</v>
      </c>
      <c r="AF116" s="65">
        <f t="shared" ca="1" si="222"/>
        <v>561773.97601840517</v>
      </c>
      <c r="AG116" s="65">
        <f t="shared" ca="1" si="222"/>
        <v>555490.42864674132</v>
      </c>
      <c r="AH116" s="65">
        <f t="shared" ca="1" si="222"/>
        <v>508570.0186710484</v>
      </c>
      <c r="AI116" s="65">
        <f t="shared" ca="1" si="222"/>
        <v>499460.85756161198</v>
      </c>
      <c r="AJ116" s="65">
        <f t="shared" ca="1" si="222"/>
        <v>490408.17616503139</v>
      </c>
      <c r="AK116" s="65">
        <f t="shared" ca="1" si="222"/>
        <v>475856.39708282333</v>
      </c>
      <c r="AL116" s="65">
        <f t="shared" ca="1" si="222"/>
        <v>458221.40229360847</v>
      </c>
      <c r="AM116" s="65">
        <f t="shared" ca="1" si="222"/>
        <v>442969.81227379886</v>
      </c>
      <c r="AN116" s="65">
        <f t="shared" ca="1" si="222"/>
        <v>429565.09038719145</v>
      </c>
      <c r="AO116" s="65">
        <f t="shared" ca="1" si="222"/>
        <v>414240.50239501655</v>
      </c>
      <c r="AP116" s="65">
        <f t="shared" ca="1" si="222"/>
        <v>396661.15747031139</v>
      </c>
      <c r="AQ116" s="65">
        <f t="shared" ca="1" si="222"/>
        <v>380117.76821406698</v>
      </c>
      <c r="AR116" s="65">
        <f t="shared" ca="1" si="222"/>
        <v>364468.67975042749</v>
      </c>
      <c r="AS116" s="65">
        <f t="shared" ca="1" si="222"/>
        <v>349601.87148400472</v>
      </c>
      <c r="AT116" s="65">
        <f t="shared" ca="1" si="222"/>
        <v>335432.90048640175</v>
      </c>
      <c r="AU116" s="65">
        <f t="shared" ca="1" si="222"/>
        <v>321901.14257998805</v>
      </c>
      <c r="AV116" s="65">
        <f t="shared" ca="1" si="222"/>
        <v>23829663.742659375</v>
      </c>
      <c r="AW116" s="65">
        <f t="shared" ca="1" si="222"/>
        <v>3909338.7779774773</v>
      </c>
      <c r="AX116" s="65">
        <f t="shared" ca="1" si="222"/>
        <v>27739002.520636853</v>
      </c>
      <c r="AZ116" s="2"/>
      <c r="BA116" s="2"/>
      <c r="BB116" s="2"/>
      <c r="BC116" s="2"/>
      <c r="BD116" s="2"/>
      <c r="BE116" s="2"/>
      <c r="BF116" s="2"/>
      <c r="BG116" s="2"/>
      <c r="BH116" s="2"/>
      <c r="BI116" s="2"/>
      <c r="BJ116" s="2"/>
      <c r="BK116" s="2"/>
      <c r="BL116" s="2"/>
      <c r="BM116" s="2"/>
    </row>
    <row r="117" spans="2:65" x14ac:dyDescent="0.3">
      <c r="G117" s="20"/>
      <c r="AZ117" s="2"/>
      <c r="BA117" s="2"/>
      <c r="BB117" s="2"/>
      <c r="BC117" s="2"/>
      <c r="BD117" s="2"/>
      <c r="BE117" s="2"/>
      <c r="BF117" s="2"/>
      <c r="BG117" s="2"/>
      <c r="BH117" s="2"/>
      <c r="BI117" s="2"/>
      <c r="BJ117" s="2"/>
      <c r="BK117" s="2"/>
      <c r="BL117" s="2"/>
      <c r="BM117" s="2"/>
    </row>
    <row r="118" spans="2:65" x14ac:dyDescent="0.3">
      <c r="C118" t="s">
        <v>471</v>
      </c>
      <c r="E118" s="464">
        <f>Initial_Tax_Rate</f>
        <v>1.4999999999999999E-2</v>
      </c>
      <c r="F118" s="464">
        <f>Stat_Tax_Rate</f>
        <v>0.35</v>
      </c>
      <c r="G118" s="64">
        <f t="shared" ref="G118:AX118" si="223">IF(G7&lt;=Initial_Tax_Rate_Years,$E$118,$F$118)</f>
        <v>1.4999999999999999E-2</v>
      </c>
      <c r="H118" s="64">
        <f t="shared" si="223"/>
        <v>1.4999999999999999E-2</v>
      </c>
      <c r="I118" s="64">
        <f t="shared" si="223"/>
        <v>0.35</v>
      </c>
      <c r="J118" s="64">
        <f t="shared" si="223"/>
        <v>0.35</v>
      </c>
      <c r="K118" s="64">
        <f t="shared" si="223"/>
        <v>0.35</v>
      </c>
      <c r="L118" s="64">
        <f t="shared" si="223"/>
        <v>0.35</v>
      </c>
      <c r="M118" s="64">
        <f t="shared" si="223"/>
        <v>0.35</v>
      </c>
      <c r="N118" s="64">
        <f t="shared" si="223"/>
        <v>0.35</v>
      </c>
      <c r="O118" s="64">
        <f t="shared" si="223"/>
        <v>0.35</v>
      </c>
      <c r="P118" s="64">
        <f t="shared" si="223"/>
        <v>0.35</v>
      </c>
      <c r="Q118" s="64">
        <f t="shared" si="223"/>
        <v>0.35</v>
      </c>
      <c r="R118" s="64">
        <f t="shared" si="223"/>
        <v>0.35</v>
      </c>
      <c r="S118" s="64">
        <f t="shared" si="223"/>
        <v>0.35</v>
      </c>
      <c r="T118" s="64">
        <f t="shared" si="223"/>
        <v>0.35</v>
      </c>
      <c r="U118" s="64">
        <f t="shared" si="223"/>
        <v>0.35</v>
      </c>
      <c r="V118" s="64">
        <f t="shared" si="223"/>
        <v>0.35</v>
      </c>
      <c r="W118" s="64">
        <f t="shared" si="223"/>
        <v>0.35</v>
      </c>
      <c r="X118" s="64">
        <f t="shared" si="223"/>
        <v>0.35</v>
      </c>
      <c r="Y118" s="64">
        <f t="shared" si="223"/>
        <v>0.35</v>
      </c>
      <c r="Z118" s="64">
        <f t="shared" si="223"/>
        <v>0.35</v>
      </c>
      <c r="AA118" s="64">
        <f t="shared" si="223"/>
        <v>0.35</v>
      </c>
      <c r="AB118" s="64">
        <f t="shared" si="223"/>
        <v>0.35</v>
      </c>
      <c r="AC118" s="64">
        <f t="shared" si="223"/>
        <v>0.35</v>
      </c>
      <c r="AD118" s="64">
        <f t="shared" si="223"/>
        <v>0.35</v>
      </c>
      <c r="AE118" s="64">
        <f t="shared" si="223"/>
        <v>0.35</v>
      </c>
      <c r="AF118" s="64">
        <f t="shared" si="223"/>
        <v>0.35</v>
      </c>
      <c r="AG118" s="64">
        <f t="shared" si="223"/>
        <v>0.35</v>
      </c>
      <c r="AH118" s="64">
        <f t="shared" si="223"/>
        <v>0.35</v>
      </c>
      <c r="AI118" s="64">
        <f t="shared" si="223"/>
        <v>0.35</v>
      </c>
      <c r="AJ118" s="64">
        <f t="shared" si="223"/>
        <v>0.35</v>
      </c>
      <c r="AK118" s="64">
        <f t="shared" si="223"/>
        <v>0.35</v>
      </c>
      <c r="AL118" s="64">
        <f t="shared" si="223"/>
        <v>0.35</v>
      </c>
      <c r="AM118" s="64">
        <f t="shared" si="223"/>
        <v>0.35</v>
      </c>
      <c r="AN118" s="64">
        <f t="shared" si="223"/>
        <v>0.35</v>
      </c>
      <c r="AO118" s="64">
        <f t="shared" si="223"/>
        <v>0.35</v>
      </c>
      <c r="AP118" s="64">
        <f t="shared" si="223"/>
        <v>0.35</v>
      </c>
      <c r="AQ118" s="64">
        <f t="shared" si="223"/>
        <v>0.35</v>
      </c>
      <c r="AR118" s="64">
        <f t="shared" si="223"/>
        <v>0.35</v>
      </c>
      <c r="AS118" s="64">
        <f t="shared" si="223"/>
        <v>0.35</v>
      </c>
      <c r="AT118" s="64">
        <f t="shared" si="223"/>
        <v>0.35</v>
      </c>
      <c r="AU118" s="64">
        <f t="shared" si="223"/>
        <v>0.35</v>
      </c>
      <c r="AV118" s="64">
        <f t="shared" si="223"/>
        <v>0.35</v>
      </c>
      <c r="AW118" s="64">
        <f t="shared" si="223"/>
        <v>0.35</v>
      </c>
      <c r="AX118" s="64">
        <f t="shared" si="223"/>
        <v>0.35</v>
      </c>
      <c r="AZ118" s="2"/>
      <c r="BA118" s="2"/>
      <c r="BB118" s="2"/>
      <c r="BC118" s="2"/>
      <c r="BD118" s="2"/>
      <c r="BE118" s="2"/>
      <c r="BF118" s="2"/>
      <c r="BG118" s="2"/>
      <c r="BH118" s="2"/>
      <c r="BI118" s="2"/>
      <c r="BJ118" s="2"/>
      <c r="BK118" s="2"/>
      <c r="BL118" s="2"/>
      <c r="BM118" s="2"/>
    </row>
    <row r="119" spans="2:65" x14ac:dyDescent="0.3">
      <c r="C119" s="78" t="s">
        <v>421</v>
      </c>
      <c r="G119" s="55">
        <f ca="1">+G118*G116</f>
        <v>8899.30153110229</v>
      </c>
      <c r="H119" s="55">
        <f t="shared" ref="H119:AW119" ca="1" si="224">+H118*H116</f>
        <v>14881.379192865308</v>
      </c>
      <c r="I119" s="55">
        <f t="shared" ca="1" si="224"/>
        <v>249976.79145588903</v>
      </c>
      <c r="J119" s="55">
        <f t="shared" ca="1" si="224"/>
        <v>228133.39038743667</v>
      </c>
      <c r="K119" s="55">
        <f t="shared" ca="1" si="224"/>
        <v>225830.34151000794</v>
      </c>
      <c r="L119" s="55">
        <f t="shared" ca="1" si="224"/>
        <v>238771.74606239333</v>
      </c>
      <c r="M119" s="55">
        <f t="shared" ca="1" si="224"/>
        <v>231351.6617883018</v>
      </c>
      <c r="N119" s="55">
        <f t="shared" ca="1" si="224"/>
        <v>221475.01962053668</v>
      </c>
      <c r="O119" s="55">
        <f t="shared" ca="1" si="224"/>
        <v>224117.75355165225</v>
      </c>
      <c r="P119" s="55">
        <f t="shared" ca="1" si="224"/>
        <v>231440.91412926724</v>
      </c>
      <c r="Q119" s="55">
        <f t="shared" ca="1" si="224"/>
        <v>237665.0020892093</v>
      </c>
      <c r="R119" s="55">
        <f t="shared" ca="1" si="224"/>
        <v>242564.24863578397</v>
      </c>
      <c r="S119" s="55">
        <f t="shared" ca="1" si="224"/>
        <v>246202.25341209659</v>
      </c>
      <c r="T119" s="55">
        <f t="shared" ca="1" si="224"/>
        <v>247191.87897717854</v>
      </c>
      <c r="U119" s="55">
        <f t="shared" ca="1" si="224"/>
        <v>245242.17104069953</v>
      </c>
      <c r="V119" s="55">
        <f t="shared" ca="1" si="224"/>
        <v>246552.25447980571</v>
      </c>
      <c r="W119" s="55">
        <f t="shared" ca="1" si="224"/>
        <v>249781.04180091599</v>
      </c>
      <c r="X119" s="55">
        <f t="shared" ca="1" si="224"/>
        <v>253288.92105303812</v>
      </c>
      <c r="Y119" s="55">
        <f t="shared" ca="1" si="224"/>
        <v>237968.56378099113</v>
      </c>
      <c r="Z119" s="55">
        <f t="shared" ca="1" si="224"/>
        <v>229415.79841040517</v>
      </c>
      <c r="AA119" s="55">
        <f t="shared" ca="1" si="224"/>
        <v>230925.33997174262</v>
      </c>
      <c r="AB119" s="55">
        <f t="shared" ca="1" si="224"/>
        <v>227014.82173608104</v>
      </c>
      <c r="AC119" s="55">
        <f t="shared" ca="1" si="224"/>
        <v>205581.47268231606</v>
      </c>
      <c r="AD119" s="55">
        <f t="shared" ca="1" si="224"/>
        <v>194315.25346060056</v>
      </c>
      <c r="AE119" s="55">
        <f t="shared" ca="1" si="224"/>
        <v>196034.056150355</v>
      </c>
      <c r="AF119" s="55">
        <f t="shared" ca="1" si="224"/>
        <v>196620.89160644179</v>
      </c>
      <c r="AG119" s="55">
        <f t="shared" ca="1" si="224"/>
        <v>194421.65002635945</v>
      </c>
      <c r="AH119" s="55">
        <f t="shared" ca="1" si="224"/>
        <v>177999.50653486693</v>
      </c>
      <c r="AI119" s="55">
        <f t="shared" ca="1" si="224"/>
        <v>174811.30014656417</v>
      </c>
      <c r="AJ119" s="55">
        <f t="shared" ca="1" si="224"/>
        <v>171642.86165776098</v>
      </c>
      <c r="AK119" s="55">
        <f t="shared" ca="1" si="224"/>
        <v>166549.73897898814</v>
      </c>
      <c r="AL119" s="55">
        <f t="shared" ca="1" si="224"/>
        <v>160377.49080276294</v>
      </c>
      <c r="AM119" s="55">
        <f t="shared" ca="1" si="224"/>
        <v>155039.43429582959</v>
      </c>
      <c r="AN119" s="55">
        <f t="shared" ca="1" si="224"/>
        <v>150347.78163551699</v>
      </c>
      <c r="AO119" s="55">
        <f t="shared" ca="1" si="224"/>
        <v>144984.17583825579</v>
      </c>
      <c r="AP119" s="55">
        <f t="shared" ca="1" si="224"/>
        <v>138831.40511460896</v>
      </c>
      <c r="AQ119" s="55">
        <f t="shared" ca="1" si="224"/>
        <v>133041.21887492345</v>
      </c>
      <c r="AR119" s="55">
        <f t="shared" ca="1" si="224"/>
        <v>127564.03791264961</v>
      </c>
      <c r="AS119" s="55">
        <f t="shared" ca="1" si="224"/>
        <v>122360.65501940165</v>
      </c>
      <c r="AT119" s="55">
        <f t="shared" ca="1" si="224"/>
        <v>117401.5151702406</v>
      </c>
      <c r="AU119" s="55">
        <f t="shared" ca="1" si="224"/>
        <v>112665.39990299581</v>
      </c>
      <c r="AV119" s="55">
        <f ca="1">SUM(G119:AU119)</f>
        <v>7809280.44042884</v>
      </c>
      <c r="AW119" s="55">
        <f t="shared" ca="1" si="224"/>
        <v>1368268.5722921169</v>
      </c>
      <c r="AX119" s="55">
        <f ca="1">SUM(AV119:AW119)</f>
        <v>9177549.0127209574</v>
      </c>
      <c r="AZ119" s="2"/>
      <c r="BA119" s="2"/>
      <c r="BB119" s="2"/>
      <c r="BC119" s="2"/>
      <c r="BD119" s="2"/>
      <c r="BE119" s="2"/>
      <c r="BF119" s="2"/>
      <c r="BG119" s="2"/>
      <c r="BH119" s="2"/>
      <c r="BI119" s="2"/>
      <c r="BJ119" s="2"/>
      <c r="BK119" s="2"/>
      <c r="BL119" s="2"/>
      <c r="BM119" s="2"/>
    </row>
    <row r="120" spans="2:65" x14ac:dyDescent="0.3">
      <c r="AZ120" s="2"/>
      <c r="BA120" s="2"/>
      <c r="BB120" s="2"/>
      <c r="BC120" s="2"/>
      <c r="BD120" s="2"/>
      <c r="BE120" s="2"/>
      <c r="BF120" s="2"/>
      <c r="BG120" s="2"/>
      <c r="BH120" s="2"/>
      <c r="BI120" s="2"/>
      <c r="BJ120" s="2"/>
      <c r="BK120" s="2"/>
      <c r="BL120" s="2"/>
      <c r="BM120" s="2"/>
    </row>
    <row r="121" spans="2:65" x14ac:dyDescent="0.3">
      <c r="C121" s="465" t="s">
        <v>472</v>
      </c>
      <c r="D121" s="449"/>
      <c r="E121" s="449"/>
      <c r="F121" s="449"/>
      <c r="G121" s="308">
        <f>G$5</f>
        <v>2013</v>
      </c>
      <c r="H121" s="308">
        <f t="shared" ref="H121:AX121" si="225">H$5</f>
        <v>2014</v>
      </c>
      <c r="I121" s="308">
        <f t="shared" si="225"/>
        <v>2015</v>
      </c>
      <c r="J121" s="308">
        <f t="shared" si="225"/>
        <v>2016</v>
      </c>
      <c r="K121" s="308">
        <f t="shared" si="225"/>
        <v>2017</v>
      </c>
      <c r="L121" s="308">
        <f t="shared" si="225"/>
        <v>2018</v>
      </c>
      <c r="M121" s="308">
        <f t="shared" si="225"/>
        <v>2019</v>
      </c>
      <c r="N121" s="308">
        <f t="shared" si="225"/>
        <v>2020</v>
      </c>
      <c r="O121" s="308">
        <f t="shared" si="225"/>
        <v>2021</v>
      </c>
      <c r="P121" s="308">
        <f t="shared" si="225"/>
        <v>2022</v>
      </c>
      <c r="Q121" s="308">
        <f t="shared" si="225"/>
        <v>2023</v>
      </c>
      <c r="R121" s="308">
        <f t="shared" si="225"/>
        <v>2024</v>
      </c>
      <c r="S121" s="308">
        <f t="shared" si="225"/>
        <v>2025</v>
      </c>
      <c r="T121" s="308">
        <f t="shared" si="225"/>
        <v>2026</v>
      </c>
      <c r="U121" s="308">
        <f t="shared" si="225"/>
        <v>2027</v>
      </c>
      <c r="V121" s="308">
        <f t="shared" si="225"/>
        <v>2028</v>
      </c>
      <c r="W121" s="308">
        <f t="shared" si="225"/>
        <v>2029</v>
      </c>
      <c r="X121" s="308">
        <f t="shared" si="225"/>
        <v>2030</v>
      </c>
      <c r="Y121" s="308">
        <f t="shared" si="225"/>
        <v>2031</v>
      </c>
      <c r="Z121" s="308">
        <f t="shared" si="225"/>
        <v>2032</v>
      </c>
      <c r="AA121" s="308">
        <f t="shared" si="225"/>
        <v>2033</v>
      </c>
      <c r="AB121" s="308">
        <f t="shared" si="225"/>
        <v>2034</v>
      </c>
      <c r="AC121" s="308">
        <f t="shared" si="225"/>
        <v>2035</v>
      </c>
      <c r="AD121" s="308">
        <f t="shared" si="225"/>
        <v>2036</v>
      </c>
      <c r="AE121" s="308">
        <f t="shared" si="225"/>
        <v>2037</v>
      </c>
      <c r="AF121" s="308">
        <f t="shared" si="225"/>
        <v>2038</v>
      </c>
      <c r="AG121" s="308">
        <f t="shared" si="225"/>
        <v>2039</v>
      </c>
      <c r="AH121" s="308">
        <f t="shared" si="225"/>
        <v>2040</v>
      </c>
      <c r="AI121" s="308">
        <f t="shared" si="225"/>
        <v>2041</v>
      </c>
      <c r="AJ121" s="308">
        <f t="shared" si="225"/>
        <v>2042</v>
      </c>
      <c r="AK121" s="308">
        <f t="shared" si="225"/>
        <v>2043</v>
      </c>
      <c r="AL121" s="308">
        <f t="shared" si="225"/>
        <v>2044</v>
      </c>
      <c r="AM121" s="308">
        <f t="shared" si="225"/>
        <v>2045</v>
      </c>
      <c r="AN121" s="308">
        <f t="shared" si="225"/>
        <v>2046</v>
      </c>
      <c r="AO121" s="308">
        <f t="shared" si="225"/>
        <v>2047</v>
      </c>
      <c r="AP121" s="308">
        <f t="shared" si="225"/>
        <v>2048</v>
      </c>
      <c r="AQ121" s="308">
        <f t="shared" si="225"/>
        <v>2049</v>
      </c>
      <c r="AR121" s="308">
        <f t="shared" si="225"/>
        <v>2050</v>
      </c>
      <c r="AS121" s="308">
        <f t="shared" si="225"/>
        <v>2051</v>
      </c>
      <c r="AT121" s="308">
        <f t="shared" si="225"/>
        <v>2052</v>
      </c>
      <c r="AU121" s="308">
        <f t="shared" si="225"/>
        <v>2053</v>
      </c>
      <c r="AV121" s="308" t="str">
        <f t="shared" si="225"/>
        <v>Subtotal</v>
      </c>
      <c r="AW121" s="308" t="str">
        <f t="shared" si="225"/>
        <v>Remainder</v>
      </c>
      <c r="AX121" s="308" t="str">
        <f t="shared" si="225"/>
        <v>Total</v>
      </c>
      <c r="AZ121" s="2"/>
      <c r="BA121" s="2"/>
      <c r="BB121" s="2"/>
      <c r="BC121" s="2"/>
      <c r="BD121" s="2"/>
      <c r="BE121" s="2"/>
      <c r="BF121" s="2"/>
      <c r="BG121" s="2"/>
      <c r="BH121" s="2"/>
      <c r="BI121" s="2"/>
      <c r="BJ121" s="2"/>
      <c r="BK121" s="2"/>
      <c r="BL121" s="2"/>
      <c r="BM121" s="2"/>
    </row>
    <row r="122" spans="2:65" x14ac:dyDescent="0.3">
      <c r="C122" s="449"/>
      <c r="D122" s="449"/>
      <c r="E122" s="449"/>
      <c r="F122" s="466" t="s">
        <v>473</v>
      </c>
      <c r="G122" s="467">
        <v>1</v>
      </c>
      <c r="H122" s="466">
        <f>G122+1</f>
        <v>2</v>
      </c>
      <c r="I122" s="466">
        <f t="shared" ref="I122:AU122" si="226">H122+1</f>
        <v>3</v>
      </c>
      <c r="J122" s="466">
        <f t="shared" si="226"/>
        <v>4</v>
      </c>
      <c r="K122" s="466">
        <f t="shared" si="226"/>
        <v>5</v>
      </c>
      <c r="L122" s="466">
        <f t="shared" si="226"/>
        <v>6</v>
      </c>
      <c r="M122" s="466">
        <f t="shared" si="226"/>
        <v>7</v>
      </c>
      <c r="N122" s="466">
        <f t="shared" si="226"/>
        <v>8</v>
      </c>
      <c r="O122" s="466">
        <f t="shared" si="226"/>
        <v>9</v>
      </c>
      <c r="P122" s="466">
        <f t="shared" si="226"/>
        <v>10</v>
      </c>
      <c r="Q122" s="466">
        <f t="shared" si="226"/>
        <v>11</v>
      </c>
      <c r="R122" s="466">
        <f t="shared" si="226"/>
        <v>12</v>
      </c>
      <c r="S122" s="466">
        <f t="shared" si="226"/>
        <v>13</v>
      </c>
      <c r="T122" s="466">
        <f t="shared" si="226"/>
        <v>14</v>
      </c>
      <c r="U122" s="466">
        <f t="shared" si="226"/>
        <v>15</v>
      </c>
      <c r="V122" s="466">
        <f t="shared" si="226"/>
        <v>16</v>
      </c>
      <c r="W122" s="466">
        <f t="shared" si="226"/>
        <v>17</v>
      </c>
      <c r="X122" s="466">
        <f t="shared" si="226"/>
        <v>18</v>
      </c>
      <c r="Y122" s="466">
        <f t="shared" si="226"/>
        <v>19</v>
      </c>
      <c r="Z122" s="466">
        <f t="shared" si="226"/>
        <v>20</v>
      </c>
      <c r="AA122" s="466">
        <f t="shared" si="226"/>
        <v>21</v>
      </c>
      <c r="AB122" s="466">
        <f t="shared" si="226"/>
        <v>22</v>
      </c>
      <c r="AC122" s="466">
        <f t="shared" si="226"/>
        <v>23</v>
      </c>
      <c r="AD122" s="466">
        <f t="shared" si="226"/>
        <v>24</v>
      </c>
      <c r="AE122" s="466">
        <f t="shared" si="226"/>
        <v>25</v>
      </c>
      <c r="AF122" s="466">
        <f t="shared" si="226"/>
        <v>26</v>
      </c>
      <c r="AG122" s="466">
        <f t="shared" si="226"/>
        <v>27</v>
      </c>
      <c r="AH122" s="466">
        <f t="shared" si="226"/>
        <v>28</v>
      </c>
      <c r="AI122" s="466">
        <f t="shared" si="226"/>
        <v>29</v>
      </c>
      <c r="AJ122" s="466">
        <f t="shared" si="226"/>
        <v>30</v>
      </c>
      <c r="AK122" s="466">
        <f t="shared" si="226"/>
        <v>31</v>
      </c>
      <c r="AL122" s="466">
        <f t="shared" si="226"/>
        <v>32</v>
      </c>
      <c r="AM122" s="466">
        <f t="shared" si="226"/>
        <v>33</v>
      </c>
      <c r="AN122" s="466">
        <f t="shared" si="226"/>
        <v>34</v>
      </c>
      <c r="AO122" s="466">
        <f t="shared" si="226"/>
        <v>35</v>
      </c>
      <c r="AP122" s="466">
        <f t="shared" si="226"/>
        <v>36</v>
      </c>
      <c r="AQ122" s="466">
        <f t="shared" si="226"/>
        <v>37</v>
      </c>
      <c r="AR122" s="466">
        <f t="shared" si="226"/>
        <v>38</v>
      </c>
      <c r="AS122" s="466">
        <f t="shared" si="226"/>
        <v>39</v>
      </c>
      <c r="AT122" s="466">
        <f t="shared" si="226"/>
        <v>40</v>
      </c>
      <c r="AU122" s="466">
        <f t="shared" si="226"/>
        <v>41</v>
      </c>
      <c r="AV122" s="449"/>
      <c r="AW122" s="449"/>
      <c r="AX122" s="449"/>
      <c r="AZ122" s="2"/>
      <c r="BA122" s="2"/>
      <c r="BB122" s="2"/>
      <c r="BC122" s="2"/>
      <c r="BD122" s="2"/>
      <c r="BE122" s="2"/>
      <c r="BF122" s="2"/>
      <c r="BG122" s="2"/>
      <c r="BH122" s="2"/>
      <c r="BI122" s="2"/>
      <c r="BJ122" s="2"/>
      <c r="BK122" s="2"/>
      <c r="BL122" s="2"/>
      <c r="BM122" s="2"/>
    </row>
    <row r="123" spans="2:65" x14ac:dyDescent="0.3">
      <c r="C123" s="54"/>
      <c r="D123" s="54"/>
      <c r="E123" s="84" t="s">
        <v>474</v>
      </c>
      <c r="F123" s="84" t="s">
        <v>475</v>
      </c>
      <c r="G123" s="468">
        <f t="array" aca="1" ref="G123:Q123" ca="1">TRANSPOSE(Assumptions!D52:D62)</f>
        <v>0.14299999999999999</v>
      </c>
      <c r="H123" s="468">
        <f ca="1"/>
        <v>0.245</v>
      </c>
      <c r="I123" s="468">
        <f ca="1"/>
        <v>0.17499999999999999</v>
      </c>
      <c r="J123" s="468">
        <f ca="1"/>
        <v>0.125</v>
      </c>
      <c r="K123" s="468">
        <f ca="1"/>
        <v>8.8999999999999996E-2</v>
      </c>
      <c r="L123" s="468">
        <f ca="1"/>
        <v>8.8999999999999996E-2</v>
      </c>
      <c r="M123" s="468">
        <f ca="1"/>
        <v>8.8999999999999996E-2</v>
      </c>
      <c r="N123" s="468">
        <f ca="1"/>
        <v>4.4999999999999998E-2</v>
      </c>
      <c r="O123" s="468">
        <f ca="1"/>
        <v>0</v>
      </c>
      <c r="P123" s="468">
        <f ca="1"/>
        <v>0</v>
      </c>
      <c r="Q123" s="468">
        <f ca="1"/>
        <v>0</v>
      </c>
      <c r="R123" s="469">
        <v>0</v>
      </c>
      <c r="S123" s="470">
        <f>+R123</f>
        <v>0</v>
      </c>
      <c r="T123" s="470">
        <f t="shared" ref="T123:AU123" si="227">+S123</f>
        <v>0</v>
      </c>
      <c r="U123" s="470">
        <f t="shared" si="227"/>
        <v>0</v>
      </c>
      <c r="V123" s="470">
        <f t="shared" si="227"/>
        <v>0</v>
      </c>
      <c r="W123" s="470">
        <f t="shared" si="227"/>
        <v>0</v>
      </c>
      <c r="X123" s="470">
        <f t="shared" si="227"/>
        <v>0</v>
      </c>
      <c r="Y123" s="470">
        <f t="shared" si="227"/>
        <v>0</v>
      </c>
      <c r="Z123" s="470">
        <f t="shared" si="227"/>
        <v>0</v>
      </c>
      <c r="AA123" s="470">
        <f t="shared" si="227"/>
        <v>0</v>
      </c>
      <c r="AB123" s="470">
        <f t="shared" si="227"/>
        <v>0</v>
      </c>
      <c r="AC123" s="470">
        <f t="shared" si="227"/>
        <v>0</v>
      </c>
      <c r="AD123" s="470">
        <f t="shared" si="227"/>
        <v>0</v>
      </c>
      <c r="AE123" s="470">
        <f t="shared" si="227"/>
        <v>0</v>
      </c>
      <c r="AF123" s="470">
        <f t="shared" si="227"/>
        <v>0</v>
      </c>
      <c r="AG123" s="470">
        <f t="shared" si="227"/>
        <v>0</v>
      </c>
      <c r="AH123" s="470">
        <f t="shared" si="227"/>
        <v>0</v>
      </c>
      <c r="AI123" s="470">
        <f t="shared" si="227"/>
        <v>0</v>
      </c>
      <c r="AJ123" s="470">
        <f t="shared" si="227"/>
        <v>0</v>
      </c>
      <c r="AK123" s="470">
        <f t="shared" si="227"/>
        <v>0</v>
      </c>
      <c r="AL123" s="470">
        <f t="shared" si="227"/>
        <v>0</v>
      </c>
      <c r="AM123" s="470">
        <f t="shared" si="227"/>
        <v>0</v>
      </c>
      <c r="AN123" s="470">
        <f t="shared" si="227"/>
        <v>0</v>
      </c>
      <c r="AO123" s="470">
        <f t="shared" si="227"/>
        <v>0</v>
      </c>
      <c r="AP123" s="470">
        <f t="shared" si="227"/>
        <v>0</v>
      </c>
      <c r="AQ123" s="470">
        <f t="shared" si="227"/>
        <v>0</v>
      </c>
      <c r="AR123" s="470">
        <f t="shared" si="227"/>
        <v>0</v>
      </c>
      <c r="AS123" s="470">
        <f t="shared" si="227"/>
        <v>0</v>
      </c>
      <c r="AT123" s="470">
        <f t="shared" si="227"/>
        <v>0</v>
      </c>
      <c r="AU123" s="470">
        <f t="shared" si="227"/>
        <v>0</v>
      </c>
      <c r="AV123" s="54"/>
      <c r="AW123" s="54"/>
      <c r="AX123" s="54"/>
      <c r="AZ123" s="2"/>
      <c r="BA123" s="2"/>
      <c r="BB123" s="2"/>
      <c r="BC123" s="2"/>
      <c r="BD123" s="2"/>
      <c r="BE123" s="2"/>
      <c r="BF123" s="2"/>
      <c r="BG123" s="2"/>
      <c r="BH123" s="2"/>
      <c r="BI123" s="2"/>
      <c r="BJ123" s="2"/>
      <c r="BK123" s="2"/>
      <c r="BL123" s="2"/>
      <c r="BM123" s="2"/>
    </row>
    <row r="124" spans="2:65" x14ac:dyDescent="0.3">
      <c r="E124" s="17">
        <f>YEAR(FY_Date)</f>
        <v>2013</v>
      </c>
      <c r="F124" s="471">
        <f t="array" aca="1" ref="F124:F167" ca="1">TRANSPOSE(G95:AX95)</f>
        <v>401088.82466131222</v>
      </c>
      <c r="G124" s="471">
        <f ca="1">IF(G$121&gt;=$E124,OFFSET($F$123,0,G$122-($E124-$E$124))*$F124,0)</f>
        <v>57355.701926567643</v>
      </c>
      <c r="H124" s="471">
        <f t="shared" ref="H124:W139" ca="1" si="228">IF(H$121&gt;=$E124,OFFSET($F$123,0,H$122-($E124-$E$124))*$F124,0)</f>
        <v>98266.762042021495</v>
      </c>
      <c r="I124" s="471">
        <f t="shared" ca="1" si="228"/>
        <v>70190.544315729639</v>
      </c>
      <c r="J124" s="471">
        <f t="shared" ca="1" si="228"/>
        <v>50136.103082664027</v>
      </c>
      <c r="K124" s="471">
        <f t="shared" ca="1" si="228"/>
        <v>35696.905394856789</v>
      </c>
      <c r="L124" s="471">
        <f t="shared" ca="1" si="228"/>
        <v>35696.905394856789</v>
      </c>
      <c r="M124" s="471">
        <f t="shared" ca="1" si="228"/>
        <v>35696.905394856789</v>
      </c>
      <c r="N124" s="471">
        <f t="shared" ca="1" si="228"/>
        <v>18048.99710975905</v>
      </c>
      <c r="O124" s="471">
        <f t="shared" ca="1" si="228"/>
        <v>0</v>
      </c>
      <c r="P124" s="471">
        <f t="shared" ca="1" si="228"/>
        <v>0</v>
      </c>
      <c r="Q124" s="471">
        <f t="shared" ca="1" si="228"/>
        <v>0</v>
      </c>
      <c r="R124" s="471">
        <f t="shared" ca="1" si="228"/>
        <v>0</v>
      </c>
      <c r="S124" s="471">
        <f t="shared" ca="1" si="228"/>
        <v>0</v>
      </c>
      <c r="T124" s="471">
        <f t="shared" ca="1" si="228"/>
        <v>0</v>
      </c>
      <c r="U124" s="471">
        <f t="shared" ca="1" si="228"/>
        <v>0</v>
      </c>
      <c r="V124" s="471">
        <f t="shared" ca="1" si="228"/>
        <v>0</v>
      </c>
      <c r="W124" s="471">
        <f t="shared" ca="1" si="228"/>
        <v>0</v>
      </c>
      <c r="X124" s="471">
        <f t="shared" ref="X124:AM139" ca="1" si="229">IF(X$121&gt;=$E124,OFFSET($F$123,0,X$122-($E124-$E$124))*$F124,0)</f>
        <v>0</v>
      </c>
      <c r="Y124" s="471">
        <f t="shared" ca="1" si="229"/>
        <v>0</v>
      </c>
      <c r="Z124" s="471">
        <f t="shared" ca="1" si="229"/>
        <v>0</v>
      </c>
      <c r="AA124" s="471">
        <f t="shared" ca="1" si="229"/>
        <v>0</v>
      </c>
      <c r="AB124" s="471">
        <f t="shared" ca="1" si="229"/>
        <v>0</v>
      </c>
      <c r="AC124" s="471">
        <f t="shared" ca="1" si="229"/>
        <v>0</v>
      </c>
      <c r="AD124" s="471">
        <f t="shared" ca="1" si="229"/>
        <v>0</v>
      </c>
      <c r="AE124" s="471">
        <f t="shared" ca="1" si="229"/>
        <v>0</v>
      </c>
      <c r="AF124" s="471">
        <f t="shared" ca="1" si="229"/>
        <v>0</v>
      </c>
      <c r="AG124" s="471">
        <f t="shared" ca="1" si="229"/>
        <v>0</v>
      </c>
      <c r="AH124" s="471">
        <f t="shared" ca="1" si="229"/>
        <v>0</v>
      </c>
      <c r="AI124" s="471">
        <f t="shared" ca="1" si="229"/>
        <v>0</v>
      </c>
      <c r="AJ124" s="471">
        <f t="shared" ca="1" si="229"/>
        <v>0</v>
      </c>
      <c r="AK124" s="471">
        <f t="shared" ca="1" si="229"/>
        <v>0</v>
      </c>
      <c r="AL124" s="471">
        <f t="shared" ca="1" si="229"/>
        <v>0</v>
      </c>
      <c r="AM124" s="471">
        <f t="shared" ca="1" si="229"/>
        <v>0</v>
      </c>
      <c r="AN124" s="471">
        <f t="shared" ref="AN124:AU139" ca="1" si="230">IF(AN$121&gt;=$E124,OFFSET($F$123,0,AN$122-($E124-$E$124))*$F124,0)</f>
        <v>0</v>
      </c>
      <c r="AO124" s="471">
        <f t="shared" ca="1" si="230"/>
        <v>0</v>
      </c>
      <c r="AP124" s="471">
        <f t="shared" ca="1" si="230"/>
        <v>0</v>
      </c>
      <c r="AQ124" s="471">
        <f t="shared" ca="1" si="230"/>
        <v>0</v>
      </c>
      <c r="AR124" s="471">
        <f t="shared" ca="1" si="230"/>
        <v>0</v>
      </c>
      <c r="AS124" s="471">
        <f t="shared" ca="1" si="230"/>
        <v>0</v>
      </c>
      <c r="AT124" s="471">
        <f t="shared" ca="1" si="230"/>
        <v>0</v>
      </c>
      <c r="AU124" s="471">
        <f t="shared" ca="1" si="230"/>
        <v>0</v>
      </c>
      <c r="AV124" s="471">
        <f ca="1">SUM(G124:AU124)</f>
        <v>401088.82466131233</v>
      </c>
      <c r="AW124" s="471">
        <f ca="1">+F124-AV124</f>
        <v>0</v>
      </c>
      <c r="AX124" s="471">
        <f ca="1">+AV124+AW124</f>
        <v>401088.82466131233</v>
      </c>
      <c r="AZ124" s="2"/>
      <c r="BA124" s="2"/>
      <c r="BB124" s="2"/>
      <c r="BC124" s="2"/>
      <c r="BD124" s="2"/>
      <c r="BE124" s="2"/>
      <c r="BF124" s="2"/>
      <c r="BG124" s="2"/>
      <c r="BH124" s="2"/>
      <c r="BI124" s="2"/>
      <c r="BJ124" s="2"/>
      <c r="BK124" s="2"/>
      <c r="BL124" s="2"/>
      <c r="BM124" s="2"/>
    </row>
    <row r="125" spans="2:65" x14ac:dyDescent="0.3">
      <c r="E125" s="17">
        <f>E124+1</f>
        <v>2014</v>
      </c>
      <c r="F125" s="472">
        <f ca="1"/>
        <v>621358.5222140745</v>
      </c>
      <c r="G125" s="472">
        <f t="shared" ref="G125:V140" ca="1" si="231">IF(G$121&gt;=$E125,OFFSET($F$123,0,G$122-($E125-$E$124))*$F125,0)</f>
        <v>0</v>
      </c>
      <c r="H125" s="472">
        <f ca="1">IF(H$121&gt;=$E125,OFFSET($F$123,0,H$122-($E125-$E$124))*$F125,0)</f>
        <v>88854.268676612643</v>
      </c>
      <c r="I125" s="472">
        <f t="shared" ca="1" si="228"/>
        <v>152232.83794244824</v>
      </c>
      <c r="J125" s="472">
        <f t="shared" ca="1" si="228"/>
        <v>108737.74138746303</v>
      </c>
      <c r="K125" s="472">
        <f t="shared" ca="1" si="228"/>
        <v>77669.815276759313</v>
      </c>
      <c r="L125" s="472">
        <f t="shared" ca="1" si="228"/>
        <v>55300.908477052631</v>
      </c>
      <c r="M125" s="472">
        <f t="shared" ca="1" si="228"/>
        <v>55300.908477052631</v>
      </c>
      <c r="N125" s="472">
        <f t="shared" ca="1" si="228"/>
        <v>55300.908477052631</v>
      </c>
      <c r="O125" s="472">
        <f t="shared" ca="1" si="228"/>
        <v>27961.13349963335</v>
      </c>
      <c r="P125" s="472">
        <f t="shared" ca="1" si="228"/>
        <v>0</v>
      </c>
      <c r="Q125" s="472">
        <f t="shared" ca="1" si="228"/>
        <v>0</v>
      </c>
      <c r="R125" s="472">
        <f t="shared" ca="1" si="228"/>
        <v>0</v>
      </c>
      <c r="S125" s="472">
        <f t="shared" ca="1" si="228"/>
        <v>0</v>
      </c>
      <c r="T125" s="472">
        <f t="shared" ca="1" si="228"/>
        <v>0</v>
      </c>
      <c r="U125" s="472">
        <f t="shared" ca="1" si="228"/>
        <v>0</v>
      </c>
      <c r="V125" s="472">
        <f t="shared" ca="1" si="228"/>
        <v>0</v>
      </c>
      <c r="W125" s="472">
        <f t="shared" ca="1" si="228"/>
        <v>0</v>
      </c>
      <c r="X125" s="472">
        <f t="shared" ca="1" si="229"/>
        <v>0</v>
      </c>
      <c r="Y125" s="472">
        <f t="shared" ca="1" si="229"/>
        <v>0</v>
      </c>
      <c r="Z125" s="472">
        <f t="shared" ca="1" si="229"/>
        <v>0</v>
      </c>
      <c r="AA125" s="472">
        <f t="shared" ca="1" si="229"/>
        <v>0</v>
      </c>
      <c r="AB125" s="472">
        <f t="shared" ca="1" si="229"/>
        <v>0</v>
      </c>
      <c r="AC125" s="472">
        <f t="shared" ca="1" si="229"/>
        <v>0</v>
      </c>
      <c r="AD125" s="472">
        <f t="shared" ca="1" si="229"/>
        <v>0</v>
      </c>
      <c r="AE125" s="472">
        <f t="shared" ca="1" si="229"/>
        <v>0</v>
      </c>
      <c r="AF125" s="472">
        <f t="shared" ca="1" si="229"/>
        <v>0</v>
      </c>
      <c r="AG125" s="472">
        <f t="shared" ca="1" si="229"/>
        <v>0</v>
      </c>
      <c r="AH125" s="472">
        <f t="shared" ca="1" si="229"/>
        <v>0</v>
      </c>
      <c r="AI125" s="472">
        <f t="shared" ca="1" si="229"/>
        <v>0</v>
      </c>
      <c r="AJ125" s="472">
        <f t="shared" ca="1" si="229"/>
        <v>0</v>
      </c>
      <c r="AK125" s="472">
        <f t="shared" ca="1" si="229"/>
        <v>0</v>
      </c>
      <c r="AL125" s="472">
        <f t="shared" ca="1" si="229"/>
        <v>0</v>
      </c>
      <c r="AM125" s="472">
        <f t="shared" ca="1" si="229"/>
        <v>0</v>
      </c>
      <c r="AN125" s="472">
        <f t="shared" ca="1" si="230"/>
        <v>0</v>
      </c>
      <c r="AO125" s="472">
        <f t="shared" ca="1" si="230"/>
        <v>0</v>
      </c>
      <c r="AP125" s="472">
        <f t="shared" ca="1" si="230"/>
        <v>0</v>
      </c>
      <c r="AQ125" s="472">
        <f t="shared" ca="1" si="230"/>
        <v>0</v>
      </c>
      <c r="AR125" s="472">
        <f t="shared" ca="1" si="230"/>
        <v>0</v>
      </c>
      <c r="AS125" s="472">
        <f t="shared" ca="1" si="230"/>
        <v>0</v>
      </c>
      <c r="AT125" s="472">
        <f t="shared" ca="1" si="230"/>
        <v>0</v>
      </c>
      <c r="AU125" s="472">
        <f t="shared" ca="1" si="230"/>
        <v>0</v>
      </c>
      <c r="AV125" s="472">
        <f t="shared" ref="AV125:AV164" ca="1" si="232">SUM(G125:AU125)</f>
        <v>621358.5222140745</v>
      </c>
      <c r="AW125" s="472">
        <f t="shared" ref="AW125:AW164" ca="1" si="233">+F125-AV125</f>
        <v>0</v>
      </c>
      <c r="AX125" s="472">
        <f t="shared" ref="AX125:AX164" ca="1" si="234">+AV125+AW125</f>
        <v>621358.5222140745</v>
      </c>
      <c r="AZ125" s="2"/>
      <c r="BA125" s="2"/>
      <c r="BB125" s="2"/>
      <c r="BC125" s="2"/>
      <c r="BD125" s="2"/>
      <c r="BE125" s="2"/>
      <c r="BF125" s="2"/>
      <c r="BG125" s="2"/>
      <c r="BH125" s="2"/>
      <c r="BI125" s="2"/>
      <c r="BJ125" s="2"/>
      <c r="BK125" s="2"/>
      <c r="BL125" s="2"/>
      <c r="BM125" s="2"/>
    </row>
    <row r="126" spans="2:65" x14ac:dyDescent="0.3">
      <c r="E126" s="17">
        <f t="shared" ref="E126:E164" si="235">E125+1</f>
        <v>2015</v>
      </c>
      <c r="F126" s="472">
        <f ca="1"/>
        <v>635025.6670391605</v>
      </c>
      <c r="G126" s="472">
        <f t="shared" ca="1" si="231"/>
        <v>0</v>
      </c>
      <c r="H126" s="472">
        <f t="shared" ca="1" si="228"/>
        <v>0</v>
      </c>
      <c r="I126" s="472">
        <f t="shared" ca="1" si="228"/>
        <v>90808.670386599944</v>
      </c>
      <c r="J126" s="472">
        <f t="shared" ca="1" si="228"/>
        <v>155581.28842459433</v>
      </c>
      <c r="K126" s="472">
        <f t="shared" ca="1" si="228"/>
        <v>111129.49173185308</v>
      </c>
      <c r="L126" s="472">
        <f t="shared" ca="1" si="228"/>
        <v>79378.208379895063</v>
      </c>
      <c r="M126" s="472">
        <f t="shared" ca="1" si="228"/>
        <v>56517.284366485284</v>
      </c>
      <c r="N126" s="472">
        <f t="shared" ca="1" si="228"/>
        <v>56517.284366485284</v>
      </c>
      <c r="O126" s="472">
        <f t="shared" ca="1" si="228"/>
        <v>56517.284366485284</v>
      </c>
      <c r="P126" s="472">
        <f t="shared" ca="1" si="228"/>
        <v>28576.155016762223</v>
      </c>
      <c r="Q126" s="472">
        <f t="shared" ca="1" si="228"/>
        <v>0</v>
      </c>
      <c r="R126" s="472">
        <f t="shared" ca="1" si="228"/>
        <v>0</v>
      </c>
      <c r="S126" s="472">
        <f t="shared" ca="1" si="228"/>
        <v>0</v>
      </c>
      <c r="T126" s="472">
        <f t="shared" ca="1" si="228"/>
        <v>0</v>
      </c>
      <c r="U126" s="472">
        <f t="shared" ca="1" si="228"/>
        <v>0</v>
      </c>
      <c r="V126" s="472">
        <f t="shared" ca="1" si="228"/>
        <v>0</v>
      </c>
      <c r="W126" s="472">
        <f t="shared" ca="1" si="228"/>
        <v>0</v>
      </c>
      <c r="X126" s="472">
        <f t="shared" ca="1" si="229"/>
        <v>0</v>
      </c>
      <c r="Y126" s="472">
        <f t="shared" ca="1" si="229"/>
        <v>0</v>
      </c>
      <c r="Z126" s="472">
        <f t="shared" ca="1" si="229"/>
        <v>0</v>
      </c>
      <c r="AA126" s="472">
        <f t="shared" ca="1" si="229"/>
        <v>0</v>
      </c>
      <c r="AB126" s="472">
        <f t="shared" ca="1" si="229"/>
        <v>0</v>
      </c>
      <c r="AC126" s="472">
        <f t="shared" ca="1" si="229"/>
        <v>0</v>
      </c>
      <c r="AD126" s="472">
        <f t="shared" ca="1" si="229"/>
        <v>0</v>
      </c>
      <c r="AE126" s="472">
        <f t="shared" ca="1" si="229"/>
        <v>0</v>
      </c>
      <c r="AF126" s="472">
        <f t="shared" ca="1" si="229"/>
        <v>0</v>
      </c>
      <c r="AG126" s="472">
        <f t="shared" ca="1" si="229"/>
        <v>0</v>
      </c>
      <c r="AH126" s="472">
        <f t="shared" ca="1" si="229"/>
        <v>0</v>
      </c>
      <c r="AI126" s="472">
        <f t="shared" ca="1" si="229"/>
        <v>0</v>
      </c>
      <c r="AJ126" s="472">
        <f t="shared" ca="1" si="229"/>
        <v>0</v>
      </c>
      <c r="AK126" s="472">
        <f t="shared" ca="1" si="229"/>
        <v>0</v>
      </c>
      <c r="AL126" s="472">
        <f t="shared" ca="1" si="229"/>
        <v>0</v>
      </c>
      <c r="AM126" s="472">
        <f t="shared" ca="1" si="229"/>
        <v>0</v>
      </c>
      <c r="AN126" s="472">
        <f t="shared" ca="1" si="230"/>
        <v>0</v>
      </c>
      <c r="AO126" s="472">
        <f t="shared" ca="1" si="230"/>
        <v>0</v>
      </c>
      <c r="AP126" s="472">
        <f t="shared" ca="1" si="230"/>
        <v>0</v>
      </c>
      <c r="AQ126" s="472">
        <f t="shared" ca="1" si="230"/>
        <v>0</v>
      </c>
      <c r="AR126" s="472">
        <f t="shared" ca="1" si="230"/>
        <v>0</v>
      </c>
      <c r="AS126" s="472">
        <f t="shared" ca="1" si="230"/>
        <v>0</v>
      </c>
      <c r="AT126" s="472">
        <f t="shared" ca="1" si="230"/>
        <v>0</v>
      </c>
      <c r="AU126" s="472">
        <f t="shared" ca="1" si="230"/>
        <v>0</v>
      </c>
      <c r="AV126" s="472">
        <f t="shared" ca="1" si="232"/>
        <v>635025.66703916062</v>
      </c>
      <c r="AW126" s="472">
        <f t="shared" ca="1" si="233"/>
        <v>0</v>
      </c>
      <c r="AX126" s="472">
        <f t="shared" ca="1" si="234"/>
        <v>635025.66703916062</v>
      </c>
      <c r="AZ126" s="2"/>
      <c r="BA126" s="2"/>
      <c r="BB126" s="2"/>
      <c r="BC126" s="2"/>
      <c r="BD126" s="2"/>
      <c r="BE126" s="2"/>
      <c r="BF126" s="2"/>
      <c r="BG126" s="2"/>
      <c r="BH126" s="2"/>
      <c r="BI126" s="2"/>
      <c r="BJ126" s="2"/>
      <c r="BK126" s="2"/>
      <c r="BL126" s="2"/>
    </row>
    <row r="127" spans="2:65" x14ac:dyDescent="0.3">
      <c r="E127" s="17">
        <f t="shared" si="235"/>
        <v>2016</v>
      </c>
      <c r="F127" s="472">
        <f ca="1"/>
        <v>525824.53502454737</v>
      </c>
      <c r="G127" s="472">
        <f t="shared" ca="1" si="231"/>
        <v>0</v>
      </c>
      <c r="H127" s="472">
        <f t="shared" ca="1" si="228"/>
        <v>0</v>
      </c>
      <c r="I127" s="472">
        <f t="shared" ca="1" si="228"/>
        <v>0</v>
      </c>
      <c r="J127" s="472">
        <f t="shared" ca="1" si="228"/>
        <v>75192.908508510271</v>
      </c>
      <c r="K127" s="472">
        <f t="shared" ca="1" si="228"/>
        <v>128827.01108101411</v>
      </c>
      <c r="L127" s="472">
        <f t="shared" ca="1" si="228"/>
        <v>92019.293629295789</v>
      </c>
      <c r="M127" s="472">
        <f t="shared" ca="1" si="228"/>
        <v>65728.066878068421</v>
      </c>
      <c r="N127" s="472">
        <f t="shared" ca="1" si="228"/>
        <v>46798.383617184714</v>
      </c>
      <c r="O127" s="472">
        <f t="shared" ca="1" si="228"/>
        <v>46798.383617184714</v>
      </c>
      <c r="P127" s="472">
        <f t="shared" ca="1" si="228"/>
        <v>46798.383617184714</v>
      </c>
      <c r="Q127" s="472">
        <f t="shared" ca="1" si="228"/>
        <v>23662.104076104632</v>
      </c>
      <c r="R127" s="472">
        <f t="shared" ca="1" si="228"/>
        <v>0</v>
      </c>
      <c r="S127" s="472">
        <f t="shared" ca="1" si="228"/>
        <v>0</v>
      </c>
      <c r="T127" s="472">
        <f t="shared" ca="1" si="228"/>
        <v>0</v>
      </c>
      <c r="U127" s="472">
        <f t="shared" ca="1" si="228"/>
        <v>0</v>
      </c>
      <c r="V127" s="472">
        <f t="shared" ca="1" si="228"/>
        <v>0</v>
      </c>
      <c r="W127" s="472">
        <f t="shared" ca="1" si="228"/>
        <v>0</v>
      </c>
      <c r="X127" s="472">
        <f t="shared" ca="1" si="229"/>
        <v>0</v>
      </c>
      <c r="Y127" s="472">
        <f t="shared" ca="1" si="229"/>
        <v>0</v>
      </c>
      <c r="Z127" s="472">
        <f t="shared" ca="1" si="229"/>
        <v>0</v>
      </c>
      <c r="AA127" s="472">
        <f t="shared" ca="1" si="229"/>
        <v>0</v>
      </c>
      <c r="AB127" s="472">
        <f t="shared" ca="1" si="229"/>
        <v>0</v>
      </c>
      <c r="AC127" s="472">
        <f t="shared" ca="1" si="229"/>
        <v>0</v>
      </c>
      <c r="AD127" s="472">
        <f t="shared" ca="1" si="229"/>
        <v>0</v>
      </c>
      <c r="AE127" s="472">
        <f t="shared" ca="1" si="229"/>
        <v>0</v>
      </c>
      <c r="AF127" s="472">
        <f t="shared" ca="1" si="229"/>
        <v>0</v>
      </c>
      <c r="AG127" s="472">
        <f t="shared" ca="1" si="229"/>
        <v>0</v>
      </c>
      <c r="AH127" s="472">
        <f t="shared" ca="1" si="229"/>
        <v>0</v>
      </c>
      <c r="AI127" s="472">
        <f t="shared" ca="1" si="229"/>
        <v>0</v>
      </c>
      <c r="AJ127" s="472">
        <f t="shared" ca="1" si="229"/>
        <v>0</v>
      </c>
      <c r="AK127" s="472">
        <f t="shared" ca="1" si="229"/>
        <v>0</v>
      </c>
      <c r="AL127" s="472">
        <f t="shared" ca="1" si="229"/>
        <v>0</v>
      </c>
      <c r="AM127" s="472">
        <f t="shared" ca="1" si="229"/>
        <v>0</v>
      </c>
      <c r="AN127" s="472">
        <f t="shared" ca="1" si="230"/>
        <v>0</v>
      </c>
      <c r="AO127" s="472">
        <f t="shared" ca="1" si="230"/>
        <v>0</v>
      </c>
      <c r="AP127" s="472">
        <f t="shared" ca="1" si="230"/>
        <v>0</v>
      </c>
      <c r="AQ127" s="472">
        <f t="shared" ca="1" si="230"/>
        <v>0</v>
      </c>
      <c r="AR127" s="472">
        <f t="shared" ca="1" si="230"/>
        <v>0</v>
      </c>
      <c r="AS127" s="472">
        <f t="shared" ca="1" si="230"/>
        <v>0</v>
      </c>
      <c r="AT127" s="472">
        <f t="shared" ca="1" si="230"/>
        <v>0</v>
      </c>
      <c r="AU127" s="472">
        <f t="shared" ca="1" si="230"/>
        <v>0</v>
      </c>
      <c r="AV127" s="472">
        <f t="shared" ca="1" si="232"/>
        <v>525824.53502454737</v>
      </c>
      <c r="AW127" s="472">
        <f t="shared" ca="1" si="233"/>
        <v>0</v>
      </c>
      <c r="AX127" s="472">
        <f t="shared" ca="1" si="234"/>
        <v>525824.53502454737</v>
      </c>
      <c r="AZ127" s="2"/>
      <c r="BA127" s="2"/>
      <c r="BB127" s="2"/>
      <c r="BC127" s="2"/>
      <c r="BD127" s="2"/>
      <c r="BE127" s="2"/>
      <c r="BF127" s="2"/>
      <c r="BG127" s="2"/>
      <c r="BH127" s="2"/>
      <c r="BI127" s="2"/>
      <c r="BJ127" s="2"/>
      <c r="BK127" s="2"/>
      <c r="BL127" s="2"/>
    </row>
    <row r="128" spans="2:65" x14ac:dyDescent="0.3">
      <c r="E128" s="17">
        <f t="shared" si="235"/>
        <v>2017</v>
      </c>
      <c r="F128" s="472">
        <f ca="1"/>
        <v>520861.64289576886</v>
      </c>
      <c r="G128" s="472">
        <f t="shared" ca="1" si="231"/>
        <v>0</v>
      </c>
      <c r="H128" s="472">
        <f t="shared" ca="1" si="228"/>
        <v>0</v>
      </c>
      <c r="I128" s="472">
        <f t="shared" ca="1" si="228"/>
        <v>0</v>
      </c>
      <c r="J128" s="472">
        <f t="shared" ca="1" si="228"/>
        <v>0</v>
      </c>
      <c r="K128" s="472">
        <f t="shared" ca="1" si="228"/>
        <v>74483.21493409494</v>
      </c>
      <c r="L128" s="472">
        <f t="shared" ca="1" si="228"/>
        <v>127611.10250946337</v>
      </c>
      <c r="M128" s="472">
        <f t="shared" ca="1" si="228"/>
        <v>91150.787506759545</v>
      </c>
      <c r="N128" s="472">
        <f t="shared" ca="1" si="228"/>
        <v>65107.705361971108</v>
      </c>
      <c r="O128" s="472">
        <f t="shared" ca="1" si="228"/>
        <v>46356.686217723429</v>
      </c>
      <c r="P128" s="472">
        <f t="shared" ca="1" si="228"/>
        <v>46356.686217723429</v>
      </c>
      <c r="Q128" s="472">
        <f t="shared" ca="1" si="228"/>
        <v>46356.686217723429</v>
      </c>
      <c r="R128" s="472">
        <f t="shared" ca="1" si="228"/>
        <v>23438.773930309599</v>
      </c>
      <c r="S128" s="472">
        <f t="shared" ca="1" si="228"/>
        <v>0</v>
      </c>
      <c r="T128" s="472">
        <f t="shared" ca="1" si="228"/>
        <v>0</v>
      </c>
      <c r="U128" s="472">
        <f t="shared" ca="1" si="228"/>
        <v>0</v>
      </c>
      <c r="V128" s="472">
        <f t="shared" ca="1" si="228"/>
        <v>0</v>
      </c>
      <c r="W128" s="472">
        <f t="shared" ca="1" si="228"/>
        <v>0</v>
      </c>
      <c r="X128" s="472">
        <f t="shared" ca="1" si="229"/>
        <v>0</v>
      </c>
      <c r="Y128" s="472">
        <f t="shared" ca="1" si="229"/>
        <v>0</v>
      </c>
      <c r="Z128" s="472">
        <f t="shared" ca="1" si="229"/>
        <v>0</v>
      </c>
      <c r="AA128" s="472">
        <f t="shared" ca="1" si="229"/>
        <v>0</v>
      </c>
      <c r="AB128" s="472">
        <f t="shared" ca="1" si="229"/>
        <v>0</v>
      </c>
      <c r="AC128" s="472">
        <f t="shared" ca="1" si="229"/>
        <v>0</v>
      </c>
      <c r="AD128" s="472">
        <f t="shared" ca="1" si="229"/>
        <v>0</v>
      </c>
      <c r="AE128" s="472">
        <f t="shared" ca="1" si="229"/>
        <v>0</v>
      </c>
      <c r="AF128" s="472">
        <f t="shared" ca="1" si="229"/>
        <v>0</v>
      </c>
      <c r="AG128" s="472">
        <f t="shared" ca="1" si="229"/>
        <v>0</v>
      </c>
      <c r="AH128" s="472">
        <f t="shared" ca="1" si="229"/>
        <v>0</v>
      </c>
      <c r="AI128" s="472">
        <f t="shared" ca="1" si="229"/>
        <v>0</v>
      </c>
      <c r="AJ128" s="472">
        <f t="shared" ca="1" si="229"/>
        <v>0</v>
      </c>
      <c r="AK128" s="472">
        <f t="shared" ca="1" si="229"/>
        <v>0</v>
      </c>
      <c r="AL128" s="472">
        <f t="shared" ca="1" si="229"/>
        <v>0</v>
      </c>
      <c r="AM128" s="472">
        <f t="shared" ca="1" si="229"/>
        <v>0</v>
      </c>
      <c r="AN128" s="472">
        <f t="shared" ca="1" si="230"/>
        <v>0</v>
      </c>
      <c r="AO128" s="472">
        <f t="shared" ca="1" si="230"/>
        <v>0</v>
      </c>
      <c r="AP128" s="472">
        <f t="shared" ca="1" si="230"/>
        <v>0</v>
      </c>
      <c r="AQ128" s="472">
        <f t="shared" ca="1" si="230"/>
        <v>0</v>
      </c>
      <c r="AR128" s="472">
        <f t="shared" ca="1" si="230"/>
        <v>0</v>
      </c>
      <c r="AS128" s="472">
        <f t="shared" ca="1" si="230"/>
        <v>0</v>
      </c>
      <c r="AT128" s="472">
        <f t="shared" ca="1" si="230"/>
        <v>0</v>
      </c>
      <c r="AU128" s="472">
        <f t="shared" ca="1" si="230"/>
        <v>0</v>
      </c>
      <c r="AV128" s="472">
        <f t="shared" ca="1" si="232"/>
        <v>520861.6428957688</v>
      </c>
      <c r="AW128" s="472">
        <f t="shared" ca="1" si="233"/>
        <v>0</v>
      </c>
      <c r="AX128" s="472">
        <f t="shared" ca="1" si="234"/>
        <v>520861.6428957688</v>
      </c>
      <c r="AZ128" s="2"/>
      <c r="BA128" s="2"/>
      <c r="BB128" s="2"/>
      <c r="BC128" s="2"/>
      <c r="BD128" s="2"/>
      <c r="BE128" s="2"/>
      <c r="BF128" s="2"/>
      <c r="BG128" s="2"/>
      <c r="BH128" s="2"/>
      <c r="BI128" s="2"/>
      <c r="BJ128" s="2"/>
      <c r="BK128" s="2"/>
      <c r="BL128" s="2"/>
    </row>
    <row r="129" spans="5:64" x14ac:dyDescent="0.3">
      <c r="E129" s="17">
        <f t="shared" si="235"/>
        <v>2018</v>
      </c>
      <c r="F129" s="472">
        <f ca="1"/>
        <v>432387.58429982106</v>
      </c>
      <c r="G129" s="472">
        <f t="shared" ca="1" si="231"/>
        <v>0</v>
      </c>
      <c r="H129" s="472">
        <f t="shared" ca="1" si="228"/>
        <v>0</v>
      </c>
      <c r="I129" s="472">
        <f t="shared" ca="1" si="228"/>
        <v>0</v>
      </c>
      <c r="J129" s="472">
        <f t="shared" ca="1" si="228"/>
        <v>0</v>
      </c>
      <c r="K129" s="472">
        <f t="shared" ca="1" si="228"/>
        <v>0</v>
      </c>
      <c r="L129" s="472">
        <f t="shared" ca="1" si="228"/>
        <v>61831.424554874407</v>
      </c>
      <c r="M129" s="472">
        <f t="shared" ca="1" si="228"/>
        <v>105934.95815345616</v>
      </c>
      <c r="N129" s="472">
        <f t="shared" ca="1" si="228"/>
        <v>75667.827252468676</v>
      </c>
      <c r="O129" s="472">
        <f t="shared" ca="1" si="228"/>
        <v>54048.448037477632</v>
      </c>
      <c r="P129" s="472">
        <f t="shared" ca="1" si="228"/>
        <v>38482.495002684074</v>
      </c>
      <c r="Q129" s="472">
        <f t="shared" ca="1" si="228"/>
        <v>38482.495002684074</v>
      </c>
      <c r="R129" s="472">
        <f t="shared" ca="1" si="228"/>
        <v>38482.495002684074</v>
      </c>
      <c r="S129" s="472">
        <f t="shared" ca="1" si="228"/>
        <v>19457.441293491946</v>
      </c>
      <c r="T129" s="472">
        <f t="shared" ca="1" si="228"/>
        <v>0</v>
      </c>
      <c r="U129" s="472">
        <f t="shared" ca="1" si="228"/>
        <v>0</v>
      </c>
      <c r="V129" s="472">
        <f t="shared" ca="1" si="228"/>
        <v>0</v>
      </c>
      <c r="W129" s="472">
        <f t="shared" ca="1" si="228"/>
        <v>0</v>
      </c>
      <c r="X129" s="472">
        <f t="shared" ca="1" si="229"/>
        <v>0</v>
      </c>
      <c r="Y129" s="472">
        <f t="shared" ca="1" si="229"/>
        <v>0</v>
      </c>
      <c r="Z129" s="472">
        <f t="shared" ca="1" si="229"/>
        <v>0</v>
      </c>
      <c r="AA129" s="472">
        <f t="shared" ca="1" si="229"/>
        <v>0</v>
      </c>
      <c r="AB129" s="472">
        <f t="shared" ca="1" si="229"/>
        <v>0</v>
      </c>
      <c r="AC129" s="472">
        <f t="shared" ca="1" si="229"/>
        <v>0</v>
      </c>
      <c r="AD129" s="472">
        <f t="shared" ca="1" si="229"/>
        <v>0</v>
      </c>
      <c r="AE129" s="472">
        <f t="shared" ca="1" si="229"/>
        <v>0</v>
      </c>
      <c r="AF129" s="472">
        <f t="shared" ca="1" si="229"/>
        <v>0</v>
      </c>
      <c r="AG129" s="472">
        <f t="shared" ca="1" si="229"/>
        <v>0</v>
      </c>
      <c r="AH129" s="472">
        <f t="shared" ca="1" si="229"/>
        <v>0</v>
      </c>
      <c r="AI129" s="472">
        <f t="shared" ca="1" si="229"/>
        <v>0</v>
      </c>
      <c r="AJ129" s="472">
        <f t="shared" ca="1" si="229"/>
        <v>0</v>
      </c>
      <c r="AK129" s="472">
        <f t="shared" ca="1" si="229"/>
        <v>0</v>
      </c>
      <c r="AL129" s="472">
        <f t="shared" ca="1" si="229"/>
        <v>0</v>
      </c>
      <c r="AM129" s="472">
        <f t="shared" ca="1" si="229"/>
        <v>0</v>
      </c>
      <c r="AN129" s="472">
        <f t="shared" ca="1" si="230"/>
        <v>0</v>
      </c>
      <c r="AO129" s="472">
        <f t="shared" ca="1" si="230"/>
        <v>0</v>
      </c>
      <c r="AP129" s="472">
        <f t="shared" ca="1" si="230"/>
        <v>0</v>
      </c>
      <c r="AQ129" s="472">
        <f t="shared" ca="1" si="230"/>
        <v>0</v>
      </c>
      <c r="AR129" s="472">
        <f t="shared" ca="1" si="230"/>
        <v>0</v>
      </c>
      <c r="AS129" s="472">
        <f t="shared" ca="1" si="230"/>
        <v>0</v>
      </c>
      <c r="AT129" s="472">
        <f t="shared" ca="1" si="230"/>
        <v>0</v>
      </c>
      <c r="AU129" s="472">
        <f t="shared" ca="1" si="230"/>
        <v>0</v>
      </c>
      <c r="AV129" s="472">
        <f t="shared" ca="1" si="232"/>
        <v>432387.584299821</v>
      </c>
      <c r="AW129" s="472">
        <f t="shared" ca="1" si="233"/>
        <v>0</v>
      </c>
      <c r="AX129" s="472">
        <f t="shared" ca="1" si="234"/>
        <v>432387.584299821</v>
      </c>
      <c r="AZ129" s="2"/>
      <c r="BA129" s="2"/>
      <c r="BB129" s="2"/>
      <c r="BC129" s="2"/>
      <c r="BD129" s="2"/>
      <c r="BE129" s="2"/>
      <c r="BF129" s="2"/>
      <c r="BG129" s="2"/>
      <c r="BH129" s="2"/>
      <c r="BI129" s="2"/>
      <c r="BJ129" s="2"/>
      <c r="BK129" s="2"/>
      <c r="BL129" s="2"/>
    </row>
    <row r="130" spans="5:64" x14ac:dyDescent="0.3">
      <c r="E130" s="17">
        <f t="shared" si="235"/>
        <v>2019</v>
      </c>
      <c r="F130" s="472">
        <f ca="1"/>
        <v>430690.12830382615</v>
      </c>
      <c r="G130" s="472">
        <f t="shared" ca="1" si="231"/>
        <v>0</v>
      </c>
      <c r="H130" s="472">
        <f t="shared" ca="1" si="228"/>
        <v>0</v>
      </c>
      <c r="I130" s="472">
        <f t="shared" ca="1" si="228"/>
        <v>0</v>
      </c>
      <c r="J130" s="472">
        <f t="shared" ca="1" si="228"/>
        <v>0</v>
      </c>
      <c r="K130" s="472">
        <f t="shared" ca="1" si="228"/>
        <v>0</v>
      </c>
      <c r="L130" s="472">
        <f t="shared" ca="1" si="228"/>
        <v>0</v>
      </c>
      <c r="M130" s="472">
        <f t="shared" ca="1" si="228"/>
        <v>61588.688347447132</v>
      </c>
      <c r="N130" s="472">
        <f t="shared" ca="1" si="228"/>
        <v>105519.08143443741</v>
      </c>
      <c r="O130" s="472">
        <f t="shared" ca="1" si="228"/>
        <v>75370.772453169571</v>
      </c>
      <c r="P130" s="472">
        <f t="shared" ca="1" si="228"/>
        <v>53836.266037978268</v>
      </c>
      <c r="Q130" s="472">
        <f t="shared" ca="1" si="228"/>
        <v>38331.421419040526</v>
      </c>
      <c r="R130" s="472">
        <f t="shared" ca="1" si="228"/>
        <v>38331.421419040526</v>
      </c>
      <c r="S130" s="472">
        <f t="shared" ca="1" si="228"/>
        <v>38331.421419040526</v>
      </c>
      <c r="T130" s="472">
        <f t="shared" ca="1" si="228"/>
        <v>19381.055773672175</v>
      </c>
      <c r="U130" s="472">
        <f t="shared" ca="1" si="228"/>
        <v>0</v>
      </c>
      <c r="V130" s="472">
        <f t="shared" ca="1" si="228"/>
        <v>0</v>
      </c>
      <c r="W130" s="472">
        <f t="shared" ca="1" si="228"/>
        <v>0</v>
      </c>
      <c r="X130" s="472">
        <f t="shared" ca="1" si="229"/>
        <v>0</v>
      </c>
      <c r="Y130" s="472">
        <f t="shared" ca="1" si="229"/>
        <v>0</v>
      </c>
      <c r="Z130" s="472">
        <f t="shared" ca="1" si="229"/>
        <v>0</v>
      </c>
      <c r="AA130" s="472">
        <f t="shared" ca="1" si="229"/>
        <v>0</v>
      </c>
      <c r="AB130" s="472">
        <f t="shared" ca="1" si="229"/>
        <v>0</v>
      </c>
      <c r="AC130" s="472">
        <f t="shared" ca="1" si="229"/>
        <v>0</v>
      </c>
      <c r="AD130" s="472">
        <f t="shared" ca="1" si="229"/>
        <v>0</v>
      </c>
      <c r="AE130" s="472">
        <f t="shared" ca="1" si="229"/>
        <v>0</v>
      </c>
      <c r="AF130" s="472">
        <f t="shared" ca="1" si="229"/>
        <v>0</v>
      </c>
      <c r="AG130" s="472">
        <f t="shared" ca="1" si="229"/>
        <v>0</v>
      </c>
      <c r="AH130" s="472">
        <f t="shared" ca="1" si="229"/>
        <v>0</v>
      </c>
      <c r="AI130" s="472">
        <f t="shared" ca="1" si="229"/>
        <v>0</v>
      </c>
      <c r="AJ130" s="472">
        <f t="shared" ca="1" si="229"/>
        <v>0</v>
      </c>
      <c r="AK130" s="472">
        <f t="shared" ca="1" si="229"/>
        <v>0</v>
      </c>
      <c r="AL130" s="472">
        <f t="shared" ca="1" si="229"/>
        <v>0</v>
      </c>
      <c r="AM130" s="472">
        <f t="shared" ca="1" si="229"/>
        <v>0</v>
      </c>
      <c r="AN130" s="472">
        <f t="shared" ca="1" si="230"/>
        <v>0</v>
      </c>
      <c r="AO130" s="472">
        <f t="shared" ca="1" si="230"/>
        <v>0</v>
      </c>
      <c r="AP130" s="472">
        <f t="shared" ca="1" si="230"/>
        <v>0</v>
      </c>
      <c r="AQ130" s="472">
        <f t="shared" ca="1" si="230"/>
        <v>0</v>
      </c>
      <c r="AR130" s="472">
        <f t="shared" ca="1" si="230"/>
        <v>0</v>
      </c>
      <c r="AS130" s="472">
        <f t="shared" ca="1" si="230"/>
        <v>0</v>
      </c>
      <c r="AT130" s="472">
        <f t="shared" ca="1" si="230"/>
        <v>0</v>
      </c>
      <c r="AU130" s="472">
        <f t="shared" ca="1" si="230"/>
        <v>0</v>
      </c>
      <c r="AV130" s="472">
        <f t="shared" ca="1" si="232"/>
        <v>430690.12830382615</v>
      </c>
      <c r="AW130" s="472">
        <f t="shared" ca="1" si="233"/>
        <v>0</v>
      </c>
      <c r="AX130" s="472">
        <f t="shared" ca="1" si="234"/>
        <v>430690.12830382615</v>
      </c>
      <c r="AZ130" s="2"/>
      <c r="BA130" s="2"/>
      <c r="BB130" s="2"/>
      <c r="BC130" s="2"/>
      <c r="BD130" s="2"/>
      <c r="BE130" s="2"/>
      <c r="BF130" s="2"/>
      <c r="BG130" s="2"/>
      <c r="BH130" s="2"/>
      <c r="BI130" s="2"/>
      <c r="BJ130" s="2"/>
      <c r="BK130" s="2"/>
      <c r="BL130" s="2"/>
    </row>
    <row r="131" spans="5:64" x14ac:dyDescent="0.3">
      <c r="E131" s="17">
        <f t="shared" si="235"/>
        <v>2020</v>
      </c>
      <c r="F131" s="472">
        <f ca="1"/>
        <v>406270.57564893976</v>
      </c>
      <c r="G131" s="472">
        <f t="shared" ca="1" si="231"/>
        <v>0</v>
      </c>
      <c r="H131" s="472">
        <f t="shared" ca="1" si="228"/>
        <v>0</v>
      </c>
      <c r="I131" s="472">
        <f t="shared" ca="1" si="228"/>
        <v>0</v>
      </c>
      <c r="J131" s="472">
        <f t="shared" ca="1" si="228"/>
        <v>0</v>
      </c>
      <c r="K131" s="472">
        <f t="shared" ca="1" si="228"/>
        <v>0</v>
      </c>
      <c r="L131" s="472">
        <f t="shared" ca="1" si="228"/>
        <v>0</v>
      </c>
      <c r="M131" s="472">
        <f t="shared" ca="1" si="228"/>
        <v>0</v>
      </c>
      <c r="N131" s="472">
        <f t="shared" ca="1" si="228"/>
        <v>58096.692317798384</v>
      </c>
      <c r="O131" s="472">
        <f t="shared" ca="1" si="228"/>
        <v>99536.291033990245</v>
      </c>
      <c r="P131" s="472">
        <f t="shared" ca="1" si="228"/>
        <v>71097.350738564448</v>
      </c>
      <c r="Q131" s="472">
        <f t="shared" ca="1" si="228"/>
        <v>50783.82195611747</v>
      </c>
      <c r="R131" s="472">
        <f t="shared" ca="1" si="228"/>
        <v>36158.081232755634</v>
      </c>
      <c r="S131" s="472">
        <f t="shared" ca="1" si="228"/>
        <v>36158.081232755634</v>
      </c>
      <c r="T131" s="472">
        <f t="shared" ca="1" si="228"/>
        <v>36158.081232755634</v>
      </c>
      <c r="U131" s="472">
        <f t="shared" ca="1" si="228"/>
        <v>18282.17590420229</v>
      </c>
      <c r="V131" s="472">
        <f t="shared" ca="1" si="228"/>
        <v>0</v>
      </c>
      <c r="W131" s="472">
        <f t="shared" ca="1" si="228"/>
        <v>0</v>
      </c>
      <c r="X131" s="472">
        <f t="shared" ca="1" si="229"/>
        <v>0</v>
      </c>
      <c r="Y131" s="472">
        <f t="shared" ca="1" si="229"/>
        <v>0</v>
      </c>
      <c r="Z131" s="472">
        <f t="shared" ca="1" si="229"/>
        <v>0</v>
      </c>
      <c r="AA131" s="472">
        <f t="shared" ca="1" si="229"/>
        <v>0</v>
      </c>
      <c r="AB131" s="472">
        <f t="shared" ca="1" si="229"/>
        <v>0</v>
      </c>
      <c r="AC131" s="472">
        <f t="shared" ca="1" si="229"/>
        <v>0</v>
      </c>
      <c r="AD131" s="472">
        <f t="shared" ca="1" si="229"/>
        <v>0</v>
      </c>
      <c r="AE131" s="472">
        <f t="shared" ca="1" si="229"/>
        <v>0</v>
      </c>
      <c r="AF131" s="472">
        <f t="shared" ca="1" si="229"/>
        <v>0</v>
      </c>
      <c r="AG131" s="472">
        <f t="shared" ca="1" si="229"/>
        <v>0</v>
      </c>
      <c r="AH131" s="472">
        <f t="shared" ca="1" si="229"/>
        <v>0</v>
      </c>
      <c r="AI131" s="472">
        <f t="shared" ca="1" si="229"/>
        <v>0</v>
      </c>
      <c r="AJ131" s="472">
        <f t="shared" ca="1" si="229"/>
        <v>0</v>
      </c>
      <c r="AK131" s="472">
        <f t="shared" ca="1" si="229"/>
        <v>0</v>
      </c>
      <c r="AL131" s="472">
        <f t="shared" ca="1" si="229"/>
        <v>0</v>
      </c>
      <c r="AM131" s="472">
        <f t="shared" ca="1" si="229"/>
        <v>0</v>
      </c>
      <c r="AN131" s="472">
        <f t="shared" ca="1" si="230"/>
        <v>0</v>
      </c>
      <c r="AO131" s="472">
        <f t="shared" ca="1" si="230"/>
        <v>0</v>
      </c>
      <c r="AP131" s="472">
        <f t="shared" ca="1" si="230"/>
        <v>0</v>
      </c>
      <c r="AQ131" s="472">
        <f t="shared" ca="1" si="230"/>
        <v>0</v>
      </c>
      <c r="AR131" s="472">
        <f t="shared" ca="1" si="230"/>
        <v>0</v>
      </c>
      <c r="AS131" s="472">
        <f t="shared" ca="1" si="230"/>
        <v>0</v>
      </c>
      <c r="AT131" s="472">
        <f t="shared" ca="1" si="230"/>
        <v>0</v>
      </c>
      <c r="AU131" s="472">
        <f t="shared" ca="1" si="230"/>
        <v>0</v>
      </c>
      <c r="AV131" s="472">
        <f t="shared" ca="1" si="232"/>
        <v>406270.5756489397</v>
      </c>
      <c r="AW131" s="472">
        <f t="shared" ca="1" si="233"/>
        <v>0</v>
      </c>
      <c r="AX131" s="472">
        <f t="shared" ca="1" si="234"/>
        <v>406270.5756489397</v>
      </c>
      <c r="AZ131" s="2"/>
      <c r="BA131" s="2"/>
      <c r="BB131" s="2"/>
      <c r="BC131" s="2"/>
      <c r="BD131" s="2"/>
      <c r="BE131" s="2"/>
      <c r="BF131" s="2"/>
      <c r="BG131" s="2"/>
      <c r="BH131" s="2"/>
      <c r="BI131" s="2"/>
      <c r="BJ131" s="2"/>
      <c r="BK131" s="2"/>
      <c r="BL131" s="2"/>
    </row>
    <row r="132" spans="5:64" x14ac:dyDescent="0.3">
      <c r="E132" s="17">
        <f t="shared" si="235"/>
        <v>2021</v>
      </c>
      <c r="F132" s="472">
        <f ca="1"/>
        <v>402776.09093401907</v>
      </c>
      <c r="G132" s="472">
        <f t="shared" ca="1" si="231"/>
        <v>0</v>
      </c>
      <c r="H132" s="472">
        <f t="shared" ca="1" si="228"/>
        <v>0</v>
      </c>
      <c r="I132" s="472">
        <f t="shared" ca="1" si="228"/>
        <v>0</v>
      </c>
      <c r="J132" s="472">
        <f t="shared" ca="1" si="228"/>
        <v>0</v>
      </c>
      <c r="K132" s="472">
        <f t="shared" ca="1" si="228"/>
        <v>0</v>
      </c>
      <c r="L132" s="472">
        <f t="shared" ca="1" si="228"/>
        <v>0</v>
      </c>
      <c r="M132" s="472">
        <f t="shared" ca="1" si="228"/>
        <v>0</v>
      </c>
      <c r="N132" s="472">
        <f t="shared" ca="1" si="228"/>
        <v>0</v>
      </c>
      <c r="O132" s="472">
        <f t="shared" ca="1" si="228"/>
        <v>57596.981003564724</v>
      </c>
      <c r="P132" s="472">
        <f t="shared" ca="1" si="228"/>
        <v>98680.142278834668</v>
      </c>
      <c r="Q132" s="472">
        <f t="shared" ca="1" si="228"/>
        <v>70485.815913453334</v>
      </c>
      <c r="R132" s="472">
        <f t="shared" ca="1" si="228"/>
        <v>50347.011366752384</v>
      </c>
      <c r="S132" s="472">
        <f t="shared" ca="1" si="228"/>
        <v>35847.072093127696</v>
      </c>
      <c r="T132" s="472">
        <f t="shared" ca="1" si="228"/>
        <v>35847.072093127696</v>
      </c>
      <c r="U132" s="472">
        <f t="shared" ca="1" si="228"/>
        <v>35847.072093127696</v>
      </c>
      <c r="V132" s="472">
        <f t="shared" ca="1" si="228"/>
        <v>18124.924092030858</v>
      </c>
      <c r="W132" s="472">
        <f t="shared" ca="1" si="228"/>
        <v>0</v>
      </c>
      <c r="X132" s="472">
        <f t="shared" ca="1" si="229"/>
        <v>0</v>
      </c>
      <c r="Y132" s="472">
        <f t="shared" ca="1" si="229"/>
        <v>0</v>
      </c>
      <c r="Z132" s="472">
        <f t="shared" ca="1" si="229"/>
        <v>0</v>
      </c>
      <c r="AA132" s="472">
        <f t="shared" ca="1" si="229"/>
        <v>0</v>
      </c>
      <c r="AB132" s="472">
        <f t="shared" ca="1" si="229"/>
        <v>0</v>
      </c>
      <c r="AC132" s="472">
        <f t="shared" ca="1" si="229"/>
        <v>0</v>
      </c>
      <c r="AD132" s="472">
        <f t="shared" ca="1" si="229"/>
        <v>0</v>
      </c>
      <c r="AE132" s="472">
        <f t="shared" ca="1" si="229"/>
        <v>0</v>
      </c>
      <c r="AF132" s="472">
        <f t="shared" ca="1" si="229"/>
        <v>0</v>
      </c>
      <c r="AG132" s="472">
        <f t="shared" ca="1" si="229"/>
        <v>0</v>
      </c>
      <c r="AH132" s="472">
        <f t="shared" ca="1" si="229"/>
        <v>0</v>
      </c>
      <c r="AI132" s="472">
        <f t="shared" ca="1" si="229"/>
        <v>0</v>
      </c>
      <c r="AJ132" s="472">
        <f t="shared" ca="1" si="229"/>
        <v>0</v>
      </c>
      <c r="AK132" s="472">
        <f t="shared" ca="1" si="229"/>
        <v>0</v>
      </c>
      <c r="AL132" s="472">
        <f t="shared" ca="1" si="229"/>
        <v>0</v>
      </c>
      <c r="AM132" s="472">
        <f t="shared" ca="1" si="229"/>
        <v>0</v>
      </c>
      <c r="AN132" s="472">
        <f t="shared" ca="1" si="230"/>
        <v>0</v>
      </c>
      <c r="AO132" s="472">
        <f t="shared" ca="1" si="230"/>
        <v>0</v>
      </c>
      <c r="AP132" s="472">
        <f t="shared" ca="1" si="230"/>
        <v>0</v>
      </c>
      <c r="AQ132" s="472">
        <f t="shared" ca="1" si="230"/>
        <v>0</v>
      </c>
      <c r="AR132" s="472">
        <f t="shared" ca="1" si="230"/>
        <v>0</v>
      </c>
      <c r="AS132" s="472">
        <f t="shared" ca="1" si="230"/>
        <v>0</v>
      </c>
      <c r="AT132" s="472">
        <f t="shared" ca="1" si="230"/>
        <v>0</v>
      </c>
      <c r="AU132" s="472">
        <f t="shared" ca="1" si="230"/>
        <v>0</v>
      </c>
      <c r="AV132" s="472">
        <f t="shared" ca="1" si="232"/>
        <v>402776.09093401907</v>
      </c>
      <c r="AW132" s="472">
        <f t="shared" ca="1" si="233"/>
        <v>0</v>
      </c>
      <c r="AX132" s="472">
        <f t="shared" ca="1" si="234"/>
        <v>402776.09093401907</v>
      </c>
      <c r="AZ132" s="2"/>
      <c r="BA132" s="2"/>
      <c r="BB132" s="2"/>
      <c r="BC132" s="2"/>
      <c r="BD132" s="2"/>
      <c r="BE132" s="2"/>
      <c r="BF132" s="2"/>
      <c r="BG132" s="2"/>
      <c r="BH132" s="2"/>
      <c r="BI132" s="2"/>
      <c r="BJ132" s="2"/>
      <c r="BK132" s="2"/>
      <c r="BL132" s="2"/>
    </row>
    <row r="133" spans="5:64" x14ac:dyDescent="0.3">
      <c r="E133" s="17">
        <f t="shared" si="235"/>
        <v>2022</v>
      </c>
      <c r="F133" s="472">
        <f ca="1"/>
        <v>401598.20678225358</v>
      </c>
      <c r="G133" s="472">
        <f t="shared" ca="1" si="231"/>
        <v>0</v>
      </c>
      <c r="H133" s="472">
        <f t="shared" ca="1" si="228"/>
        <v>0</v>
      </c>
      <c r="I133" s="472">
        <f t="shared" ca="1" si="228"/>
        <v>0</v>
      </c>
      <c r="J133" s="472">
        <f t="shared" ca="1" si="228"/>
        <v>0</v>
      </c>
      <c r="K133" s="472">
        <f t="shared" ca="1" si="228"/>
        <v>0</v>
      </c>
      <c r="L133" s="472">
        <f t="shared" ca="1" si="228"/>
        <v>0</v>
      </c>
      <c r="M133" s="472">
        <f t="shared" ca="1" si="228"/>
        <v>0</v>
      </c>
      <c r="N133" s="472">
        <f t="shared" ca="1" si="228"/>
        <v>0</v>
      </c>
      <c r="O133" s="472">
        <f t="shared" ca="1" si="228"/>
        <v>0</v>
      </c>
      <c r="P133" s="472">
        <f t="shared" ca="1" si="228"/>
        <v>57428.543569862253</v>
      </c>
      <c r="Q133" s="472">
        <f t="shared" ca="1" si="228"/>
        <v>98391.560661652125</v>
      </c>
      <c r="R133" s="472">
        <f t="shared" ca="1" si="228"/>
        <v>70279.686186894367</v>
      </c>
      <c r="S133" s="472">
        <f t="shared" ca="1" si="228"/>
        <v>50199.775847781697</v>
      </c>
      <c r="T133" s="472">
        <f t="shared" ca="1" si="228"/>
        <v>35742.24040362057</v>
      </c>
      <c r="U133" s="472">
        <f t="shared" ca="1" si="228"/>
        <v>35742.24040362057</v>
      </c>
      <c r="V133" s="472">
        <f t="shared" ca="1" si="228"/>
        <v>35742.24040362057</v>
      </c>
      <c r="W133" s="472">
        <f t="shared" ca="1" si="228"/>
        <v>18071.919305201409</v>
      </c>
      <c r="X133" s="472">
        <f t="shared" ca="1" si="229"/>
        <v>0</v>
      </c>
      <c r="Y133" s="472">
        <f t="shared" ca="1" si="229"/>
        <v>0</v>
      </c>
      <c r="Z133" s="472">
        <f t="shared" ca="1" si="229"/>
        <v>0</v>
      </c>
      <c r="AA133" s="472">
        <f t="shared" ca="1" si="229"/>
        <v>0</v>
      </c>
      <c r="AB133" s="472">
        <f t="shared" ca="1" si="229"/>
        <v>0</v>
      </c>
      <c r="AC133" s="472">
        <f t="shared" ca="1" si="229"/>
        <v>0</v>
      </c>
      <c r="AD133" s="472">
        <f t="shared" ca="1" si="229"/>
        <v>0</v>
      </c>
      <c r="AE133" s="472">
        <f t="shared" ca="1" si="229"/>
        <v>0</v>
      </c>
      <c r="AF133" s="472">
        <f t="shared" ca="1" si="229"/>
        <v>0</v>
      </c>
      <c r="AG133" s="472">
        <f t="shared" ca="1" si="229"/>
        <v>0</v>
      </c>
      <c r="AH133" s="472">
        <f t="shared" ca="1" si="229"/>
        <v>0</v>
      </c>
      <c r="AI133" s="472">
        <f t="shared" ca="1" si="229"/>
        <v>0</v>
      </c>
      <c r="AJ133" s="472">
        <f t="shared" ca="1" si="229"/>
        <v>0</v>
      </c>
      <c r="AK133" s="472">
        <f t="shared" ca="1" si="229"/>
        <v>0</v>
      </c>
      <c r="AL133" s="472">
        <f t="shared" ca="1" si="229"/>
        <v>0</v>
      </c>
      <c r="AM133" s="472">
        <f t="shared" ca="1" si="229"/>
        <v>0</v>
      </c>
      <c r="AN133" s="472">
        <f t="shared" ca="1" si="230"/>
        <v>0</v>
      </c>
      <c r="AO133" s="472">
        <f t="shared" ca="1" si="230"/>
        <v>0</v>
      </c>
      <c r="AP133" s="472">
        <f t="shared" ca="1" si="230"/>
        <v>0</v>
      </c>
      <c r="AQ133" s="472">
        <f t="shared" ca="1" si="230"/>
        <v>0</v>
      </c>
      <c r="AR133" s="472">
        <f t="shared" ca="1" si="230"/>
        <v>0</v>
      </c>
      <c r="AS133" s="472">
        <f t="shared" ca="1" si="230"/>
        <v>0</v>
      </c>
      <c r="AT133" s="472">
        <f t="shared" ca="1" si="230"/>
        <v>0</v>
      </c>
      <c r="AU133" s="472">
        <f t="shared" ca="1" si="230"/>
        <v>0</v>
      </c>
      <c r="AV133" s="472">
        <f t="shared" ca="1" si="232"/>
        <v>401598.20678225358</v>
      </c>
      <c r="AW133" s="472">
        <f t="shared" ca="1" si="233"/>
        <v>0</v>
      </c>
      <c r="AX133" s="472">
        <f t="shared" ca="1" si="234"/>
        <v>401598.20678225358</v>
      </c>
      <c r="AZ133" s="223"/>
      <c r="BA133" s="2"/>
      <c r="BB133" s="2"/>
      <c r="BC133" s="2"/>
      <c r="BD133" s="2"/>
      <c r="BE133" s="2"/>
      <c r="BF133" s="2"/>
      <c r="BG133" s="2"/>
      <c r="BH133" s="2"/>
      <c r="BI133" s="2"/>
      <c r="BJ133" s="2"/>
      <c r="BK133" s="2"/>
      <c r="BL133" s="2"/>
    </row>
    <row r="134" spans="5:64" x14ac:dyDescent="0.3">
      <c r="E134" s="17">
        <f t="shared" si="235"/>
        <v>2023</v>
      </c>
      <c r="F134" s="472">
        <f ca="1"/>
        <v>400555.36173011112</v>
      </c>
      <c r="G134" s="472">
        <f t="shared" ca="1" si="231"/>
        <v>0</v>
      </c>
      <c r="H134" s="472">
        <f t="shared" ca="1" si="228"/>
        <v>0</v>
      </c>
      <c r="I134" s="472">
        <f t="shared" ca="1" si="228"/>
        <v>0</v>
      </c>
      <c r="J134" s="472">
        <f t="shared" ca="1" si="228"/>
        <v>0</v>
      </c>
      <c r="K134" s="472">
        <f t="shared" ca="1" si="228"/>
        <v>0</v>
      </c>
      <c r="L134" s="472">
        <f t="shared" ca="1" si="228"/>
        <v>0</v>
      </c>
      <c r="M134" s="472">
        <f t="shared" ca="1" si="228"/>
        <v>0</v>
      </c>
      <c r="N134" s="472">
        <f t="shared" ca="1" si="228"/>
        <v>0</v>
      </c>
      <c r="O134" s="472">
        <f t="shared" ca="1" si="228"/>
        <v>0</v>
      </c>
      <c r="P134" s="472">
        <f t="shared" ca="1" si="228"/>
        <v>0</v>
      </c>
      <c r="Q134" s="472">
        <f t="shared" ca="1" si="228"/>
        <v>57279.416727405885</v>
      </c>
      <c r="R134" s="472">
        <f t="shared" ca="1" si="228"/>
        <v>98136.063623877228</v>
      </c>
      <c r="S134" s="472">
        <f t="shared" ca="1" si="228"/>
        <v>70097.188302769442</v>
      </c>
      <c r="T134" s="472">
        <f t="shared" ca="1" si="228"/>
        <v>50069.42021626389</v>
      </c>
      <c r="U134" s="472">
        <f t="shared" ca="1" si="228"/>
        <v>35649.427193979885</v>
      </c>
      <c r="V134" s="472">
        <f t="shared" ca="1" si="228"/>
        <v>35649.427193979885</v>
      </c>
      <c r="W134" s="472">
        <f t="shared" ca="1" si="228"/>
        <v>35649.427193979885</v>
      </c>
      <c r="X134" s="472">
        <f t="shared" ca="1" si="229"/>
        <v>18024.991277854999</v>
      </c>
      <c r="Y134" s="472">
        <f t="shared" ca="1" si="229"/>
        <v>0</v>
      </c>
      <c r="Z134" s="472">
        <f t="shared" ca="1" si="229"/>
        <v>0</v>
      </c>
      <c r="AA134" s="472">
        <f t="shared" ca="1" si="229"/>
        <v>0</v>
      </c>
      <c r="AB134" s="472">
        <f t="shared" ca="1" si="229"/>
        <v>0</v>
      </c>
      <c r="AC134" s="472">
        <f t="shared" ca="1" si="229"/>
        <v>0</v>
      </c>
      <c r="AD134" s="472">
        <f t="shared" ca="1" si="229"/>
        <v>0</v>
      </c>
      <c r="AE134" s="472">
        <f t="shared" ca="1" si="229"/>
        <v>0</v>
      </c>
      <c r="AF134" s="472">
        <f t="shared" ca="1" si="229"/>
        <v>0</v>
      </c>
      <c r="AG134" s="472">
        <f t="shared" ca="1" si="229"/>
        <v>0</v>
      </c>
      <c r="AH134" s="472">
        <f t="shared" ca="1" si="229"/>
        <v>0</v>
      </c>
      <c r="AI134" s="472">
        <f t="shared" ca="1" si="229"/>
        <v>0</v>
      </c>
      <c r="AJ134" s="472">
        <f t="shared" ca="1" si="229"/>
        <v>0</v>
      </c>
      <c r="AK134" s="472">
        <f t="shared" ca="1" si="229"/>
        <v>0</v>
      </c>
      <c r="AL134" s="472">
        <f t="shared" ca="1" si="229"/>
        <v>0</v>
      </c>
      <c r="AM134" s="472">
        <f t="shared" ca="1" si="229"/>
        <v>0</v>
      </c>
      <c r="AN134" s="472">
        <f t="shared" ca="1" si="230"/>
        <v>0</v>
      </c>
      <c r="AO134" s="472">
        <f t="shared" ca="1" si="230"/>
        <v>0</v>
      </c>
      <c r="AP134" s="472">
        <f t="shared" ca="1" si="230"/>
        <v>0</v>
      </c>
      <c r="AQ134" s="472">
        <f t="shared" ca="1" si="230"/>
        <v>0</v>
      </c>
      <c r="AR134" s="472">
        <f t="shared" ca="1" si="230"/>
        <v>0</v>
      </c>
      <c r="AS134" s="472">
        <f t="shared" ca="1" si="230"/>
        <v>0</v>
      </c>
      <c r="AT134" s="472">
        <f t="shared" ca="1" si="230"/>
        <v>0</v>
      </c>
      <c r="AU134" s="472">
        <f t="shared" ca="1" si="230"/>
        <v>0</v>
      </c>
      <c r="AV134" s="472">
        <f t="shared" ca="1" si="232"/>
        <v>400555.36173011118</v>
      </c>
      <c r="AW134" s="472">
        <f t="shared" ca="1" si="233"/>
        <v>0</v>
      </c>
      <c r="AX134" s="472">
        <f t="shared" ca="1" si="234"/>
        <v>400555.36173011118</v>
      </c>
      <c r="AZ134" s="223"/>
      <c r="BA134" s="2"/>
      <c r="BB134" s="2"/>
      <c r="BC134" s="2"/>
      <c r="BD134" s="2"/>
      <c r="BE134" s="2"/>
      <c r="BF134" s="2"/>
      <c r="BG134" s="2"/>
      <c r="BH134" s="2"/>
      <c r="BI134" s="2"/>
      <c r="BJ134" s="2"/>
      <c r="BK134" s="2"/>
      <c r="BL134" s="2"/>
    </row>
    <row r="135" spans="5:64" x14ac:dyDescent="0.3">
      <c r="E135" s="17">
        <f t="shared" si="235"/>
        <v>2024</v>
      </c>
      <c r="F135" s="472">
        <f ca="1"/>
        <v>399650.10705201054</v>
      </c>
      <c r="G135" s="472">
        <f t="shared" ca="1" si="231"/>
        <v>0</v>
      </c>
      <c r="H135" s="472">
        <f t="shared" ca="1" si="228"/>
        <v>0</v>
      </c>
      <c r="I135" s="472">
        <f t="shared" ca="1" si="228"/>
        <v>0</v>
      </c>
      <c r="J135" s="472">
        <f t="shared" ca="1" si="228"/>
        <v>0</v>
      </c>
      <c r="K135" s="472">
        <f t="shared" ca="1" si="228"/>
        <v>0</v>
      </c>
      <c r="L135" s="472">
        <f t="shared" ca="1" si="228"/>
        <v>0</v>
      </c>
      <c r="M135" s="472">
        <f t="shared" ca="1" si="228"/>
        <v>0</v>
      </c>
      <c r="N135" s="472">
        <f t="shared" ca="1" si="228"/>
        <v>0</v>
      </c>
      <c r="O135" s="472">
        <f t="shared" ca="1" si="228"/>
        <v>0</v>
      </c>
      <c r="P135" s="472">
        <f t="shared" ca="1" si="228"/>
        <v>0</v>
      </c>
      <c r="Q135" s="472">
        <f t="shared" ca="1" si="228"/>
        <v>0</v>
      </c>
      <c r="R135" s="472">
        <f t="shared" ca="1" si="228"/>
        <v>57149.965308437502</v>
      </c>
      <c r="S135" s="472">
        <f t="shared" ca="1" si="228"/>
        <v>97914.276227742579</v>
      </c>
      <c r="T135" s="472">
        <f t="shared" ca="1" si="228"/>
        <v>69938.768734101846</v>
      </c>
      <c r="U135" s="472">
        <f t="shared" ca="1" si="228"/>
        <v>49956.263381501318</v>
      </c>
      <c r="V135" s="472">
        <f t="shared" ca="1" si="228"/>
        <v>35568.859527628934</v>
      </c>
      <c r="W135" s="472">
        <f t="shared" ca="1" si="228"/>
        <v>35568.859527628934</v>
      </c>
      <c r="X135" s="472">
        <f t="shared" ca="1" si="229"/>
        <v>35568.859527628934</v>
      </c>
      <c r="Y135" s="472">
        <f t="shared" ca="1" si="229"/>
        <v>17984.254817340472</v>
      </c>
      <c r="Z135" s="472">
        <f t="shared" ca="1" si="229"/>
        <v>0</v>
      </c>
      <c r="AA135" s="472">
        <f t="shared" ca="1" si="229"/>
        <v>0</v>
      </c>
      <c r="AB135" s="472">
        <f t="shared" ca="1" si="229"/>
        <v>0</v>
      </c>
      <c r="AC135" s="472">
        <f t="shared" ca="1" si="229"/>
        <v>0</v>
      </c>
      <c r="AD135" s="472">
        <f t="shared" ca="1" si="229"/>
        <v>0</v>
      </c>
      <c r="AE135" s="472">
        <f t="shared" ca="1" si="229"/>
        <v>0</v>
      </c>
      <c r="AF135" s="472">
        <f t="shared" ca="1" si="229"/>
        <v>0</v>
      </c>
      <c r="AG135" s="472">
        <f t="shared" ca="1" si="229"/>
        <v>0</v>
      </c>
      <c r="AH135" s="472">
        <f t="shared" ca="1" si="229"/>
        <v>0</v>
      </c>
      <c r="AI135" s="472">
        <f t="shared" ca="1" si="229"/>
        <v>0</v>
      </c>
      <c r="AJ135" s="472">
        <f t="shared" ca="1" si="229"/>
        <v>0</v>
      </c>
      <c r="AK135" s="472">
        <f t="shared" ca="1" si="229"/>
        <v>0</v>
      </c>
      <c r="AL135" s="472">
        <f t="shared" ca="1" si="229"/>
        <v>0</v>
      </c>
      <c r="AM135" s="472">
        <f t="shared" ca="1" si="229"/>
        <v>0</v>
      </c>
      <c r="AN135" s="472">
        <f t="shared" ca="1" si="230"/>
        <v>0</v>
      </c>
      <c r="AO135" s="472">
        <f t="shared" ca="1" si="230"/>
        <v>0</v>
      </c>
      <c r="AP135" s="472">
        <f t="shared" ca="1" si="230"/>
        <v>0</v>
      </c>
      <c r="AQ135" s="472">
        <f t="shared" ca="1" si="230"/>
        <v>0</v>
      </c>
      <c r="AR135" s="472">
        <f t="shared" ca="1" si="230"/>
        <v>0</v>
      </c>
      <c r="AS135" s="472">
        <f t="shared" ca="1" si="230"/>
        <v>0</v>
      </c>
      <c r="AT135" s="472">
        <f t="shared" ca="1" si="230"/>
        <v>0</v>
      </c>
      <c r="AU135" s="472">
        <f t="shared" ca="1" si="230"/>
        <v>0</v>
      </c>
      <c r="AV135" s="472">
        <f t="shared" ca="1" si="232"/>
        <v>399650.10705201048</v>
      </c>
      <c r="AW135" s="472">
        <f t="shared" ca="1" si="233"/>
        <v>0</v>
      </c>
      <c r="AX135" s="472">
        <f t="shared" ca="1" si="234"/>
        <v>399650.10705201048</v>
      </c>
      <c r="AZ135" s="2"/>
      <c r="BA135" s="2"/>
      <c r="BB135" s="2"/>
      <c r="BC135" s="2"/>
      <c r="BD135" s="2"/>
      <c r="BE135" s="2"/>
      <c r="BF135" s="2"/>
      <c r="BG135" s="2"/>
      <c r="BH135" s="2"/>
      <c r="BI135" s="2"/>
      <c r="BJ135" s="2"/>
      <c r="BK135" s="2"/>
      <c r="BL135" s="2"/>
    </row>
    <row r="136" spans="5:64" x14ac:dyDescent="0.3">
      <c r="E136" s="17">
        <f t="shared" si="235"/>
        <v>2025</v>
      </c>
      <c r="F136" s="472">
        <f ca="1"/>
        <v>398814.57390079316</v>
      </c>
      <c r="G136" s="472">
        <f t="shared" ca="1" si="231"/>
        <v>0</v>
      </c>
      <c r="H136" s="472">
        <f t="shared" ca="1" si="228"/>
        <v>0</v>
      </c>
      <c r="I136" s="472">
        <f t="shared" ca="1" si="228"/>
        <v>0</v>
      </c>
      <c r="J136" s="472">
        <f t="shared" ca="1" si="228"/>
        <v>0</v>
      </c>
      <c r="K136" s="472">
        <f t="shared" ca="1" si="228"/>
        <v>0</v>
      </c>
      <c r="L136" s="472">
        <f t="shared" ca="1" si="228"/>
        <v>0</v>
      </c>
      <c r="M136" s="472">
        <f t="shared" ca="1" si="228"/>
        <v>0</v>
      </c>
      <c r="N136" s="472">
        <f t="shared" ca="1" si="228"/>
        <v>0</v>
      </c>
      <c r="O136" s="472">
        <f t="shared" ca="1" si="228"/>
        <v>0</v>
      </c>
      <c r="P136" s="472">
        <f t="shared" ca="1" si="228"/>
        <v>0</v>
      </c>
      <c r="Q136" s="472">
        <f t="shared" ca="1" si="228"/>
        <v>0</v>
      </c>
      <c r="R136" s="472">
        <f t="shared" ca="1" si="228"/>
        <v>0</v>
      </c>
      <c r="S136" s="472">
        <f t="shared" ca="1" si="228"/>
        <v>57030.484067813413</v>
      </c>
      <c r="T136" s="472">
        <f t="shared" ca="1" si="228"/>
        <v>97709.570605694316</v>
      </c>
      <c r="U136" s="472">
        <f t="shared" ca="1" si="228"/>
        <v>69792.550432638804</v>
      </c>
      <c r="V136" s="472">
        <f t="shared" ca="1" si="228"/>
        <v>49851.821737599144</v>
      </c>
      <c r="W136" s="472">
        <f t="shared" ca="1" si="228"/>
        <v>35494.497077170592</v>
      </c>
      <c r="X136" s="472">
        <f t="shared" ca="1" si="229"/>
        <v>35494.497077170592</v>
      </c>
      <c r="Y136" s="472">
        <f t="shared" ca="1" si="229"/>
        <v>35494.497077170592</v>
      </c>
      <c r="Z136" s="472">
        <f t="shared" ca="1" si="229"/>
        <v>17946.65582553569</v>
      </c>
      <c r="AA136" s="472">
        <f t="shared" ca="1" si="229"/>
        <v>0</v>
      </c>
      <c r="AB136" s="472">
        <f t="shared" ca="1" si="229"/>
        <v>0</v>
      </c>
      <c r="AC136" s="472">
        <f t="shared" ca="1" si="229"/>
        <v>0</v>
      </c>
      <c r="AD136" s="472">
        <f t="shared" ca="1" si="229"/>
        <v>0</v>
      </c>
      <c r="AE136" s="472">
        <f t="shared" ca="1" si="229"/>
        <v>0</v>
      </c>
      <c r="AF136" s="472">
        <f t="shared" ca="1" si="229"/>
        <v>0</v>
      </c>
      <c r="AG136" s="472">
        <f t="shared" ca="1" si="229"/>
        <v>0</v>
      </c>
      <c r="AH136" s="472">
        <f t="shared" ca="1" si="229"/>
        <v>0</v>
      </c>
      <c r="AI136" s="472">
        <f t="shared" ca="1" si="229"/>
        <v>0</v>
      </c>
      <c r="AJ136" s="472">
        <f t="shared" ca="1" si="229"/>
        <v>0</v>
      </c>
      <c r="AK136" s="472">
        <f t="shared" ca="1" si="229"/>
        <v>0</v>
      </c>
      <c r="AL136" s="472">
        <f t="shared" ca="1" si="229"/>
        <v>0</v>
      </c>
      <c r="AM136" s="472">
        <f t="shared" ca="1" si="229"/>
        <v>0</v>
      </c>
      <c r="AN136" s="472">
        <f t="shared" ca="1" si="230"/>
        <v>0</v>
      </c>
      <c r="AO136" s="472">
        <f t="shared" ca="1" si="230"/>
        <v>0</v>
      </c>
      <c r="AP136" s="472">
        <f t="shared" ca="1" si="230"/>
        <v>0</v>
      </c>
      <c r="AQ136" s="472">
        <f t="shared" ca="1" si="230"/>
        <v>0</v>
      </c>
      <c r="AR136" s="472">
        <f t="shared" ca="1" si="230"/>
        <v>0</v>
      </c>
      <c r="AS136" s="472">
        <f t="shared" ca="1" si="230"/>
        <v>0</v>
      </c>
      <c r="AT136" s="472">
        <f t="shared" ca="1" si="230"/>
        <v>0</v>
      </c>
      <c r="AU136" s="472">
        <f t="shared" ca="1" si="230"/>
        <v>0</v>
      </c>
      <c r="AV136" s="472">
        <f t="shared" ca="1" si="232"/>
        <v>398814.57390079316</v>
      </c>
      <c r="AW136" s="472">
        <f t="shared" ca="1" si="233"/>
        <v>0</v>
      </c>
      <c r="AX136" s="472">
        <f t="shared" ca="1" si="234"/>
        <v>398814.57390079316</v>
      </c>
      <c r="AZ136" s="2"/>
      <c r="BA136" s="2"/>
      <c r="BB136" s="2"/>
      <c r="BC136" s="2"/>
      <c r="BD136" s="2"/>
      <c r="BE136" s="2"/>
      <c r="BF136" s="2"/>
      <c r="BG136" s="2"/>
      <c r="BH136" s="2"/>
      <c r="BI136" s="2"/>
      <c r="BJ136" s="2"/>
      <c r="BK136" s="2"/>
      <c r="BL136" s="2"/>
    </row>
    <row r="137" spans="5:64" x14ac:dyDescent="0.3">
      <c r="E137" s="17">
        <f t="shared" si="235"/>
        <v>2026</v>
      </c>
      <c r="F137" s="472">
        <f ca="1"/>
        <v>391820.56169482379</v>
      </c>
      <c r="G137" s="472">
        <f t="shared" ca="1" si="231"/>
        <v>0</v>
      </c>
      <c r="H137" s="472">
        <f t="shared" ca="1" si="228"/>
        <v>0</v>
      </c>
      <c r="I137" s="472">
        <f t="shared" ca="1" si="228"/>
        <v>0</v>
      </c>
      <c r="J137" s="472">
        <f t="shared" ca="1" si="228"/>
        <v>0</v>
      </c>
      <c r="K137" s="472">
        <f t="shared" ca="1" si="228"/>
        <v>0</v>
      </c>
      <c r="L137" s="472">
        <f t="shared" ca="1" si="228"/>
        <v>0</v>
      </c>
      <c r="M137" s="472">
        <f t="shared" ca="1" si="228"/>
        <v>0</v>
      </c>
      <c r="N137" s="472">
        <f t="shared" ca="1" si="228"/>
        <v>0</v>
      </c>
      <c r="O137" s="472">
        <f t="shared" ca="1" si="228"/>
        <v>0</v>
      </c>
      <c r="P137" s="472">
        <f t="shared" ca="1" si="228"/>
        <v>0</v>
      </c>
      <c r="Q137" s="472">
        <f t="shared" ca="1" si="228"/>
        <v>0</v>
      </c>
      <c r="R137" s="472">
        <f t="shared" ca="1" si="228"/>
        <v>0</v>
      </c>
      <c r="S137" s="472">
        <f t="shared" ca="1" si="228"/>
        <v>0</v>
      </c>
      <c r="T137" s="472">
        <f t="shared" ca="1" si="228"/>
        <v>56030.3403223598</v>
      </c>
      <c r="U137" s="472">
        <f t="shared" ca="1" si="228"/>
        <v>95996.03761523182</v>
      </c>
      <c r="V137" s="472">
        <f t="shared" ca="1" si="228"/>
        <v>68568.598296594166</v>
      </c>
      <c r="W137" s="472">
        <f t="shared" ca="1" si="228"/>
        <v>48977.570211852973</v>
      </c>
      <c r="X137" s="472">
        <f t="shared" ca="1" si="229"/>
        <v>34872.029990839314</v>
      </c>
      <c r="Y137" s="472">
        <f t="shared" ca="1" si="229"/>
        <v>34872.029990839314</v>
      </c>
      <c r="Z137" s="472">
        <f t="shared" ca="1" si="229"/>
        <v>34872.029990839314</v>
      </c>
      <c r="AA137" s="472">
        <f t="shared" ca="1" si="229"/>
        <v>17631.925276267069</v>
      </c>
      <c r="AB137" s="472">
        <f t="shared" ca="1" si="229"/>
        <v>0</v>
      </c>
      <c r="AC137" s="472">
        <f t="shared" ca="1" si="229"/>
        <v>0</v>
      </c>
      <c r="AD137" s="472">
        <f t="shared" ca="1" si="229"/>
        <v>0</v>
      </c>
      <c r="AE137" s="472">
        <f t="shared" ca="1" si="229"/>
        <v>0</v>
      </c>
      <c r="AF137" s="472">
        <f t="shared" ca="1" si="229"/>
        <v>0</v>
      </c>
      <c r="AG137" s="472">
        <f t="shared" ca="1" si="229"/>
        <v>0</v>
      </c>
      <c r="AH137" s="472">
        <f t="shared" ca="1" si="229"/>
        <v>0</v>
      </c>
      <c r="AI137" s="472">
        <f t="shared" ca="1" si="229"/>
        <v>0</v>
      </c>
      <c r="AJ137" s="472">
        <f t="shared" ca="1" si="229"/>
        <v>0</v>
      </c>
      <c r="AK137" s="472">
        <f t="shared" ca="1" si="229"/>
        <v>0</v>
      </c>
      <c r="AL137" s="472">
        <f t="shared" ca="1" si="229"/>
        <v>0</v>
      </c>
      <c r="AM137" s="472">
        <f t="shared" ca="1" si="229"/>
        <v>0</v>
      </c>
      <c r="AN137" s="472">
        <f t="shared" ca="1" si="230"/>
        <v>0</v>
      </c>
      <c r="AO137" s="472">
        <f t="shared" ca="1" si="230"/>
        <v>0</v>
      </c>
      <c r="AP137" s="472">
        <f t="shared" ca="1" si="230"/>
        <v>0</v>
      </c>
      <c r="AQ137" s="472">
        <f t="shared" ca="1" si="230"/>
        <v>0</v>
      </c>
      <c r="AR137" s="472">
        <f t="shared" ca="1" si="230"/>
        <v>0</v>
      </c>
      <c r="AS137" s="472">
        <f t="shared" ca="1" si="230"/>
        <v>0</v>
      </c>
      <c r="AT137" s="472">
        <f t="shared" ca="1" si="230"/>
        <v>0</v>
      </c>
      <c r="AU137" s="472">
        <f t="shared" ca="1" si="230"/>
        <v>0</v>
      </c>
      <c r="AV137" s="472">
        <f t="shared" ca="1" si="232"/>
        <v>391820.56169482373</v>
      </c>
      <c r="AW137" s="472">
        <f t="shared" ca="1" si="233"/>
        <v>0</v>
      </c>
      <c r="AX137" s="472">
        <f t="shared" ca="1" si="234"/>
        <v>391820.56169482373</v>
      </c>
      <c r="AZ137" s="223"/>
      <c r="BA137" s="2"/>
      <c r="BB137" s="2"/>
      <c r="BC137" s="2"/>
      <c r="BD137" s="2"/>
      <c r="BE137" s="2"/>
      <c r="BF137" s="2"/>
      <c r="BG137" s="2"/>
      <c r="BH137" s="2"/>
      <c r="BI137" s="2"/>
      <c r="BJ137" s="2"/>
      <c r="BK137" s="2"/>
      <c r="BL137" s="2"/>
    </row>
    <row r="138" spans="5:64" x14ac:dyDescent="0.3">
      <c r="E138" s="17">
        <f t="shared" si="235"/>
        <v>2027</v>
      </c>
      <c r="F138" s="472">
        <f ca="1"/>
        <v>390902.30683278514</v>
      </c>
      <c r="G138" s="472">
        <f t="shared" ca="1" si="231"/>
        <v>0</v>
      </c>
      <c r="H138" s="472">
        <f t="shared" ca="1" si="228"/>
        <v>0</v>
      </c>
      <c r="I138" s="472">
        <f t="shared" ca="1" si="228"/>
        <v>0</v>
      </c>
      <c r="J138" s="472">
        <f t="shared" ca="1" si="228"/>
        <v>0</v>
      </c>
      <c r="K138" s="472">
        <f t="shared" ca="1" si="228"/>
        <v>0</v>
      </c>
      <c r="L138" s="472">
        <f t="shared" ca="1" si="228"/>
        <v>0</v>
      </c>
      <c r="M138" s="472">
        <f t="shared" ca="1" si="228"/>
        <v>0</v>
      </c>
      <c r="N138" s="472">
        <f t="shared" ca="1" si="228"/>
        <v>0</v>
      </c>
      <c r="O138" s="472">
        <f t="shared" ca="1" si="228"/>
        <v>0</v>
      </c>
      <c r="P138" s="472">
        <f t="shared" ca="1" si="228"/>
        <v>0</v>
      </c>
      <c r="Q138" s="472">
        <f t="shared" ca="1" si="228"/>
        <v>0</v>
      </c>
      <c r="R138" s="472">
        <f t="shared" ca="1" si="228"/>
        <v>0</v>
      </c>
      <c r="S138" s="472">
        <f t="shared" ca="1" si="228"/>
        <v>0</v>
      </c>
      <c r="T138" s="472">
        <f t="shared" ca="1" si="228"/>
        <v>0</v>
      </c>
      <c r="U138" s="472">
        <f t="shared" ca="1" si="228"/>
        <v>55899.029877088273</v>
      </c>
      <c r="V138" s="472">
        <f t="shared" ca="1" si="228"/>
        <v>95771.065174032352</v>
      </c>
      <c r="W138" s="472">
        <f t="shared" ca="1" si="228"/>
        <v>68407.90369573739</v>
      </c>
      <c r="X138" s="472">
        <f t="shared" ca="1" si="229"/>
        <v>48862.788354098142</v>
      </c>
      <c r="Y138" s="472">
        <f t="shared" ca="1" si="229"/>
        <v>34790.305308117873</v>
      </c>
      <c r="Z138" s="472">
        <f t="shared" ca="1" si="229"/>
        <v>34790.305308117873</v>
      </c>
      <c r="AA138" s="472">
        <f t="shared" ca="1" si="229"/>
        <v>34790.305308117873</v>
      </c>
      <c r="AB138" s="472">
        <f t="shared" ca="1" si="229"/>
        <v>17590.603807475331</v>
      </c>
      <c r="AC138" s="472">
        <f t="shared" ca="1" si="229"/>
        <v>0</v>
      </c>
      <c r="AD138" s="472">
        <f t="shared" ca="1" si="229"/>
        <v>0</v>
      </c>
      <c r="AE138" s="472">
        <f t="shared" ca="1" si="229"/>
        <v>0</v>
      </c>
      <c r="AF138" s="472">
        <f t="shared" ca="1" si="229"/>
        <v>0</v>
      </c>
      <c r="AG138" s="472">
        <f t="shared" ca="1" si="229"/>
        <v>0</v>
      </c>
      <c r="AH138" s="472">
        <f t="shared" ca="1" si="229"/>
        <v>0</v>
      </c>
      <c r="AI138" s="472">
        <f t="shared" ca="1" si="229"/>
        <v>0</v>
      </c>
      <c r="AJ138" s="472">
        <f t="shared" ca="1" si="229"/>
        <v>0</v>
      </c>
      <c r="AK138" s="472">
        <f t="shared" ca="1" si="229"/>
        <v>0</v>
      </c>
      <c r="AL138" s="472">
        <f t="shared" ca="1" si="229"/>
        <v>0</v>
      </c>
      <c r="AM138" s="472">
        <f t="shared" ca="1" si="229"/>
        <v>0</v>
      </c>
      <c r="AN138" s="472">
        <f t="shared" ca="1" si="230"/>
        <v>0</v>
      </c>
      <c r="AO138" s="472">
        <f t="shared" ca="1" si="230"/>
        <v>0</v>
      </c>
      <c r="AP138" s="472">
        <f t="shared" ca="1" si="230"/>
        <v>0</v>
      </c>
      <c r="AQ138" s="472">
        <f t="shared" ca="1" si="230"/>
        <v>0</v>
      </c>
      <c r="AR138" s="472">
        <f t="shared" ca="1" si="230"/>
        <v>0</v>
      </c>
      <c r="AS138" s="472">
        <f t="shared" ca="1" si="230"/>
        <v>0</v>
      </c>
      <c r="AT138" s="472">
        <f t="shared" ca="1" si="230"/>
        <v>0</v>
      </c>
      <c r="AU138" s="472">
        <f t="shared" ca="1" si="230"/>
        <v>0</v>
      </c>
      <c r="AV138" s="472">
        <f t="shared" ca="1" si="232"/>
        <v>390902.30683278514</v>
      </c>
      <c r="AW138" s="472">
        <f t="shared" ca="1" si="233"/>
        <v>0</v>
      </c>
      <c r="AX138" s="472">
        <f t="shared" ca="1" si="234"/>
        <v>390902.30683278514</v>
      </c>
      <c r="AZ138" s="2"/>
      <c r="BA138" s="2"/>
      <c r="BB138" s="2"/>
      <c r="BC138" s="2"/>
      <c r="BD138" s="2"/>
      <c r="BE138" s="2"/>
      <c r="BF138" s="2"/>
      <c r="BG138" s="2"/>
      <c r="BH138" s="2"/>
      <c r="BI138" s="2"/>
      <c r="BJ138" s="2"/>
      <c r="BK138" s="2"/>
      <c r="BL138" s="2"/>
    </row>
    <row r="139" spans="5:64" x14ac:dyDescent="0.3">
      <c r="E139" s="17">
        <f t="shared" si="235"/>
        <v>2028</v>
      </c>
      <c r="F139" s="472">
        <f ca="1"/>
        <v>390259.38630243327</v>
      </c>
      <c r="G139" s="472">
        <f t="shared" ca="1" si="231"/>
        <v>0</v>
      </c>
      <c r="H139" s="472">
        <f t="shared" ca="1" si="228"/>
        <v>0</v>
      </c>
      <c r="I139" s="472">
        <f t="shared" ca="1" si="228"/>
        <v>0</v>
      </c>
      <c r="J139" s="472">
        <f t="shared" ca="1" si="228"/>
        <v>0</v>
      </c>
      <c r="K139" s="472">
        <f t="shared" ca="1" si="228"/>
        <v>0</v>
      </c>
      <c r="L139" s="472">
        <f t="shared" ca="1" si="228"/>
        <v>0</v>
      </c>
      <c r="M139" s="472">
        <f t="shared" ca="1" si="228"/>
        <v>0</v>
      </c>
      <c r="N139" s="472">
        <f t="shared" ca="1" si="228"/>
        <v>0</v>
      </c>
      <c r="O139" s="472">
        <f t="shared" ca="1" si="228"/>
        <v>0</v>
      </c>
      <c r="P139" s="472">
        <f t="shared" ca="1" si="228"/>
        <v>0</v>
      </c>
      <c r="Q139" s="472">
        <f t="shared" ca="1" si="228"/>
        <v>0</v>
      </c>
      <c r="R139" s="472">
        <f t="shared" ca="1" si="228"/>
        <v>0</v>
      </c>
      <c r="S139" s="472">
        <f t="shared" ca="1" si="228"/>
        <v>0</v>
      </c>
      <c r="T139" s="472">
        <f t="shared" ca="1" si="228"/>
        <v>0</v>
      </c>
      <c r="U139" s="472">
        <f t="shared" ca="1" si="228"/>
        <v>0</v>
      </c>
      <c r="V139" s="472">
        <f t="shared" ca="1" si="228"/>
        <v>55807.092241247956</v>
      </c>
      <c r="W139" s="472">
        <f t="shared" ref="W139:AL154" ca="1" si="236">IF(W$121&gt;=$E139,OFFSET($F$123,0,W$122-($E139-$E$124))*$F139,0)</f>
        <v>95613.549644096143</v>
      </c>
      <c r="X139" s="472">
        <f t="shared" ca="1" si="229"/>
        <v>68295.392602925815</v>
      </c>
      <c r="Y139" s="472">
        <f t="shared" ca="1" si="229"/>
        <v>48782.423287804158</v>
      </c>
      <c r="Z139" s="472">
        <f t="shared" ca="1" si="229"/>
        <v>34733.085380916556</v>
      </c>
      <c r="AA139" s="472">
        <f t="shared" ca="1" si="229"/>
        <v>34733.085380916556</v>
      </c>
      <c r="AB139" s="472">
        <f t="shared" ca="1" si="229"/>
        <v>34733.085380916556</v>
      </c>
      <c r="AC139" s="472">
        <f t="shared" ca="1" si="229"/>
        <v>17561.672383609497</v>
      </c>
      <c r="AD139" s="472">
        <f t="shared" ca="1" si="229"/>
        <v>0</v>
      </c>
      <c r="AE139" s="472">
        <f t="shared" ca="1" si="229"/>
        <v>0</v>
      </c>
      <c r="AF139" s="472">
        <f t="shared" ca="1" si="229"/>
        <v>0</v>
      </c>
      <c r="AG139" s="472">
        <f t="shared" ca="1" si="229"/>
        <v>0</v>
      </c>
      <c r="AH139" s="472">
        <f t="shared" ca="1" si="229"/>
        <v>0</v>
      </c>
      <c r="AI139" s="472">
        <f t="shared" ca="1" si="229"/>
        <v>0</v>
      </c>
      <c r="AJ139" s="472">
        <f t="shared" ca="1" si="229"/>
        <v>0</v>
      </c>
      <c r="AK139" s="472">
        <f t="shared" ca="1" si="229"/>
        <v>0</v>
      </c>
      <c r="AL139" s="472">
        <f t="shared" ca="1" si="229"/>
        <v>0</v>
      </c>
      <c r="AM139" s="472">
        <f t="shared" ref="AM139:AU154" ca="1" si="237">IF(AM$121&gt;=$E139,OFFSET($F$123,0,AM$122-($E139-$E$124))*$F139,0)</f>
        <v>0</v>
      </c>
      <c r="AN139" s="472">
        <f t="shared" ca="1" si="230"/>
        <v>0</v>
      </c>
      <c r="AO139" s="472">
        <f t="shared" ca="1" si="230"/>
        <v>0</v>
      </c>
      <c r="AP139" s="472">
        <f t="shared" ca="1" si="230"/>
        <v>0</v>
      </c>
      <c r="AQ139" s="472">
        <f t="shared" ca="1" si="230"/>
        <v>0</v>
      </c>
      <c r="AR139" s="472">
        <f t="shared" ca="1" si="230"/>
        <v>0</v>
      </c>
      <c r="AS139" s="472">
        <f t="shared" ca="1" si="230"/>
        <v>0</v>
      </c>
      <c r="AT139" s="472">
        <f t="shared" ca="1" si="230"/>
        <v>0</v>
      </c>
      <c r="AU139" s="472">
        <f t="shared" ca="1" si="230"/>
        <v>0</v>
      </c>
      <c r="AV139" s="472">
        <f t="shared" ca="1" si="232"/>
        <v>390259.38630243327</v>
      </c>
      <c r="AW139" s="472">
        <f t="shared" ca="1" si="233"/>
        <v>0</v>
      </c>
      <c r="AX139" s="472">
        <f t="shared" ca="1" si="234"/>
        <v>390259.38630243327</v>
      </c>
      <c r="AZ139" s="2"/>
      <c r="BA139" s="2"/>
      <c r="BB139" s="2"/>
      <c r="BC139" s="2"/>
      <c r="BD139" s="2"/>
      <c r="BE139" s="2"/>
      <c r="BF139" s="2"/>
      <c r="BG139" s="2"/>
      <c r="BH139" s="2"/>
      <c r="BI139" s="2"/>
      <c r="BJ139" s="2"/>
      <c r="BK139" s="2"/>
      <c r="BL139" s="2"/>
    </row>
    <row r="140" spans="5:64" x14ac:dyDescent="0.3">
      <c r="E140" s="17">
        <f t="shared" si="235"/>
        <v>2029</v>
      </c>
      <c r="F140" s="472">
        <f ca="1"/>
        <v>389782.30754837539</v>
      </c>
      <c r="G140" s="472">
        <f t="shared" ca="1" si="231"/>
        <v>0</v>
      </c>
      <c r="H140" s="472">
        <f t="shared" ca="1" si="231"/>
        <v>0</v>
      </c>
      <c r="I140" s="472">
        <f t="shared" ca="1" si="231"/>
        <v>0</v>
      </c>
      <c r="J140" s="472">
        <f t="shared" ca="1" si="231"/>
        <v>0</v>
      </c>
      <c r="K140" s="472">
        <f t="shared" ca="1" si="231"/>
        <v>0</v>
      </c>
      <c r="L140" s="472">
        <f t="shared" ca="1" si="231"/>
        <v>0</v>
      </c>
      <c r="M140" s="472">
        <f t="shared" ca="1" si="231"/>
        <v>0</v>
      </c>
      <c r="N140" s="472">
        <f t="shared" ca="1" si="231"/>
        <v>0</v>
      </c>
      <c r="O140" s="472">
        <f t="shared" ca="1" si="231"/>
        <v>0</v>
      </c>
      <c r="P140" s="472">
        <f t="shared" ca="1" si="231"/>
        <v>0</v>
      </c>
      <c r="Q140" s="472">
        <f t="shared" ca="1" si="231"/>
        <v>0</v>
      </c>
      <c r="R140" s="472">
        <f t="shared" ca="1" si="231"/>
        <v>0</v>
      </c>
      <c r="S140" s="472">
        <f t="shared" ca="1" si="231"/>
        <v>0</v>
      </c>
      <c r="T140" s="472">
        <f t="shared" ca="1" si="231"/>
        <v>0</v>
      </c>
      <c r="U140" s="472">
        <f t="shared" ca="1" si="231"/>
        <v>0</v>
      </c>
      <c r="V140" s="472">
        <f t="shared" ca="1" si="231"/>
        <v>0</v>
      </c>
      <c r="W140" s="472">
        <f t="shared" ca="1" si="236"/>
        <v>55738.869979417679</v>
      </c>
      <c r="X140" s="472">
        <f t="shared" ca="1" si="236"/>
        <v>95496.66534935197</v>
      </c>
      <c r="Y140" s="472">
        <f t="shared" ca="1" si="236"/>
        <v>68211.903820965686</v>
      </c>
      <c r="Z140" s="472">
        <f t="shared" ca="1" si="236"/>
        <v>48722.788443546924</v>
      </c>
      <c r="AA140" s="472">
        <f t="shared" ca="1" si="236"/>
        <v>34690.625371805407</v>
      </c>
      <c r="AB140" s="472">
        <f t="shared" ca="1" si="236"/>
        <v>34690.625371805407</v>
      </c>
      <c r="AC140" s="472">
        <f t="shared" ca="1" si="236"/>
        <v>34690.625371805407</v>
      </c>
      <c r="AD140" s="472">
        <f t="shared" ca="1" si="236"/>
        <v>17540.203839676891</v>
      </c>
      <c r="AE140" s="472">
        <f t="shared" ca="1" si="236"/>
        <v>0</v>
      </c>
      <c r="AF140" s="472">
        <f t="shared" ca="1" si="236"/>
        <v>0</v>
      </c>
      <c r="AG140" s="472">
        <f t="shared" ca="1" si="236"/>
        <v>0</v>
      </c>
      <c r="AH140" s="472">
        <f t="shared" ca="1" si="236"/>
        <v>0</v>
      </c>
      <c r="AI140" s="472">
        <f t="shared" ca="1" si="236"/>
        <v>0</v>
      </c>
      <c r="AJ140" s="472">
        <f t="shared" ca="1" si="236"/>
        <v>0</v>
      </c>
      <c r="AK140" s="472">
        <f t="shared" ca="1" si="236"/>
        <v>0</v>
      </c>
      <c r="AL140" s="472">
        <f t="shared" ca="1" si="236"/>
        <v>0</v>
      </c>
      <c r="AM140" s="472">
        <f t="shared" ca="1" si="237"/>
        <v>0</v>
      </c>
      <c r="AN140" s="472">
        <f t="shared" ca="1" si="237"/>
        <v>0</v>
      </c>
      <c r="AO140" s="472">
        <f t="shared" ca="1" si="237"/>
        <v>0</v>
      </c>
      <c r="AP140" s="472">
        <f t="shared" ca="1" si="237"/>
        <v>0</v>
      </c>
      <c r="AQ140" s="472">
        <f t="shared" ca="1" si="237"/>
        <v>0</v>
      </c>
      <c r="AR140" s="472">
        <f t="shared" ca="1" si="237"/>
        <v>0</v>
      </c>
      <c r="AS140" s="472">
        <f t="shared" ca="1" si="237"/>
        <v>0</v>
      </c>
      <c r="AT140" s="472">
        <f t="shared" ca="1" si="237"/>
        <v>0</v>
      </c>
      <c r="AU140" s="472">
        <f t="shared" ca="1" si="237"/>
        <v>0</v>
      </c>
      <c r="AV140" s="472">
        <f t="shared" ca="1" si="232"/>
        <v>389782.30754837533</v>
      </c>
      <c r="AW140" s="472">
        <f t="shared" ca="1" si="233"/>
        <v>0</v>
      </c>
      <c r="AX140" s="472">
        <f t="shared" ca="1" si="234"/>
        <v>389782.30754837533</v>
      </c>
      <c r="AZ140" s="2"/>
      <c r="BA140" s="2"/>
      <c r="BB140" s="2"/>
      <c r="BC140" s="2"/>
      <c r="BD140" s="2"/>
      <c r="BE140" s="2"/>
      <c r="BF140" s="2"/>
      <c r="BG140" s="2"/>
      <c r="BH140" s="2"/>
      <c r="BI140" s="2"/>
      <c r="BJ140" s="2"/>
      <c r="BK140" s="2"/>
      <c r="BL140" s="2"/>
    </row>
    <row r="141" spans="5:64" x14ac:dyDescent="0.3">
      <c r="E141" s="17">
        <f t="shared" si="235"/>
        <v>2030</v>
      </c>
      <c r="F141" s="472">
        <f ca="1"/>
        <v>389370.16759142402</v>
      </c>
      <c r="G141" s="472">
        <f t="shared" ref="G141:V156" ca="1" si="238">IF(G$121&gt;=$E141,OFFSET($F$123,0,G$122-($E141-$E$124))*$F141,0)</f>
        <v>0</v>
      </c>
      <c r="H141" s="472">
        <f t="shared" ca="1" si="238"/>
        <v>0</v>
      </c>
      <c r="I141" s="472">
        <f t="shared" ca="1" si="238"/>
        <v>0</v>
      </c>
      <c r="J141" s="472">
        <f t="shared" ca="1" si="238"/>
        <v>0</v>
      </c>
      <c r="K141" s="472">
        <f t="shared" ca="1" si="238"/>
        <v>0</v>
      </c>
      <c r="L141" s="472">
        <f t="shared" ca="1" si="238"/>
        <v>0</v>
      </c>
      <c r="M141" s="472">
        <f t="shared" ca="1" si="238"/>
        <v>0</v>
      </c>
      <c r="N141" s="472">
        <f t="shared" ca="1" si="238"/>
        <v>0</v>
      </c>
      <c r="O141" s="472">
        <f t="shared" ca="1" si="238"/>
        <v>0</v>
      </c>
      <c r="P141" s="472">
        <f t="shared" ca="1" si="238"/>
        <v>0</v>
      </c>
      <c r="Q141" s="472">
        <f t="shared" ca="1" si="238"/>
        <v>0</v>
      </c>
      <c r="R141" s="472">
        <f t="shared" ca="1" si="238"/>
        <v>0</v>
      </c>
      <c r="S141" s="472">
        <f t="shared" ca="1" si="238"/>
        <v>0</v>
      </c>
      <c r="T141" s="472">
        <f t="shared" ca="1" si="238"/>
        <v>0</v>
      </c>
      <c r="U141" s="472">
        <f t="shared" ca="1" si="238"/>
        <v>0</v>
      </c>
      <c r="V141" s="472">
        <f t="shared" ca="1" si="238"/>
        <v>0</v>
      </c>
      <c r="W141" s="472">
        <f t="shared" ca="1" si="236"/>
        <v>0</v>
      </c>
      <c r="X141" s="472">
        <f t="shared" ca="1" si="236"/>
        <v>55679.933965573633</v>
      </c>
      <c r="Y141" s="472">
        <f t="shared" ca="1" si="236"/>
        <v>95395.691059898876</v>
      </c>
      <c r="Z141" s="472">
        <f t="shared" ca="1" si="236"/>
        <v>68139.779328499193</v>
      </c>
      <c r="AA141" s="472">
        <f t="shared" ca="1" si="236"/>
        <v>48671.270948928002</v>
      </c>
      <c r="AB141" s="472">
        <f t="shared" ca="1" si="236"/>
        <v>34653.944915636734</v>
      </c>
      <c r="AC141" s="472">
        <f t="shared" ca="1" si="236"/>
        <v>34653.944915636734</v>
      </c>
      <c r="AD141" s="472">
        <f t="shared" ca="1" si="236"/>
        <v>34653.944915636734</v>
      </c>
      <c r="AE141" s="472">
        <f t="shared" ca="1" si="236"/>
        <v>17521.65754161408</v>
      </c>
      <c r="AF141" s="472">
        <f t="shared" ca="1" si="236"/>
        <v>0</v>
      </c>
      <c r="AG141" s="472">
        <f t="shared" ca="1" si="236"/>
        <v>0</v>
      </c>
      <c r="AH141" s="472">
        <f t="shared" ca="1" si="236"/>
        <v>0</v>
      </c>
      <c r="AI141" s="472">
        <f t="shared" ca="1" si="236"/>
        <v>0</v>
      </c>
      <c r="AJ141" s="472">
        <f t="shared" ca="1" si="236"/>
        <v>0</v>
      </c>
      <c r="AK141" s="472">
        <f t="shared" ca="1" si="236"/>
        <v>0</v>
      </c>
      <c r="AL141" s="472">
        <f t="shared" ca="1" si="236"/>
        <v>0</v>
      </c>
      <c r="AM141" s="472">
        <f t="shared" ca="1" si="237"/>
        <v>0</v>
      </c>
      <c r="AN141" s="472">
        <f t="shared" ca="1" si="237"/>
        <v>0</v>
      </c>
      <c r="AO141" s="472">
        <f t="shared" ca="1" si="237"/>
        <v>0</v>
      </c>
      <c r="AP141" s="472">
        <f t="shared" ca="1" si="237"/>
        <v>0</v>
      </c>
      <c r="AQ141" s="472">
        <f t="shared" ca="1" si="237"/>
        <v>0</v>
      </c>
      <c r="AR141" s="472">
        <f t="shared" ca="1" si="237"/>
        <v>0</v>
      </c>
      <c r="AS141" s="472">
        <f t="shared" ca="1" si="237"/>
        <v>0</v>
      </c>
      <c r="AT141" s="472">
        <f t="shared" ca="1" si="237"/>
        <v>0</v>
      </c>
      <c r="AU141" s="472">
        <f t="shared" ca="1" si="237"/>
        <v>0</v>
      </c>
      <c r="AV141" s="472">
        <f t="shared" ca="1" si="232"/>
        <v>389370.16759142402</v>
      </c>
      <c r="AW141" s="472">
        <f t="shared" ca="1" si="233"/>
        <v>0</v>
      </c>
      <c r="AX141" s="472">
        <f t="shared" ca="1" si="234"/>
        <v>389370.16759142402</v>
      </c>
    </row>
    <row r="142" spans="5:64" x14ac:dyDescent="0.3">
      <c r="E142" s="17">
        <f t="shared" si="235"/>
        <v>2031</v>
      </c>
      <c r="F142" s="472">
        <f ca="1"/>
        <v>282466.79272870952</v>
      </c>
      <c r="G142" s="472">
        <f t="shared" ca="1" si="238"/>
        <v>0</v>
      </c>
      <c r="H142" s="472">
        <f t="shared" ca="1" si="238"/>
        <v>0</v>
      </c>
      <c r="I142" s="472">
        <f t="shared" ca="1" si="238"/>
        <v>0</v>
      </c>
      <c r="J142" s="472">
        <f t="shared" ca="1" si="238"/>
        <v>0</v>
      </c>
      <c r="K142" s="472">
        <f t="shared" ca="1" si="238"/>
        <v>0</v>
      </c>
      <c r="L142" s="472">
        <f t="shared" ca="1" si="238"/>
        <v>0</v>
      </c>
      <c r="M142" s="472">
        <f t="shared" ca="1" si="238"/>
        <v>0</v>
      </c>
      <c r="N142" s="472">
        <f t="shared" ca="1" si="238"/>
        <v>0</v>
      </c>
      <c r="O142" s="472">
        <f t="shared" ca="1" si="238"/>
        <v>0</v>
      </c>
      <c r="P142" s="472">
        <f t="shared" ca="1" si="238"/>
        <v>0</v>
      </c>
      <c r="Q142" s="472">
        <f t="shared" ca="1" si="238"/>
        <v>0</v>
      </c>
      <c r="R142" s="472">
        <f t="shared" ca="1" si="238"/>
        <v>0</v>
      </c>
      <c r="S142" s="472">
        <f t="shared" ca="1" si="238"/>
        <v>0</v>
      </c>
      <c r="T142" s="472">
        <f t="shared" ca="1" si="238"/>
        <v>0</v>
      </c>
      <c r="U142" s="472">
        <f t="shared" ca="1" si="238"/>
        <v>0</v>
      </c>
      <c r="V142" s="472">
        <f t="shared" ca="1" si="238"/>
        <v>0</v>
      </c>
      <c r="W142" s="472">
        <f t="shared" ca="1" si="236"/>
        <v>0</v>
      </c>
      <c r="X142" s="472">
        <f t="shared" ca="1" si="236"/>
        <v>0</v>
      </c>
      <c r="Y142" s="472">
        <f t="shared" ca="1" si="236"/>
        <v>40392.751360205461</v>
      </c>
      <c r="Z142" s="472">
        <f t="shared" ca="1" si="236"/>
        <v>69204.364218533825</v>
      </c>
      <c r="AA142" s="472">
        <f t="shared" ca="1" si="236"/>
        <v>49431.688727524161</v>
      </c>
      <c r="AB142" s="472">
        <f t="shared" ca="1" si="236"/>
        <v>35308.34909108869</v>
      </c>
      <c r="AC142" s="472">
        <f t="shared" ca="1" si="236"/>
        <v>25139.544552855146</v>
      </c>
      <c r="AD142" s="472">
        <f t="shared" ca="1" si="236"/>
        <v>25139.544552855146</v>
      </c>
      <c r="AE142" s="472">
        <f t="shared" ca="1" si="236"/>
        <v>25139.544552855146</v>
      </c>
      <c r="AF142" s="472">
        <f t="shared" ca="1" si="236"/>
        <v>12711.005672791927</v>
      </c>
      <c r="AG142" s="472">
        <f t="shared" ca="1" si="236"/>
        <v>0</v>
      </c>
      <c r="AH142" s="472">
        <f t="shared" ca="1" si="236"/>
        <v>0</v>
      </c>
      <c r="AI142" s="472">
        <f t="shared" ca="1" si="236"/>
        <v>0</v>
      </c>
      <c r="AJ142" s="472">
        <f t="shared" ca="1" si="236"/>
        <v>0</v>
      </c>
      <c r="AK142" s="472">
        <f t="shared" ca="1" si="236"/>
        <v>0</v>
      </c>
      <c r="AL142" s="472">
        <f t="shared" ca="1" si="236"/>
        <v>0</v>
      </c>
      <c r="AM142" s="472">
        <f t="shared" ca="1" si="237"/>
        <v>0</v>
      </c>
      <c r="AN142" s="472">
        <f t="shared" ca="1" si="237"/>
        <v>0</v>
      </c>
      <c r="AO142" s="472">
        <f t="shared" ca="1" si="237"/>
        <v>0</v>
      </c>
      <c r="AP142" s="472">
        <f t="shared" ca="1" si="237"/>
        <v>0</v>
      </c>
      <c r="AQ142" s="472">
        <f t="shared" ca="1" si="237"/>
        <v>0</v>
      </c>
      <c r="AR142" s="472">
        <f t="shared" ca="1" si="237"/>
        <v>0</v>
      </c>
      <c r="AS142" s="472">
        <f t="shared" ca="1" si="237"/>
        <v>0</v>
      </c>
      <c r="AT142" s="472">
        <f t="shared" ca="1" si="237"/>
        <v>0</v>
      </c>
      <c r="AU142" s="472">
        <f t="shared" ca="1" si="237"/>
        <v>0</v>
      </c>
      <c r="AV142" s="472">
        <f t="shared" ca="1" si="232"/>
        <v>282466.79272870946</v>
      </c>
      <c r="AW142" s="472">
        <f t="shared" ca="1" si="233"/>
        <v>0</v>
      </c>
      <c r="AX142" s="472">
        <f t="shared" ca="1" si="234"/>
        <v>282466.79272870946</v>
      </c>
    </row>
    <row r="143" spans="5:64" x14ac:dyDescent="0.3">
      <c r="E143" s="17">
        <f t="shared" si="235"/>
        <v>2032</v>
      </c>
      <c r="F143" s="472">
        <f ca="1"/>
        <v>222230.12304879876</v>
      </c>
      <c r="G143" s="472">
        <f t="shared" ca="1" si="238"/>
        <v>0</v>
      </c>
      <c r="H143" s="472">
        <f t="shared" ca="1" si="238"/>
        <v>0</v>
      </c>
      <c r="I143" s="472">
        <f t="shared" ca="1" si="238"/>
        <v>0</v>
      </c>
      <c r="J143" s="472">
        <f t="shared" ca="1" si="238"/>
        <v>0</v>
      </c>
      <c r="K143" s="472">
        <f t="shared" ca="1" si="238"/>
        <v>0</v>
      </c>
      <c r="L143" s="472">
        <f t="shared" ca="1" si="238"/>
        <v>0</v>
      </c>
      <c r="M143" s="472">
        <f t="shared" ca="1" si="238"/>
        <v>0</v>
      </c>
      <c r="N143" s="472">
        <f t="shared" ca="1" si="238"/>
        <v>0</v>
      </c>
      <c r="O143" s="472">
        <f t="shared" ca="1" si="238"/>
        <v>0</v>
      </c>
      <c r="P143" s="472">
        <f t="shared" ca="1" si="238"/>
        <v>0</v>
      </c>
      <c r="Q143" s="472">
        <f t="shared" ca="1" si="238"/>
        <v>0</v>
      </c>
      <c r="R143" s="472">
        <f t="shared" ca="1" si="238"/>
        <v>0</v>
      </c>
      <c r="S143" s="472">
        <f t="shared" ca="1" si="238"/>
        <v>0</v>
      </c>
      <c r="T143" s="472">
        <f t="shared" ca="1" si="238"/>
        <v>0</v>
      </c>
      <c r="U143" s="472">
        <f t="shared" ca="1" si="238"/>
        <v>0</v>
      </c>
      <c r="V143" s="472">
        <f t="shared" ca="1" si="238"/>
        <v>0</v>
      </c>
      <c r="W143" s="472">
        <f t="shared" ca="1" si="236"/>
        <v>0</v>
      </c>
      <c r="X143" s="472">
        <f t="shared" ca="1" si="236"/>
        <v>0</v>
      </c>
      <c r="Y143" s="472">
        <f t="shared" ca="1" si="236"/>
        <v>0</v>
      </c>
      <c r="Z143" s="472">
        <f t="shared" ca="1" si="236"/>
        <v>31778.90759597822</v>
      </c>
      <c r="AA143" s="472">
        <f t="shared" ca="1" si="236"/>
        <v>54446.380146955693</v>
      </c>
      <c r="AB143" s="472">
        <f t="shared" ca="1" si="236"/>
        <v>38890.271533539781</v>
      </c>
      <c r="AC143" s="472">
        <f t="shared" ca="1" si="236"/>
        <v>27778.765381099845</v>
      </c>
      <c r="AD143" s="472">
        <f t="shared" ca="1" si="236"/>
        <v>19778.480951343088</v>
      </c>
      <c r="AE143" s="472">
        <f t="shared" ca="1" si="236"/>
        <v>19778.480951343088</v>
      </c>
      <c r="AF143" s="472">
        <f t="shared" ca="1" si="236"/>
        <v>19778.480951343088</v>
      </c>
      <c r="AG143" s="472">
        <f t="shared" ca="1" si="236"/>
        <v>10000.355537195945</v>
      </c>
      <c r="AH143" s="472">
        <f t="shared" ca="1" si="236"/>
        <v>0</v>
      </c>
      <c r="AI143" s="472">
        <f t="shared" ca="1" si="236"/>
        <v>0</v>
      </c>
      <c r="AJ143" s="472">
        <f t="shared" ca="1" si="236"/>
        <v>0</v>
      </c>
      <c r="AK143" s="472">
        <f t="shared" ca="1" si="236"/>
        <v>0</v>
      </c>
      <c r="AL143" s="472">
        <f t="shared" ca="1" si="236"/>
        <v>0</v>
      </c>
      <c r="AM143" s="472">
        <f t="shared" ca="1" si="237"/>
        <v>0</v>
      </c>
      <c r="AN143" s="472">
        <f t="shared" ca="1" si="237"/>
        <v>0</v>
      </c>
      <c r="AO143" s="472">
        <f t="shared" ca="1" si="237"/>
        <v>0</v>
      </c>
      <c r="AP143" s="472">
        <f t="shared" ca="1" si="237"/>
        <v>0</v>
      </c>
      <c r="AQ143" s="472">
        <f t="shared" ca="1" si="237"/>
        <v>0</v>
      </c>
      <c r="AR143" s="472">
        <f t="shared" ca="1" si="237"/>
        <v>0</v>
      </c>
      <c r="AS143" s="472">
        <f t="shared" ca="1" si="237"/>
        <v>0</v>
      </c>
      <c r="AT143" s="472">
        <f t="shared" ca="1" si="237"/>
        <v>0</v>
      </c>
      <c r="AU143" s="472">
        <f t="shared" ca="1" si="237"/>
        <v>0</v>
      </c>
      <c r="AV143" s="472">
        <f t="shared" ca="1" si="232"/>
        <v>222230.12304879873</v>
      </c>
      <c r="AW143" s="472">
        <f t="shared" ca="1" si="233"/>
        <v>0</v>
      </c>
      <c r="AX143" s="472">
        <f t="shared" ca="1" si="234"/>
        <v>222230.12304879873</v>
      </c>
    </row>
    <row r="144" spans="5:64" x14ac:dyDescent="0.3">
      <c r="E144" s="17">
        <f t="shared" si="235"/>
        <v>2033</v>
      </c>
      <c r="F144" s="472">
        <f ca="1"/>
        <v>221938.32581171225</v>
      </c>
      <c r="G144" s="472">
        <f t="shared" ca="1" si="238"/>
        <v>0</v>
      </c>
      <c r="H144" s="472">
        <f t="shared" ca="1" si="238"/>
        <v>0</v>
      </c>
      <c r="I144" s="472">
        <f t="shared" ca="1" si="238"/>
        <v>0</v>
      </c>
      <c r="J144" s="472">
        <f t="shared" ca="1" si="238"/>
        <v>0</v>
      </c>
      <c r="K144" s="472">
        <f t="shared" ca="1" si="238"/>
        <v>0</v>
      </c>
      <c r="L144" s="472">
        <f t="shared" ca="1" si="238"/>
        <v>0</v>
      </c>
      <c r="M144" s="472">
        <f t="shared" ca="1" si="238"/>
        <v>0</v>
      </c>
      <c r="N144" s="472">
        <f t="shared" ca="1" si="238"/>
        <v>0</v>
      </c>
      <c r="O144" s="472">
        <f t="shared" ca="1" si="238"/>
        <v>0</v>
      </c>
      <c r="P144" s="472">
        <f t="shared" ca="1" si="238"/>
        <v>0</v>
      </c>
      <c r="Q144" s="472">
        <f t="shared" ca="1" si="238"/>
        <v>0</v>
      </c>
      <c r="R144" s="472">
        <f t="shared" ca="1" si="238"/>
        <v>0</v>
      </c>
      <c r="S144" s="472">
        <f t="shared" ca="1" si="238"/>
        <v>0</v>
      </c>
      <c r="T144" s="472">
        <f t="shared" ca="1" si="238"/>
        <v>0</v>
      </c>
      <c r="U144" s="472">
        <f t="shared" ca="1" si="238"/>
        <v>0</v>
      </c>
      <c r="V144" s="472">
        <f t="shared" ca="1" si="238"/>
        <v>0</v>
      </c>
      <c r="W144" s="472">
        <f t="shared" ca="1" si="236"/>
        <v>0</v>
      </c>
      <c r="X144" s="472">
        <f t="shared" ca="1" si="236"/>
        <v>0</v>
      </c>
      <c r="Y144" s="472">
        <f t="shared" ca="1" si="236"/>
        <v>0</v>
      </c>
      <c r="Z144" s="472">
        <f t="shared" ca="1" si="236"/>
        <v>0</v>
      </c>
      <c r="AA144" s="472">
        <f t="shared" ca="1" si="236"/>
        <v>31737.180591074848</v>
      </c>
      <c r="AB144" s="472">
        <f t="shared" ca="1" si="236"/>
        <v>54374.889823869496</v>
      </c>
      <c r="AC144" s="472">
        <f t="shared" ca="1" si="236"/>
        <v>38839.207017049637</v>
      </c>
      <c r="AD144" s="472">
        <f t="shared" ca="1" si="236"/>
        <v>27742.290726464031</v>
      </c>
      <c r="AE144" s="472">
        <f t="shared" ca="1" si="236"/>
        <v>19752.510997242389</v>
      </c>
      <c r="AF144" s="472">
        <f t="shared" ca="1" si="236"/>
        <v>19752.510997242389</v>
      </c>
      <c r="AG144" s="472">
        <f t="shared" ca="1" si="236"/>
        <v>19752.510997242389</v>
      </c>
      <c r="AH144" s="472">
        <f t="shared" ca="1" si="236"/>
        <v>9987.2246615270506</v>
      </c>
      <c r="AI144" s="472">
        <f t="shared" ca="1" si="236"/>
        <v>0</v>
      </c>
      <c r="AJ144" s="472">
        <f t="shared" ca="1" si="236"/>
        <v>0</v>
      </c>
      <c r="AK144" s="472">
        <f t="shared" ca="1" si="236"/>
        <v>0</v>
      </c>
      <c r="AL144" s="472">
        <f t="shared" ca="1" si="236"/>
        <v>0</v>
      </c>
      <c r="AM144" s="472">
        <f t="shared" ca="1" si="237"/>
        <v>0</v>
      </c>
      <c r="AN144" s="472">
        <f t="shared" ca="1" si="237"/>
        <v>0</v>
      </c>
      <c r="AO144" s="472">
        <f t="shared" ca="1" si="237"/>
        <v>0</v>
      </c>
      <c r="AP144" s="472">
        <f t="shared" ca="1" si="237"/>
        <v>0</v>
      </c>
      <c r="AQ144" s="472">
        <f t="shared" ca="1" si="237"/>
        <v>0</v>
      </c>
      <c r="AR144" s="472">
        <f t="shared" ca="1" si="237"/>
        <v>0</v>
      </c>
      <c r="AS144" s="472">
        <f t="shared" ca="1" si="237"/>
        <v>0</v>
      </c>
      <c r="AT144" s="472">
        <f t="shared" ca="1" si="237"/>
        <v>0</v>
      </c>
      <c r="AU144" s="472">
        <f t="shared" ca="1" si="237"/>
        <v>0</v>
      </c>
      <c r="AV144" s="472">
        <f t="shared" ca="1" si="232"/>
        <v>221938.32581171222</v>
      </c>
      <c r="AW144" s="472">
        <f t="shared" ca="1" si="233"/>
        <v>0</v>
      </c>
      <c r="AX144" s="472">
        <f t="shared" ca="1" si="234"/>
        <v>221938.32581171222</v>
      </c>
    </row>
    <row r="145" spans="5:50" x14ac:dyDescent="0.3">
      <c r="E145" s="17">
        <f t="shared" si="235"/>
        <v>2034</v>
      </c>
      <c r="F145" s="472">
        <f ca="1"/>
        <v>221136.8893792142</v>
      </c>
      <c r="G145" s="472">
        <f t="shared" ca="1" si="238"/>
        <v>0</v>
      </c>
      <c r="H145" s="472">
        <f t="shared" ca="1" si="238"/>
        <v>0</v>
      </c>
      <c r="I145" s="472">
        <f t="shared" ca="1" si="238"/>
        <v>0</v>
      </c>
      <c r="J145" s="472">
        <f t="shared" ca="1" si="238"/>
        <v>0</v>
      </c>
      <c r="K145" s="472">
        <f t="shared" ca="1" si="238"/>
        <v>0</v>
      </c>
      <c r="L145" s="472">
        <f t="shared" ca="1" si="238"/>
        <v>0</v>
      </c>
      <c r="M145" s="472">
        <f t="shared" ca="1" si="238"/>
        <v>0</v>
      </c>
      <c r="N145" s="472">
        <f t="shared" ca="1" si="238"/>
        <v>0</v>
      </c>
      <c r="O145" s="472">
        <f t="shared" ca="1" si="238"/>
        <v>0</v>
      </c>
      <c r="P145" s="472">
        <f t="shared" ca="1" si="238"/>
        <v>0</v>
      </c>
      <c r="Q145" s="472">
        <f t="shared" ca="1" si="238"/>
        <v>0</v>
      </c>
      <c r="R145" s="472">
        <f t="shared" ca="1" si="238"/>
        <v>0</v>
      </c>
      <c r="S145" s="472">
        <f t="shared" ca="1" si="238"/>
        <v>0</v>
      </c>
      <c r="T145" s="472">
        <f t="shared" ca="1" si="238"/>
        <v>0</v>
      </c>
      <c r="U145" s="472">
        <f t="shared" ca="1" si="238"/>
        <v>0</v>
      </c>
      <c r="V145" s="472">
        <f t="shared" ca="1" si="238"/>
        <v>0</v>
      </c>
      <c r="W145" s="472">
        <f t="shared" ca="1" si="236"/>
        <v>0</v>
      </c>
      <c r="X145" s="472">
        <f t="shared" ca="1" si="236"/>
        <v>0</v>
      </c>
      <c r="Y145" s="472">
        <f t="shared" ca="1" si="236"/>
        <v>0</v>
      </c>
      <c r="Z145" s="472">
        <f t="shared" ca="1" si="236"/>
        <v>0</v>
      </c>
      <c r="AA145" s="472">
        <f t="shared" ca="1" si="236"/>
        <v>0</v>
      </c>
      <c r="AB145" s="472">
        <f t="shared" ca="1" si="236"/>
        <v>31622.575181227628</v>
      </c>
      <c r="AC145" s="472">
        <f t="shared" ca="1" si="236"/>
        <v>54178.537897907481</v>
      </c>
      <c r="AD145" s="472">
        <f t="shared" ca="1" si="236"/>
        <v>38698.955641362481</v>
      </c>
      <c r="AE145" s="472">
        <f t="shared" ca="1" si="236"/>
        <v>27642.111172401776</v>
      </c>
      <c r="AF145" s="472">
        <f t="shared" ca="1" si="236"/>
        <v>19681.183154750062</v>
      </c>
      <c r="AG145" s="472">
        <f t="shared" ca="1" si="236"/>
        <v>19681.183154750062</v>
      </c>
      <c r="AH145" s="472">
        <f t="shared" ca="1" si="236"/>
        <v>19681.183154750062</v>
      </c>
      <c r="AI145" s="472">
        <f t="shared" ca="1" si="236"/>
        <v>9951.1600220646396</v>
      </c>
      <c r="AJ145" s="472">
        <f t="shared" ca="1" si="236"/>
        <v>0</v>
      </c>
      <c r="AK145" s="472">
        <f t="shared" ca="1" si="236"/>
        <v>0</v>
      </c>
      <c r="AL145" s="472">
        <f t="shared" ca="1" si="236"/>
        <v>0</v>
      </c>
      <c r="AM145" s="472">
        <f t="shared" ca="1" si="237"/>
        <v>0</v>
      </c>
      <c r="AN145" s="472">
        <f t="shared" ca="1" si="237"/>
        <v>0</v>
      </c>
      <c r="AO145" s="472">
        <f t="shared" ca="1" si="237"/>
        <v>0</v>
      </c>
      <c r="AP145" s="472">
        <f t="shared" ca="1" si="237"/>
        <v>0</v>
      </c>
      <c r="AQ145" s="472">
        <f t="shared" ca="1" si="237"/>
        <v>0</v>
      </c>
      <c r="AR145" s="472">
        <f t="shared" ca="1" si="237"/>
        <v>0</v>
      </c>
      <c r="AS145" s="472">
        <f t="shared" ca="1" si="237"/>
        <v>0</v>
      </c>
      <c r="AT145" s="472">
        <f t="shared" ca="1" si="237"/>
        <v>0</v>
      </c>
      <c r="AU145" s="472">
        <f t="shared" ca="1" si="237"/>
        <v>0</v>
      </c>
      <c r="AV145" s="472">
        <f t="shared" ca="1" si="232"/>
        <v>221136.88937921418</v>
      </c>
      <c r="AW145" s="472">
        <f t="shared" ca="1" si="233"/>
        <v>0</v>
      </c>
      <c r="AX145" s="472">
        <f t="shared" ca="1" si="234"/>
        <v>221136.88937921418</v>
      </c>
    </row>
    <row r="146" spans="5:50" x14ac:dyDescent="0.3">
      <c r="E146" s="17">
        <f t="shared" si="235"/>
        <v>2035</v>
      </c>
      <c r="F146" s="472">
        <f ca="1"/>
        <v>155736.4841679559</v>
      </c>
      <c r="G146" s="472">
        <f t="shared" ca="1" si="238"/>
        <v>0</v>
      </c>
      <c r="H146" s="472">
        <f t="shared" ca="1" si="238"/>
        <v>0</v>
      </c>
      <c r="I146" s="472">
        <f t="shared" ca="1" si="238"/>
        <v>0</v>
      </c>
      <c r="J146" s="472">
        <f t="shared" ca="1" si="238"/>
        <v>0</v>
      </c>
      <c r="K146" s="472">
        <f t="shared" ca="1" si="238"/>
        <v>0</v>
      </c>
      <c r="L146" s="472">
        <f t="shared" ca="1" si="238"/>
        <v>0</v>
      </c>
      <c r="M146" s="472">
        <f t="shared" ca="1" si="238"/>
        <v>0</v>
      </c>
      <c r="N146" s="472">
        <f t="shared" ca="1" si="238"/>
        <v>0</v>
      </c>
      <c r="O146" s="472">
        <f t="shared" ca="1" si="238"/>
        <v>0</v>
      </c>
      <c r="P146" s="472">
        <f t="shared" ca="1" si="238"/>
        <v>0</v>
      </c>
      <c r="Q146" s="472">
        <f t="shared" ca="1" si="238"/>
        <v>0</v>
      </c>
      <c r="R146" s="472">
        <f t="shared" ca="1" si="238"/>
        <v>0</v>
      </c>
      <c r="S146" s="472">
        <f t="shared" ca="1" si="238"/>
        <v>0</v>
      </c>
      <c r="T146" s="472">
        <f t="shared" ca="1" si="238"/>
        <v>0</v>
      </c>
      <c r="U146" s="472">
        <f t="shared" ca="1" si="238"/>
        <v>0</v>
      </c>
      <c r="V146" s="472">
        <f t="shared" ca="1" si="238"/>
        <v>0</v>
      </c>
      <c r="W146" s="472">
        <f t="shared" ca="1" si="236"/>
        <v>0</v>
      </c>
      <c r="X146" s="472">
        <f t="shared" ca="1" si="236"/>
        <v>0</v>
      </c>
      <c r="Y146" s="472">
        <f t="shared" ca="1" si="236"/>
        <v>0</v>
      </c>
      <c r="Z146" s="472">
        <f t="shared" ca="1" si="236"/>
        <v>0</v>
      </c>
      <c r="AA146" s="472">
        <f t="shared" ca="1" si="236"/>
        <v>0</v>
      </c>
      <c r="AB146" s="472">
        <f t="shared" ca="1" si="236"/>
        <v>0</v>
      </c>
      <c r="AC146" s="472">
        <f t="shared" ca="1" si="236"/>
        <v>22270.317236017694</v>
      </c>
      <c r="AD146" s="472">
        <f t="shared" ca="1" si="236"/>
        <v>38155.438621149195</v>
      </c>
      <c r="AE146" s="472">
        <f t="shared" ca="1" si="236"/>
        <v>27253.884729392281</v>
      </c>
      <c r="AF146" s="472">
        <f t="shared" ca="1" si="236"/>
        <v>19467.060520994488</v>
      </c>
      <c r="AG146" s="472">
        <f t="shared" ca="1" si="236"/>
        <v>13860.547090948075</v>
      </c>
      <c r="AH146" s="472">
        <f t="shared" ca="1" si="236"/>
        <v>13860.547090948075</v>
      </c>
      <c r="AI146" s="472">
        <f t="shared" ca="1" si="236"/>
        <v>13860.547090948075</v>
      </c>
      <c r="AJ146" s="472">
        <f t="shared" ca="1" si="236"/>
        <v>7008.1417875580155</v>
      </c>
      <c r="AK146" s="472">
        <f t="shared" ca="1" si="236"/>
        <v>0</v>
      </c>
      <c r="AL146" s="472">
        <f t="shared" ca="1" si="236"/>
        <v>0</v>
      </c>
      <c r="AM146" s="472">
        <f t="shared" ca="1" si="237"/>
        <v>0</v>
      </c>
      <c r="AN146" s="472">
        <f t="shared" ca="1" si="237"/>
        <v>0</v>
      </c>
      <c r="AO146" s="472">
        <f t="shared" ca="1" si="237"/>
        <v>0</v>
      </c>
      <c r="AP146" s="472">
        <f t="shared" ca="1" si="237"/>
        <v>0</v>
      </c>
      <c r="AQ146" s="472">
        <f t="shared" ca="1" si="237"/>
        <v>0</v>
      </c>
      <c r="AR146" s="472">
        <f t="shared" ca="1" si="237"/>
        <v>0</v>
      </c>
      <c r="AS146" s="472">
        <f t="shared" ca="1" si="237"/>
        <v>0</v>
      </c>
      <c r="AT146" s="472">
        <f t="shared" ca="1" si="237"/>
        <v>0</v>
      </c>
      <c r="AU146" s="472">
        <f t="shared" ca="1" si="237"/>
        <v>0</v>
      </c>
      <c r="AV146" s="472">
        <f t="shared" ca="1" si="232"/>
        <v>155736.48416795587</v>
      </c>
      <c r="AW146" s="472">
        <f t="shared" ca="1" si="233"/>
        <v>0</v>
      </c>
      <c r="AX146" s="472">
        <f t="shared" ca="1" si="234"/>
        <v>155736.48416795587</v>
      </c>
    </row>
    <row r="147" spans="5:50" x14ac:dyDescent="0.3">
      <c r="E147" s="17">
        <f t="shared" si="235"/>
        <v>2036</v>
      </c>
      <c r="F147" s="472">
        <f ca="1"/>
        <v>77243.742514970072</v>
      </c>
      <c r="G147" s="472">
        <f t="shared" ca="1" si="238"/>
        <v>0</v>
      </c>
      <c r="H147" s="472">
        <f t="shared" ca="1" si="238"/>
        <v>0</v>
      </c>
      <c r="I147" s="472">
        <f t="shared" ca="1" si="238"/>
        <v>0</v>
      </c>
      <c r="J147" s="472">
        <f t="shared" ca="1" si="238"/>
        <v>0</v>
      </c>
      <c r="K147" s="472">
        <f t="shared" ca="1" si="238"/>
        <v>0</v>
      </c>
      <c r="L147" s="472">
        <f t="shared" ca="1" si="238"/>
        <v>0</v>
      </c>
      <c r="M147" s="472">
        <f t="shared" ca="1" si="238"/>
        <v>0</v>
      </c>
      <c r="N147" s="472">
        <f t="shared" ca="1" si="238"/>
        <v>0</v>
      </c>
      <c r="O147" s="472">
        <f t="shared" ca="1" si="238"/>
        <v>0</v>
      </c>
      <c r="P147" s="472">
        <f t="shared" ca="1" si="238"/>
        <v>0</v>
      </c>
      <c r="Q147" s="472">
        <f t="shared" ca="1" si="238"/>
        <v>0</v>
      </c>
      <c r="R147" s="472">
        <f t="shared" ca="1" si="238"/>
        <v>0</v>
      </c>
      <c r="S147" s="472">
        <f t="shared" ca="1" si="238"/>
        <v>0</v>
      </c>
      <c r="T147" s="472">
        <f t="shared" ca="1" si="238"/>
        <v>0</v>
      </c>
      <c r="U147" s="472">
        <f t="shared" ca="1" si="238"/>
        <v>0</v>
      </c>
      <c r="V147" s="472">
        <f t="shared" ca="1" si="238"/>
        <v>0</v>
      </c>
      <c r="W147" s="472">
        <f t="shared" ca="1" si="236"/>
        <v>0</v>
      </c>
      <c r="X147" s="472">
        <f t="shared" ca="1" si="236"/>
        <v>0</v>
      </c>
      <c r="Y147" s="472">
        <f t="shared" ca="1" si="236"/>
        <v>0</v>
      </c>
      <c r="Z147" s="472">
        <f t="shared" ca="1" si="236"/>
        <v>0</v>
      </c>
      <c r="AA147" s="472">
        <f t="shared" ca="1" si="236"/>
        <v>0</v>
      </c>
      <c r="AB147" s="472">
        <f t="shared" ca="1" si="236"/>
        <v>0</v>
      </c>
      <c r="AC147" s="472">
        <f t="shared" ca="1" si="236"/>
        <v>0</v>
      </c>
      <c r="AD147" s="472">
        <f t="shared" ca="1" si="236"/>
        <v>11045.855179640719</v>
      </c>
      <c r="AE147" s="472">
        <f t="shared" ca="1" si="236"/>
        <v>18924.716916167668</v>
      </c>
      <c r="AF147" s="472">
        <f t="shared" ca="1" si="236"/>
        <v>13517.654940119763</v>
      </c>
      <c r="AG147" s="472">
        <f t="shared" ca="1" si="236"/>
        <v>9655.467814371259</v>
      </c>
      <c r="AH147" s="472">
        <f t="shared" ca="1" si="236"/>
        <v>6874.693083832336</v>
      </c>
      <c r="AI147" s="472">
        <f t="shared" ca="1" si="236"/>
        <v>6874.693083832336</v>
      </c>
      <c r="AJ147" s="472">
        <f t="shared" ca="1" si="236"/>
        <v>6874.693083832336</v>
      </c>
      <c r="AK147" s="472">
        <f t="shared" ca="1" si="236"/>
        <v>3475.9684131736531</v>
      </c>
      <c r="AL147" s="472">
        <f t="shared" ca="1" si="236"/>
        <v>0</v>
      </c>
      <c r="AM147" s="472">
        <f t="shared" ca="1" si="237"/>
        <v>0</v>
      </c>
      <c r="AN147" s="472">
        <f t="shared" ca="1" si="237"/>
        <v>0</v>
      </c>
      <c r="AO147" s="472">
        <f t="shared" ca="1" si="237"/>
        <v>0</v>
      </c>
      <c r="AP147" s="472">
        <f t="shared" ca="1" si="237"/>
        <v>0</v>
      </c>
      <c r="AQ147" s="472">
        <f t="shared" ca="1" si="237"/>
        <v>0</v>
      </c>
      <c r="AR147" s="472">
        <f t="shared" ca="1" si="237"/>
        <v>0</v>
      </c>
      <c r="AS147" s="472">
        <f t="shared" ca="1" si="237"/>
        <v>0</v>
      </c>
      <c r="AT147" s="472">
        <f t="shared" ca="1" si="237"/>
        <v>0</v>
      </c>
      <c r="AU147" s="472">
        <f t="shared" ca="1" si="237"/>
        <v>0</v>
      </c>
      <c r="AV147" s="472">
        <f t="shared" ca="1" si="232"/>
        <v>77243.742514970072</v>
      </c>
      <c r="AW147" s="472">
        <f t="shared" ca="1" si="233"/>
        <v>0</v>
      </c>
      <c r="AX147" s="472">
        <f t="shared" ca="1" si="234"/>
        <v>77243.742514970072</v>
      </c>
    </row>
    <row r="148" spans="5:50" x14ac:dyDescent="0.3">
      <c r="E148" s="17">
        <f t="shared" si="235"/>
        <v>2037</v>
      </c>
      <c r="F148" s="472">
        <f ca="1"/>
        <v>77243.742514970072</v>
      </c>
      <c r="G148" s="472">
        <f t="shared" ca="1" si="238"/>
        <v>0</v>
      </c>
      <c r="H148" s="472">
        <f t="shared" ca="1" si="238"/>
        <v>0</v>
      </c>
      <c r="I148" s="472">
        <f t="shared" ca="1" si="238"/>
        <v>0</v>
      </c>
      <c r="J148" s="472">
        <f t="shared" ca="1" si="238"/>
        <v>0</v>
      </c>
      <c r="K148" s="472">
        <f t="shared" ca="1" si="238"/>
        <v>0</v>
      </c>
      <c r="L148" s="472">
        <f t="shared" ca="1" si="238"/>
        <v>0</v>
      </c>
      <c r="M148" s="472">
        <f t="shared" ca="1" si="238"/>
        <v>0</v>
      </c>
      <c r="N148" s="472">
        <f t="shared" ca="1" si="238"/>
        <v>0</v>
      </c>
      <c r="O148" s="472">
        <f t="shared" ca="1" si="238"/>
        <v>0</v>
      </c>
      <c r="P148" s="472">
        <f t="shared" ca="1" si="238"/>
        <v>0</v>
      </c>
      <c r="Q148" s="472">
        <f t="shared" ca="1" si="238"/>
        <v>0</v>
      </c>
      <c r="R148" s="472">
        <f t="shared" ca="1" si="238"/>
        <v>0</v>
      </c>
      <c r="S148" s="472">
        <f t="shared" ca="1" si="238"/>
        <v>0</v>
      </c>
      <c r="T148" s="472">
        <f t="shared" ca="1" si="238"/>
        <v>0</v>
      </c>
      <c r="U148" s="472">
        <f t="shared" ca="1" si="238"/>
        <v>0</v>
      </c>
      <c r="V148" s="472">
        <f t="shared" ca="1" si="238"/>
        <v>0</v>
      </c>
      <c r="W148" s="472">
        <f t="shared" ca="1" si="236"/>
        <v>0</v>
      </c>
      <c r="X148" s="472">
        <f t="shared" ca="1" si="236"/>
        <v>0</v>
      </c>
      <c r="Y148" s="472">
        <f t="shared" ca="1" si="236"/>
        <v>0</v>
      </c>
      <c r="Z148" s="472">
        <f t="shared" ca="1" si="236"/>
        <v>0</v>
      </c>
      <c r="AA148" s="472">
        <f t="shared" ca="1" si="236"/>
        <v>0</v>
      </c>
      <c r="AB148" s="472">
        <f t="shared" ca="1" si="236"/>
        <v>0</v>
      </c>
      <c r="AC148" s="472">
        <f t="shared" ca="1" si="236"/>
        <v>0</v>
      </c>
      <c r="AD148" s="472">
        <f t="shared" ca="1" si="236"/>
        <v>0</v>
      </c>
      <c r="AE148" s="472">
        <f t="shared" ca="1" si="236"/>
        <v>11045.855179640719</v>
      </c>
      <c r="AF148" s="472">
        <f t="shared" ca="1" si="236"/>
        <v>18924.716916167668</v>
      </c>
      <c r="AG148" s="472">
        <f t="shared" ca="1" si="236"/>
        <v>13517.654940119763</v>
      </c>
      <c r="AH148" s="472">
        <f t="shared" ca="1" si="236"/>
        <v>9655.467814371259</v>
      </c>
      <c r="AI148" s="472">
        <f t="shared" ca="1" si="236"/>
        <v>6874.693083832336</v>
      </c>
      <c r="AJ148" s="472">
        <f t="shared" ca="1" si="236"/>
        <v>6874.693083832336</v>
      </c>
      <c r="AK148" s="472">
        <f t="shared" ca="1" si="236"/>
        <v>6874.693083832336</v>
      </c>
      <c r="AL148" s="472">
        <f t="shared" ca="1" si="236"/>
        <v>3475.9684131736531</v>
      </c>
      <c r="AM148" s="472">
        <f t="shared" ca="1" si="237"/>
        <v>0</v>
      </c>
      <c r="AN148" s="472">
        <f t="shared" ca="1" si="237"/>
        <v>0</v>
      </c>
      <c r="AO148" s="472">
        <f t="shared" ca="1" si="237"/>
        <v>0</v>
      </c>
      <c r="AP148" s="472">
        <f t="shared" ca="1" si="237"/>
        <v>0</v>
      </c>
      <c r="AQ148" s="472">
        <f t="shared" ca="1" si="237"/>
        <v>0</v>
      </c>
      <c r="AR148" s="472">
        <f t="shared" ca="1" si="237"/>
        <v>0</v>
      </c>
      <c r="AS148" s="472">
        <f t="shared" ca="1" si="237"/>
        <v>0</v>
      </c>
      <c r="AT148" s="472">
        <f t="shared" ca="1" si="237"/>
        <v>0</v>
      </c>
      <c r="AU148" s="472">
        <f t="shared" ca="1" si="237"/>
        <v>0</v>
      </c>
      <c r="AV148" s="472">
        <f t="shared" ca="1" si="232"/>
        <v>77243.742514970072</v>
      </c>
      <c r="AW148" s="472">
        <f t="shared" ca="1" si="233"/>
        <v>0</v>
      </c>
      <c r="AX148" s="472">
        <f t="shared" ca="1" si="234"/>
        <v>77243.742514970072</v>
      </c>
    </row>
    <row r="149" spans="5:50" x14ac:dyDescent="0.3">
      <c r="E149" s="17">
        <f t="shared" si="235"/>
        <v>2038</v>
      </c>
      <c r="F149" s="472">
        <f ca="1"/>
        <v>77243.742514970072</v>
      </c>
      <c r="G149" s="472">
        <f t="shared" ca="1" si="238"/>
        <v>0</v>
      </c>
      <c r="H149" s="472">
        <f t="shared" ca="1" si="238"/>
        <v>0</v>
      </c>
      <c r="I149" s="472">
        <f t="shared" ca="1" si="238"/>
        <v>0</v>
      </c>
      <c r="J149" s="472">
        <f t="shared" ca="1" si="238"/>
        <v>0</v>
      </c>
      <c r="K149" s="472">
        <f t="shared" ca="1" si="238"/>
        <v>0</v>
      </c>
      <c r="L149" s="472">
        <f t="shared" ca="1" si="238"/>
        <v>0</v>
      </c>
      <c r="M149" s="472">
        <f t="shared" ca="1" si="238"/>
        <v>0</v>
      </c>
      <c r="N149" s="472">
        <f t="shared" ca="1" si="238"/>
        <v>0</v>
      </c>
      <c r="O149" s="472">
        <f t="shared" ca="1" si="238"/>
        <v>0</v>
      </c>
      <c r="P149" s="472">
        <f t="shared" ca="1" si="238"/>
        <v>0</v>
      </c>
      <c r="Q149" s="472">
        <f t="shared" ca="1" si="238"/>
        <v>0</v>
      </c>
      <c r="R149" s="472">
        <f t="shared" ca="1" si="238"/>
        <v>0</v>
      </c>
      <c r="S149" s="472">
        <f t="shared" ca="1" si="238"/>
        <v>0</v>
      </c>
      <c r="T149" s="472">
        <f t="shared" ca="1" si="238"/>
        <v>0</v>
      </c>
      <c r="U149" s="472">
        <f t="shared" ca="1" si="238"/>
        <v>0</v>
      </c>
      <c r="V149" s="472">
        <f t="shared" ca="1" si="238"/>
        <v>0</v>
      </c>
      <c r="W149" s="472">
        <f t="shared" ca="1" si="236"/>
        <v>0</v>
      </c>
      <c r="X149" s="472">
        <f t="shared" ca="1" si="236"/>
        <v>0</v>
      </c>
      <c r="Y149" s="472">
        <f t="shared" ca="1" si="236"/>
        <v>0</v>
      </c>
      <c r="Z149" s="472">
        <f t="shared" ca="1" si="236"/>
        <v>0</v>
      </c>
      <c r="AA149" s="472">
        <f t="shared" ca="1" si="236"/>
        <v>0</v>
      </c>
      <c r="AB149" s="472">
        <f t="shared" ca="1" si="236"/>
        <v>0</v>
      </c>
      <c r="AC149" s="472">
        <f t="shared" ca="1" si="236"/>
        <v>0</v>
      </c>
      <c r="AD149" s="472">
        <f t="shared" ca="1" si="236"/>
        <v>0</v>
      </c>
      <c r="AE149" s="472">
        <f t="shared" ca="1" si="236"/>
        <v>0</v>
      </c>
      <c r="AF149" s="472">
        <f t="shared" ca="1" si="236"/>
        <v>11045.855179640719</v>
      </c>
      <c r="AG149" s="472">
        <f t="shared" ca="1" si="236"/>
        <v>18924.716916167668</v>
      </c>
      <c r="AH149" s="472">
        <f t="shared" ca="1" si="236"/>
        <v>13517.654940119763</v>
      </c>
      <c r="AI149" s="472">
        <f t="shared" ca="1" si="236"/>
        <v>9655.467814371259</v>
      </c>
      <c r="AJ149" s="472">
        <f t="shared" ca="1" si="236"/>
        <v>6874.693083832336</v>
      </c>
      <c r="AK149" s="472">
        <f t="shared" ca="1" si="236"/>
        <v>6874.693083832336</v>
      </c>
      <c r="AL149" s="472">
        <f t="shared" ca="1" si="236"/>
        <v>6874.693083832336</v>
      </c>
      <c r="AM149" s="472">
        <f t="shared" ca="1" si="237"/>
        <v>3475.9684131736531</v>
      </c>
      <c r="AN149" s="472">
        <f t="shared" ca="1" si="237"/>
        <v>0</v>
      </c>
      <c r="AO149" s="472">
        <f t="shared" ca="1" si="237"/>
        <v>0</v>
      </c>
      <c r="AP149" s="472">
        <f t="shared" ca="1" si="237"/>
        <v>0</v>
      </c>
      <c r="AQ149" s="472">
        <f t="shared" ca="1" si="237"/>
        <v>0</v>
      </c>
      <c r="AR149" s="472">
        <f t="shared" ca="1" si="237"/>
        <v>0</v>
      </c>
      <c r="AS149" s="472">
        <f t="shared" ca="1" si="237"/>
        <v>0</v>
      </c>
      <c r="AT149" s="472">
        <f t="shared" ca="1" si="237"/>
        <v>0</v>
      </c>
      <c r="AU149" s="472">
        <f t="shared" ca="1" si="237"/>
        <v>0</v>
      </c>
      <c r="AV149" s="472">
        <f t="shared" ca="1" si="232"/>
        <v>77243.742514970072</v>
      </c>
      <c r="AW149" s="472">
        <f t="shared" ca="1" si="233"/>
        <v>0</v>
      </c>
      <c r="AX149" s="472">
        <f t="shared" ca="1" si="234"/>
        <v>77243.742514970072</v>
      </c>
    </row>
    <row r="150" spans="5:50" x14ac:dyDescent="0.3">
      <c r="E150" s="17">
        <f t="shared" si="235"/>
        <v>2039</v>
      </c>
      <c r="F150" s="472">
        <f ca="1"/>
        <v>77243.742514970072</v>
      </c>
      <c r="G150" s="472">
        <f t="shared" ca="1" si="238"/>
        <v>0</v>
      </c>
      <c r="H150" s="472">
        <f t="shared" ca="1" si="238"/>
        <v>0</v>
      </c>
      <c r="I150" s="472">
        <f t="shared" ca="1" si="238"/>
        <v>0</v>
      </c>
      <c r="J150" s="472">
        <f t="shared" ca="1" si="238"/>
        <v>0</v>
      </c>
      <c r="K150" s="472">
        <f t="shared" ca="1" si="238"/>
        <v>0</v>
      </c>
      <c r="L150" s="472">
        <f t="shared" ca="1" si="238"/>
        <v>0</v>
      </c>
      <c r="M150" s="472">
        <f t="shared" ca="1" si="238"/>
        <v>0</v>
      </c>
      <c r="N150" s="472">
        <f t="shared" ca="1" si="238"/>
        <v>0</v>
      </c>
      <c r="O150" s="472">
        <f t="shared" ca="1" si="238"/>
        <v>0</v>
      </c>
      <c r="P150" s="472">
        <f t="shared" ca="1" si="238"/>
        <v>0</v>
      </c>
      <c r="Q150" s="472">
        <f t="shared" ca="1" si="238"/>
        <v>0</v>
      </c>
      <c r="R150" s="472">
        <f t="shared" ca="1" si="238"/>
        <v>0</v>
      </c>
      <c r="S150" s="472">
        <f t="shared" ca="1" si="238"/>
        <v>0</v>
      </c>
      <c r="T150" s="472">
        <f t="shared" ca="1" si="238"/>
        <v>0</v>
      </c>
      <c r="U150" s="472">
        <f t="shared" ca="1" si="238"/>
        <v>0</v>
      </c>
      <c r="V150" s="472">
        <f t="shared" ca="1" si="238"/>
        <v>0</v>
      </c>
      <c r="W150" s="472">
        <f t="shared" ca="1" si="236"/>
        <v>0</v>
      </c>
      <c r="X150" s="472">
        <f t="shared" ca="1" si="236"/>
        <v>0</v>
      </c>
      <c r="Y150" s="472">
        <f t="shared" ca="1" si="236"/>
        <v>0</v>
      </c>
      <c r="Z150" s="472">
        <f t="shared" ca="1" si="236"/>
        <v>0</v>
      </c>
      <c r="AA150" s="472">
        <f t="shared" ca="1" si="236"/>
        <v>0</v>
      </c>
      <c r="AB150" s="472">
        <f t="shared" ca="1" si="236"/>
        <v>0</v>
      </c>
      <c r="AC150" s="472">
        <f t="shared" ca="1" si="236"/>
        <v>0</v>
      </c>
      <c r="AD150" s="472">
        <f t="shared" ca="1" si="236"/>
        <v>0</v>
      </c>
      <c r="AE150" s="472">
        <f t="shared" ca="1" si="236"/>
        <v>0</v>
      </c>
      <c r="AF150" s="472">
        <f t="shared" ca="1" si="236"/>
        <v>0</v>
      </c>
      <c r="AG150" s="472">
        <f t="shared" ca="1" si="236"/>
        <v>11045.855179640719</v>
      </c>
      <c r="AH150" s="472">
        <f t="shared" ca="1" si="236"/>
        <v>18924.716916167668</v>
      </c>
      <c r="AI150" s="472">
        <f t="shared" ca="1" si="236"/>
        <v>13517.654940119763</v>
      </c>
      <c r="AJ150" s="472">
        <f t="shared" ca="1" si="236"/>
        <v>9655.467814371259</v>
      </c>
      <c r="AK150" s="472">
        <f t="shared" ca="1" si="236"/>
        <v>6874.693083832336</v>
      </c>
      <c r="AL150" s="472">
        <f t="shared" ca="1" si="236"/>
        <v>6874.693083832336</v>
      </c>
      <c r="AM150" s="472">
        <f t="shared" ca="1" si="237"/>
        <v>6874.693083832336</v>
      </c>
      <c r="AN150" s="472">
        <f t="shared" ca="1" si="237"/>
        <v>3475.9684131736531</v>
      </c>
      <c r="AO150" s="472">
        <f t="shared" ca="1" si="237"/>
        <v>0</v>
      </c>
      <c r="AP150" s="472">
        <f t="shared" ca="1" si="237"/>
        <v>0</v>
      </c>
      <c r="AQ150" s="472">
        <f t="shared" ca="1" si="237"/>
        <v>0</v>
      </c>
      <c r="AR150" s="472">
        <f t="shared" ca="1" si="237"/>
        <v>0</v>
      </c>
      <c r="AS150" s="472">
        <f t="shared" ca="1" si="237"/>
        <v>0</v>
      </c>
      <c r="AT150" s="472">
        <f t="shared" ca="1" si="237"/>
        <v>0</v>
      </c>
      <c r="AU150" s="472">
        <f t="shared" ca="1" si="237"/>
        <v>0</v>
      </c>
      <c r="AV150" s="472">
        <f t="shared" ca="1" si="232"/>
        <v>77243.742514970072</v>
      </c>
      <c r="AW150" s="472">
        <f t="shared" ca="1" si="233"/>
        <v>0</v>
      </c>
      <c r="AX150" s="472">
        <f t="shared" ca="1" si="234"/>
        <v>77243.742514970072</v>
      </c>
    </row>
    <row r="151" spans="5:50" x14ac:dyDescent="0.3">
      <c r="E151" s="17">
        <f t="shared" si="235"/>
        <v>2040</v>
      </c>
      <c r="F151" s="472">
        <f ca="1"/>
        <v>0</v>
      </c>
      <c r="G151" s="472">
        <f t="shared" ca="1" si="238"/>
        <v>0</v>
      </c>
      <c r="H151" s="472">
        <f t="shared" ca="1" si="238"/>
        <v>0</v>
      </c>
      <c r="I151" s="472">
        <f t="shared" ca="1" si="238"/>
        <v>0</v>
      </c>
      <c r="J151" s="472">
        <f t="shared" ca="1" si="238"/>
        <v>0</v>
      </c>
      <c r="K151" s="472">
        <f t="shared" ca="1" si="238"/>
        <v>0</v>
      </c>
      <c r="L151" s="472">
        <f t="shared" ca="1" si="238"/>
        <v>0</v>
      </c>
      <c r="M151" s="472">
        <f t="shared" ca="1" si="238"/>
        <v>0</v>
      </c>
      <c r="N151" s="472">
        <f t="shared" ca="1" si="238"/>
        <v>0</v>
      </c>
      <c r="O151" s="472">
        <f t="shared" ca="1" si="238"/>
        <v>0</v>
      </c>
      <c r="P151" s="472">
        <f t="shared" ca="1" si="238"/>
        <v>0</v>
      </c>
      <c r="Q151" s="472">
        <f t="shared" ca="1" si="238"/>
        <v>0</v>
      </c>
      <c r="R151" s="472">
        <f t="shared" ca="1" si="238"/>
        <v>0</v>
      </c>
      <c r="S151" s="472">
        <f t="shared" ca="1" si="238"/>
        <v>0</v>
      </c>
      <c r="T151" s="472">
        <f t="shared" ca="1" si="238"/>
        <v>0</v>
      </c>
      <c r="U151" s="472">
        <f t="shared" ca="1" si="238"/>
        <v>0</v>
      </c>
      <c r="V151" s="472">
        <f t="shared" ca="1" si="238"/>
        <v>0</v>
      </c>
      <c r="W151" s="472">
        <f t="shared" ca="1" si="236"/>
        <v>0</v>
      </c>
      <c r="X151" s="472">
        <f t="shared" ca="1" si="236"/>
        <v>0</v>
      </c>
      <c r="Y151" s="472">
        <f t="shared" ca="1" si="236"/>
        <v>0</v>
      </c>
      <c r="Z151" s="472">
        <f t="shared" ca="1" si="236"/>
        <v>0</v>
      </c>
      <c r="AA151" s="472">
        <f t="shared" ca="1" si="236"/>
        <v>0</v>
      </c>
      <c r="AB151" s="472">
        <f t="shared" ca="1" si="236"/>
        <v>0</v>
      </c>
      <c r="AC151" s="472">
        <f t="shared" ca="1" si="236"/>
        <v>0</v>
      </c>
      <c r="AD151" s="472">
        <f t="shared" ca="1" si="236"/>
        <v>0</v>
      </c>
      <c r="AE151" s="472">
        <f t="shared" ca="1" si="236"/>
        <v>0</v>
      </c>
      <c r="AF151" s="472">
        <f t="shared" ca="1" si="236"/>
        <v>0</v>
      </c>
      <c r="AG151" s="472">
        <f t="shared" ca="1" si="236"/>
        <v>0</v>
      </c>
      <c r="AH151" s="472">
        <f t="shared" ca="1" si="236"/>
        <v>0</v>
      </c>
      <c r="AI151" s="472">
        <f t="shared" ca="1" si="236"/>
        <v>0</v>
      </c>
      <c r="AJ151" s="472">
        <f t="shared" ca="1" si="236"/>
        <v>0</v>
      </c>
      <c r="AK151" s="472">
        <f t="shared" ca="1" si="236"/>
        <v>0</v>
      </c>
      <c r="AL151" s="472">
        <f t="shared" ca="1" si="236"/>
        <v>0</v>
      </c>
      <c r="AM151" s="472">
        <f t="shared" ca="1" si="237"/>
        <v>0</v>
      </c>
      <c r="AN151" s="472">
        <f t="shared" ca="1" si="237"/>
        <v>0</v>
      </c>
      <c r="AO151" s="472">
        <f t="shared" ca="1" si="237"/>
        <v>0</v>
      </c>
      <c r="AP151" s="472">
        <f t="shared" ca="1" si="237"/>
        <v>0</v>
      </c>
      <c r="AQ151" s="472">
        <f t="shared" ca="1" si="237"/>
        <v>0</v>
      </c>
      <c r="AR151" s="472">
        <f t="shared" ca="1" si="237"/>
        <v>0</v>
      </c>
      <c r="AS151" s="472">
        <f t="shared" ca="1" si="237"/>
        <v>0</v>
      </c>
      <c r="AT151" s="472">
        <f t="shared" ca="1" si="237"/>
        <v>0</v>
      </c>
      <c r="AU151" s="472">
        <f t="shared" ca="1" si="237"/>
        <v>0</v>
      </c>
      <c r="AV151" s="472">
        <f t="shared" ca="1" si="232"/>
        <v>0</v>
      </c>
      <c r="AW151" s="472">
        <f t="shared" ca="1" si="233"/>
        <v>0</v>
      </c>
      <c r="AX151" s="472">
        <f t="shared" ca="1" si="234"/>
        <v>0</v>
      </c>
    </row>
    <row r="152" spans="5:50" x14ac:dyDescent="0.3">
      <c r="E152" s="17">
        <f t="shared" si="235"/>
        <v>2041</v>
      </c>
      <c r="F152" s="472">
        <f ca="1"/>
        <v>0</v>
      </c>
      <c r="G152" s="472">
        <f t="shared" ca="1" si="238"/>
        <v>0</v>
      </c>
      <c r="H152" s="472">
        <f t="shared" ca="1" si="238"/>
        <v>0</v>
      </c>
      <c r="I152" s="472">
        <f t="shared" ca="1" si="238"/>
        <v>0</v>
      </c>
      <c r="J152" s="472">
        <f t="shared" ca="1" si="238"/>
        <v>0</v>
      </c>
      <c r="K152" s="472">
        <f t="shared" ca="1" si="238"/>
        <v>0</v>
      </c>
      <c r="L152" s="472">
        <f t="shared" ca="1" si="238"/>
        <v>0</v>
      </c>
      <c r="M152" s="472">
        <f t="shared" ca="1" si="238"/>
        <v>0</v>
      </c>
      <c r="N152" s="472">
        <f t="shared" ca="1" si="238"/>
        <v>0</v>
      </c>
      <c r="O152" s="472">
        <f t="shared" ca="1" si="238"/>
        <v>0</v>
      </c>
      <c r="P152" s="472">
        <f t="shared" ca="1" si="238"/>
        <v>0</v>
      </c>
      <c r="Q152" s="472">
        <f t="shared" ca="1" si="238"/>
        <v>0</v>
      </c>
      <c r="R152" s="472">
        <f t="shared" ca="1" si="238"/>
        <v>0</v>
      </c>
      <c r="S152" s="472">
        <f t="shared" ca="1" si="238"/>
        <v>0</v>
      </c>
      <c r="T152" s="472">
        <f t="shared" ca="1" si="238"/>
        <v>0</v>
      </c>
      <c r="U152" s="472">
        <f t="shared" ca="1" si="238"/>
        <v>0</v>
      </c>
      <c r="V152" s="472">
        <f t="shared" ca="1" si="238"/>
        <v>0</v>
      </c>
      <c r="W152" s="472">
        <f t="shared" ca="1" si="236"/>
        <v>0</v>
      </c>
      <c r="X152" s="472">
        <f t="shared" ca="1" si="236"/>
        <v>0</v>
      </c>
      <c r="Y152" s="472">
        <f t="shared" ca="1" si="236"/>
        <v>0</v>
      </c>
      <c r="Z152" s="472">
        <f t="shared" ca="1" si="236"/>
        <v>0</v>
      </c>
      <c r="AA152" s="472">
        <f t="shared" ca="1" si="236"/>
        <v>0</v>
      </c>
      <c r="AB152" s="472">
        <f t="shared" ca="1" si="236"/>
        <v>0</v>
      </c>
      <c r="AC152" s="472">
        <f t="shared" ca="1" si="236"/>
        <v>0</v>
      </c>
      <c r="AD152" s="472">
        <f t="shared" ca="1" si="236"/>
        <v>0</v>
      </c>
      <c r="AE152" s="472">
        <f t="shared" ca="1" si="236"/>
        <v>0</v>
      </c>
      <c r="AF152" s="472">
        <f t="shared" ca="1" si="236"/>
        <v>0</v>
      </c>
      <c r="AG152" s="472">
        <f t="shared" ca="1" si="236"/>
        <v>0</v>
      </c>
      <c r="AH152" s="472">
        <f t="shared" ca="1" si="236"/>
        <v>0</v>
      </c>
      <c r="AI152" s="472">
        <f t="shared" ca="1" si="236"/>
        <v>0</v>
      </c>
      <c r="AJ152" s="472">
        <f t="shared" ca="1" si="236"/>
        <v>0</v>
      </c>
      <c r="AK152" s="472">
        <f t="shared" ca="1" si="236"/>
        <v>0</v>
      </c>
      <c r="AL152" s="472">
        <f t="shared" ca="1" si="236"/>
        <v>0</v>
      </c>
      <c r="AM152" s="472">
        <f t="shared" ca="1" si="237"/>
        <v>0</v>
      </c>
      <c r="AN152" s="472">
        <f t="shared" ca="1" si="237"/>
        <v>0</v>
      </c>
      <c r="AO152" s="472">
        <f t="shared" ca="1" si="237"/>
        <v>0</v>
      </c>
      <c r="AP152" s="472">
        <f t="shared" ca="1" si="237"/>
        <v>0</v>
      </c>
      <c r="AQ152" s="472">
        <f t="shared" ca="1" si="237"/>
        <v>0</v>
      </c>
      <c r="AR152" s="472">
        <f t="shared" ca="1" si="237"/>
        <v>0</v>
      </c>
      <c r="AS152" s="472">
        <f t="shared" ca="1" si="237"/>
        <v>0</v>
      </c>
      <c r="AT152" s="472">
        <f t="shared" ca="1" si="237"/>
        <v>0</v>
      </c>
      <c r="AU152" s="472">
        <f t="shared" ca="1" si="237"/>
        <v>0</v>
      </c>
      <c r="AV152" s="472">
        <f t="shared" ca="1" si="232"/>
        <v>0</v>
      </c>
      <c r="AW152" s="472">
        <f t="shared" ca="1" si="233"/>
        <v>0</v>
      </c>
      <c r="AX152" s="472">
        <f t="shared" ca="1" si="234"/>
        <v>0</v>
      </c>
    </row>
    <row r="153" spans="5:50" x14ac:dyDescent="0.3">
      <c r="E153" s="17">
        <f t="shared" si="235"/>
        <v>2042</v>
      </c>
      <c r="F153" s="472">
        <f ca="1"/>
        <v>0</v>
      </c>
      <c r="G153" s="472">
        <f t="shared" ca="1" si="238"/>
        <v>0</v>
      </c>
      <c r="H153" s="472">
        <f t="shared" ca="1" si="238"/>
        <v>0</v>
      </c>
      <c r="I153" s="472">
        <f t="shared" ca="1" si="238"/>
        <v>0</v>
      </c>
      <c r="J153" s="472">
        <f t="shared" ca="1" si="238"/>
        <v>0</v>
      </c>
      <c r="K153" s="472">
        <f t="shared" ca="1" si="238"/>
        <v>0</v>
      </c>
      <c r="L153" s="472">
        <f t="shared" ca="1" si="238"/>
        <v>0</v>
      </c>
      <c r="M153" s="472">
        <f t="shared" ca="1" si="238"/>
        <v>0</v>
      </c>
      <c r="N153" s="472">
        <f t="shared" ca="1" si="238"/>
        <v>0</v>
      </c>
      <c r="O153" s="472">
        <f t="shared" ca="1" si="238"/>
        <v>0</v>
      </c>
      <c r="P153" s="472">
        <f t="shared" ca="1" si="238"/>
        <v>0</v>
      </c>
      <c r="Q153" s="472">
        <f t="shared" ca="1" si="238"/>
        <v>0</v>
      </c>
      <c r="R153" s="472">
        <f t="shared" ca="1" si="238"/>
        <v>0</v>
      </c>
      <c r="S153" s="472">
        <f t="shared" ca="1" si="238"/>
        <v>0</v>
      </c>
      <c r="T153" s="472">
        <f t="shared" ca="1" si="238"/>
        <v>0</v>
      </c>
      <c r="U153" s="472">
        <f t="shared" ca="1" si="238"/>
        <v>0</v>
      </c>
      <c r="V153" s="472">
        <f t="shared" ca="1" si="238"/>
        <v>0</v>
      </c>
      <c r="W153" s="472">
        <f t="shared" ca="1" si="236"/>
        <v>0</v>
      </c>
      <c r="X153" s="472">
        <f t="shared" ca="1" si="236"/>
        <v>0</v>
      </c>
      <c r="Y153" s="472">
        <f t="shared" ca="1" si="236"/>
        <v>0</v>
      </c>
      <c r="Z153" s="472">
        <f t="shared" ca="1" si="236"/>
        <v>0</v>
      </c>
      <c r="AA153" s="472">
        <f t="shared" ca="1" si="236"/>
        <v>0</v>
      </c>
      <c r="AB153" s="472">
        <f t="shared" ca="1" si="236"/>
        <v>0</v>
      </c>
      <c r="AC153" s="472">
        <f t="shared" ca="1" si="236"/>
        <v>0</v>
      </c>
      <c r="AD153" s="472">
        <f t="shared" ca="1" si="236"/>
        <v>0</v>
      </c>
      <c r="AE153" s="472">
        <f t="shared" ca="1" si="236"/>
        <v>0</v>
      </c>
      <c r="AF153" s="472">
        <f t="shared" ca="1" si="236"/>
        <v>0</v>
      </c>
      <c r="AG153" s="472">
        <f t="shared" ca="1" si="236"/>
        <v>0</v>
      </c>
      <c r="AH153" s="472">
        <f t="shared" ca="1" si="236"/>
        <v>0</v>
      </c>
      <c r="AI153" s="472">
        <f t="shared" ca="1" si="236"/>
        <v>0</v>
      </c>
      <c r="AJ153" s="472">
        <f t="shared" ca="1" si="236"/>
        <v>0</v>
      </c>
      <c r="AK153" s="472">
        <f t="shared" ca="1" si="236"/>
        <v>0</v>
      </c>
      <c r="AL153" s="472">
        <f t="shared" ca="1" si="236"/>
        <v>0</v>
      </c>
      <c r="AM153" s="472">
        <f t="shared" ca="1" si="237"/>
        <v>0</v>
      </c>
      <c r="AN153" s="472">
        <f t="shared" ca="1" si="237"/>
        <v>0</v>
      </c>
      <c r="AO153" s="472">
        <f t="shared" ca="1" si="237"/>
        <v>0</v>
      </c>
      <c r="AP153" s="472">
        <f t="shared" ca="1" si="237"/>
        <v>0</v>
      </c>
      <c r="AQ153" s="472">
        <f t="shared" ca="1" si="237"/>
        <v>0</v>
      </c>
      <c r="AR153" s="472">
        <f t="shared" ca="1" si="237"/>
        <v>0</v>
      </c>
      <c r="AS153" s="472">
        <f t="shared" ca="1" si="237"/>
        <v>0</v>
      </c>
      <c r="AT153" s="472">
        <f t="shared" ca="1" si="237"/>
        <v>0</v>
      </c>
      <c r="AU153" s="472">
        <f t="shared" ca="1" si="237"/>
        <v>0</v>
      </c>
      <c r="AV153" s="472">
        <f t="shared" ca="1" si="232"/>
        <v>0</v>
      </c>
      <c r="AW153" s="472">
        <f t="shared" ca="1" si="233"/>
        <v>0</v>
      </c>
      <c r="AX153" s="472">
        <f t="shared" ca="1" si="234"/>
        <v>0</v>
      </c>
    </row>
    <row r="154" spans="5:50" x14ac:dyDescent="0.3">
      <c r="E154" s="17">
        <f t="shared" si="235"/>
        <v>2043</v>
      </c>
      <c r="F154" s="472">
        <f ca="1"/>
        <v>0</v>
      </c>
      <c r="G154" s="472">
        <f t="shared" ca="1" si="238"/>
        <v>0</v>
      </c>
      <c r="H154" s="472">
        <f t="shared" ca="1" si="238"/>
        <v>0</v>
      </c>
      <c r="I154" s="472">
        <f t="shared" ca="1" si="238"/>
        <v>0</v>
      </c>
      <c r="J154" s="472">
        <f t="shared" ca="1" si="238"/>
        <v>0</v>
      </c>
      <c r="K154" s="472">
        <f t="shared" ca="1" si="238"/>
        <v>0</v>
      </c>
      <c r="L154" s="472">
        <f t="shared" ca="1" si="238"/>
        <v>0</v>
      </c>
      <c r="M154" s="472">
        <f t="shared" ca="1" si="238"/>
        <v>0</v>
      </c>
      <c r="N154" s="472">
        <f t="shared" ca="1" si="238"/>
        <v>0</v>
      </c>
      <c r="O154" s="472">
        <f t="shared" ca="1" si="238"/>
        <v>0</v>
      </c>
      <c r="P154" s="472">
        <f t="shared" ca="1" si="238"/>
        <v>0</v>
      </c>
      <c r="Q154" s="472">
        <f t="shared" ca="1" si="238"/>
        <v>0</v>
      </c>
      <c r="R154" s="472">
        <f t="shared" ca="1" si="238"/>
        <v>0</v>
      </c>
      <c r="S154" s="472">
        <f t="shared" ca="1" si="238"/>
        <v>0</v>
      </c>
      <c r="T154" s="472">
        <f t="shared" ca="1" si="238"/>
        <v>0</v>
      </c>
      <c r="U154" s="472">
        <f t="shared" ca="1" si="238"/>
        <v>0</v>
      </c>
      <c r="V154" s="472">
        <f t="shared" ca="1" si="238"/>
        <v>0</v>
      </c>
      <c r="W154" s="472">
        <f t="shared" ca="1" si="236"/>
        <v>0</v>
      </c>
      <c r="X154" s="472">
        <f t="shared" ca="1" si="236"/>
        <v>0</v>
      </c>
      <c r="Y154" s="472">
        <f t="shared" ca="1" si="236"/>
        <v>0</v>
      </c>
      <c r="Z154" s="472">
        <f t="shared" ca="1" si="236"/>
        <v>0</v>
      </c>
      <c r="AA154" s="472">
        <f t="shared" ca="1" si="236"/>
        <v>0</v>
      </c>
      <c r="AB154" s="472">
        <f t="shared" ca="1" si="236"/>
        <v>0</v>
      </c>
      <c r="AC154" s="472">
        <f t="shared" ca="1" si="236"/>
        <v>0</v>
      </c>
      <c r="AD154" s="472">
        <f t="shared" ca="1" si="236"/>
        <v>0</v>
      </c>
      <c r="AE154" s="472">
        <f t="shared" ca="1" si="236"/>
        <v>0</v>
      </c>
      <c r="AF154" s="472">
        <f t="shared" ca="1" si="236"/>
        <v>0</v>
      </c>
      <c r="AG154" s="472">
        <f t="shared" ca="1" si="236"/>
        <v>0</v>
      </c>
      <c r="AH154" s="472">
        <f t="shared" ca="1" si="236"/>
        <v>0</v>
      </c>
      <c r="AI154" s="472">
        <f t="shared" ca="1" si="236"/>
        <v>0</v>
      </c>
      <c r="AJ154" s="472">
        <f t="shared" ca="1" si="236"/>
        <v>0</v>
      </c>
      <c r="AK154" s="472">
        <f t="shared" ca="1" si="236"/>
        <v>0</v>
      </c>
      <c r="AL154" s="472">
        <f t="shared" ca="1" si="236"/>
        <v>0</v>
      </c>
      <c r="AM154" s="472">
        <f t="shared" ca="1" si="237"/>
        <v>0</v>
      </c>
      <c r="AN154" s="472">
        <f t="shared" ca="1" si="237"/>
        <v>0</v>
      </c>
      <c r="AO154" s="472">
        <f t="shared" ca="1" si="237"/>
        <v>0</v>
      </c>
      <c r="AP154" s="472">
        <f t="shared" ca="1" si="237"/>
        <v>0</v>
      </c>
      <c r="AQ154" s="472">
        <f t="shared" ca="1" si="237"/>
        <v>0</v>
      </c>
      <c r="AR154" s="472">
        <f t="shared" ca="1" si="237"/>
        <v>0</v>
      </c>
      <c r="AS154" s="472">
        <f t="shared" ca="1" si="237"/>
        <v>0</v>
      </c>
      <c r="AT154" s="472">
        <f t="shared" ca="1" si="237"/>
        <v>0</v>
      </c>
      <c r="AU154" s="472">
        <f t="shared" ca="1" si="237"/>
        <v>0</v>
      </c>
      <c r="AV154" s="472">
        <f t="shared" ca="1" si="232"/>
        <v>0</v>
      </c>
      <c r="AW154" s="472">
        <f t="shared" ca="1" si="233"/>
        <v>0</v>
      </c>
      <c r="AX154" s="472">
        <f t="shared" ca="1" si="234"/>
        <v>0</v>
      </c>
    </row>
    <row r="155" spans="5:50" x14ac:dyDescent="0.3">
      <c r="E155" s="17">
        <f t="shared" si="235"/>
        <v>2044</v>
      </c>
      <c r="F155" s="472">
        <f ca="1"/>
        <v>0</v>
      </c>
      <c r="G155" s="472">
        <f t="shared" ca="1" si="238"/>
        <v>0</v>
      </c>
      <c r="H155" s="472">
        <f t="shared" ca="1" si="238"/>
        <v>0</v>
      </c>
      <c r="I155" s="472">
        <f t="shared" ca="1" si="238"/>
        <v>0</v>
      </c>
      <c r="J155" s="472">
        <f t="shared" ca="1" si="238"/>
        <v>0</v>
      </c>
      <c r="K155" s="472">
        <f t="shared" ca="1" si="238"/>
        <v>0</v>
      </c>
      <c r="L155" s="472">
        <f t="shared" ca="1" si="238"/>
        <v>0</v>
      </c>
      <c r="M155" s="472">
        <f t="shared" ca="1" si="238"/>
        <v>0</v>
      </c>
      <c r="N155" s="472">
        <f t="shared" ca="1" si="238"/>
        <v>0</v>
      </c>
      <c r="O155" s="472">
        <f t="shared" ca="1" si="238"/>
        <v>0</v>
      </c>
      <c r="P155" s="472">
        <f t="shared" ca="1" si="238"/>
        <v>0</v>
      </c>
      <c r="Q155" s="472">
        <f t="shared" ca="1" si="238"/>
        <v>0</v>
      </c>
      <c r="R155" s="472">
        <f t="shared" ca="1" si="238"/>
        <v>0</v>
      </c>
      <c r="S155" s="472">
        <f t="shared" ca="1" si="238"/>
        <v>0</v>
      </c>
      <c r="T155" s="472">
        <f t="shared" ca="1" si="238"/>
        <v>0</v>
      </c>
      <c r="U155" s="472">
        <f t="shared" ca="1" si="238"/>
        <v>0</v>
      </c>
      <c r="V155" s="472">
        <f t="shared" ca="1" si="238"/>
        <v>0</v>
      </c>
      <c r="W155" s="472">
        <f t="shared" ref="W155:AL164" ca="1" si="239">IF(W$121&gt;=$E155,OFFSET($F$123,0,W$122-($E155-$E$124))*$F155,0)</f>
        <v>0</v>
      </c>
      <c r="X155" s="472">
        <f t="shared" ca="1" si="239"/>
        <v>0</v>
      </c>
      <c r="Y155" s="472">
        <f t="shared" ca="1" si="239"/>
        <v>0</v>
      </c>
      <c r="Z155" s="472">
        <f t="shared" ca="1" si="239"/>
        <v>0</v>
      </c>
      <c r="AA155" s="472">
        <f t="shared" ca="1" si="239"/>
        <v>0</v>
      </c>
      <c r="AB155" s="472">
        <f t="shared" ca="1" si="239"/>
        <v>0</v>
      </c>
      <c r="AC155" s="472">
        <f t="shared" ca="1" si="239"/>
        <v>0</v>
      </c>
      <c r="AD155" s="472">
        <f t="shared" ca="1" si="239"/>
        <v>0</v>
      </c>
      <c r="AE155" s="472">
        <f t="shared" ca="1" si="239"/>
        <v>0</v>
      </c>
      <c r="AF155" s="472">
        <f t="shared" ca="1" si="239"/>
        <v>0</v>
      </c>
      <c r="AG155" s="472">
        <f t="shared" ca="1" si="239"/>
        <v>0</v>
      </c>
      <c r="AH155" s="472">
        <f t="shared" ca="1" si="239"/>
        <v>0</v>
      </c>
      <c r="AI155" s="472">
        <f t="shared" ca="1" si="239"/>
        <v>0</v>
      </c>
      <c r="AJ155" s="472">
        <f t="shared" ca="1" si="239"/>
        <v>0</v>
      </c>
      <c r="AK155" s="472">
        <f t="shared" ca="1" si="239"/>
        <v>0</v>
      </c>
      <c r="AL155" s="472">
        <f t="shared" ca="1" si="239"/>
        <v>0</v>
      </c>
      <c r="AM155" s="472">
        <f t="shared" ref="AM155:AU164" ca="1" si="240">IF(AM$121&gt;=$E155,OFFSET($F$123,0,AM$122-($E155-$E$124))*$F155,0)</f>
        <v>0</v>
      </c>
      <c r="AN155" s="472">
        <f t="shared" ca="1" si="240"/>
        <v>0</v>
      </c>
      <c r="AO155" s="472">
        <f t="shared" ca="1" si="240"/>
        <v>0</v>
      </c>
      <c r="AP155" s="472">
        <f t="shared" ca="1" si="240"/>
        <v>0</v>
      </c>
      <c r="AQ155" s="472">
        <f t="shared" ca="1" si="240"/>
        <v>0</v>
      </c>
      <c r="AR155" s="472">
        <f t="shared" ca="1" si="240"/>
        <v>0</v>
      </c>
      <c r="AS155" s="472">
        <f t="shared" ca="1" si="240"/>
        <v>0</v>
      </c>
      <c r="AT155" s="472">
        <f t="shared" ca="1" si="240"/>
        <v>0</v>
      </c>
      <c r="AU155" s="472">
        <f t="shared" ca="1" si="240"/>
        <v>0</v>
      </c>
      <c r="AV155" s="472">
        <f t="shared" ca="1" si="232"/>
        <v>0</v>
      </c>
      <c r="AW155" s="472">
        <f t="shared" ca="1" si="233"/>
        <v>0</v>
      </c>
      <c r="AX155" s="472">
        <f t="shared" ca="1" si="234"/>
        <v>0</v>
      </c>
    </row>
    <row r="156" spans="5:50" x14ac:dyDescent="0.3">
      <c r="E156" s="17">
        <f t="shared" si="235"/>
        <v>2045</v>
      </c>
      <c r="F156" s="472">
        <f ca="1"/>
        <v>0</v>
      </c>
      <c r="G156" s="472">
        <f t="shared" ca="1" si="238"/>
        <v>0</v>
      </c>
      <c r="H156" s="472">
        <f t="shared" ca="1" si="238"/>
        <v>0</v>
      </c>
      <c r="I156" s="472">
        <f t="shared" ca="1" si="238"/>
        <v>0</v>
      </c>
      <c r="J156" s="472">
        <f t="shared" ca="1" si="238"/>
        <v>0</v>
      </c>
      <c r="K156" s="472">
        <f t="shared" ca="1" si="238"/>
        <v>0</v>
      </c>
      <c r="L156" s="472">
        <f t="shared" ca="1" si="238"/>
        <v>0</v>
      </c>
      <c r="M156" s="472">
        <f t="shared" ca="1" si="238"/>
        <v>0</v>
      </c>
      <c r="N156" s="472">
        <f t="shared" ca="1" si="238"/>
        <v>0</v>
      </c>
      <c r="O156" s="472">
        <f t="shared" ca="1" si="238"/>
        <v>0</v>
      </c>
      <c r="P156" s="472">
        <f t="shared" ca="1" si="238"/>
        <v>0</v>
      </c>
      <c r="Q156" s="472">
        <f t="shared" ca="1" si="238"/>
        <v>0</v>
      </c>
      <c r="R156" s="472">
        <f t="shared" ca="1" si="238"/>
        <v>0</v>
      </c>
      <c r="S156" s="472">
        <f t="shared" ca="1" si="238"/>
        <v>0</v>
      </c>
      <c r="T156" s="472">
        <f t="shared" ca="1" si="238"/>
        <v>0</v>
      </c>
      <c r="U156" s="472">
        <f t="shared" ca="1" si="238"/>
        <v>0</v>
      </c>
      <c r="V156" s="472">
        <f t="shared" ref="V156:V164" ca="1" si="241">IF(V$121&gt;=$E156,OFFSET($F$123,0,V$122-($E156-$E$124))*$F156,0)</f>
        <v>0</v>
      </c>
      <c r="W156" s="472">
        <f t="shared" ca="1" si="239"/>
        <v>0</v>
      </c>
      <c r="X156" s="472">
        <f t="shared" ca="1" si="239"/>
        <v>0</v>
      </c>
      <c r="Y156" s="472">
        <f t="shared" ca="1" si="239"/>
        <v>0</v>
      </c>
      <c r="Z156" s="472">
        <f t="shared" ca="1" si="239"/>
        <v>0</v>
      </c>
      <c r="AA156" s="472">
        <f t="shared" ca="1" si="239"/>
        <v>0</v>
      </c>
      <c r="AB156" s="472">
        <f t="shared" ca="1" si="239"/>
        <v>0</v>
      </c>
      <c r="AC156" s="472">
        <f t="shared" ca="1" si="239"/>
        <v>0</v>
      </c>
      <c r="AD156" s="472">
        <f t="shared" ca="1" si="239"/>
        <v>0</v>
      </c>
      <c r="AE156" s="472">
        <f t="shared" ca="1" si="239"/>
        <v>0</v>
      </c>
      <c r="AF156" s="472">
        <f t="shared" ca="1" si="239"/>
        <v>0</v>
      </c>
      <c r="AG156" s="472">
        <f t="shared" ca="1" si="239"/>
        <v>0</v>
      </c>
      <c r="AH156" s="472">
        <f t="shared" ca="1" si="239"/>
        <v>0</v>
      </c>
      <c r="AI156" s="472">
        <f t="shared" ca="1" si="239"/>
        <v>0</v>
      </c>
      <c r="AJ156" s="472">
        <f t="shared" ca="1" si="239"/>
        <v>0</v>
      </c>
      <c r="AK156" s="472">
        <f t="shared" ca="1" si="239"/>
        <v>0</v>
      </c>
      <c r="AL156" s="472">
        <f t="shared" ca="1" si="239"/>
        <v>0</v>
      </c>
      <c r="AM156" s="472">
        <f t="shared" ca="1" si="240"/>
        <v>0</v>
      </c>
      <c r="AN156" s="472">
        <f t="shared" ca="1" si="240"/>
        <v>0</v>
      </c>
      <c r="AO156" s="472">
        <f t="shared" ca="1" si="240"/>
        <v>0</v>
      </c>
      <c r="AP156" s="472">
        <f t="shared" ca="1" si="240"/>
        <v>0</v>
      </c>
      <c r="AQ156" s="472">
        <f t="shared" ca="1" si="240"/>
        <v>0</v>
      </c>
      <c r="AR156" s="472">
        <f t="shared" ca="1" si="240"/>
        <v>0</v>
      </c>
      <c r="AS156" s="472">
        <f t="shared" ca="1" si="240"/>
        <v>0</v>
      </c>
      <c r="AT156" s="472">
        <f t="shared" ca="1" si="240"/>
        <v>0</v>
      </c>
      <c r="AU156" s="472">
        <f t="shared" ca="1" si="240"/>
        <v>0</v>
      </c>
      <c r="AV156" s="472">
        <f t="shared" ca="1" si="232"/>
        <v>0</v>
      </c>
      <c r="AW156" s="472">
        <f t="shared" ca="1" si="233"/>
        <v>0</v>
      </c>
      <c r="AX156" s="472">
        <f t="shared" ca="1" si="234"/>
        <v>0</v>
      </c>
    </row>
    <row r="157" spans="5:50" x14ac:dyDescent="0.3">
      <c r="E157" s="17">
        <f t="shared" si="235"/>
        <v>2046</v>
      </c>
      <c r="F157" s="472">
        <f ca="1"/>
        <v>0</v>
      </c>
      <c r="G157" s="472">
        <f t="shared" ref="G157:U164" ca="1" si="242">IF(G$121&gt;=$E157,OFFSET($F$123,0,G$122-($E157-$E$124))*$F157,0)</f>
        <v>0</v>
      </c>
      <c r="H157" s="472">
        <f t="shared" ca="1" si="242"/>
        <v>0</v>
      </c>
      <c r="I157" s="472">
        <f t="shared" ca="1" si="242"/>
        <v>0</v>
      </c>
      <c r="J157" s="472">
        <f t="shared" ca="1" si="242"/>
        <v>0</v>
      </c>
      <c r="K157" s="472">
        <f t="shared" ca="1" si="242"/>
        <v>0</v>
      </c>
      <c r="L157" s="472">
        <f t="shared" ca="1" si="242"/>
        <v>0</v>
      </c>
      <c r="M157" s="472">
        <f t="shared" ca="1" si="242"/>
        <v>0</v>
      </c>
      <c r="N157" s="472">
        <f t="shared" ca="1" si="242"/>
        <v>0</v>
      </c>
      <c r="O157" s="472">
        <f t="shared" ca="1" si="242"/>
        <v>0</v>
      </c>
      <c r="P157" s="472">
        <f t="shared" ca="1" si="242"/>
        <v>0</v>
      </c>
      <c r="Q157" s="472">
        <f t="shared" ca="1" si="242"/>
        <v>0</v>
      </c>
      <c r="R157" s="472">
        <f t="shared" ca="1" si="242"/>
        <v>0</v>
      </c>
      <c r="S157" s="472">
        <f t="shared" ca="1" si="242"/>
        <v>0</v>
      </c>
      <c r="T157" s="472">
        <f t="shared" ca="1" si="242"/>
        <v>0</v>
      </c>
      <c r="U157" s="472">
        <f t="shared" ca="1" si="242"/>
        <v>0</v>
      </c>
      <c r="V157" s="472">
        <f t="shared" ca="1" si="241"/>
        <v>0</v>
      </c>
      <c r="W157" s="472">
        <f t="shared" ca="1" si="239"/>
        <v>0</v>
      </c>
      <c r="X157" s="472">
        <f t="shared" ca="1" si="239"/>
        <v>0</v>
      </c>
      <c r="Y157" s="472">
        <f t="shared" ca="1" si="239"/>
        <v>0</v>
      </c>
      <c r="Z157" s="472">
        <f t="shared" ca="1" si="239"/>
        <v>0</v>
      </c>
      <c r="AA157" s="472">
        <f t="shared" ca="1" si="239"/>
        <v>0</v>
      </c>
      <c r="AB157" s="472">
        <f t="shared" ca="1" si="239"/>
        <v>0</v>
      </c>
      <c r="AC157" s="472">
        <f t="shared" ca="1" si="239"/>
        <v>0</v>
      </c>
      <c r="AD157" s="472">
        <f t="shared" ca="1" si="239"/>
        <v>0</v>
      </c>
      <c r="AE157" s="472">
        <f t="shared" ca="1" si="239"/>
        <v>0</v>
      </c>
      <c r="AF157" s="472">
        <f t="shared" ca="1" si="239"/>
        <v>0</v>
      </c>
      <c r="AG157" s="472">
        <f t="shared" ca="1" si="239"/>
        <v>0</v>
      </c>
      <c r="AH157" s="472">
        <f t="shared" ca="1" si="239"/>
        <v>0</v>
      </c>
      <c r="AI157" s="472">
        <f t="shared" ca="1" si="239"/>
        <v>0</v>
      </c>
      <c r="AJ157" s="472">
        <f t="shared" ca="1" si="239"/>
        <v>0</v>
      </c>
      <c r="AK157" s="472">
        <f t="shared" ca="1" si="239"/>
        <v>0</v>
      </c>
      <c r="AL157" s="472">
        <f t="shared" ca="1" si="239"/>
        <v>0</v>
      </c>
      <c r="AM157" s="472">
        <f t="shared" ca="1" si="240"/>
        <v>0</v>
      </c>
      <c r="AN157" s="472">
        <f t="shared" ca="1" si="240"/>
        <v>0</v>
      </c>
      <c r="AO157" s="472">
        <f t="shared" ca="1" si="240"/>
        <v>0</v>
      </c>
      <c r="AP157" s="472">
        <f t="shared" ca="1" si="240"/>
        <v>0</v>
      </c>
      <c r="AQ157" s="472">
        <f t="shared" ca="1" si="240"/>
        <v>0</v>
      </c>
      <c r="AR157" s="472">
        <f t="shared" ca="1" si="240"/>
        <v>0</v>
      </c>
      <c r="AS157" s="472">
        <f t="shared" ca="1" si="240"/>
        <v>0</v>
      </c>
      <c r="AT157" s="472">
        <f t="shared" ca="1" si="240"/>
        <v>0</v>
      </c>
      <c r="AU157" s="472">
        <f t="shared" ca="1" si="240"/>
        <v>0</v>
      </c>
      <c r="AV157" s="472">
        <f t="shared" ca="1" si="232"/>
        <v>0</v>
      </c>
      <c r="AW157" s="472">
        <f t="shared" ca="1" si="233"/>
        <v>0</v>
      </c>
      <c r="AX157" s="472">
        <f t="shared" ca="1" si="234"/>
        <v>0</v>
      </c>
    </row>
    <row r="158" spans="5:50" x14ac:dyDescent="0.3">
      <c r="E158" s="17">
        <f t="shared" si="235"/>
        <v>2047</v>
      </c>
      <c r="F158" s="472">
        <f ca="1"/>
        <v>0</v>
      </c>
      <c r="G158" s="472">
        <f t="shared" ca="1" si="242"/>
        <v>0</v>
      </c>
      <c r="H158" s="472">
        <f t="shared" ca="1" si="242"/>
        <v>0</v>
      </c>
      <c r="I158" s="472">
        <f t="shared" ca="1" si="242"/>
        <v>0</v>
      </c>
      <c r="J158" s="472">
        <f t="shared" ca="1" si="242"/>
        <v>0</v>
      </c>
      <c r="K158" s="472">
        <f t="shared" ca="1" si="242"/>
        <v>0</v>
      </c>
      <c r="L158" s="472">
        <f t="shared" ca="1" si="242"/>
        <v>0</v>
      </c>
      <c r="M158" s="472">
        <f t="shared" ca="1" si="242"/>
        <v>0</v>
      </c>
      <c r="N158" s="472">
        <f t="shared" ca="1" si="242"/>
        <v>0</v>
      </c>
      <c r="O158" s="472">
        <f t="shared" ca="1" si="242"/>
        <v>0</v>
      </c>
      <c r="P158" s="472">
        <f t="shared" ca="1" si="242"/>
        <v>0</v>
      </c>
      <c r="Q158" s="472">
        <f t="shared" ca="1" si="242"/>
        <v>0</v>
      </c>
      <c r="R158" s="472">
        <f t="shared" ca="1" si="242"/>
        <v>0</v>
      </c>
      <c r="S158" s="472">
        <f t="shared" ca="1" si="242"/>
        <v>0</v>
      </c>
      <c r="T158" s="472">
        <f t="shared" ca="1" si="242"/>
        <v>0</v>
      </c>
      <c r="U158" s="472">
        <f t="shared" ca="1" si="242"/>
        <v>0</v>
      </c>
      <c r="V158" s="472">
        <f t="shared" ca="1" si="241"/>
        <v>0</v>
      </c>
      <c r="W158" s="472">
        <f t="shared" ca="1" si="239"/>
        <v>0</v>
      </c>
      <c r="X158" s="472">
        <f t="shared" ca="1" si="239"/>
        <v>0</v>
      </c>
      <c r="Y158" s="472">
        <f t="shared" ca="1" si="239"/>
        <v>0</v>
      </c>
      <c r="Z158" s="472">
        <f t="shared" ca="1" si="239"/>
        <v>0</v>
      </c>
      <c r="AA158" s="472">
        <f t="shared" ca="1" si="239"/>
        <v>0</v>
      </c>
      <c r="AB158" s="472">
        <f t="shared" ca="1" si="239"/>
        <v>0</v>
      </c>
      <c r="AC158" s="472">
        <f t="shared" ca="1" si="239"/>
        <v>0</v>
      </c>
      <c r="AD158" s="472">
        <f t="shared" ca="1" si="239"/>
        <v>0</v>
      </c>
      <c r="AE158" s="472">
        <f t="shared" ca="1" si="239"/>
        <v>0</v>
      </c>
      <c r="AF158" s="472">
        <f t="shared" ca="1" si="239"/>
        <v>0</v>
      </c>
      <c r="AG158" s="472">
        <f t="shared" ca="1" si="239"/>
        <v>0</v>
      </c>
      <c r="AH158" s="472">
        <f t="shared" ca="1" si="239"/>
        <v>0</v>
      </c>
      <c r="AI158" s="472">
        <f t="shared" ca="1" si="239"/>
        <v>0</v>
      </c>
      <c r="AJ158" s="472">
        <f t="shared" ca="1" si="239"/>
        <v>0</v>
      </c>
      <c r="AK158" s="472">
        <f t="shared" ca="1" si="239"/>
        <v>0</v>
      </c>
      <c r="AL158" s="472">
        <f t="shared" ca="1" si="239"/>
        <v>0</v>
      </c>
      <c r="AM158" s="472">
        <f t="shared" ca="1" si="240"/>
        <v>0</v>
      </c>
      <c r="AN158" s="472">
        <f t="shared" ca="1" si="240"/>
        <v>0</v>
      </c>
      <c r="AO158" s="472">
        <f t="shared" ca="1" si="240"/>
        <v>0</v>
      </c>
      <c r="AP158" s="472">
        <f t="shared" ca="1" si="240"/>
        <v>0</v>
      </c>
      <c r="AQ158" s="472">
        <f t="shared" ca="1" si="240"/>
        <v>0</v>
      </c>
      <c r="AR158" s="472">
        <f t="shared" ca="1" si="240"/>
        <v>0</v>
      </c>
      <c r="AS158" s="472">
        <f t="shared" ca="1" si="240"/>
        <v>0</v>
      </c>
      <c r="AT158" s="472">
        <f t="shared" ca="1" si="240"/>
        <v>0</v>
      </c>
      <c r="AU158" s="472">
        <f t="shared" ca="1" si="240"/>
        <v>0</v>
      </c>
      <c r="AV158" s="472">
        <f t="shared" ca="1" si="232"/>
        <v>0</v>
      </c>
      <c r="AW158" s="472">
        <f t="shared" ca="1" si="233"/>
        <v>0</v>
      </c>
      <c r="AX158" s="472">
        <f t="shared" ca="1" si="234"/>
        <v>0</v>
      </c>
    </row>
    <row r="159" spans="5:50" x14ac:dyDescent="0.3">
      <c r="E159" s="17">
        <f t="shared" si="235"/>
        <v>2048</v>
      </c>
      <c r="F159" s="472">
        <f ca="1"/>
        <v>0</v>
      </c>
      <c r="G159" s="472">
        <f t="shared" ca="1" si="242"/>
        <v>0</v>
      </c>
      <c r="H159" s="472">
        <f t="shared" ca="1" si="242"/>
        <v>0</v>
      </c>
      <c r="I159" s="472">
        <f t="shared" ca="1" si="242"/>
        <v>0</v>
      </c>
      <c r="J159" s="472">
        <f t="shared" ca="1" si="242"/>
        <v>0</v>
      </c>
      <c r="K159" s="472">
        <f t="shared" ca="1" si="242"/>
        <v>0</v>
      </c>
      <c r="L159" s="472">
        <f t="shared" ca="1" si="242"/>
        <v>0</v>
      </c>
      <c r="M159" s="472">
        <f t="shared" ca="1" si="242"/>
        <v>0</v>
      </c>
      <c r="N159" s="472">
        <f t="shared" ca="1" si="242"/>
        <v>0</v>
      </c>
      <c r="O159" s="472">
        <f t="shared" ca="1" si="242"/>
        <v>0</v>
      </c>
      <c r="P159" s="472">
        <f t="shared" ca="1" si="242"/>
        <v>0</v>
      </c>
      <c r="Q159" s="472">
        <f t="shared" ca="1" si="242"/>
        <v>0</v>
      </c>
      <c r="R159" s="472">
        <f t="shared" ca="1" si="242"/>
        <v>0</v>
      </c>
      <c r="S159" s="472">
        <f t="shared" ca="1" si="242"/>
        <v>0</v>
      </c>
      <c r="T159" s="472">
        <f t="shared" ca="1" si="242"/>
        <v>0</v>
      </c>
      <c r="U159" s="472">
        <f t="shared" ca="1" si="242"/>
        <v>0</v>
      </c>
      <c r="V159" s="472">
        <f t="shared" ca="1" si="241"/>
        <v>0</v>
      </c>
      <c r="W159" s="472">
        <f t="shared" ca="1" si="239"/>
        <v>0</v>
      </c>
      <c r="X159" s="472">
        <f t="shared" ca="1" si="239"/>
        <v>0</v>
      </c>
      <c r="Y159" s="472">
        <f t="shared" ca="1" si="239"/>
        <v>0</v>
      </c>
      <c r="Z159" s="472">
        <f t="shared" ca="1" si="239"/>
        <v>0</v>
      </c>
      <c r="AA159" s="472">
        <f t="shared" ca="1" si="239"/>
        <v>0</v>
      </c>
      <c r="AB159" s="472">
        <f t="shared" ca="1" si="239"/>
        <v>0</v>
      </c>
      <c r="AC159" s="472">
        <f t="shared" ca="1" si="239"/>
        <v>0</v>
      </c>
      <c r="AD159" s="472">
        <f t="shared" ca="1" si="239"/>
        <v>0</v>
      </c>
      <c r="AE159" s="472">
        <f t="shared" ca="1" si="239"/>
        <v>0</v>
      </c>
      <c r="AF159" s="472">
        <f t="shared" ca="1" si="239"/>
        <v>0</v>
      </c>
      <c r="AG159" s="472">
        <f t="shared" ca="1" si="239"/>
        <v>0</v>
      </c>
      <c r="AH159" s="472">
        <f t="shared" ca="1" si="239"/>
        <v>0</v>
      </c>
      <c r="AI159" s="472">
        <f t="shared" ca="1" si="239"/>
        <v>0</v>
      </c>
      <c r="AJ159" s="472">
        <f t="shared" ca="1" si="239"/>
        <v>0</v>
      </c>
      <c r="AK159" s="472">
        <f t="shared" ca="1" si="239"/>
        <v>0</v>
      </c>
      <c r="AL159" s="472">
        <f t="shared" ca="1" si="239"/>
        <v>0</v>
      </c>
      <c r="AM159" s="472">
        <f t="shared" ca="1" si="240"/>
        <v>0</v>
      </c>
      <c r="AN159" s="472">
        <f t="shared" ca="1" si="240"/>
        <v>0</v>
      </c>
      <c r="AO159" s="472">
        <f t="shared" ca="1" si="240"/>
        <v>0</v>
      </c>
      <c r="AP159" s="472">
        <f t="shared" ca="1" si="240"/>
        <v>0</v>
      </c>
      <c r="AQ159" s="472">
        <f t="shared" ca="1" si="240"/>
        <v>0</v>
      </c>
      <c r="AR159" s="472">
        <f t="shared" ca="1" si="240"/>
        <v>0</v>
      </c>
      <c r="AS159" s="472">
        <f t="shared" ca="1" si="240"/>
        <v>0</v>
      </c>
      <c r="AT159" s="472">
        <f t="shared" ca="1" si="240"/>
        <v>0</v>
      </c>
      <c r="AU159" s="472">
        <f t="shared" ca="1" si="240"/>
        <v>0</v>
      </c>
      <c r="AV159" s="472">
        <f t="shared" ca="1" si="232"/>
        <v>0</v>
      </c>
      <c r="AW159" s="472">
        <f t="shared" ca="1" si="233"/>
        <v>0</v>
      </c>
      <c r="AX159" s="472">
        <f t="shared" ca="1" si="234"/>
        <v>0</v>
      </c>
    </row>
    <row r="160" spans="5:50" x14ac:dyDescent="0.3">
      <c r="E160" s="17">
        <f t="shared" si="235"/>
        <v>2049</v>
      </c>
      <c r="F160" s="472">
        <f ca="1"/>
        <v>0</v>
      </c>
      <c r="G160" s="472">
        <f t="shared" ca="1" si="242"/>
        <v>0</v>
      </c>
      <c r="H160" s="472">
        <f t="shared" ca="1" si="242"/>
        <v>0</v>
      </c>
      <c r="I160" s="472">
        <f t="shared" ca="1" si="242"/>
        <v>0</v>
      </c>
      <c r="J160" s="472">
        <f t="shared" ca="1" si="242"/>
        <v>0</v>
      </c>
      <c r="K160" s="472">
        <f t="shared" ca="1" si="242"/>
        <v>0</v>
      </c>
      <c r="L160" s="472">
        <f t="shared" ca="1" si="242"/>
        <v>0</v>
      </c>
      <c r="M160" s="472">
        <f t="shared" ca="1" si="242"/>
        <v>0</v>
      </c>
      <c r="N160" s="472">
        <f t="shared" ca="1" si="242"/>
        <v>0</v>
      </c>
      <c r="O160" s="472">
        <f t="shared" ca="1" si="242"/>
        <v>0</v>
      </c>
      <c r="P160" s="472">
        <f t="shared" ca="1" si="242"/>
        <v>0</v>
      </c>
      <c r="Q160" s="472">
        <f t="shared" ca="1" si="242"/>
        <v>0</v>
      </c>
      <c r="R160" s="472">
        <f t="shared" ca="1" si="242"/>
        <v>0</v>
      </c>
      <c r="S160" s="472">
        <f t="shared" ca="1" si="242"/>
        <v>0</v>
      </c>
      <c r="T160" s="472">
        <f t="shared" ca="1" si="242"/>
        <v>0</v>
      </c>
      <c r="U160" s="472">
        <f t="shared" ca="1" si="242"/>
        <v>0</v>
      </c>
      <c r="V160" s="472">
        <f t="shared" ca="1" si="241"/>
        <v>0</v>
      </c>
      <c r="W160" s="472">
        <f t="shared" ca="1" si="239"/>
        <v>0</v>
      </c>
      <c r="X160" s="472">
        <f t="shared" ca="1" si="239"/>
        <v>0</v>
      </c>
      <c r="Y160" s="472">
        <f t="shared" ca="1" si="239"/>
        <v>0</v>
      </c>
      <c r="Z160" s="472">
        <f t="shared" ca="1" si="239"/>
        <v>0</v>
      </c>
      <c r="AA160" s="472">
        <f t="shared" ca="1" si="239"/>
        <v>0</v>
      </c>
      <c r="AB160" s="472">
        <f t="shared" ca="1" si="239"/>
        <v>0</v>
      </c>
      <c r="AC160" s="472">
        <f t="shared" ca="1" si="239"/>
        <v>0</v>
      </c>
      <c r="AD160" s="472">
        <f t="shared" ca="1" si="239"/>
        <v>0</v>
      </c>
      <c r="AE160" s="472">
        <f t="shared" ca="1" si="239"/>
        <v>0</v>
      </c>
      <c r="AF160" s="472">
        <f t="shared" ca="1" si="239"/>
        <v>0</v>
      </c>
      <c r="AG160" s="472">
        <f t="shared" ca="1" si="239"/>
        <v>0</v>
      </c>
      <c r="AH160" s="472">
        <f t="shared" ca="1" si="239"/>
        <v>0</v>
      </c>
      <c r="AI160" s="472">
        <f t="shared" ca="1" si="239"/>
        <v>0</v>
      </c>
      <c r="AJ160" s="472">
        <f t="shared" ca="1" si="239"/>
        <v>0</v>
      </c>
      <c r="AK160" s="472">
        <f t="shared" ca="1" si="239"/>
        <v>0</v>
      </c>
      <c r="AL160" s="472">
        <f t="shared" ca="1" si="239"/>
        <v>0</v>
      </c>
      <c r="AM160" s="472">
        <f t="shared" ca="1" si="240"/>
        <v>0</v>
      </c>
      <c r="AN160" s="472">
        <f t="shared" ca="1" si="240"/>
        <v>0</v>
      </c>
      <c r="AO160" s="472">
        <f t="shared" ca="1" si="240"/>
        <v>0</v>
      </c>
      <c r="AP160" s="472">
        <f t="shared" ca="1" si="240"/>
        <v>0</v>
      </c>
      <c r="AQ160" s="472">
        <f t="shared" ca="1" si="240"/>
        <v>0</v>
      </c>
      <c r="AR160" s="472">
        <f t="shared" ca="1" si="240"/>
        <v>0</v>
      </c>
      <c r="AS160" s="472">
        <f t="shared" ca="1" si="240"/>
        <v>0</v>
      </c>
      <c r="AT160" s="472">
        <f t="shared" ca="1" si="240"/>
        <v>0</v>
      </c>
      <c r="AU160" s="472">
        <f t="shared" ca="1" si="240"/>
        <v>0</v>
      </c>
      <c r="AV160" s="472">
        <f t="shared" ca="1" si="232"/>
        <v>0</v>
      </c>
      <c r="AW160" s="472">
        <f t="shared" ca="1" si="233"/>
        <v>0</v>
      </c>
      <c r="AX160" s="472">
        <f t="shared" ca="1" si="234"/>
        <v>0</v>
      </c>
    </row>
    <row r="161" spans="5:50" x14ac:dyDescent="0.3">
      <c r="E161" s="17">
        <f t="shared" si="235"/>
        <v>2050</v>
      </c>
      <c r="F161" s="472">
        <f ca="1"/>
        <v>0</v>
      </c>
      <c r="G161" s="472">
        <f t="shared" ca="1" si="242"/>
        <v>0</v>
      </c>
      <c r="H161" s="472">
        <f t="shared" ca="1" si="242"/>
        <v>0</v>
      </c>
      <c r="I161" s="472">
        <f t="shared" ca="1" si="242"/>
        <v>0</v>
      </c>
      <c r="J161" s="472">
        <f t="shared" ca="1" si="242"/>
        <v>0</v>
      </c>
      <c r="K161" s="472">
        <f t="shared" ca="1" si="242"/>
        <v>0</v>
      </c>
      <c r="L161" s="472">
        <f t="shared" ca="1" si="242"/>
        <v>0</v>
      </c>
      <c r="M161" s="472">
        <f t="shared" ca="1" si="242"/>
        <v>0</v>
      </c>
      <c r="N161" s="472">
        <f t="shared" ca="1" si="242"/>
        <v>0</v>
      </c>
      <c r="O161" s="472">
        <f t="shared" ca="1" si="242"/>
        <v>0</v>
      </c>
      <c r="P161" s="472">
        <f t="shared" ca="1" si="242"/>
        <v>0</v>
      </c>
      <c r="Q161" s="472">
        <f t="shared" ca="1" si="242"/>
        <v>0</v>
      </c>
      <c r="R161" s="472">
        <f t="shared" ca="1" si="242"/>
        <v>0</v>
      </c>
      <c r="S161" s="472">
        <f t="shared" ca="1" si="242"/>
        <v>0</v>
      </c>
      <c r="T161" s="472">
        <f t="shared" ca="1" si="242"/>
        <v>0</v>
      </c>
      <c r="U161" s="472">
        <f t="shared" ca="1" si="242"/>
        <v>0</v>
      </c>
      <c r="V161" s="472">
        <f t="shared" ca="1" si="241"/>
        <v>0</v>
      </c>
      <c r="W161" s="472">
        <f t="shared" ca="1" si="239"/>
        <v>0</v>
      </c>
      <c r="X161" s="472">
        <f t="shared" ca="1" si="239"/>
        <v>0</v>
      </c>
      <c r="Y161" s="472">
        <f t="shared" ca="1" si="239"/>
        <v>0</v>
      </c>
      <c r="Z161" s="472">
        <f t="shared" ca="1" si="239"/>
        <v>0</v>
      </c>
      <c r="AA161" s="472">
        <f t="shared" ca="1" si="239"/>
        <v>0</v>
      </c>
      <c r="AB161" s="472">
        <f t="shared" ca="1" si="239"/>
        <v>0</v>
      </c>
      <c r="AC161" s="472">
        <f t="shared" ca="1" si="239"/>
        <v>0</v>
      </c>
      <c r="AD161" s="472">
        <f t="shared" ca="1" si="239"/>
        <v>0</v>
      </c>
      <c r="AE161" s="472">
        <f t="shared" ca="1" si="239"/>
        <v>0</v>
      </c>
      <c r="AF161" s="472">
        <f t="shared" ca="1" si="239"/>
        <v>0</v>
      </c>
      <c r="AG161" s="472">
        <f t="shared" ca="1" si="239"/>
        <v>0</v>
      </c>
      <c r="AH161" s="472">
        <f t="shared" ca="1" si="239"/>
        <v>0</v>
      </c>
      <c r="AI161" s="472">
        <f t="shared" ca="1" si="239"/>
        <v>0</v>
      </c>
      <c r="AJ161" s="472">
        <f t="shared" ca="1" si="239"/>
        <v>0</v>
      </c>
      <c r="AK161" s="472">
        <f t="shared" ca="1" si="239"/>
        <v>0</v>
      </c>
      <c r="AL161" s="472">
        <f t="shared" ca="1" si="239"/>
        <v>0</v>
      </c>
      <c r="AM161" s="472">
        <f t="shared" ca="1" si="240"/>
        <v>0</v>
      </c>
      <c r="AN161" s="472">
        <f t="shared" ca="1" si="240"/>
        <v>0</v>
      </c>
      <c r="AO161" s="472">
        <f t="shared" ca="1" si="240"/>
        <v>0</v>
      </c>
      <c r="AP161" s="472">
        <f t="shared" ca="1" si="240"/>
        <v>0</v>
      </c>
      <c r="AQ161" s="472">
        <f t="shared" ca="1" si="240"/>
        <v>0</v>
      </c>
      <c r="AR161" s="472">
        <f t="shared" ca="1" si="240"/>
        <v>0</v>
      </c>
      <c r="AS161" s="472">
        <f t="shared" ca="1" si="240"/>
        <v>0</v>
      </c>
      <c r="AT161" s="472">
        <f t="shared" ca="1" si="240"/>
        <v>0</v>
      </c>
      <c r="AU161" s="472">
        <f t="shared" ca="1" si="240"/>
        <v>0</v>
      </c>
      <c r="AV161" s="472">
        <f t="shared" ca="1" si="232"/>
        <v>0</v>
      </c>
      <c r="AW161" s="472">
        <f t="shared" ca="1" si="233"/>
        <v>0</v>
      </c>
      <c r="AX161" s="472">
        <f t="shared" ca="1" si="234"/>
        <v>0</v>
      </c>
    </row>
    <row r="162" spans="5:50" x14ac:dyDescent="0.3">
      <c r="E162" s="17">
        <f t="shared" si="235"/>
        <v>2051</v>
      </c>
      <c r="F162" s="472">
        <f ca="1"/>
        <v>0</v>
      </c>
      <c r="G162" s="472">
        <f t="shared" ca="1" si="242"/>
        <v>0</v>
      </c>
      <c r="H162" s="472">
        <f t="shared" ca="1" si="242"/>
        <v>0</v>
      </c>
      <c r="I162" s="472">
        <f t="shared" ca="1" si="242"/>
        <v>0</v>
      </c>
      <c r="J162" s="472">
        <f t="shared" ca="1" si="242"/>
        <v>0</v>
      </c>
      <c r="K162" s="472">
        <f t="shared" ca="1" si="242"/>
        <v>0</v>
      </c>
      <c r="L162" s="472">
        <f t="shared" ca="1" si="242"/>
        <v>0</v>
      </c>
      <c r="M162" s="472">
        <f t="shared" ca="1" si="242"/>
        <v>0</v>
      </c>
      <c r="N162" s="472">
        <f t="shared" ca="1" si="242"/>
        <v>0</v>
      </c>
      <c r="O162" s="472">
        <f t="shared" ca="1" si="242"/>
        <v>0</v>
      </c>
      <c r="P162" s="472">
        <f t="shared" ca="1" si="242"/>
        <v>0</v>
      </c>
      <c r="Q162" s="472">
        <f t="shared" ca="1" si="242"/>
        <v>0</v>
      </c>
      <c r="R162" s="472">
        <f t="shared" ca="1" si="242"/>
        <v>0</v>
      </c>
      <c r="S162" s="472">
        <f t="shared" ca="1" si="242"/>
        <v>0</v>
      </c>
      <c r="T162" s="472">
        <f t="shared" ca="1" si="242"/>
        <v>0</v>
      </c>
      <c r="U162" s="472">
        <f t="shared" ca="1" si="242"/>
        <v>0</v>
      </c>
      <c r="V162" s="472">
        <f t="shared" ca="1" si="241"/>
        <v>0</v>
      </c>
      <c r="W162" s="472">
        <f t="shared" ca="1" si="239"/>
        <v>0</v>
      </c>
      <c r="X162" s="472">
        <f t="shared" ca="1" si="239"/>
        <v>0</v>
      </c>
      <c r="Y162" s="472">
        <f t="shared" ca="1" si="239"/>
        <v>0</v>
      </c>
      <c r="Z162" s="472">
        <f t="shared" ca="1" si="239"/>
        <v>0</v>
      </c>
      <c r="AA162" s="472">
        <f t="shared" ca="1" si="239"/>
        <v>0</v>
      </c>
      <c r="AB162" s="472">
        <f t="shared" ca="1" si="239"/>
        <v>0</v>
      </c>
      <c r="AC162" s="472">
        <f t="shared" ca="1" si="239"/>
        <v>0</v>
      </c>
      <c r="AD162" s="472">
        <f t="shared" ca="1" si="239"/>
        <v>0</v>
      </c>
      <c r="AE162" s="472">
        <f t="shared" ca="1" si="239"/>
        <v>0</v>
      </c>
      <c r="AF162" s="472">
        <f t="shared" ca="1" si="239"/>
        <v>0</v>
      </c>
      <c r="AG162" s="472">
        <f t="shared" ca="1" si="239"/>
        <v>0</v>
      </c>
      <c r="AH162" s="472">
        <f t="shared" ca="1" si="239"/>
        <v>0</v>
      </c>
      <c r="AI162" s="472">
        <f t="shared" ca="1" si="239"/>
        <v>0</v>
      </c>
      <c r="AJ162" s="472">
        <f t="shared" ca="1" si="239"/>
        <v>0</v>
      </c>
      <c r="AK162" s="472">
        <f t="shared" ca="1" si="239"/>
        <v>0</v>
      </c>
      <c r="AL162" s="472">
        <f t="shared" ca="1" si="239"/>
        <v>0</v>
      </c>
      <c r="AM162" s="472">
        <f t="shared" ca="1" si="240"/>
        <v>0</v>
      </c>
      <c r="AN162" s="472">
        <f t="shared" ca="1" si="240"/>
        <v>0</v>
      </c>
      <c r="AO162" s="472">
        <f t="shared" ca="1" si="240"/>
        <v>0</v>
      </c>
      <c r="AP162" s="472">
        <f t="shared" ca="1" si="240"/>
        <v>0</v>
      </c>
      <c r="AQ162" s="472">
        <f t="shared" ca="1" si="240"/>
        <v>0</v>
      </c>
      <c r="AR162" s="472">
        <f t="shared" ca="1" si="240"/>
        <v>0</v>
      </c>
      <c r="AS162" s="472">
        <f t="shared" ca="1" si="240"/>
        <v>0</v>
      </c>
      <c r="AT162" s="472">
        <f t="shared" ca="1" si="240"/>
        <v>0</v>
      </c>
      <c r="AU162" s="472">
        <f t="shared" ca="1" si="240"/>
        <v>0</v>
      </c>
      <c r="AV162" s="472">
        <f t="shared" ca="1" si="232"/>
        <v>0</v>
      </c>
      <c r="AW162" s="472">
        <f t="shared" ca="1" si="233"/>
        <v>0</v>
      </c>
      <c r="AX162" s="472">
        <f t="shared" ca="1" si="234"/>
        <v>0</v>
      </c>
    </row>
    <row r="163" spans="5:50" x14ac:dyDescent="0.3">
      <c r="E163" s="17">
        <f t="shared" si="235"/>
        <v>2052</v>
      </c>
      <c r="F163" s="472">
        <f ca="1"/>
        <v>0</v>
      </c>
      <c r="G163" s="472">
        <f t="shared" ca="1" si="242"/>
        <v>0</v>
      </c>
      <c r="H163" s="472">
        <f t="shared" ca="1" si="242"/>
        <v>0</v>
      </c>
      <c r="I163" s="472">
        <f t="shared" ca="1" si="242"/>
        <v>0</v>
      </c>
      <c r="J163" s="472">
        <f t="shared" ca="1" si="242"/>
        <v>0</v>
      </c>
      <c r="K163" s="472">
        <f t="shared" ca="1" si="242"/>
        <v>0</v>
      </c>
      <c r="L163" s="472">
        <f t="shared" ca="1" si="242"/>
        <v>0</v>
      </c>
      <c r="M163" s="472">
        <f t="shared" ca="1" si="242"/>
        <v>0</v>
      </c>
      <c r="N163" s="472">
        <f t="shared" ca="1" si="242"/>
        <v>0</v>
      </c>
      <c r="O163" s="472">
        <f t="shared" ca="1" si="242"/>
        <v>0</v>
      </c>
      <c r="P163" s="472">
        <f t="shared" ca="1" si="242"/>
        <v>0</v>
      </c>
      <c r="Q163" s="472">
        <f t="shared" ca="1" si="242"/>
        <v>0</v>
      </c>
      <c r="R163" s="472">
        <f t="shared" ca="1" si="242"/>
        <v>0</v>
      </c>
      <c r="S163" s="472">
        <f t="shared" ca="1" si="242"/>
        <v>0</v>
      </c>
      <c r="T163" s="472">
        <f t="shared" ca="1" si="242"/>
        <v>0</v>
      </c>
      <c r="U163" s="472">
        <f t="shared" ca="1" si="242"/>
        <v>0</v>
      </c>
      <c r="V163" s="472">
        <f t="shared" ca="1" si="241"/>
        <v>0</v>
      </c>
      <c r="W163" s="472">
        <f t="shared" ca="1" si="239"/>
        <v>0</v>
      </c>
      <c r="X163" s="472">
        <f t="shared" ca="1" si="239"/>
        <v>0</v>
      </c>
      <c r="Y163" s="472">
        <f t="shared" ca="1" si="239"/>
        <v>0</v>
      </c>
      <c r="Z163" s="472">
        <f t="shared" ca="1" si="239"/>
        <v>0</v>
      </c>
      <c r="AA163" s="472">
        <f t="shared" ca="1" si="239"/>
        <v>0</v>
      </c>
      <c r="AB163" s="472">
        <f t="shared" ca="1" si="239"/>
        <v>0</v>
      </c>
      <c r="AC163" s="472">
        <f t="shared" ca="1" si="239"/>
        <v>0</v>
      </c>
      <c r="AD163" s="472">
        <f t="shared" ca="1" si="239"/>
        <v>0</v>
      </c>
      <c r="AE163" s="472">
        <f t="shared" ca="1" si="239"/>
        <v>0</v>
      </c>
      <c r="AF163" s="472">
        <f t="shared" ca="1" si="239"/>
        <v>0</v>
      </c>
      <c r="AG163" s="472">
        <f t="shared" ca="1" si="239"/>
        <v>0</v>
      </c>
      <c r="AH163" s="472">
        <f t="shared" ca="1" si="239"/>
        <v>0</v>
      </c>
      <c r="AI163" s="472">
        <f t="shared" ca="1" si="239"/>
        <v>0</v>
      </c>
      <c r="AJ163" s="472">
        <f t="shared" ca="1" si="239"/>
        <v>0</v>
      </c>
      <c r="AK163" s="472">
        <f t="shared" ca="1" si="239"/>
        <v>0</v>
      </c>
      <c r="AL163" s="472">
        <f t="shared" ca="1" si="239"/>
        <v>0</v>
      </c>
      <c r="AM163" s="472">
        <f t="shared" ca="1" si="240"/>
        <v>0</v>
      </c>
      <c r="AN163" s="472">
        <f t="shared" ca="1" si="240"/>
        <v>0</v>
      </c>
      <c r="AO163" s="472">
        <f t="shared" ca="1" si="240"/>
        <v>0</v>
      </c>
      <c r="AP163" s="472">
        <f t="shared" ca="1" si="240"/>
        <v>0</v>
      </c>
      <c r="AQ163" s="472">
        <f t="shared" ca="1" si="240"/>
        <v>0</v>
      </c>
      <c r="AR163" s="472">
        <f t="shared" ca="1" si="240"/>
        <v>0</v>
      </c>
      <c r="AS163" s="472">
        <f t="shared" ca="1" si="240"/>
        <v>0</v>
      </c>
      <c r="AT163" s="472">
        <f t="shared" ca="1" si="240"/>
        <v>0</v>
      </c>
      <c r="AU163" s="472">
        <f t="shared" ca="1" si="240"/>
        <v>0</v>
      </c>
      <c r="AV163" s="472">
        <f t="shared" ca="1" si="232"/>
        <v>0</v>
      </c>
      <c r="AW163" s="472">
        <f t="shared" ca="1" si="233"/>
        <v>0</v>
      </c>
      <c r="AX163" s="472">
        <f t="shared" ca="1" si="234"/>
        <v>0</v>
      </c>
    </row>
    <row r="164" spans="5:50" x14ac:dyDescent="0.3">
      <c r="E164" s="17">
        <f t="shared" si="235"/>
        <v>2053</v>
      </c>
      <c r="F164" s="472">
        <f ca="1"/>
        <v>0</v>
      </c>
      <c r="G164" s="472">
        <f t="shared" ca="1" si="242"/>
        <v>0</v>
      </c>
      <c r="H164" s="472">
        <f t="shared" ca="1" si="242"/>
        <v>0</v>
      </c>
      <c r="I164" s="472">
        <f t="shared" ca="1" si="242"/>
        <v>0</v>
      </c>
      <c r="J164" s="472">
        <f t="shared" ca="1" si="242"/>
        <v>0</v>
      </c>
      <c r="K164" s="472">
        <f t="shared" ca="1" si="242"/>
        <v>0</v>
      </c>
      <c r="L164" s="472">
        <f t="shared" ca="1" si="242"/>
        <v>0</v>
      </c>
      <c r="M164" s="472">
        <f t="shared" ca="1" si="242"/>
        <v>0</v>
      </c>
      <c r="N164" s="472">
        <f t="shared" ca="1" si="242"/>
        <v>0</v>
      </c>
      <c r="O164" s="472">
        <f t="shared" ca="1" si="242"/>
        <v>0</v>
      </c>
      <c r="P164" s="472">
        <f t="shared" ca="1" si="242"/>
        <v>0</v>
      </c>
      <c r="Q164" s="472">
        <f t="shared" ca="1" si="242"/>
        <v>0</v>
      </c>
      <c r="R164" s="472">
        <f t="shared" ca="1" si="242"/>
        <v>0</v>
      </c>
      <c r="S164" s="472">
        <f t="shared" ca="1" si="242"/>
        <v>0</v>
      </c>
      <c r="T164" s="472">
        <f t="shared" ca="1" si="242"/>
        <v>0</v>
      </c>
      <c r="U164" s="472">
        <f t="shared" ca="1" si="242"/>
        <v>0</v>
      </c>
      <c r="V164" s="472">
        <f t="shared" ca="1" si="241"/>
        <v>0</v>
      </c>
      <c r="W164" s="472">
        <f t="shared" ca="1" si="239"/>
        <v>0</v>
      </c>
      <c r="X164" s="472">
        <f t="shared" ca="1" si="239"/>
        <v>0</v>
      </c>
      <c r="Y164" s="472">
        <f t="shared" ca="1" si="239"/>
        <v>0</v>
      </c>
      <c r="Z164" s="472">
        <f t="shared" ca="1" si="239"/>
        <v>0</v>
      </c>
      <c r="AA164" s="472">
        <f t="shared" ca="1" si="239"/>
        <v>0</v>
      </c>
      <c r="AB164" s="472">
        <f t="shared" ca="1" si="239"/>
        <v>0</v>
      </c>
      <c r="AC164" s="472">
        <f t="shared" ca="1" si="239"/>
        <v>0</v>
      </c>
      <c r="AD164" s="472">
        <f t="shared" ca="1" si="239"/>
        <v>0</v>
      </c>
      <c r="AE164" s="472">
        <f t="shared" ca="1" si="239"/>
        <v>0</v>
      </c>
      <c r="AF164" s="472">
        <f t="shared" ca="1" si="239"/>
        <v>0</v>
      </c>
      <c r="AG164" s="472">
        <f t="shared" ca="1" si="239"/>
        <v>0</v>
      </c>
      <c r="AH164" s="472">
        <f t="shared" ca="1" si="239"/>
        <v>0</v>
      </c>
      <c r="AI164" s="472">
        <f t="shared" ca="1" si="239"/>
        <v>0</v>
      </c>
      <c r="AJ164" s="472">
        <f t="shared" ca="1" si="239"/>
        <v>0</v>
      </c>
      <c r="AK164" s="472">
        <f t="shared" ca="1" si="239"/>
        <v>0</v>
      </c>
      <c r="AL164" s="472">
        <f t="shared" ca="1" si="239"/>
        <v>0</v>
      </c>
      <c r="AM164" s="472">
        <f t="shared" ca="1" si="240"/>
        <v>0</v>
      </c>
      <c r="AN164" s="472">
        <f t="shared" ca="1" si="240"/>
        <v>0</v>
      </c>
      <c r="AO164" s="472">
        <f t="shared" ca="1" si="240"/>
        <v>0</v>
      </c>
      <c r="AP164" s="472">
        <f t="shared" ca="1" si="240"/>
        <v>0</v>
      </c>
      <c r="AQ164" s="472">
        <f t="shared" ca="1" si="240"/>
        <v>0</v>
      </c>
      <c r="AR164" s="472">
        <f t="shared" ca="1" si="240"/>
        <v>0</v>
      </c>
      <c r="AS164" s="472">
        <f t="shared" ca="1" si="240"/>
        <v>0</v>
      </c>
      <c r="AT164" s="472">
        <f t="shared" ca="1" si="240"/>
        <v>0</v>
      </c>
      <c r="AU164" s="472">
        <f t="shared" ca="1" si="240"/>
        <v>0</v>
      </c>
      <c r="AV164" s="472">
        <f t="shared" ca="1" si="232"/>
        <v>0</v>
      </c>
      <c r="AW164" s="472">
        <f t="shared" ca="1" si="233"/>
        <v>0</v>
      </c>
      <c r="AX164" s="472">
        <f t="shared" ca="1" si="234"/>
        <v>0</v>
      </c>
    </row>
    <row r="165" spans="5:50" x14ac:dyDescent="0.3">
      <c r="E165" s="274" t="s">
        <v>302</v>
      </c>
      <c r="F165" s="473">
        <f ca="1"/>
        <v>9341520.1356527489</v>
      </c>
      <c r="G165" s="473">
        <f ca="1">SUM(G124:G164)</f>
        <v>57355.701926567643</v>
      </c>
      <c r="H165" s="473">
        <f t="shared" ref="H165:AU165" ca="1" si="243">SUM(H124:H164)</f>
        <v>187121.03071863414</v>
      </c>
      <c r="I165" s="473">
        <f t="shared" ca="1" si="243"/>
        <v>313232.05264477781</v>
      </c>
      <c r="J165" s="473">
        <f t="shared" ca="1" si="243"/>
        <v>389648.04140323162</v>
      </c>
      <c r="K165" s="473">
        <f t="shared" ca="1" si="243"/>
        <v>427806.43841857824</v>
      </c>
      <c r="L165" s="473">
        <f t="shared" ca="1" si="243"/>
        <v>451837.84294543805</v>
      </c>
      <c r="M165" s="473">
        <f t="shared" ca="1" si="243"/>
        <v>471917.59912412602</v>
      </c>
      <c r="N165" s="473">
        <f t="shared" ca="1" si="243"/>
        <v>481056.87993715727</v>
      </c>
      <c r="O165" s="473">
        <f t="shared" ca="1" si="243"/>
        <v>464185.98022922891</v>
      </c>
      <c r="P165" s="473">
        <f t="shared" ca="1" si="243"/>
        <v>441256.02247959404</v>
      </c>
      <c r="Q165" s="473">
        <f t="shared" ca="1" si="243"/>
        <v>423773.32197418145</v>
      </c>
      <c r="R165" s="473">
        <f t="shared" ca="1" si="243"/>
        <v>412323.49807075132</v>
      </c>
      <c r="S165" s="473">
        <f t="shared" ca="1" si="243"/>
        <v>405035.74048452295</v>
      </c>
      <c r="T165" s="473">
        <f t="shared" ca="1" si="243"/>
        <v>400876.54938159592</v>
      </c>
      <c r="U165" s="473">
        <f t="shared" ca="1" si="243"/>
        <v>397164.79690139065</v>
      </c>
      <c r="V165" s="473">
        <f t="shared" ca="1" si="243"/>
        <v>395084.02866673382</v>
      </c>
      <c r="W165" s="473">
        <f t="shared" ca="1" si="243"/>
        <v>393522.59663508495</v>
      </c>
      <c r="X165" s="473">
        <f t="shared" ca="1" si="243"/>
        <v>392295.15814544336</v>
      </c>
      <c r="Y165" s="473">
        <f t="shared" ca="1" si="243"/>
        <v>375923.85672234243</v>
      </c>
      <c r="Z165" s="473">
        <f t="shared" ca="1" si="243"/>
        <v>340187.91609196761</v>
      </c>
      <c r="AA165" s="473">
        <f t="shared" ca="1" si="243"/>
        <v>306132.46175158967</v>
      </c>
      <c r="AB165" s="473">
        <f t="shared" ca="1" si="243"/>
        <v>281864.34510555962</v>
      </c>
      <c r="AC165" s="473">
        <f t="shared" ca="1" si="243"/>
        <v>255112.61475598146</v>
      </c>
      <c r="AD165" s="473">
        <f t="shared" ca="1" si="243"/>
        <v>212754.71442812833</v>
      </c>
      <c r="AE165" s="473">
        <f t="shared" ca="1" si="243"/>
        <v>167058.76204065717</v>
      </c>
      <c r="AF165" s="473">
        <f t="shared" ca="1" si="243"/>
        <v>134878.46833305011</v>
      </c>
      <c r="AG165" s="473">
        <f t="shared" ca="1" si="243"/>
        <v>116438.29163043591</v>
      </c>
      <c r="AH165" s="473">
        <f t="shared" ca="1" si="243"/>
        <v>92501.487661716208</v>
      </c>
      <c r="AI165" s="473">
        <f t="shared" ca="1" si="243"/>
        <v>60734.216035168407</v>
      </c>
      <c r="AJ165" s="473">
        <f t="shared" ca="1" si="243"/>
        <v>37287.688853426283</v>
      </c>
      <c r="AK165" s="473">
        <f t="shared" ca="1" si="243"/>
        <v>24100.047664670659</v>
      </c>
      <c r="AL165" s="473">
        <f t="shared" ca="1" si="243"/>
        <v>17225.354580838324</v>
      </c>
      <c r="AM165" s="473">
        <f t="shared" ca="1" si="243"/>
        <v>10350.661497005989</v>
      </c>
      <c r="AN165" s="473">
        <f t="shared" ca="1" si="243"/>
        <v>3475.9684131736531</v>
      </c>
      <c r="AO165" s="473">
        <f t="shared" ca="1" si="243"/>
        <v>0</v>
      </c>
      <c r="AP165" s="473">
        <f t="shared" ca="1" si="243"/>
        <v>0</v>
      </c>
      <c r="AQ165" s="473">
        <f t="shared" ca="1" si="243"/>
        <v>0</v>
      </c>
      <c r="AR165" s="473">
        <f t="shared" ca="1" si="243"/>
        <v>0</v>
      </c>
      <c r="AS165" s="473">
        <f t="shared" ca="1" si="243"/>
        <v>0</v>
      </c>
      <c r="AT165" s="473">
        <f t="shared" ca="1" si="243"/>
        <v>0</v>
      </c>
      <c r="AU165" s="473">
        <f t="shared" ca="1" si="243"/>
        <v>0</v>
      </c>
      <c r="AV165" s="473">
        <f ca="1">SUM(AV124:AV164)</f>
        <v>9341520.135652747</v>
      </c>
      <c r="AW165" s="473">
        <f ca="1">SUM(AW124:AW164)</f>
        <v>0</v>
      </c>
      <c r="AX165" s="473">
        <f ca="1">SUM(AX124:AX164)</f>
        <v>9341520.135652747</v>
      </c>
    </row>
    <row r="166" spans="5:50" x14ac:dyDescent="0.3">
      <c r="E166" s="283" t="s">
        <v>303</v>
      </c>
      <c r="F166" s="474">
        <f ca="1"/>
        <v>406446.49445456924</v>
      </c>
      <c r="G166" s="475">
        <v>0</v>
      </c>
      <c r="H166" s="475">
        <v>0</v>
      </c>
      <c r="I166" s="475">
        <v>0</v>
      </c>
      <c r="J166" s="475">
        <v>0</v>
      </c>
      <c r="K166" s="475">
        <v>0</v>
      </c>
      <c r="L166" s="475">
        <v>0</v>
      </c>
      <c r="M166" s="475">
        <v>0</v>
      </c>
      <c r="N166" s="475">
        <v>0</v>
      </c>
      <c r="O166" s="475">
        <v>0</v>
      </c>
      <c r="P166" s="475">
        <v>0</v>
      </c>
      <c r="Q166" s="475">
        <v>0</v>
      </c>
      <c r="R166" s="475">
        <v>0</v>
      </c>
      <c r="S166" s="475">
        <v>0</v>
      </c>
      <c r="T166" s="475">
        <v>0</v>
      </c>
      <c r="U166" s="475">
        <v>0</v>
      </c>
      <c r="V166" s="475">
        <v>0</v>
      </c>
      <c r="W166" s="475">
        <v>0</v>
      </c>
      <c r="X166" s="475">
        <v>0</v>
      </c>
      <c r="Y166" s="475">
        <v>0</v>
      </c>
      <c r="Z166" s="475">
        <v>0</v>
      </c>
      <c r="AA166" s="475">
        <v>0</v>
      </c>
      <c r="AB166" s="475">
        <v>0</v>
      </c>
      <c r="AC166" s="475">
        <v>0</v>
      </c>
      <c r="AD166" s="475">
        <v>0</v>
      </c>
      <c r="AE166" s="475">
        <v>0</v>
      </c>
      <c r="AF166" s="475">
        <v>0</v>
      </c>
      <c r="AG166" s="475">
        <v>0</v>
      </c>
      <c r="AH166" s="475">
        <v>0</v>
      </c>
      <c r="AI166" s="475">
        <v>0</v>
      </c>
      <c r="AJ166" s="475">
        <v>0</v>
      </c>
      <c r="AK166" s="475">
        <v>0</v>
      </c>
      <c r="AL166" s="475">
        <v>0</v>
      </c>
      <c r="AM166" s="475">
        <v>0</v>
      </c>
      <c r="AN166" s="475">
        <v>0</v>
      </c>
      <c r="AO166" s="475">
        <v>0</v>
      </c>
      <c r="AP166" s="475">
        <v>0</v>
      </c>
      <c r="AQ166" s="475">
        <v>0</v>
      </c>
      <c r="AR166" s="475">
        <v>0</v>
      </c>
      <c r="AS166" s="475">
        <v>0</v>
      </c>
      <c r="AT166" s="475">
        <v>0</v>
      </c>
      <c r="AU166" s="475">
        <v>0</v>
      </c>
      <c r="AV166" s="474">
        <f t="shared" ref="AV166" si="244">SUM(G166:AU166)</f>
        <v>0</v>
      </c>
      <c r="AW166" s="474">
        <f t="shared" ref="AW166" ca="1" si="245">+F166-AV166</f>
        <v>406446.49445456924</v>
      </c>
      <c r="AX166" s="474">
        <f t="shared" ref="AX166" ca="1" si="246">+AV166+AW166</f>
        <v>406446.49445456924</v>
      </c>
    </row>
    <row r="167" spans="5:50" x14ac:dyDescent="0.3">
      <c r="E167" s="60" t="s">
        <v>26</v>
      </c>
      <c r="F167" s="422">
        <f ca="1"/>
        <v>9747966.630107319</v>
      </c>
      <c r="G167" s="422">
        <f ca="1">SUM(G165:G166)</f>
        <v>57355.701926567643</v>
      </c>
      <c r="H167" s="422">
        <f t="shared" ref="H167:AU167" ca="1" si="247">SUM(H165:H166)</f>
        <v>187121.03071863414</v>
      </c>
      <c r="I167" s="422">
        <f t="shared" ca="1" si="247"/>
        <v>313232.05264477781</v>
      </c>
      <c r="J167" s="422">
        <f t="shared" ca="1" si="247"/>
        <v>389648.04140323162</v>
      </c>
      <c r="K167" s="422">
        <f t="shared" ca="1" si="247"/>
        <v>427806.43841857824</v>
      </c>
      <c r="L167" s="422">
        <f t="shared" ca="1" si="247"/>
        <v>451837.84294543805</v>
      </c>
      <c r="M167" s="422">
        <f t="shared" ca="1" si="247"/>
        <v>471917.59912412602</v>
      </c>
      <c r="N167" s="422">
        <f t="shared" ca="1" si="247"/>
        <v>481056.87993715727</v>
      </c>
      <c r="O167" s="422">
        <f t="shared" ca="1" si="247"/>
        <v>464185.98022922891</v>
      </c>
      <c r="P167" s="422">
        <f t="shared" ca="1" si="247"/>
        <v>441256.02247959404</v>
      </c>
      <c r="Q167" s="422">
        <f t="shared" ca="1" si="247"/>
        <v>423773.32197418145</v>
      </c>
      <c r="R167" s="422">
        <f t="shared" ca="1" si="247"/>
        <v>412323.49807075132</v>
      </c>
      <c r="S167" s="422">
        <f t="shared" ca="1" si="247"/>
        <v>405035.74048452295</v>
      </c>
      <c r="T167" s="422">
        <f t="shared" ca="1" si="247"/>
        <v>400876.54938159592</v>
      </c>
      <c r="U167" s="422">
        <f t="shared" ca="1" si="247"/>
        <v>397164.79690139065</v>
      </c>
      <c r="V167" s="422">
        <f t="shared" ca="1" si="247"/>
        <v>395084.02866673382</v>
      </c>
      <c r="W167" s="422">
        <f t="shared" ca="1" si="247"/>
        <v>393522.59663508495</v>
      </c>
      <c r="X167" s="422">
        <f t="shared" ca="1" si="247"/>
        <v>392295.15814544336</v>
      </c>
      <c r="Y167" s="422">
        <f t="shared" ca="1" si="247"/>
        <v>375923.85672234243</v>
      </c>
      <c r="Z167" s="422">
        <f t="shared" ca="1" si="247"/>
        <v>340187.91609196761</v>
      </c>
      <c r="AA167" s="422">
        <f t="shared" ca="1" si="247"/>
        <v>306132.46175158967</v>
      </c>
      <c r="AB167" s="422">
        <f t="shared" ca="1" si="247"/>
        <v>281864.34510555962</v>
      </c>
      <c r="AC167" s="422">
        <f t="shared" ca="1" si="247"/>
        <v>255112.61475598146</v>
      </c>
      <c r="AD167" s="422">
        <f t="shared" ca="1" si="247"/>
        <v>212754.71442812833</v>
      </c>
      <c r="AE167" s="422">
        <f t="shared" ca="1" si="247"/>
        <v>167058.76204065717</v>
      </c>
      <c r="AF167" s="422">
        <f t="shared" ca="1" si="247"/>
        <v>134878.46833305011</v>
      </c>
      <c r="AG167" s="422">
        <f t="shared" ca="1" si="247"/>
        <v>116438.29163043591</v>
      </c>
      <c r="AH167" s="422">
        <f t="shared" ca="1" si="247"/>
        <v>92501.487661716208</v>
      </c>
      <c r="AI167" s="422">
        <f t="shared" ca="1" si="247"/>
        <v>60734.216035168407</v>
      </c>
      <c r="AJ167" s="422">
        <f t="shared" ca="1" si="247"/>
        <v>37287.688853426283</v>
      </c>
      <c r="AK167" s="422">
        <f t="shared" ca="1" si="247"/>
        <v>24100.047664670659</v>
      </c>
      <c r="AL167" s="422">
        <f t="shared" ca="1" si="247"/>
        <v>17225.354580838324</v>
      </c>
      <c r="AM167" s="422">
        <f t="shared" ca="1" si="247"/>
        <v>10350.661497005989</v>
      </c>
      <c r="AN167" s="422">
        <f t="shared" ca="1" si="247"/>
        <v>3475.9684131736531</v>
      </c>
      <c r="AO167" s="422">
        <f t="shared" ca="1" si="247"/>
        <v>0</v>
      </c>
      <c r="AP167" s="422">
        <f t="shared" ca="1" si="247"/>
        <v>0</v>
      </c>
      <c r="AQ167" s="422">
        <f t="shared" ca="1" si="247"/>
        <v>0</v>
      </c>
      <c r="AR167" s="422">
        <f t="shared" ca="1" si="247"/>
        <v>0</v>
      </c>
      <c r="AS167" s="422">
        <f t="shared" ca="1" si="247"/>
        <v>0</v>
      </c>
      <c r="AT167" s="422">
        <f t="shared" ca="1" si="247"/>
        <v>0</v>
      </c>
      <c r="AU167" s="422">
        <f t="shared" ca="1" si="247"/>
        <v>0</v>
      </c>
      <c r="AV167" s="422">
        <f t="shared" ref="AV167" ca="1" si="248">SUM(AV165:AV166)</f>
        <v>9341520.135652747</v>
      </c>
      <c r="AW167" s="422">
        <f t="shared" ref="AW167" ca="1" si="249">SUM(AW165:AW166)</f>
        <v>406446.49445456924</v>
      </c>
      <c r="AX167" s="422">
        <f t="shared" ref="AX167" ca="1" si="250">SUM(AX165:AX166)</f>
        <v>9747966.6301073171</v>
      </c>
    </row>
  </sheetData>
  <pageMargins left="0.7" right="0.7" top="0.75" bottom="0.75" header="0.3" footer="0.3"/>
  <pageSetup orientation="portrait" r:id="rId1"/>
  <ignoredErrors>
    <ignoredError sqref="H6:AU6 AV165:AX165 AV114:AV115 AV119 AV49:AX56"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V71"/>
  <sheetViews>
    <sheetView showGridLines="0" zoomScaleNormal="100" workbookViewId="0"/>
  </sheetViews>
  <sheetFormatPr defaultRowHeight="14.4" x14ac:dyDescent="0.3"/>
  <cols>
    <col min="1" max="2" width="2.6640625" customWidth="1"/>
    <col min="7" max="9" width="11" customWidth="1"/>
  </cols>
  <sheetData>
    <row r="2" spans="2:22" x14ac:dyDescent="0.3">
      <c r="B2" s="1" t="str">
        <f>"Hedging Schedule - "&amp;Company_Name</f>
        <v>Hedging Schedule - Ultra Petroleum Corp.</v>
      </c>
      <c r="K2" s="2"/>
      <c r="L2" s="2"/>
      <c r="M2" s="2"/>
      <c r="N2" s="2"/>
      <c r="O2" s="2"/>
      <c r="P2" s="2"/>
      <c r="Q2" s="2"/>
      <c r="R2" s="2"/>
      <c r="S2" s="2"/>
      <c r="T2" s="2"/>
      <c r="U2" s="2"/>
      <c r="V2" s="2"/>
    </row>
    <row r="3" spans="2:22" x14ac:dyDescent="0.3">
      <c r="K3" s="2"/>
      <c r="L3" s="2"/>
      <c r="M3" s="2"/>
      <c r="N3" s="2"/>
      <c r="O3" s="2"/>
      <c r="P3" s="2"/>
      <c r="Q3" s="2"/>
      <c r="R3" s="2"/>
      <c r="S3" s="2"/>
      <c r="T3" s="2"/>
      <c r="U3" s="2"/>
      <c r="V3" s="2"/>
    </row>
    <row r="4" spans="2:22" x14ac:dyDescent="0.3">
      <c r="B4" s="3" t="s">
        <v>368</v>
      </c>
      <c r="C4" s="4"/>
      <c r="D4" s="4"/>
      <c r="E4" s="4"/>
      <c r="F4" s="4"/>
      <c r="G4" s="11">
        <f>YEAR(FY_Date)</f>
        <v>2013</v>
      </c>
      <c r="H4" s="11">
        <f>G4+1</f>
        <v>2014</v>
      </c>
      <c r="I4" s="11">
        <f>H4+1</f>
        <v>2015</v>
      </c>
      <c r="K4" s="2"/>
      <c r="L4" s="2"/>
      <c r="M4" s="2"/>
      <c r="N4" s="2"/>
      <c r="O4" s="2"/>
      <c r="P4" s="2"/>
      <c r="Q4" s="2"/>
      <c r="R4" s="2"/>
      <c r="S4" s="2"/>
      <c r="T4" s="2"/>
      <c r="U4" s="2"/>
      <c r="V4" s="2"/>
    </row>
    <row r="5" spans="2:22" x14ac:dyDescent="0.3">
      <c r="K5" s="2"/>
      <c r="L5" s="2"/>
      <c r="M5" s="2"/>
      <c r="N5" s="2"/>
      <c r="O5" s="2"/>
      <c r="P5" s="2"/>
      <c r="Q5" s="2"/>
      <c r="R5" s="2"/>
      <c r="S5" s="2"/>
      <c r="T5" s="2"/>
      <c r="U5" s="2"/>
      <c r="V5" s="2"/>
    </row>
    <row r="6" spans="2:22" x14ac:dyDescent="0.3">
      <c r="C6" s="83" t="s">
        <v>369</v>
      </c>
      <c r="K6" s="2"/>
      <c r="L6" s="2"/>
      <c r="M6" s="2"/>
      <c r="N6" s="2"/>
      <c r="O6" s="2"/>
      <c r="P6" s="2"/>
      <c r="Q6" s="2"/>
      <c r="R6" s="2"/>
      <c r="S6" s="2"/>
      <c r="T6" s="2"/>
      <c r="U6" s="2"/>
      <c r="V6" s="2"/>
    </row>
    <row r="7" spans="2:22" x14ac:dyDescent="0.3">
      <c r="C7" s="78" t="s">
        <v>370</v>
      </c>
      <c r="G7" s="419">
        <f t="array" aca="1" ref="G7:I7" ca="1">TRANSPOSE(Assumptions!O63:O65)</f>
        <v>3.7</v>
      </c>
      <c r="H7" s="419">
        <f ca="1"/>
        <v>3.8</v>
      </c>
      <c r="I7" s="419">
        <f ca="1"/>
        <v>4</v>
      </c>
      <c r="K7" s="2"/>
      <c r="L7" s="2"/>
      <c r="M7" s="2"/>
      <c r="N7" s="2"/>
      <c r="O7" s="2"/>
      <c r="P7" s="2"/>
      <c r="Q7" s="2"/>
      <c r="R7" s="2"/>
      <c r="S7" s="2"/>
      <c r="T7" s="2"/>
      <c r="U7" s="2"/>
      <c r="V7" s="2"/>
    </row>
    <row r="8" spans="2:22" x14ac:dyDescent="0.3">
      <c r="C8" s="78" t="s">
        <v>371</v>
      </c>
      <c r="G8" s="420">
        <f t="array" aca="1" ref="G8:I8" ca="1">TRANSPOSE(Assumptions!P63:P65)</f>
        <v>101</v>
      </c>
      <c r="H8" s="420">
        <f ca="1"/>
        <v>92</v>
      </c>
      <c r="I8" s="420">
        <f ca="1"/>
        <v>88</v>
      </c>
      <c r="K8" s="2"/>
      <c r="L8" s="2"/>
      <c r="M8" s="2"/>
      <c r="N8" s="2"/>
      <c r="O8" s="2"/>
      <c r="P8" s="2"/>
      <c r="Q8" s="2"/>
      <c r="R8" s="2"/>
      <c r="S8" s="2"/>
      <c r="T8" s="2"/>
      <c r="U8" s="2"/>
      <c r="V8" s="2"/>
    </row>
    <row r="9" spans="2:22" x14ac:dyDescent="0.3">
      <c r="C9" s="78" t="s">
        <v>372</v>
      </c>
      <c r="G9" s="49">
        <f ca="1">G8*NGL_Price_Diff_vs_Oil</f>
        <v>50.5</v>
      </c>
      <c r="H9" s="49">
        <f ca="1">H8*NGL_Price_Diff_vs_Oil</f>
        <v>46</v>
      </c>
      <c r="I9" s="49">
        <f ca="1">I8*NGL_Price_Diff_vs_Oil</f>
        <v>44</v>
      </c>
      <c r="K9" s="2"/>
      <c r="L9" s="2"/>
      <c r="M9" s="2"/>
      <c r="N9" s="2"/>
      <c r="O9" s="2"/>
      <c r="P9" s="2"/>
      <c r="Q9" s="2"/>
      <c r="R9" s="2"/>
      <c r="S9" s="2"/>
      <c r="T9" s="2"/>
      <c r="U9" s="2"/>
      <c r="V9" s="2"/>
    </row>
    <row r="10" spans="2:22" x14ac:dyDescent="0.3">
      <c r="K10" s="2"/>
      <c r="L10" s="2"/>
      <c r="M10" s="2"/>
      <c r="N10" s="2"/>
      <c r="O10" s="2"/>
      <c r="P10" s="2"/>
      <c r="Q10" s="2"/>
      <c r="R10" s="2"/>
      <c r="S10" s="2"/>
      <c r="T10" s="2"/>
      <c r="U10" s="2"/>
      <c r="V10" s="2"/>
    </row>
    <row r="11" spans="2:22" x14ac:dyDescent="0.3">
      <c r="C11" s="83" t="s">
        <v>373</v>
      </c>
      <c r="K11" s="2"/>
      <c r="L11" s="2"/>
      <c r="M11" s="2"/>
      <c r="N11" s="2"/>
      <c r="O11" s="2"/>
      <c r="P11" s="2"/>
      <c r="Q11" s="2"/>
      <c r="R11" s="2"/>
      <c r="S11" s="2"/>
      <c r="T11" s="2"/>
      <c r="U11" s="2"/>
      <c r="V11" s="2"/>
    </row>
    <row r="12" spans="2:22" x14ac:dyDescent="0.3">
      <c r="C12" s="78" t="s">
        <v>10</v>
      </c>
      <c r="G12" s="34">
        <f t="array" aca="1" ref="G12" ca="1">SUM(IF(G$20:G$71=$C12,1,0)*IF($C$21:$C$72="Volume Hedged:",G$21:G$72,0))</f>
        <v>81400</v>
      </c>
      <c r="H12" s="34">
        <f t="array" aca="1" ref="H12" ca="1">SUM(IF(H$20:H$71=$C12,1,0)*IF($C$21:$C$72="Volume Hedged:",H$21:H$72,0))</f>
        <v>0</v>
      </c>
      <c r="I12" s="34">
        <f t="array" aca="1" ref="I12" ca="1">SUM(IF(I$20:I$71=$C12,1,0)*IF($C$21:$C$72="Volume Hedged:",I$21:I$72,0))</f>
        <v>0</v>
      </c>
      <c r="K12" s="2"/>
      <c r="L12" s="2"/>
      <c r="M12" s="2"/>
      <c r="N12" s="2"/>
      <c r="O12" s="2"/>
      <c r="P12" s="2"/>
      <c r="Q12" s="2"/>
      <c r="R12" s="2"/>
      <c r="S12" s="2"/>
      <c r="T12" s="2"/>
      <c r="U12" s="2"/>
      <c r="V12" s="2"/>
    </row>
    <row r="13" spans="2:22" x14ac:dyDescent="0.3">
      <c r="C13" s="78" t="s">
        <v>11</v>
      </c>
      <c r="G13" s="34">
        <f t="array" aca="1" ref="G13" ca="1">SUM(IF(G$20:G$71=$C13,1,0)*IF($C$21:$C$72="Volume Hedged:",G$21:G$72,0))</f>
        <v>0</v>
      </c>
      <c r="H13" s="34">
        <f t="array" aca="1" ref="H13" ca="1">SUM(IF(H$20:H$71=$C13,1,0)*IF($C$21:$C$72="Volume Hedged:",H$21:H$72,0))</f>
        <v>0</v>
      </c>
      <c r="I13" s="34">
        <f t="array" aca="1" ref="I13" ca="1">SUM(IF(I$20:I$71=$C13,1,0)*IF($C$21:$C$72="Volume Hedged:",I$21:I$72,0))</f>
        <v>0</v>
      </c>
      <c r="K13" s="2"/>
      <c r="L13" s="2"/>
      <c r="M13" s="2"/>
      <c r="N13" s="2"/>
      <c r="O13" s="2"/>
      <c r="P13" s="2"/>
      <c r="Q13" s="2"/>
      <c r="R13" s="2"/>
      <c r="S13" s="2"/>
      <c r="T13" s="2"/>
      <c r="U13" s="2"/>
      <c r="V13" s="2"/>
    </row>
    <row r="14" spans="2:22" x14ac:dyDescent="0.3">
      <c r="C14" s="78" t="s">
        <v>245</v>
      </c>
      <c r="G14" s="34">
        <f t="array" aca="1" ref="G14" ca="1">SUM(IF(G$20:G$71=$C14,1,0)*IF($C$21:$C$72="Volume Hedged:",G$21:G$72,0))</f>
        <v>0</v>
      </c>
      <c r="H14" s="34">
        <f t="array" aca="1" ref="H14" ca="1">SUM(IF(H$20:H$71=$C14,1,0)*IF($C$21:$C$72="Volume Hedged:",H$21:H$72,0))</f>
        <v>0</v>
      </c>
      <c r="I14" s="34">
        <f t="array" aca="1" ref="I14" ca="1">SUM(IF(I$20:I$71=$C14,1,0)*IF($C$21:$C$72="Volume Hedged:",I$21:I$72,0))</f>
        <v>0</v>
      </c>
      <c r="K14" s="2"/>
      <c r="L14" s="2"/>
      <c r="M14" s="2"/>
      <c r="N14" s="2"/>
      <c r="O14" s="2"/>
      <c r="P14" s="2"/>
      <c r="Q14" s="2"/>
      <c r="R14" s="2"/>
      <c r="S14" s="2"/>
      <c r="T14" s="2"/>
      <c r="U14" s="2"/>
      <c r="V14" s="2"/>
    </row>
    <row r="15" spans="2:22" x14ac:dyDescent="0.3">
      <c r="C15" s="96" t="s">
        <v>374</v>
      </c>
      <c r="D15" s="9"/>
      <c r="E15" s="9"/>
      <c r="F15" s="9"/>
      <c r="G15" s="8">
        <f ca="1">G12+(G13+G14)*Bbl_to_Mcfe</f>
        <v>81400</v>
      </c>
      <c r="H15" s="8">
        <f ca="1">H12+(H13+H14)*Bbl_to_Mcfe</f>
        <v>0</v>
      </c>
      <c r="I15" s="8">
        <f ca="1">I12+(I13+I14)*Bbl_to_Mcfe</f>
        <v>0</v>
      </c>
      <c r="K15" s="2"/>
      <c r="L15" s="2"/>
      <c r="M15" s="2"/>
      <c r="N15" s="2"/>
      <c r="O15" s="2"/>
      <c r="P15" s="2"/>
      <c r="Q15" s="2"/>
      <c r="R15" s="2"/>
      <c r="S15" s="2"/>
      <c r="T15" s="2"/>
      <c r="U15" s="2"/>
      <c r="V15" s="2"/>
    </row>
    <row r="16" spans="2:22" x14ac:dyDescent="0.3">
      <c r="K16" s="2"/>
      <c r="L16" s="216"/>
      <c r="M16" s="216"/>
      <c r="N16" s="216"/>
      <c r="O16" s="2"/>
      <c r="P16" s="2"/>
      <c r="Q16" s="2"/>
      <c r="R16" s="2"/>
      <c r="S16" s="2"/>
      <c r="T16" s="2"/>
      <c r="U16" s="2"/>
      <c r="V16" s="2"/>
    </row>
    <row r="17" spans="2:22" x14ac:dyDescent="0.3">
      <c r="C17" s="421" t="s">
        <v>375</v>
      </c>
      <c r="G17" s="422">
        <f ca="1">+G25+G33+G42+G51+G61+G71</f>
        <v>3256.0000000000027</v>
      </c>
      <c r="H17" s="422">
        <f t="shared" ref="H17:I17" ca="1" si="0">+H25+H33+H42+H51+H61+H71</f>
        <v>0</v>
      </c>
      <c r="I17" s="422">
        <f t="shared" ca="1" si="0"/>
        <v>0</v>
      </c>
      <c r="K17" s="2"/>
      <c r="L17" s="2"/>
      <c r="M17" s="2"/>
      <c r="N17" s="2"/>
      <c r="O17" s="2"/>
      <c r="P17" s="2"/>
      <c r="Q17" s="2"/>
      <c r="R17" s="2"/>
      <c r="S17" s="2"/>
      <c r="T17" s="2"/>
      <c r="U17" s="2"/>
      <c r="V17" s="2"/>
    </row>
    <row r="18" spans="2:22" x14ac:dyDescent="0.3">
      <c r="K18" s="2"/>
      <c r="L18" s="2"/>
      <c r="M18" s="2"/>
      <c r="N18" s="2"/>
      <c r="O18" s="2"/>
      <c r="P18" s="2"/>
      <c r="Q18" s="2"/>
      <c r="R18" s="2"/>
      <c r="S18" s="2"/>
      <c r="T18" s="2"/>
      <c r="U18" s="2"/>
      <c r="V18" s="2"/>
    </row>
    <row r="19" spans="2:22" x14ac:dyDescent="0.3">
      <c r="B19" s="3" t="s">
        <v>376</v>
      </c>
      <c r="C19" s="4"/>
      <c r="D19" s="4"/>
      <c r="E19" s="4"/>
      <c r="F19" s="4"/>
      <c r="G19" s="11">
        <f>$G$4</f>
        <v>2013</v>
      </c>
      <c r="H19" s="11">
        <f>$H$4</f>
        <v>2014</v>
      </c>
      <c r="I19" s="11">
        <f>$I$4</f>
        <v>2015</v>
      </c>
      <c r="K19" s="2"/>
      <c r="L19" s="216"/>
      <c r="M19" s="216"/>
      <c r="N19" s="216"/>
      <c r="O19" s="2"/>
      <c r="P19" s="2"/>
      <c r="Q19" s="2"/>
      <c r="R19" s="2"/>
      <c r="S19" s="2"/>
      <c r="T19" s="2"/>
      <c r="U19" s="2"/>
      <c r="V19" s="2"/>
    </row>
    <row r="20" spans="2:22" x14ac:dyDescent="0.3">
      <c r="C20" t="s">
        <v>377</v>
      </c>
      <c r="G20" s="423" t="s">
        <v>10</v>
      </c>
      <c r="H20" s="424" t="s">
        <v>10</v>
      </c>
      <c r="I20" s="425" t="s">
        <v>10</v>
      </c>
      <c r="K20" s="2"/>
      <c r="L20" s="2"/>
      <c r="M20" s="2"/>
      <c r="N20" s="2"/>
      <c r="O20" s="2"/>
      <c r="P20" s="2"/>
      <c r="Q20" s="2"/>
      <c r="R20" s="2"/>
      <c r="S20" s="2"/>
      <c r="T20" s="2"/>
      <c r="U20" s="2"/>
      <c r="V20" s="2"/>
    </row>
    <row r="21" spans="2:22" x14ac:dyDescent="0.3">
      <c r="C21" t="s">
        <v>378</v>
      </c>
      <c r="G21" s="426">
        <v>81400</v>
      </c>
      <c r="H21" s="363">
        <v>0</v>
      </c>
      <c r="I21" s="427">
        <v>0</v>
      </c>
      <c r="K21" s="2"/>
      <c r="L21" s="2"/>
      <c r="M21" s="2"/>
      <c r="N21" s="2"/>
      <c r="O21" s="2"/>
      <c r="P21" s="2"/>
      <c r="Q21" s="2"/>
      <c r="R21" s="2"/>
      <c r="S21" s="2"/>
      <c r="T21" s="2"/>
      <c r="U21" s="2"/>
      <c r="V21" s="2"/>
    </row>
    <row r="22" spans="2:22" x14ac:dyDescent="0.3">
      <c r="C22" t="s">
        <v>379</v>
      </c>
      <c r="G22" s="428">
        <v>3.74</v>
      </c>
      <c r="H22" s="433">
        <v>0</v>
      </c>
      <c r="I22" s="432">
        <v>0</v>
      </c>
      <c r="K22" s="2"/>
      <c r="L22" s="2"/>
      <c r="M22" s="2"/>
      <c r="N22" s="2"/>
      <c r="O22" s="2"/>
      <c r="P22" s="2"/>
      <c r="Q22" s="2"/>
      <c r="R22" s="2"/>
      <c r="S22" s="2"/>
      <c r="T22" s="2"/>
      <c r="U22" s="2"/>
      <c r="V22" s="2"/>
    </row>
    <row r="23" spans="2:22" x14ac:dyDescent="0.3">
      <c r="C23" s="4" t="s">
        <v>380</v>
      </c>
      <c r="D23" s="4"/>
      <c r="E23" s="4"/>
      <c r="F23" s="4"/>
      <c r="G23" s="429">
        <f ca="1">IF(G20="Gas",G$7,IF(G20="Oil",G$8,IF(G20="NGLs",G$9,"ERROR")))</f>
        <v>3.7</v>
      </c>
      <c r="H23" s="429">
        <f t="shared" ref="H23:I23" ca="1" si="1">IF(H20="Gas",H$7,IF(H20="Oil",H$8,IF(H20="NGLs",H$9,"ERROR")))</f>
        <v>3.8</v>
      </c>
      <c r="I23" s="429">
        <f t="shared" ca="1" si="1"/>
        <v>4</v>
      </c>
      <c r="K23" s="2"/>
      <c r="L23" s="216"/>
      <c r="M23" s="216"/>
      <c r="N23" s="216"/>
      <c r="O23" s="2"/>
      <c r="P23" s="2"/>
      <c r="Q23" s="2"/>
      <c r="R23" s="2"/>
      <c r="S23" s="2"/>
      <c r="T23" s="2"/>
      <c r="U23" s="2"/>
      <c r="V23" s="2"/>
    </row>
    <row r="24" spans="2:22" x14ac:dyDescent="0.3">
      <c r="C24" s="74" t="s">
        <v>381</v>
      </c>
      <c r="G24" s="48">
        <f ca="1">G22-G23</f>
        <v>4.0000000000000036E-2</v>
      </c>
      <c r="H24" s="48">
        <f t="shared" ref="H24:I24" ca="1" si="2">H22-H23</f>
        <v>-3.8</v>
      </c>
      <c r="I24" s="48">
        <f t="shared" ca="1" si="2"/>
        <v>-4</v>
      </c>
      <c r="K24" s="2"/>
      <c r="L24" s="2"/>
      <c r="M24" s="2"/>
      <c r="N24" s="2"/>
      <c r="O24" s="2"/>
      <c r="P24" s="2"/>
      <c r="Q24" s="2"/>
      <c r="R24" s="2"/>
      <c r="S24" s="2"/>
      <c r="T24" s="2"/>
      <c r="U24" s="2"/>
      <c r="V24" s="2"/>
    </row>
    <row r="25" spans="2:22" x14ac:dyDescent="0.3">
      <c r="C25" s="74" t="s">
        <v>382</v>
      </c>
      <c r="G25" s="12">
        <f ca="1">G24*G21</f>
        <v>3256.0000000000027</v>
      </c>
      <c r="H25" s="12">
        <f t="shared" ref="H25:I25" ca="1" si="3">H24*H21</f>
        <v>0</v>
      </c>
      <c r="I25" s="12">
        <f t="shared" ca="1" si="3"/>
        <v>0</v>
      </c>
      <c r="K25" s="2"/>
      <c r="L25" s="2"/>
      <c r="M25" s="2"/>
      <c r="N25" s="2"/>
      <c r="O25" s="2"/>
      <c r="P25" s="2"/>
      <c r="Q25" s="2"/>
      <c r="R25" s="2"/>
      <c r="S25" s="2"/>
      <c r="T25" s="2"/>
      <c r="U25" s="2"/>
      <c r="V25" s="2"/>
    </row>
    <row r="26" spans="2:22" x14ac:dyDescent="0.3">
      <c r="K26" s="2"/>
      <c r="L26" s="216"/>
      <c r="M26" s="216"/>
      <c r="N26" s="216"/>
      <c r="O26" s="2"/>
      <c r="P26" s="2"/>
      <c r="Q26" s="2"/>
      <c r="R26" s="2"/>
      <c r="S26" s="2"/>
      <c r="T26" s="2"/>
      <c r="U26" s="2"/>
      <c r="V26" s="2"/>
    </row>
    <row r="27" spans="2:22" x14ac:dyDescent="0.3">
      <c r="B27" s="3" t="s">
        <v>383</v>
      </c>
      <c r="C27" s="4"/>
      <c r="D27" s="4"/>
      <c r="E27" s="4"/>
      <c r="F27" s="4"/>
      <c r="G27" s="11">
        <f>$G$4</f>
        <v>2013</v>
      </c>
      <c r="H27" s="11">
        <f>$H$4</f>
        <v>2014</v>
      </c>
      <c r="I27" s="11">
        <f>$I$4</f>
        <v>2015</v>
      </c>
      <c r="K27" s="2"/>
      <c r="L27" s="2"/>
      <c r="M27" s="2"/>
      <c r="N27" s="2"/>
      <c r="O27" s="2"/>
      <c r="P27" s="2"/>
      <c r="Q27" s="2"/>
      <c r="R27" s="2"/>
      <c r="S27" s="2"/>
      <c r="T27" s="2"/>
      <c r="U27" s="2"/>
      <c r="V27" s="2"/>
    </row>
    <row r="28" spans="2:22" x14ac:dyDescent="0.3">
      <c r="C28" t="s">
        <v>377</v>
      </c>
      <c r="G28" s="423" t="s">
        <v>11</v>
      </c>
      <c r="H28" s="424" t="s">
        <v>11</v>
      </c>
      <c r="I28" s="425" t="s">
        <v>11</v>
      </c>
      <c r="K28" s="2"/>
      <c r="L28" s="2"/>
      <c r="M28" s="2"/>
      <c r="N28" s="2"/>
      <c r="O28" s="2"/>
      <c r="P28" s="2"/>
      <c r="Q28" s="2"/>
      <c r="R28" s="2"/>
      <c r="S28" s="2"/>
      <c r="T28" s="2"/>
      <c r="U28" s="2"/>
      <c r="V28" s="2"/>
    </row>
    <row r="29" spans="2:22" x14ac:dyDescent="0.3">
      <c r="C29" t="s">
        <v>378</v>
      </c>
      <c r="G29" s="426">
        <v>0</v>
      </c>
      <c r="H29" s="363">
        <v>0</v>
      </c>
      <c r="I29" s="427">
        <v>0</v>
      </c>
      <c r="K29" s="2"/>
      <c r="L29" s="2"/>
      <c r="M29" s="2"/>
      <c r="N29" s="2"/>
      <c r="O29" s="2"/>
      <c r="P29" s="2"/>
      <c r="Q29" s="2"/>
      <c r="R29" s="2"/>
      <c r="S29" s="2"/>
      <c r="T29" s="2"/>
      <c r="U29" s="2"/>
      <c r="V29" s="2"/>
    </row>
    <row r="30" spans="2:22" x14ac:dyDescent="0.3">
      <c r="C30" t="s">
        <v>379</v>
      </c>
      <c r="G30" s="428">
        <v>0</v>
      </c>
      <c r="H30" s="433">
        <v>0</v>
      </c>
      <c r="I30" s="432">
        <v>0</v>
      </c>
      <c r="K30" s="2"/>
      <c r="L30" s="2"/>
      <c r="M30" s="2"/>
      <c r="N30" s="2"/>
      <c r="O30" s="2"/>
      <c r="P30" s="2"/>
      <c r="Q30" s="2"/>
      <c r="R30" s="2"/>
      <c r="S30" s="2"/>
      <c r="T30" s="2"/>
      <c r="U30" s="2"/>
      <c r="V30" s="2"/>
    </row>
    <row r="31" spans="2:22" x14ac:dyDescent="0.3">
      <c r="C31" s="4" t="s">
        <v>380</v>
      </c>
      <c r="D31" s="4"/>
      <c r="E31" s="4"/>
      <c r="F31" s="4"/>
      <c r="G31" s="429">
        <f ca="1">IF(G28="Gas",G$7,IF(G28="Oil",G$8,IF(G28="NGLs",G$9,"ERROR")))</f>
        <v>101</v>
      </c>
      <c r="H31" s="429">
        <f t="shared" ref="H31:I31" ca="1" si="4">IF(H28="Gas",H$7,IF(H28="Oil",H$8,IF(H28="NGLs",H$9,"ERROR")))</f>
        <v>92</v>
      </c>
      <c r="I31" s="429">
        <f t="shared" ca="1" si="4"/>
        <v>88</v>
      </c>
      <c r="K31" s="2"/>
      <c r="L31" s="2"/>
      <c r="M31" s="2"/>
      <c r="N31" s="2"/>
      <c r="O31" s="2"/>
      <c r="P31" s="2"/>
      <c r="Q31" s="2"/>
      <c r="R31" s="2"/>
      <c r="S31" s="2"/>
      <c r="T31" s="2"/>
      <c r="U31" s="2"/>
      <c r="V31" s="2"/>
    </row>
    <row r="32" spans="2:22" x14ac:dyDescent="0.3">
      <c r="C32" s="74" t="s">
        <v>381</v>
      </c>
      <c r="G32" s="48">
        <f ca="1">G30-G31</f>
        <v>-101</v>
      </c>
      <c r="H32" s="48">
        <f t="shared" ref="H32" ca="1" si="5">H30-H31</f>
        <v>-92</v>
      </c>
      <c r="I32" s="48">
        <f t="shared" ref="I32" ca="1" si="6">I30-I31</f>
        <v>-88</v>
      </c>
      <c r="K32" s="2"/>
      <c r="L32" s="2"/>
      <c r="M32" s="2"/>
      <c r="N32" s="2"/>
      <c r="O32" s="2"/>
      <c r="P32" s="2"/>
      <c r="Q32" s="2"/>
      <c r="R32" s="2"/>
      <c r="S32" s="2"/>
      <c r="T32" s="2"/>
      <c r="U32" s="2"/>
      <c r="V32" s="2"/>
    </row>
    <row r="33" spans="2:22" x14ac:dyDescent="0.3">
      <c r="C33" s="74" t="s">
        <v>382</v>
      </c>
      <c r="G33" s="12">
        <f ca="1">G32*G29</f>
        <v>0</v>
      </c>
      <c r="H33" s="12">
        <f t="shared" ref="H33" ca="1" si="7">H32*H29</f>
        <v>0</v>
      </c>
      <c r="I33" s="12">
        <f t="shared" ref="I33" ca="1" si="8">I32*I29</f>
        <v>0</v>
      </c>
      <c r="K33" s="2"/>
      <c r="L33" s="2"/>
      <c r="M33" s="2"/>
      <c r="N33" s="2"/>
      <c r="O33" s="2"/>
      <c r="P33" s="2"/>
      <c r="Q33" s="2"/>
      <c r="R33" s="2"/>
      <c r="S33" s="2"/>
      <c r="T33" s="2"/>
      <c r="U33" s="2"/>
      <c r="V33" s="2"/>
    </row>
    <row r="34" spans="2:22" x14ac:dyDescent="0.3">
      <c r="K34" s="2"/>
      <c r="L34" s="2"/>
      <c r="M34" s="2"/>
      <c r="N34" s="2"/>
      <c r="O34" s="2"/>
      <c r="P34" s="2"/>
      <c r="Q34" s="2"/>
      <c r="R34" s="2"/>
      <c r="S34" s="2"/>
      <c r="T34" s="2"/>
      <c r="U34" s="2"/>
      <c r="V34" s="2"/>
    </row>
    <row r="35" spans="2:22" x14ac:dyDescent="0.3">
      <c r="B35" s="3" t="s">
        <v>384</v>
      </c>
      <c r="C35" s="4"/>
      <c r="D35" s="4"/>
      <c r="E35" s="4"/>
      <c r="F35" s="4"/>
      <c r="G35" s="11">
        <f>$G$4</f>
        <v>2013</v>
      </c>
      <c r="H35" s="11">
        <f>$H$4</f>
        <v>2014</v>
      </c>
      <c r="I35" s="11">
        <f>$I$4</f>
        <v>2015</v>
      </c>
      <c r="K35" s="2"/>
      <c r="L35" s="2"/>
      <c r="M35" s="2"/>
      <c r="N35" s="2"/>
      <c r="O35" s="2"/>
      <c r="P35" s="2"/>
      <c r="Q35" s="2"/>
      <c r="R35" s="2"/>
      <c r="S35" s="2"/>
      <c r="T35" s="2"/>
      <c r="U35" s="2"/>
      <c r="V35" s="2"/>
    </row>
    <row r="36" spans="2:22" x14ac:dyDescent="0.3">
      <c r="C36" t="s">
        <v>377</v>
      </c>
      <c r="G36" s="423" t="s">
        <v>10</v>
      </c>
      <c r="H36" s="424" t="s">
        <v>10</v>
      </c>
      <c r="I36" s="425" t="s">
        <v>10</v>
      </c>
      <c r="K36" s="2"/>
      <c r="L36" s="2"/>
      <c r="M36" s="2"/>
      <c r="N36" s="2"/>
      <c r="O36" s="2"/>
      <c r="P36" s="2"/>
      <c r="Q36" s="2"/>
      <c r="R36" s="2"/>
      <c r="S36" s="2"/>
      <c r="T36" s="2"/>
      <c r="U36" s="2"/>
      <c r="V36" s="2"/>
    </row>
    <row r="37" spans="2:22" x14ac:dyDescent="0.3">
      <c r="C37" t="s">
        <v>378</v>
      </c>
      <c r="G37" s="426">
        <v>0</v>
      </c>
      <c r="H37" s="363">
        <v>0</v>
      </c>
      <c r="I37" s="427">
        <v>0</v>
      </c>
      <c r="K37" s="2"/>
      <c r="L37" s="2"/>
      <c r="M37" s="2"/>
      <c r="N37" s="2"/>
      <c r="O37" s="2"/>
      <c r="P37" s="2"/>
      <c r="Q37" s="2"/>
      <c r="R37" s="2"/>
      <c r="S37" s="2"/>
      <c r="T37" s="2"/>
      <c r="U37" s="2"/>
      <c r="V37" s="2"/>
    </row>
    <row r="38" spans="2:22" x14ac:dyDescent="0.3">
      <c r="C38" t="s">
        <v>385</v>
      </c>
      <c r="G38" s="428">
        <v>0</v>
      </c>
      <c r="H38" s="433">
        <v>0</v>
      </c>
      <c r="I38" s="432">
        <v>0</v>
      </c>
      <c r="K38" s="2"/>
      <c r="L38" s="2"/>
      <c r="M38" s="2"/>
      <c r="N38" s="2"/>
      <c r="O38" s="2"/>
      <c r="P38" s="2"/>
      <c r="Q38" s="2"/>
      <c r="R38" s="2"/>
      <c r="S38" s="2"/>
      <c r="T38" s="2"/>
      <c r="U38" s="2"/>
      <c r="V38" s="2"/>
    </row>
    <row r="39" spans="2:22" x14ac:dyDescent="0.3">
      <c r="C39" t="s">
        <v>386</v>
      </c>
      <c r="G39" s="430">
        <f ca="1">MAX(G38,G40)</f>
        <v>3.7</v>
      </c>
      <c r="H39" s="430">
        <f t="shared" ref="H39:I39" ca="1" si="9">MAX(H38,H40)</f>
        <v>3.8</v>
      </c>
      <c r="I39" s="430">
        <f t="shared" ca="1" si="9"/>
        <v>4</v>
      </c>
      <c r="K39" s="2"/>
      <c r="L39" s="2"/>
      <c r="M39" s="2"/>
      <c r="N39" s="2"/>
      <c r="O39" s="2"/>
      <c r="P39" s="2"/>
      <c r="Q39" s="2"/>
      <c r="R39" s="2"/>
      <c r="S39" s="2"/>
      <c r="T39" s="2"/>
      <c r="U39" s="2"/>
      <c r="V39" s="2"/>
    </row>
    <row r="40" spans="2:22" x14ac:dyDescent="0.3">
      <c r="C40" s="4" t="s">
        <v>380</v>
      </c>
      <c r="D40" s="4"/>
      <c r="E40" s="4"/>
      <c r="F40" s="4"/>
      <c r="G40" s="429">
        <f ca="1">IF(G36="Gas",G$7,IF(G36="Oil",G$8,IF(G36="NGLs",G$9,"ERROR")))</f>
        <v>3.7</v>
      </c>
      <c r="H40" s="429">
        <f t="shared" ref="H40:I40" ca="1" si="10">IF(H36="Gas",H$7,IF(H36="Oil",H$8,IF(H36="NGLs",H$9,"ERROR")))</f>
        <v>3.8</v>
      </c>
      <c r="I40" s="429">
        <f t="shared" ca="1" si="10"/>
        <v>4</v>
      </c>
      <c r="K40" s="2"/>
      <c r="L40" s="2"/>
      <c r="M40" s="2"/>
      <c r="N40" s="2"/>
      <c r="O40" s="2"/>
      <c r="P40" s="2"/>
      <c r="Q40" s="2"/>
      <c r="R40" s="2"/>
      <c r="S40" s="2"/>
      <c r="T40" s="2"/>
      <c r="U40" s="2"/>
      <c r="V40" s="2"/>
    </row>
    <row r="41" spans="2:22" x14ac:dyDescent="0.3">
      <c r="C41" s="74" t="s">
        <v>381</v>
      </c>
      <c r="G41" s="48">
        <f ca="1">G39-G40</f>
        <v>0</v>
      </c>
      <c r="H41" s="48">
        <f t="shared" ref="H41:I41" ca="1" si="11">H39-H40</f>
        <v>0</v>
      </c>
      <c r="I41" s="48">
        <f t="shared" ca="1" si="11"/>
        <v>0</v>
      </c>
      <c r="K41" s="2"/>
      <c r="L41" s="2"/>
      <c r="M41" s="2"/>
      <c r="N41" s="2"/>
      <c r="O41" s="2"/>
      <c r="P41" s="2"/>
      <c r="Q41" s="2"/>
      <c r="R41" s="2"/>
      <c r="S41" s="2"/>
      <c r="T41" s="2"/>
      <c r="U41" s="2"/>
      <c r="V41" s="2"/>
    </row>
    <row r="42" spans="2:22" x14ac:dyDescent="0.3">
      <c r="C42" s="74" t="s">
        <v>382</v>
      </c>
      <c r="G42" s="12">
        <f ca="1">G37*G41</f>
        <v>0</v>
      </c>
      <c r="H42" s="12">
        <f t="shared" ref="H42:I42" ca="1" si="12">H37*H41</f>
        <v>0</v>
      </c>
      <c r="I42" s="12">
        <f t="shared" ca="1" si="12"/>
        <v>0</v>
      </c>
      <c r="K42" s="2"/>
      <c r="L42" s="2"/>
      <c r="M42" s="2"/>
      <c r="N42" s="2"/>
      <c r="O42" s="2"/>
      <c r="P42" s="2"/>
      <c r="Q42" s="2"/>
      <c r="R42" s="2"/>
      <c r="S42" s="2"/>
      <c r="T42" s="2"/>
      <c r="U42" s="2"/>
      <c r="V42" s="2"/>
    </row>
    <row r="43" spans="2:22" x14ac:dyDescent="0.3">
      <c r="K43" s="2"/>
      <c r="L43" s="2"/>
      <c r="M43" s="2"/>
      <c r="N43" s="2"/>
      <c r="O43" s="2"/>
      <c r="P43" s="2"/>
      <c r="Q43" s="2"/>
      <c r="R43" s="2"/>
      <c r="S43" s="2"/>
      <c r="T43" s="2"/>
      <c r="U43" s="2"/>
      <c r="V43" s="2"/>
    </row>
    <row r="44" spans="2:22" x14ac:dyDescent="0.3">
      <c r="B44" s="3" t="s">
        <v>387</v>
      </c>
      <c r="C44" s="4"/>
      <c r="D44" s="4"/>
      <c r="E44" s="4"/>
      <c r="F44" s="4"/>
      <c r="G44" s="11">
        <f>$G$4</f>
        <v>2013</v>
      </c>
      <c r="H44" s="11">
        <f>$H$4</f>
        <v>2014</v>
      </c>
      <c r="I44" s="11">
        <f>$I$4</f>
        <v>2015</v>
      </c>
      <c r="K44" s="2"/>
      <c r="L44" s="2"/>
      <c r="M44" s="2"/>
      <c r="N44" s="2"/>
      <c r="O44" s="2"/>
      <c r="P44" s="2"/>
      <c r="Q44" s="2"/>
      <c r="R44" s="2"/>
      <c r="S44" s="2"/>
      <c r="T44" s="2"/>
      <c r="U44" s="2"/>
      <c r="V44" s="2"/>
    </row>
    <row r="45" spans="2:22" x14ac:dyDescent="0.3">
      <c r="C45" t="s">
        <v>377</v>
      </c>
      <c r="G45" s="423" t="s">
        <v>11</v>
      </c>
      <c r="H45" s="424" t="s">
        <v>11</v>
      </c>
      <c r="I45" s="425" t="s">
        <v>11</v>
      </c>
      <c r="K45" s="2"/>
      <c r="L45" s="2"/>
      <c r="M45" s="2"/>
      <c r="N45" s="2"/>
      <c r="O45" s="2"/>
      <c r="P45" s="2"/>
      <c r="Q45" s="2"/>
      <c r="R45" s="2"/>
      <c r="S45" s="2"/>
      <c r="T45" s="2"/>
      <c r="U45" s="2"/>
      <c r="V45" s="2"/>
    </row>
    <row r="46" spans="2:22" x14ac:dyDescent="0.3">
      <c r="C46" t="s">
        <v>378</v>
      </c>
      <c r="G46" s="426">
        <v>0</v>
      </c>
      <c r="H46" s="363">
        <v>0</v>
      </c>
      <c r="I46" s="427">
        <v>0</v>
      </c>
      <c r="K46" s="2"/>
      <c r="L46" s="2"/>
      <c r="M46" s="2"/>
      <c r="N46" s="2"/>
      <c r="O46" s="2"/>
      <c r="P46" s="2"/>
      <c r="Q46" s="2"/>
      <c r="R46" s="2"/>
      <c r="S46" s="2"/>
      <c r="T46" s="2"/>
      <c r="U46" s="2"/>
      <c r="V46" s="2"/>
    </row>
    <row r="47" spans="2:22" x14ac:dyDescent="0.3">
      <c r="C47" t="s">
        <v>385</v>
      </c>
      <c r="G47" s="428">
        <v>0</v>
      </c>
      <c r="H47" s="433">
        <v>0</v>
      </c>
      <c r="I47" s="432">
        <v>0</v>
      </c>
      <c r="K47" s="2"/>
      <c r="L47" s="2"/>
      <c r="M47" s="2"/>
      <c r="N47" s="2"/>
      <c r="O47" s="2"/>
      <c r="P47" s="2"/>
      <c r="Q47" s="2"/>
      <c r="R47" s="2"/>
      <c r="S47" s="2"/>
      <c r="T47" s="2"/>
      <c r="U47" s="2"/>
      <c r="V47" s="2"/>
    </row>
    <row r="48" spans="2:22" x14ac:dyDescent="0.3">
      <c r="C48" t="s">
        <v>386</v>
      </c>
      <c r="G48" s="430">
        <f ca="1">MAX(G47,G49)</f>
        <v>101</v>
      </c>
      <c r="H48" s="430">
        <f t="shared" ref="H48" ca="1" si="13">MAX(H47,H49)</f>
        <v>92</v>
      </c>
      <c r="I48" s="430">
        <f t="shared" ref="I48" ca="1" si="14">MAX(I47,I49)</f>
        <v>88</v>
      </c>
      <c r="K48" s="2"/>
      <c r="L48" s="2"/>
      <c r="M48" s="2"/>
      <c r="N48" s="2"/>
      <c r="O48" s="2"/>
      <c r="P48" s="2"/>
      <c r="Q48" s="2"/>
      <c r="R48" s="2"/>
      <c r="S48" s="2"/>
      <c r="T48" s="2"/>
      <c r="U48" s="2"/>
      <c r="V48" s="2"/>
    </row>
    <row r="49" spans="2:22" x14ac:dyDescent="0.3">
      <c r="C49" s="4" t="s">
        <v>380</v>
      </c>
      <c r="D49" s="4"/>
      <c r="E49" s="4"/>
      <c r="F49" s="4"/>
      <c r="G49" s="429">
        <f ca="1">IF(G45="Gas",G$7,IF(G45="Oil",G$8,IF(G45="NGLs",G$9,"ERROR")))</f>
        <v>101</v>
      </c>
      <c r="H49" s="429">
        <f t="shared" ref="H49:I49" ca="1" si="15">IF(H45="Gas",H$7,IF(H45="Oil",H$8,IF(H45="NGLs",H$9,"ERROR")))</f>
        <v>92</v>
      </c>
      <c r="I49" s="429">
        <f t="shared" ca="1" si="15"/>
        <v>88</v>
      </c>
      <c r="K49" s="2"/>
      <c r="L49" s="2"/>
      <c r="M49" s="2"/>
      <c r="N49" s="2"/>
      <c r="O49" s="2"/>
      <c r="P49" s="2"/>
      <c r="Q49" s="2"/>
      <c r="R49" s="2"/>
      <c r="S49" s="2"/>
      <c r="T49" s="2"/>
      <c r="U49" s="2"/>
      <c r="V49" s="2"/>
    </row>
    <row r="50" spans="2:22" x14ac:dyDescent="0.3">
      <c r="C50" s="74" t="s">
        <v>381</v>
      </c>
      <c r="G50" s="48">
        <f ca="1">G48-G49</f>
        <v>0</v>
      </c>
      <c r="H50" s="48">
        <f t="shared" ref="H50" ca="1" si="16">H48-H49</f>
        <v>0</v>
      </c>
      <c r="I50" s="48">
        <f t="shared" ref="I50" ca="1" si="17">I48-I49</f>
        <v>0</v>
      </c>
      <c r="K50" s="2"/>
      <c r="L50" s="2"/>
      <c r="M50" s="2"/>
      <c r="N50" s="2"/>
      <c r="O50" s="2"/>
      <c r="P50" s="2"/>
      <c r="Q50" s="2"/>
      <c r="R50" s="2"/>
      <c r="S50" s="2"/>
      <c r="T50" s="2"/>
      <c r="U50" s="2"/>
      <c r="V50" s="2"/>
    </row>
    <row r="51" spans="2:22" x14ac:dyDescent="0.3">
      <c r="C51" s="74" t="s">
        <v>382</v>
      </c>
      <c r="G51" s="12">
        <f ca="1">G46*G50</f>
        <v>0</v>
      </c>
      <c r="H51" s="12">
        <f t="shared" ref="H51" ca="1" si="18">H46*H50</f>
        <v>0</v>
      </c>
      <c r="I51" s="12">
        <f t="shared" ref="I51" ca="1" si="19">I46*I50</f>
        <v>0</v>
      </c>
      <c r="K51" s="2"/>
      <c r="L51" s="2"/>
      <c r="M51" s="2"/>
      <c r="N51" s="2"/>
      <c r="O51" s="2"/>
      <c r="P51" s="2"/>
      <c r="Q51" s="2"/>
      <c r="R51" s="2"/>
      <c r="S51" s="2"/>
      <c r="T51" s="2"/>
      <c r="U51" s="2"/>
      <c r="V51" s="2"/>
    </row>
    <row r="52" spans="2:22" x14ac:dyDescent="0.3">
      <c r="K52" s="2"/>
      <c r="L52" s="2"/>
      <c r="M52" s="2"/>
      <c r="N52" s="2"/>
      <c r="O52" s="2"/>
      <c r="P52" s="2"/>
      <c r="Q52" s="2"/>
      <c r="R52" s="2"/>
      <c r="S52" s="2"/>
      <c r="T52" s="2"/>
      <c r="U52" s="2"/>
      <c r="V52" s="2"/>
    </row>
    <row r="53" spans="2:22" x14ac:dyDescent="0.3">
      <c r="B53" s="3" t="s">
        <v>388</v>
      </c>
      <c r="C53" s="4"/>
      <c r="D53" s="4"/>
      <c r="E53" s="4"/>
      <c r="F53" s="4"/>
      <c r="G53" s="11">
        <f>$G$4</f>
        <v>2013</v>
      </c>
      <c r="H53" s="11">
        <f>$H$4</f>
        <v>2014</v>
      </c>
      <c r="I53" s="11">
        <f>$I$4</f>
        <v>2015</v>
      </c>
      <c r="K53" s="2"/>
      <c r="L53" s="2"/>
      <c r="M53" s="2"/>
      <c r="N53" s="2"/>
      <c r="O53" s="2"/>
      <c r="P53" s="2"/>
      <c r="Q53" s="2"/>
      <c r="R53" s="2"/>
      <c r="S53" s="2"/>
      <c r="T53" s="2"/>
      <c r="U53" s="2"/>
      <c r="V53" s="2"/>
    </row>
    <row r="54" spans="2:22" x14ac:dyDescent="0.3">
      <c r="C54" t="s">
        <v>377</v>
      </c>
      <c r="G54" s="423" t="s">
        <v>10</v>
      </c>
      <c r="H54" s="424" t="s">
        <v>10</v>
      </c>
      <c r="I54" s="425" t="s">
        <v>10</v>
      </c>
      <c r="K54" s="2"/>
      <c r="L54" s="218"/>
      <c r="M54" s="2"/>
      <c r="N54" s="2"/>
      <c r="O54" s="2"/>
      <c r="P54" s="2"/>
      <c r="Q54" s="2"/>
      <c r="R54" s="2"/>
      <c r="S54" s="2"/>
      <c r="T54" s="2"/>
      <c r="U54" s="2"/>
      <c r="V54" s="2"/>
    </row>
    <row r="55" spans="2:22" x14ac:dyDescent="0.3">
      <c r="C55" t="s">
        <v>378</v>
      </c>
      <c r="G55" s="426">
        <v>0</v>
      </c>
      <c r="H55" s="363">
        <v>0</v>
      </c>
      <c r="I55" s="427">
        <v>0</v>
      </c>
      <c r="K55" s="2"/>
      <c r="L55" s="2"/>
      <c r="M55" s="2"/>
      <c r="N55" s="2"/>
      <c r="O55" s="2"/>
      <c r="P55" s="2"/>
      <c r="Q55" s="2"/>
      <c r="R55" s="2"/>
      <c r="S55" s="2"/>
      <c r="T55" s="2"/>
      <c r="U55" s="2"/>
      <c r="V55" s="2"/>
    </row>
    <row r="56" spans="2:22" x14ac:dyDescent="0.3">
      <c r="C56" t="s">
        <v>389</v>
      </c>
      <c r="G56" s="431">
        <v>0</v>
      </c>
      <c r="H56" s="434">
        <v>0</v>
      </c>
      <c r="I56" s="435">
        <v>0</v>
      </c>
      <c r="K56" s="2"/>
      <c r="L56" s="2"/>
      <c r="M56" s="2"/>
      <c r="N56" s="2"/>
      <c r="O56" s="2"/>
      <c r="P56" s="2"/>
      <c r="Q56" s="2"/>
      <c r="R56" s="2"/>
      <c r="S56" s="2"/>
      <c r="T56" s="2"/>
      <c r="U56" s="2"/>
      <c r="V56" s="2"/>
    </row>
    <row r="57" spans="2:22" x14ac:dyDescent="0.3">
      <c r="C57" t="s">
        <v>390</v>
      </c>
      <c r="G57" s="428">
        <v>0</v>
      </c>
      <c r="H57" s="433">
        <v>0</v>
      </c>
      <c r="I57" s="432">
        <v>0</v>
      </c>
      <c r="K57" s="2"/>
      <c r="L57" s="2"/>
      <c r="M57" s="2"/>
      <c r="N57" s="2"/>
      <c r="O57" s="2"/>
      <c r="P57" s="2"/>
      <c r="Q57" s="2"/>
      <c r="R57" s="2"/>
      <c r="S57" s="2"/>
      <c r="T57" s="2"/>
      <c r="U57" s="2"/>
      <c r="V57" s="2"/>
    </row>
    <row r="58" spans="2:22" x14ac:dyDescent="0.3">
      <c r="C58" t="s">
        <v>386</v>
      </c>
      <c r="G58" s="430">
        <f ca="1">MAX(MIN(G56,G59),G57)</f>
        <v>0</v>
      </c>
      <c r="H58" s="430">
        <f t="shared" ref="H58:I58" ca="1" si="20">MAX(MIN(H56,H59),H57)</f>
        <v>0</v>
      </c>
      <c r="I58" s="430">
        <f t="shared" ca="1" si="20"/>
        <v>0</v>
      </c>
      <c r="K58" s="2"/>
      <c r="L58" s="2"/>
      <c r="M58" s="2"/>
      <c r="N58" s="2"/>
      <c r="O58" s="2"/>
      <c r="P58" s="2"/>
      <c r="Q58" s="2"/>
      <c r="R58" s="2"/>
      <c r="S58" s="2"/>
      <c r="T58" s="2"/>
      <c r="U58" s="2"/>
      <c r="V58" s="2"/>
    </row>
    <row r="59" spans="2:22" x14ac:dyDescent="0.3">
      <c r="C59" s="4" t="s">
        <v>380</v>
      </c>
      <c r="D59" s="4"/>
      <c r="E59" s="4"/>
      <c r="F59" s="4"/>
      <c r="G59" s="429">
        <f ca="1">IF(G54="Gas",G$7,IF(G54="Oil",G$8,IF(G54="NGLs",G$9,"ERROR")))</f>
        <v>3.7</v>
      </c>
      <c r="H59" s="429">
        <f t="shared" ref="H59:I59" ca="1" si="21">IF(H54="Gas",H$7,IF(H54="Oil",H$8,IF(H54="NGLs",H$9,"ERROR")))</f>
        <v>3.8</v>
      </c>
      <c r="I59" s="429">
        <f t="shared" ca="1" si="21"/>
        <v>4</v>
      </c>
      <c r="K59" s="2"/>
      <c r="L59" s="2"/>
      <c r="M59" s="2"/>
      <c r="N59" s="2"/>
      <c r="O59" s="2"/>
      <c r="P59" s="2"/>
      <c r="Q59" s="2"/>
      <c r="R59" s="2"/>
      <c r="S59" s="2"/>
      <c r="T59" s="2"/>
      <c r="U59" s="2"/>
      <c r="V59" s="2"/>
    </row>
    <row r="60" spans="2:22" x14ac:dyDescent="0.3">
      <c r="C60" s="74" t="s">
        <v>381</v>
      </c>
      <c r="G60" s="48">
        <f ca="1">G58-G59</f>
        <v>-3.7</v>
      </c>
      <c r="H60" s="48">
        <f t="shared" ref="H60:I60" ca="1" si="22">H58-H59</f>
        <v>-3.8</v>
      </c>
      <c r="I60" s="48">
        <f t="shared" ca="1" si="22"/>
        <v>-4</v>
      </c>
      <c r="K60" s="2"/>
      <c r="L60" s="2"/>
      <c r="M60" s="2"/>
      <c r="N60" s="2"/>
      <c r="O60" s="2"/>
      <c r="P60" s="2"/>
      <c r="Q60" s="2"/>
      <c r="R60" s="2"/>
      <c r="S60" s="2"/>
      <c r="T60" s="2"/>
      <c r="U60" s="2"/>
      <c r="V60" s="2"/>
    </row>
    <row r="61" spans="2:22" x14ac:dyDescent="0.3">
      <c r="C61" s="74" t="s">
        <v>382</v>
      </c>
      <c r="G61" s="12">
        <f ca="1">G60*G55</f>
        <v>0</v>
      </c>
      <c r="H61" s="12">
        <f t="shared" ref="H61:I61" ca="1" si="23">H60*H55</f>
        <v>0</v>
      </c>
      <c r="I61" s="12">
        <f t="shared" ca="1" si="23"/>
        <v>0</v>
      </c>
      <c r="K61" s="2"/>
      <c r="L61" s="2"/>
      <c r="M61" s="2"/>
      <c r="N61" s="2"/>
      <c r="O61" s="2"/>
      <c r="P61" s="2"/>
      <c r="Q61" s="2"/>
      <c r="R61" s="2"/>
      <c r="S61" s="2"/>
      <c r="T61" s="2"/>
      <c r="U61" s="2"/>
      <c r="V61" s="2"/>
    </row>
    <row r="62" spans="2:22" x14ac:dyDescent="0.3">
      <c r="K62" s="2"/>
      <c r="L62" s="2"/>
      <c r="M62" s="2"/>
      <c r="N62" s="2"/>
      <c r="O62" s="2"/>
      <c r="P62" s="2"/>
      <c r="Q62" s="2"/>
      <c r="R62" s="2"/>
      <c r="S62" s="2"/>
      <c r="T62" s="2"/>
      <c r="U62" s="2"/>
      <c r="V62" s="2"/>
    </row>
    <row r="63" spans="2:22" x14ac:dyDescent="0.3">
      <c r="B63" s="3" t="s">
        <v>391</v>
      </c>
      <c r="C63" s="4"/>
      <c r="D63" s="4"/>
      <c r="E63" s="4"/>
      <c r="F63" s="4"/>
      <c r="G63" s="11">
        <f>$G$4</f>
        <v>2013</v>
      </c>
      <c r="H63" s="11">
        <f>$H$4</f>
        <v>2014</v>
      </c>
      <c r="I63" s="11">
        <f>$I$4</f>
        <v>2015</v>
      </c>
      <c r="K63" s="2"/>
      <c r="L63" s="2"/>
      <c r="M63" s="2"/>
      <c r="N63" s="2"/>
      <c r="O63" s="2"/>
      <c r="P63" s="2"/>
      <c r="Q63" s="2"/>
      <c r="R63" s="2"/>
      <c r="S63" s="2"/>
      <c r="T63" s="2"/>
      <c r="U63" s="2"/>
      <c r="V63" s="2"/>
    </row>
    <row r="64" spans="2:22" x14ac:dyDescent="0.3">
      <c r="C64" t="s">
        <v>377</v>
      </c>
      <c r="G64" s="423" t="s">
        <v>11</v>
      </c>
      <c r="H64" s="424" t="s">
        <v>11</v>
      </c>
      <c r="I64" s="425" t="s">
        <v>11</v>
      </c>
      <c r="K64" s="2"/>
      <c r="L64" s="2"/>
      <c r="M64" s="2"/>
      <c r="N64" s="2"/>
      <c r="O64" s="2"/>
      <c r="P64" s="2"/>
      <c r="Q64" s="2"/>
      <c r="R64" s="2"/>
      <c r="S64" s="2"/>
      <c r="T64" s="2"/>
      <c r="U64" s="2"/>
      <c r="V64" s="2"/>
    </row>
    <row r="65" spans="3:22" x14ac:dyDescent="0.3">
      <c r="C65" t="s">
        <v>378</v>
      </c>
      <c r="G65" s="426">
        <v>0</v>
      </c>
      <c r="H65" s="363">
        <v>0</v>
      </c>
      <c r="I65" s="427">
        <v>0</v>
      </c>
      <c r="K65" s="2"/>
      <c r="L65" s="2"/>
      <c r="M65" s="2"/>
      <c r="N65" s="2"/>
      <c r="O65" s="2"/>
      <c r="P65" s="2"/>
      <c r="Q65" s="2"/>
      <c r="R65" s="2"/>
      <c r="S65" s="2"/>
      <c r="T65" s="2"/>
      <c r="U65" s="2"/>
      <c r="V65" s="2"/>
    </row>
    <row r="66" spans="3:22" x14ac:dyDescent="0.3">
      <c r="C66" t="s">
        <v>389</v>
      </c>
      <c r="G66" s="431">
        <v>0</v>
      </c>
      <c r="H66" s="434">
        <v>0</v>
      </c>
      <c r="I66" s="435">
        <v>0</v>
      </c>
      <c r="K66" s="2"/>
      <c r="L66" s="2"/>
      <c r="M66" s="2"/>
      <c r="N66" s="2"/>
      <c r="O66" s="2"/>
      <c r="P66" s="2"/>
      <c r="Q66" s="2"/>
      <c r="R66" s="2"/>
      <c r="S66" s="2"/>
      <c r="T66" s="2"/>
      <c r="U66" s="2"/>
      <c r="V66" s="2"/>
    </row>
    <row r="67" spans="3:22" x14ac:dyDescent="0.3">
      <c r="C67" t="s">
        <v>390</v>
      </c>
      <c r="G67" s="428">
        <v>0</v>
      </c>
      <c r="H67" s="433">
        <v>0</v>
      </c>
      <c r="I67" s="432">
        <v>0</v>
      </c>
      <c r="K67" s="2"/>
      <c r="L67" s="2"/>
      <c r="M67" s="2"/>
      <c r="N67" s="2"/>
      <c r="O67" s="2"/>
      <c r="P67" s="2"/>
      <c r="Q67" s="2"/>
      <c r="R67" s="2"/>
      <c r="S67" s="2"/>
      <c r="T67" s="2"/>
      <c r="U67" s="2"/>
      <c r="V67" s="2"/>
    </row>
    <row r="68" spans="3:22" x14ac:dyDescent="0.3">
      <c r="C68" t="s">
        <v>386</v>
      </c>
      <c r="G68" s="430">
        <f ca="1">MAX(MIN(G66,G69),G67)</f>
        <v>0</v>
      </c>
      <c r="H68" s="430">
        <f t="shared" ref="H68" ca="1" si="24">MAX(MIN(H66,H69),H67)</f>
        <v>0</v>
      </c>
      <c r="I68" s="430">
        <f t="shared" ref="I68" ca="1" si="25">MAX(MIN(I66,I69),I67)</f>
        <v>0</v>
      </c>
    </row>
    <row r="69" spans="3:22" x14ac:dyDescent="0.3">
      <c r="C69" s="4" t="s">
        <v>380</v>
      </c>
      <c r="D69" s="4"/>
      <c r="E69" s="4"/>
      <c r="F69" s="4"/>
      <c r="G69" s="429">
        <f ca="1">IF(G64="Gas",G$7,IF(G64="Oil",G$8,IF(G64="NGLs",G$9,"ERROR")))</f>
        <v>101</v>
      </c>
      <c r="H69" s="429">
        <f t="shared" ref="H69:I69" ca="1" si="26">IF(H64="Gas",H$7,IF(H64="Oil",H$8,IF(H64="NGLs",H$9,"ERROR")))</f>
        <v>92</v>
      </c>
      <c r="I69" s="429">
        <f t="shared" ca="1" si="26"/>
        <v>88</v>
      </c>
    </row>
    <row r="70" spans="3:22" x14ac:dyDescent="0.3">
      <c r="C70" s="74" t="s">
        <v>381</v>
      </c>
      <c r="G70" s="48">
        <f ca="1">G68-G69</f>
        <v>-101</v>
      </c>
      <c r="H70" s="48">
        <f t="shared" ref="H70" ca="1" si="27">H68-H69</f>
        <v>-92</v>
      </c>
      <c r="I70" s="48">
        <f t="shared" ref="I70" ca="1" si="28">I68-I69</f>
        <v>-88</v>
      </c>
    </row>
    <row r="71" spans="3:22" x14ac:dyDescent="0.3">
      <c r="C71" s="74" t="s">
        <v>382</v>
      </c>
      <c r="G71" s="12">
        <f ca="1">G70*G65</f>
        <v>0</v>
      </c>
      <c r="H71" s="12">
        <f t="shared" ref="H71" ca="1" si="29">H70*H65</f>
        <v>0</v>
      </c>
      <c r="I71" s="12">
        <f t="shared" ref="I71" ca="1" si="30">I70*I65</f>
        <v>0</v>
      </c>
    </row>
  </sheetData>
  <pageMargins left="0.7" right="0.7" top="0.75" bottom="0.75" header="0.3" footer="0.3"/>
  <pageSetup orientation="portrait" r:id="rId1"/>
  <rowBreaks count="1" manualBreakCount="1">
    <brk id="34" max="9"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L325"/>
  <sheetViews>
    <sheetView showGridLines="0" zoomScaleNormal="100" workbookViewId="0"/>
  </sheetViews>
  <sheetFormatPr defaultRowHeight="14.4" x14ac:dyDescent="0.3"/>
  <cols>
    <col min="1" max="2" width="2.6640625" customWidth="1"/>
    <col min="3" max="3" width="11.33203125" bestFit="1" customWidth="1"/>
    <col min="4" max="4" width="10.109375" bestFit="1" customWidth="1"/>
    <col min="7" max="7" width="10.6640625" bestFit="1" customWidth="1"/>
    <col min="17" max="20" width="11.6640625" customWidth="1"/>
    <col min="22" max="27" width="10.6640625" customWidth="1"/>
    <col min="28" max="28" width="11.5546875" customWidth="1"/>
    <col min="30" max="32" width="11.6640625" customWidth="1"/>
    <col min="34" max="36" width="10.6640625" customWidth="1"/>
    <col min="37" max="37" width="11.6640625" customWidth="1"/>
    <col min="38" max="38" width="2.6640625" customWidth="1"/>
  </cols>
  <sheetData>
    <row r="2" spans="2:26" x14ac:dyDescent="0.3">
      <c r="B2" s="225" t="s">
        <v>356</v>
      </c>
      <c r="C2" s="31"/>
      <c r="D2" s="31"/>
      <c r="E2" s="31"/>
      <c r="F2" s="31"/>
      <c r="G2" s="31"/>
      <c r="H2" s="31"/>
      <c r="I2" s="31"/>
      <c r="J2" s="31"/>
      <c r="K2" s="31"/>
      <c r="L2" s="31"/>
      <c r="M2" s="31"/>
      <c r="N2" s="31"/>
      <c r="O2" s="31"/>
      <c r="P2" s="31"/>
      <c r="Q2" s="31"/>
      <c r="R2" s="31"/>
      <c r="S2" s="31"/>
      <c r="T2" s="31"/>
      <c r="U2" s="31"/>
      <c r="V2" s="31"/>
      <c r="W2" s="31"/>
      <c r="X2" s="31"/>
      <c r="Y2" s="31"/>
      <c r="Z2" s="226"/>
    </row>
    <row r="3" spans="2:26" x14ac:dyDescent="0.3">
      <c r="B3" s="227"/>
      <c r="C3" s="228"/>
      <c r="D3" s="54"/>
      <c r="E3" s="54"/>
      <c r="F3" s="54"/>
      <c r="G3" s="54"/>
      <c r="H3" s="54"/>
      <c r="I3" s="228"/>
      <c r="J3" s="54"/>
      <c r="K3" s="54"/>
      <c r="L3" s="54"/>
      <c r="M3" s="54"/>
      <c r="N3" s="54"/>
      <c r="O3" s="228"/>
      <c r="P3" s="54"/>
      <c r="Q3" s="54"/>
      <c r="R3" s="54"/>
      <c r="S3" s="54"/>
      <c r="T3" s="228"/>
      <c r="U3" s="54"/>
      <c r="V3" s="54"/>
      <c r="W3" s="54"/>
      <c r="X3" s="54"/>
      <c r="Y3" s="54"/>
      <c r="Z3" s="229"/>
    </row>
    <row r="4" spans="2:26" x14ac:dyDescent="0.3">
      <c r="B4" s="370"/>
      <c r="C4" s="292" t="s">
        <v>305</v>
      </c>
      <c r="D4" s="371"/>
      <c r="E4" s="371"/>
      <c r="F4" s="371"/>
      <c r="G4" s="371"/>
      <c r="H4" s="371"/>
      <c r="I4" s="372"/>
      <c r="J4" s="371"/>
      <c r="K4" s="371"/>
      <c r="L4" s="371"/>
      <c r="M4" s="371"/>
      <c r="N4" s="371"/>
      <c r="O4" s="372"/>
      <c r="P4" s="371"/>
      <c r="Q4" s="371"/>
      <c r="R4" s="371"/>
      <c r="S4" s="371"/>
      <c r="T4" s="371"/>
      <c r="U4" s="371"/>
      <c r="V4" s="373"/>
      <c r="W4" s="373"/>
      <c r="X4" s="373"/>
      <c r="Y4" s="373"/>
      <c r="Z4" s="374"/>
    </row>
    <row r="5" spans="2:26" x14ac:dyDescent="0.3">
      <c r="B5" s="375"/>
      <c r="C5" s="73"/>
      <c r="D5" s="73"/>
      <c r="E5" s="73"/>
      <c r="F5" s="73"/>
      <c r="G5" s="365"/>
      <c r="H5" s="73"/>
      <c r="I5" s="74"/>
      <c r="J5" s="73"/>
      <c r="K5" s="73"/>
      <c r="L5" s="73"/>
      <c r="M5" s="376"/>
      <c r="N5" s="73"/>
      <c r="O5" s="74"/>
      <c r="P5" s="73"/>
      <c r="Q5" s="73"/>
      <c r="R5" s="377"/>
      <c r="S5" s="73"/>
      <c r="T5" s="73"/>
      <c r="U5" s="73"/>
      <c r="V5" s="262"/>
      <c r="W5" s="262"/>
      <c r="X5" s="262"/>
      <c r="Y5" s="262"/>
      <c r="Z5" s="378"/>
    </row>
    <row r="6" spans="2:26" x14ac:dyDescent="0.3">
      <c r="B6" s="375"/>
      <c r="C6" s="326"/>
      <c r="D6" s="326"/>
      <c r="E6" s="326"/>
      <c r="F6" s="326"/>
      <c r="G6" s="400"/>
      <c r="H6" s="326"/>
      <c r="I6" s="128"/>
      <c r="J6" s="326"/>
      <c r="K6" s="326"/>
      <c r="L6" s="326"/>
      <c r="M6" s="376"/>
      <c r="N6" s="326"/>
      <c r="O6" s="74"/>
      <c r="P6" s="73"/>
      <c r="Q6" s="73"/>
      <c r="R6" s="377"/>
      <c r="S6" s="73"/>
      <c r="T6" s="74"/>
      <c r="U6" s="73"/>
      <c r="V6" s="379"/>
      <c r="W6" s="379"/>
      <c r="X6" s="380"/>
      <c r="Y6" s="365"/>
      <c r="Z6" s="378"/>
    </row>
    <row r="7" spans="2:26" x14ac:dyDescent="0.3">
      <c r="B7" s="375"/>
      <c r="C7" s="326"/>
      <c r="D7" s="326"/>
      <c r="E7" s="326"/>
      <c r="F7" s="326"/>
      <c r="G7" s="401"/>
      <c r="H7" s="326"/>
      <c r="I7" s="128"/>
      <c r="J7" s="326"/>
      <c r="K7" s="326"/>
      <c r="L7" s="326"/>
      <c r="M7" s="401"/>
      <c r="N7" s="326"/>
      <c r="O7" s="74"/>
      <c r="P7" s="73"/>
      <c r="Q7" s="73"/>
      <c r="R7" s="377"/>
      <c r="S7" s="73"/>
      <c r="T7" s="74"/>
      <c r="U7" s="73"/>
      <c r="V7" s="379"/>
      <c r="W7" s="379"/>
      <c r="X7" s="380"/>
      <c r="Y7" s="365"/>
      <c r="Z7" s="378"/>
    </row>
    <row r="8" spans="2:26" x14ac:dyDescent="0.3">
      <c r="B8" s="375"/>
      <c r="C8" s="326"/>
      <c r="D8" s="326"/>
      <c r="E8" s="326"/>
      <c r="F8" s="326"/>
      <c r="G8" s="306"/>
      <c r="H8" s="326"/>
      <c r="I8" s="128"/>
      <c r="J8" s="326"/>
      <c r="K8" s="326"/>
      <c r="L8" s="326"/>
      <c r="M8" s="377"/>
      <c r="N8" s="326"/>
      <c r="O8" s="73"/>
      <c r="P8" s="73"/>
      <c r="Q8" s="73"/>
      <c r="R8" s="73"/>
      <c r="S8" s="73"/>
      <c r="T8" s="382"/>
      <c r="U8" s="73"/>
      <c r="V8" s="383"/>
      <c r="W8" s="383"/>
      <c r="X8" s="383"/>
      <c r="Y8" s="364"/>
      <c r="Z8" s="378"/>
    </row>
    <row r="9" spans="2:26" x14ac:dyDescent="0.3">
      <c r="B9" s="375"/>
      <c r="C9" s="326"/>
      <c r="D9" s="326"/>
      <c r="E9" s="326"/>
      <c r="F9" s="326"/>
      <c r="G9" s="360"/>
      <c r="H9" s="326"/>
      <c r="I9" s="128"/>
      <c r="J9" s="326"/>
      <c r="K9" s="326"/>
      <c r="L9" s="326"/>
      <c r="M9" s="401"/>
      <c r="N9" s="326"/>
      <c r="O9" s="73"/>
      <c r="P9" s="73"/>
      <c r="Q9" s="73"/>
      <c r="R9" s="73"/>
      <c r="S9" s="73"/>
      <c r="T9" s="73"/>
      <c r="U9" s="73"/>
      <c r="V9" s="379"/>
      <c r="W9" s="379"/>
      <c r="X9" s="380"/>
      <c r="Y9" s="365"/>
      <c r="Z9" s="378"/>
    </row>
    <row r="10" spans="2:26" x14ac:dyDescent="0.3">
      <c r="B10" s="375"/>
      <c r="C10" s="326"/>
      <c r="D10" s="326"/>
      <c r="E10" s="326"/>
      <c r="F10" s="326"/>
      <c r="G10" s="326"/>
      <c r="H10" s="326"/>
      <c r="I10" s="128"/>
      <c r="J10" s="326"/>
      <c r="K10" s="326"/>
      <c r="L10" s="326"/>
      <c r="M10" s="326"/>
      <c r="N10" s="326"/>
      <c r="O10" s="73"/>
      <c r="P10" s="73"/>
      <c r="Q10" s="73"/>
      <c r="R10" s="73"/>
      <c r="S10" s="73"/>
      <c r="T10" s="384"/>
      <c r="U10" s="73"/>
      <c r="V10" s="262"/>
      <c r="W10" s="262"/>
      <c r="X10" s="262"/>
      <c r="Y10" s="385"/>
      <c r="Z10" s="378"/>
    </row>
    <row r="11" spans="2:26" x14ac:dyDescent="0.3">
      <c r="B11" s="375"/>
      <c r="C11" s="326"/>
      <c r="D11" s="326"/>
      <c r="E11" s="326"/>
      <c r="F11" s="326"/>
      <c r="G11" s="385"/>
      <c r="H11" s="326"/>
      <c r="I11" s="326"/>
      <c r="J11" s="326"/>
      <c r="K11" s="326"/>
      <c r="L11" s="326"/>
      <c r="M11" s="326"/>
      <c r="N11" s="326"/>
      <c r="O11" s="73"/>
      <c r="P11" s="73"/>
      <c r="Q11" s="73"/>
      <c r="R11" s="73"/>
      <c r="S11" s="73"/>
      <c r="T11" s="386"/>
      <c r="U11" s="73"/>
      <c r="V11" s="262"/>
      <c r="W11" s="262"/>
      <c r="X11" s="262"/>
      <c r="Y11" s="262"/>
      <c r="Z11" s="378"/>
    </row>
    <row r="12" spans="2:26" x14ac:dyDescent="0.3">
      <c r="B12" s="375"/>
      <c r="C12" s="326"/>
      <c r="D12" s="326"/>
      <c r="E12" s="326"/>
      <c r="F12" s="326"/>
      <c r="G12" s="385"/>
      <c r="H12" s="326"/>
      <c r="I12" s="402"/>
      <c r="J12" s="326"/>
      <c r="K12" s="326"/>
      <c r="L12" s="326"/>
      <c r="M12" s="326"/>
      <c r="N12" s="326"/>
      <c r="O12" s="382"/>
      <c r="P12" s="73"/>
      <c r="Q12" s="73"/>
      <c r="R12" s="73"/>
      <c r="S12" s="73"/>
      <c r="T12" s="326"/>
      <c r="U12" s="73"/>
      <c r="V12" s="380"/>
      <c r="W12" s="380"/>
      <c r="X12" s="380"/>
      <c r="Y12" s="365"/>
      <c r="Z12" s="378"/>
    </row>
    <row r="13" spans="2:26" x14ac:dyDescent="0.3">
      <c r="B13" s="375"/>
      <c r="C13" s="326"/>
      <c r="D13" s="326"/>
      <c r="E13" s="326"/>
      <c r="F13" s="326"/>
      <c r="G13" s="387"/>
      <c r="H13" s="326"/>
      <c r="I13" s="128"/>
      <c r="J13" s="326"/>
      <c r="K13" s="326"/>
      <c r="L13" s="326"/>
      <c r="M13" s="388"/>
      <c r="N13" s="326"/>
      <c r="O13" s="73"/>
      <c r="P13" s="73"/>
      <c r="Q13" s="73"/>
      <c r="R13" s="73"/>
      <c r="S13" s="73"/>
      <c r="T13" s="326"/>
      <c r="U13" s="73"/>
      <c r="V13" s="73"/>
      <c r="W13" s="73"/>
      <c r="X13" s="73"/>
      <c r="Y13" s="73"/>
      <c r="Z13" s="378"/>
    </row>
    <row r="14" spans="2:26" x14ac:dyDescent="0.3">
      <c r="B14" s="375"/>
      <c r="C14" s="398"/>
      <c r="D14" s="326"/>
      <c r="E14" s="326"/>
      <c r="F14" s="326"/>
      <c r="G14" s="387"/>
      <c r="H14" s="326"/>
      <c r="I14" s="128"/>
      <c r="J14" s="326"/>
      <c r="K14" s="326"/>
      <c r="L14" s="326"/>
      <c r="M14" s="389"/>
      <c r="N14" s="326"/>
      <c r="O14" s="73"/>
      <c r="P14" s="73"/>
      <c r="Q14" s="73"/>
      <c r="R14" s="73"/>
      <c r="S14" s="73"/>
      <c r="T14" s="73"/>
      <c r="U14" s="73"/>
      <c r="V14" s="73"/>
      <c r="W14" s="73"/>
      <c r="X14" s="73"/>
      <c r="Y14" s="73"/>
      <c r="Z14" s="378"/>
    </row>
    <row r="15" spans="2:26" x14ac:dyDescent="0.3">
      <c r="B15" s="375"/>
      <c r="C15" s="398"/>
      <c r="D15" s="326"/>
      <c r="E15" s="326"/>
      <c r="F15" s="326"/>
      <c r="G15" s="387"/>
      <c r="H15" s="326"/>
      <c r="I15" s="128"/>
      <c r="J15" s="326"/>
      <c r="K15" s="326"/>
      <c r="L15" s="326"/>
      <c r="M15" s="390"/>
      <c r="N15" s="326"/>
      <c r="O15" s="73"/>
      <c r="P15" s="73"/>
      <c r="Q15" s="73"/>
      <c r="R15" s="73"/>
      <c r="S15" s="73"/>
      <c r="T15" s="382"/>
      <c r="U15" s="73"/>
      <c r="V15" s="73"/>
      <c r="W15" s="73"/>
      <c r="X15" s="73"/>
      <c r="Y15" s="73"/>
      <c r="Z15" s="378"/>
    </row>
    <row r="16" spans="2:26" x14ac:dyDescent="0.3">
      <c r="B16" s="375"/>
      <c r="C16" s="398"/>
      <c r="D16" s="326"/>
      <c r="E16" s="326"/>
      <c r="F16" s="326"/>
      <c r="G16" s="387"/>
      <c r="H16" s="326"/>
      <c r="I16" s="128"/>
      <c r="J16" s="326"/>
      <c r="K16" s="326"/>
      <c r="L16" s="326"/>
      <c r="M16" s="380"/>
      <c r="N16" s="326"/>
      <c r="O16" s="73"/>
      <c r="P16" s="73"/>
      <c r="Q16" s="73"/>
      <c r="R16" s="73"/>
      <c r="S16" s="73"/>
      <c r="T16" s="74"/>
      <c r="U16" s="73"/>
      <c r="V16" s="73"/>
      <c r="W16" s="73"/>
      <c r="X16" s="73"/>
      <c r="Y16" s="391"/>
      <c r="Z16" s="378"/>
    </row>
    <row r="17" spans="2:38" x14ac:dyDescent="0.3">
      <c r="B17" s="375"/>
      <c r="C17" s="398"/>
      <c r="D17" s="326"/>
      <c r="E17" s="326"/>
      <c r="F17" s="326"/>
      <c r="G17" s="387"/>
      <c r="H17" s="326"/>
      <c r="I17" s="128"/>
      <c r="J17" s="326"/>
      <c r="K17" s="326"/>
      <c r="L17" s="326"/>
      <c r="M17" s="380"/>
      <c r="N17" s="326"/>
      <c r="O17" s="73"/>
      <c r="P17" s="73"/>
      <c r="Q17" s="73"/>
      <c r="R17" s="73"/>
      <c r="S17" s="73"/>
      <c r="T17" s="74"/>
      <c r="U17" s="73"/>
      <c r="V17" s="73"/>
      <c r="W17" s="73"/>
      <c r="X17" s="73"/>
      <c r="Y17" s="391"/>
      <c r="Z17" s="378"/>
    </row>
    <row r="18" spans="2:38" x14ac:dyDescent="0.3">
      <c r="B18" s="375"/>
      <c r="C18" s="398"/>
      <c r="D18" s="326"/>
      <c r="E18" s="326"/>
      <c r="F18" s="326"/>
      <c r="G18" s="326"/>
      <c r="H18" s="326"/>
      <c r="I18" s="128"/>
      <c r="J18" s="326"/>
      <c r="K18" s="326"/>
      <c r="L18" s="326"/>
      <c r="M18" s="380"/>
      <c r="N18" s="326"/>
      <c r="O18" s="73"/>
      <c r="P18" s="73"/>
      <c r="Q18" s="73"/>
      <c r="R18" s="73"/>
      <c r="S18" s="73"/>
      <c r="T18" s="74"/>
      <c r="U18" s="73"/>
      <c r="V18" s="73"/>
      <c r="W18" s="73"/>
      <c r="X18" s="73"/>
      <c r="Y18" s="391"/>
      <c r="Z18" s="378"/>
    </row>
    <row r="19" spans="2:38" x14ac:dyDescent="0.3">
      <c r="B19" s="375"/>
      <c r="C19" s="2"/>
      <c r="D19" s="403"/>
      <c r="E19" s="403"/>
      <c r="F19" s="403"/>
      <c r="G19" s="403"/>
      <c r="H19" s="326"/>
      <c r="I19" s="326"/>
      <c r="J19" s="326"/>
      <c r="K19" s="326"/>
      <c r="L19" s="326"/>
      <c r="M19" s="326"/>
      <c r="N19" s="326"/>
      <c r="O19" s="73"/>
      <c r="P19" s="73"/>
      <c r="Q19" s="73"/>
      <c r="R19" s="73"/>
      <c r="S19" s="73"/>
      <c r="T19" s="74"/>
      <c r="U19" s="73"/>
      <c r="V19" s="73"/>
      <c r="W19" s="73"/>
      <c r="X19" s="73"/>
      <c r="Y19" s="381"/>
      <c r="Z19" s="378"/>
    </row>
    <row r="20" spans="2:38" x14ac:dyDescent="0.3">
      <c r="B20" s="375"/>
      <c r="C20" s="402"/>
      <c r="D20" s="326"/>
      <c r="E20" s="326"/>
      <c r="F20" s="326"/>
      <c r="G20" s="326"/>
      <c r="H20" s="326"/>
      <c r="I20" s="326"/>
      <c r="J20" s="326"/>
      <c r="K20" s="326"/>
      <c r="L20" s="326"/>
      <c r="M20" s="326"/>
      <c r="N20" s="326"/>
      <c r="O20" s="73"/>
      <c r="P20" s="73"/>
      <c r="Q20" s="73"/>
      <c r="R20" s="73"/>
      <c r="S20" s="73"/>
      <c r="T20" s="74"/>
      <c r="U20" s="73"/>
      <c r="V20" s="73"/>
      <c r="W20" s="73"/>
      <c r="X20" s="73"/>
      <c r="Y20" s="381"/>
      <c r="Z20" s="378"/>
      <c r="AE20" s="55"/>
    </row>
    <row r="21" spans="2:38" x14ac:dyDescent="0.3">
      <c r="B21" s="392"/>
      <c r="C21" s="393"/>
      <c r="D21" s="393"/>
      <c r="E21" s="393"/>
      <c r="F21" s="393"/>
      <c r="G21" s="393"/>
      <c r="H21" s="393"/>
      <c r="I21" s="393"/>
      <c r="J21" s="393"/>
      <c r="K21" s="393"/>
      <c r="L21" s="393"/>
      <c r="M21" s="393"/>
      <c r="N21" s="393"/>
      <c r="O21" s="393"/>
      <c r="P21" s="393"/>
      <c r="Q21" s="393"/>
      <c r="R21" s="393"/>
      <c r="S21" s="393"/>
      <c r="T21" s="394"/>
      <c r="U21" s="393"/>
      <c r="V21" s="393"/>
      <c r="W21" s="393"/>
      <c r="X21" s="393"/>
      <c r="Y21" s="395"/>
      <c r="Z21" s="396"/>
    </row>
    <row r="23" spans="2:38" x14ac:dyDescent="0.3">
      <c r="B23" s="225" t="s">
        <v>273</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226"/>
    </row>
    <row r="24" spans="2:38" x14ac:dyDescent="0.3">
      <c r="B24" s="259" t="s">
        <v>27</v>
      </c>
      <c r="C24" s="228"/>
      <c r="D24" s="54"/>
      <c r="E24" s="54"/>
      <c r="F24" s="54"/>
      <c r="G24" s="54"/>
      <c r="H24" s="54"/>
      <c r="I24" s="54"/>
      <c r="J24" s="54"/>
      <c r="K24" s="54"/>
      <c r="L24" s="54"/>
      <c r="M24" s="54"/>
      <c r="N24" s="54"/>
      <c r="O24" s="54"/>
      <c r="P24" s="54"/>
      <c r="Q24" s="228" t="str">
        <f>B24</f>
        <v>PDP</v>
      </c>
      <c r="R24" s="54"/>
      <c r="S24" s="54"/>
      <c r="T24" s="54"/>
      <c r="U24" s="54"/>
      <c r="V24" s="54"/>
      <c r="W24" s="54"/>
      <c r="X24" s="54"/>
      <c r="Y24" s="54"/>
      <c r="Z24" s="54"/>
      <c r="AA24" s="54"/>
      <c r="AB24" s="54"/>
      <c r="AC24" s="54"/>
      <c r="AD24" s="228" t="str">
        <f>Q24</f>
        <v>PDP</v>
      </c>
      <c r="AE24" s="54"/>
      <c r="AF24" s="54"/>
      <c r="AG24" s="54"/>
      <c r="AH24" s="54"/>
      <c r="AI24" s="54"/>
      <c r="AJ24" s="54"/>
      <c r="AK24" s="54"/>
      <c r="AL24" s="229"/>
    </row>
    <row r="25" spans="2:38" x14ac:dyDescent="0.3">
      <c r="B25" s="232"/>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233"/>
    </row>
    <row r="26" spans="2:38" x14ac:dyDescent="0.3">
      <c r="B26" s="232"/>
      <c r="C26" s="37" t="s">
        <v>277</v>
      </c>
      <c r="D26" s="23"/>
      <c r="E26" s="23"/>
      <c r="F26" s="23"/>
      <c r="G26" s="23"/>
      <c r="H26" s="261"/>
      <c r="I26" s="37" t="s">
        <v>15</v>
      </c>
      <c r="J26" s="23"/>
      <c r="K26" s="23"/>
      <c r="L26" s="15"/>
      <c r="M26" s="37" t="s">
        <v>278</v>
      </c>
      <c r="N26" s="23"/>
      <c r="O26" s="23"/>
      <c r="P26" s="15"/>
      <c r="Q26" s="37" t="s">
        <v>279</v>
      </c>
      <c r="R26" s="23"/>
      <c r="S26" s="23"/>
      <c r="T26" s="23"/>
      <c r="U26" s="15"/>
      <c r="V26" s="37" t="s">
        <v>280</v>
      </c>
      <c r="W26" s="23"/>
      <c r="X26" s="23"/>
      <c r="Y26" s="23"/>
      <c r="Z26" s="23"/>
      <c r="AA26" s="23"/>
      <c r="AB26" s="4"/>
      <c r="AC26" s="15"/>
      <c r="AD26" s="37" t="s">
        <v>281</v>
      </c>
      <c r="AE26" s="23"/>
      <c r="AF26" s="23"/>
      <c r="AG26" s="15"/>
      <c r="AH26" s="37" t="s">
        <v>282</v>
      </c>
      <c r="AI26" s="23"/>
      <c r="AJ26" s="23"/>
      <c r="AK26" s="23"/>
      <c r="AL26" s="233"/>
    </row>
    <row r="27" spans="2:38" x14ac:dyDescent="0.3">
      <c r="B27" s="232"/>
      <c r="C27" s="250"/>
      <c r="D27" s="250" t="s">
        <v>10</v>
      </c>
      <c r="E27" s="250" t="s">
        <v>11</v>
      </c>
      <c r="F27" s="250" t="s">
        <v>245</v>
      </c>
      <c r="G27" s="250" t="s">
        <v>12</v>
      </c>
      <c r="H27" s="261"/>
      <c r="I27" s="262" t="s">
        <v>10</v>
      </c>
      <c r="J27" s="262" t="s">
        <v>11</v>
      </c>
      <c r="K27" s="262" t="s">
        <v>245</v>
      </c>
      <c r="L27" s="15"/>
      <c r="M27" s="262" t="s">
        <v>10</v>
      </c>
      <c r="N27" s="262" t="s">
        <v>11</v>
      </c>
      <c r="O27" s="262" t="s">
        <v>245</v>
      </c>
      <c r="P27" s="15"/>
      <c r="Q27" s="262" t="s">
        <v>10</v>
      </c>
      <c r="R27" s="262" t="s">
        <v>11</v>
      </c>
      <c r="S27" s="262" t="s">
        <v>245</v>
      </c>
      <c r="T27" s="262" t="s">
        <v>12</v>
      </c>
      <c r="U27" s="15"/>
      <c r="V27" s="262" t="s">
        <v>283</v>
      </c>
      <c r="W27" s="262" t="s">
        <v>283</v>
      </c>
      <c r="X27" s="262" t="s">
        <v>284</v>
      </c>
      <c r="Y27" s="262" t="s">
        <v>284</v>
      </c>
      <c r="Z27" s="262" t="s">
        <v>285</v>
      </c>
      <c r="AA27" s="262" t="s">
        <v>285</v>
      </c>
      <c r="AB27" s="262" t="s">
        <v>12</v>
      </c>
      <c r="AC27" s="15"/>
      <c r="AD27" s="262" t="s">
        <v>286</v>
      </c>
      <c r="AE27" s="262" t="s">
        <v>287</v>
      </c>
      <c r="AF27" s="262" t="s">
        <v>281</v>
      </c>
      <c r="AG27" s="15"/>
      <c r="AH27" s="262"/>
      <c r="AI27" s="262" t="s">
        <v>288</v>
      </c>
      <c r="AJ27" s="262" t="s">
        <v>288</v>
      </c>
      <c r="AK27" s="262" t="s">
        <v>289</v>
      </c>
      <c r="AL27" s="233"/>
    </row>
    <row r="28" spans="2:38" x14ac:dyDescent="0.3">
      <c r="B28" s="232"/>
      <c r="C28" s="13" t="s">
        <v>9</v>
      </c>
      <c r="D28" s="13" t="s">
        <v>307</v>
      </c>
      <c r="E28" s="13" t="s">
        <v>308</v>
      </c>
      <c r="F28" s="13" t="s">
        <v>308</v>
      </c>
      <c r="G28" s="13" t="s">
        <v>248</v>
      </c>
      <c r="H28" s="4"/>
      <c r="I28" s="13" t="s">
        <v>24</v>
      </c>
      <c r="J28" s="13" t="s">
        <v>25</v>
      </c>
      <c r="K28" s="13" t="s">
        <v>25</v>
      </c>
      <c r="L28" s="4"/>
      <c r="M28" s="13" t="s">
        <v>24</v>
      </c>
      <c r="N28" s="13" t="s">
        <v>25</v>
      </c>
      <c r="O28" s="13" t="s">
        <v>25</v>
      </c>
      <c r="P28" s="4"/>
      <c r="Q28" s="13" t="s">
        <v>293</v>
      </c>
      <c r="R28" s="13" t="s">
        <v>293</v>
      </c>
      <c r="S28" s="13" t="s">
        <v>293</v>
      </c>
      <c r="T28" s="13" t="s">
        <v>293</v>
      </c>
      <c r="U28" s="4"/>
      <c r="V28" s="13" t="s">
        <v>294</v>
      </c>
      <c r="W28" s="13" t="s">
        <v>293</v>
      </c>
      <c r="X28" s="13" t="s">
        <v>294</v>
      </c>
      <c r="Y28" s="13" t="s">
        <v>293</v>
      </c>
      <c r="Z28" s="13" t="s">
        <v>294</v>
      </c>
      <c r="AA28" s="13" t="s">
        <v>293</v>
      </c>
      <c r="AB28" s="13" t="s">
        <v>293</v>
      </c>
      <c r="AC28" s="4"/>
      <c r="AD28" s="13" t="s">
        <v>293</v>
      </c>
      <c r="AE28" s="13" t="s">
        <v>293</v>
      </c>
      <c r="AF28" s="13" t="s">
        <v>293</v>
      </c>
      <c r="AG28" s="4"/>
      <c r="AH28" s="13" t="s">
        <v>295</v>
      </c>
      <c r="AI28" s="13" t="s">
        <v>296</v>
      </c>
      <c r="AJ28" s="13" t="s">
        <v>297</v>
      </c>
      <c r="AK28" s="13" t="s">
        <v>293</v>
      </c>
      <c r="AL28" s="258"/>
    </row>
    <row r="29" spans="2:38" x14ac:dyDescent="0.3">
      <c r="B29" s="232"/>
      <c r="C29" s="250">
        <f>YEAR(FY_Date)</f>
        <v>2013</v>
      </c>
      <c r="D29" s="397">
        <f ca="1">SUM(Start:End!D29)</f>
        <v>223125.47825537296</v>
      </c>
      <c r="E29" s="397">
        <f ca="1">SUM(Start:End!E29)</f>
        <v>1252.4714995623865</v>
      </c>
      <c r="F29" s="397">
        <f ca="1">SUM(Start:End!F29)</f>
        <v>0</v>
      </c>
      <c r="G29" s="397">
        <f ca="1">SUM(Start:End!G29)</f>
        <v>230640.30725274727</v>
      </c>
      <c r="H29" s="15"/>
      <c r="I29" s="264">
        <f ca="1">Assumptions!O$63</f>
        <v>3.7</v>
      </c>
      <c r="J29" s="264">
        <f ca="1">Assumptions!P$63</f>
        <v>101</v>
      </c>
      <c r="K29" s="264">
        <f t="shared" ref="K29:K69" ca="1" si="0">J29*NGL_Price_Diff_vs_Oil</f>
        <v>50.5</v>
      </c>
      <c r="L29" s="15"/>
      <c r="M29" s="51">
        <f ca="1">+IFERROR(Q29/D29,"N/A")</f>
        <v>3.4779999999999998</v>
      </c>
      <c r="N29" s="51">
        <f t="shared" ref="N29:N30" ca="1" si="1">+IFERROR(R29/E29,"N/A")</f>
        <v>93.93</v>
      </c>
      <c r="O29" s="51" t="str">
        <f t="shared" ref="O29:O30" ca="1" si="2">+IFERROR(S29/F29,"N/A")</f>
        <v>N/A</v>
      </c>
      <c r="P29" s="15"/>
      <c r="Q29" s="397">
        <f ca="1">SUM(Start:End!Q29)</f>
        <v>776030.41337218706</v>
      </c>
      <c r="R29" s="397">
        <f ca="1">SUM(Start:End!R29)</f>
        <v>117644.64795389498</v>
      </c>
      <c r="S29" s="397">
        <f ca="1">SUM(Start:End!S29)</f>
        <v>0</v>
      </c>
      <c r="T29" s="397">
        <f ca="1">SUM(Start:End!T29)</f>
        <v>893675.0613260821</v>
      </c>
      <c r="U29" s="15"/>
      <c r="V29" s="51">
        <f ca="1">+IFERROR(W29/$G29,"N/A")</f>
        <v>0.31</v>
      </c>
      <c r="W29" s="397">
        <f ca="1">SUM(Start:End!W29)</f>
        <v>71498.495248351654</v>
      </c>
      <c r="X29" s="51">
        <f ca="1">+IFERROR(Y29/$G29,"N/A")</f>
        <v>0.37</v>
      </c>
      <c r="Y29" s="397">
        <f ca="1">SUM(Start:End!Y29)</f>
        <v>85336.913683516483</v>
      </c>
      <c r="Z29" s="51">
        <f ca="1">+IFERROR(AA29/$G29,"N/A")</f>
        <v>0.58000000000000007</v>
      </c>
      <c r="AA29" s="397">
        <f ca="1">SUM(Start:End!AA29)</f>
        <v>133771.37820659342</v>
      </c>
      <c r="AB29" s="397">
        <f ca="1">SUM(Start:End!AB29)</f>
        <v>290606.7871384616</v>
      </c>
      <c r="AC29" s="15"/>
      <c r="AD29" s="397">
        <f ca="1">SUM(Start:End!AD29)</f>
        <v>603068.2741876205</v>
      </c>
      <c r="AE29" s="397">
        <f ca="1">SUM(Start:End!AE29)</f>
        <v>25463.842625384095</v>
      </c>
      <c r="AF29" s="397">
        <f ca="1">SUM(Start:End!AF29)</f>
        <v>577604.43156223639</v>
      </c>
      <c r="AG29" s="15"/>
      <c r="AH29" s="266">
        <f>FY_Date</f>
        <v>41639</v>
      </c>
      <c r="AI29" s="267"/>
      <c r="AJ29" s="267"/>
      <c r="AK29" s="397">
        <f ca="1">SUM(Start:End!AK29)</f>
        <v>143258.74255971971</v>
      </c>
      <c r="AL29" s="233"/>
    </row>
    <row r="30" spans="2:38" x14ac:dyDescent="0.3">
      <c r="B30" s="232"/>
      <c r="C30" s="270">
        <f>C29+1</f>
        <v>2014</v>
      </c>
      <c r="D30" s="397">
        <f ca="1">SUM(Start:End!D30)</f>
        <v>197320.37815670331</v>
      </c>
      <c r="E30" s="397">
        <f ca="1">SUM(Start:End!E30)</f>
        <v>2421.5053827124457</v>
      </c>
      <c r="F30" s="397">
        <f ca="1">SUM(Start:End!F30)</f>
        <v>0</v>
      </c>
      <c r="G30" s="397">
        <f ca="1">SUM(Start:End!G30)</f>
        <v>211849.41045297799</v>
      </c>
      <c r="H30" s="15"/>
      <c r="I30" s="271">
        <f ca="1">Assumptions!O$64</f>
        <v>3.8</v>
      </c>
      <c r="J30" s="271">
        <f ca="1">Assumptions!P$64</f>
        <v>92</v>
      </c>
      <c r="K30" s="271">
        <f t="shared" ca="1" si="0"/>
        <v>46</v>
      </c>
      <c r="L30" s="15"/>
      <c r="M30" s="35">
        <f t="shared" ref="M30" ca="1" si="3">+IFERROR(Q30/D30,"N/A")</f>
        <v>3.5720000000000001</v>
      </c>
      <c r="N30" s="35">
        <f t="shared" ca="1" si="1"/>
        <v>79.070617718647213</v>
      </c>
      <c r="O30" s="35" t="str">
        <f t="shared" ca="1" si="2"/>
        <v>N/A</v>
      </c>
      <c r="P30" s="15"/>
      <c r="Q30" s="397">
        <f ca="1">SUM(Start:End!Q30)</f>
        <v>704828.39077574422</v>
      </c>
      <c r="R30" s="397">
        <f ca="1">SUM(Start:End!R30)</f>
        <v>191469.9264201023</v>
      </c>
      <c r="S30" s="397">
        <f ca="1">SUM(Start:End!S30)</f>
        <v>0</v>
      </c>
      <c r="T30" s="397">
        <f ca="1">SUM(Start:End!T30)</f>
        <v>896298.31719584658</v>
      </c>
      <c r="U30" s="15"/>
      <c r="V30" s="35">
        <f t="shared" ref="V30:X71" ca="1" si="4">+IFERROR(W30/$G30,"N/A")</f>
        <v>0.3300380334072327</v>
      </c>
      <c r="W30" s="397">
        <f ca="1">SUM(Start:End!W30)</f>
        <v>69918.362804382501</v>
      </c>
      <c r="X30" s="35">
        <f t="shared" ca="1" si="4"/>
        <v>0.36624498304749098</v>
      </c>
      <c r="Y30" s="397">
        <f ca="1">SUM(Start:End!Y30)</f>
        <v>77588.783739971885</v>
      </c>
      <c r="Z30" s="35">
        <f t="shared" ref="Z30" ca="1" si="5">+IFERROR(AA30/$G30,"N/A")</f>
        <v>0.57411375720958047</v>
      </c>
      <c r="AA30" s="397">
        <f ca="1">SUM(Start:End!AA30)</f>
        <v>121625.66099779376</v>
      </c>
      <c r="AB30" s="397">
        <f ca="1">SUM(Start:End!AB30)</f>
        <v>269132.80754214816</v>
      </c>
      <c r="AC30" s="15"/>
      <c r="AD30" s="397">
        <f ca="1">SUM(Start:End!AD30)</f>
        <v>627165.50965369842</v>
      </c>
      <c r="AE30" s="397">
        <f ca="1">SUM(Start:End!AE30)</f>
        <v>24111.4651976725</v>
      </c>
      <c r="AF30" s="397">
        <f ca="1">SUM(Start:End!AF30)</f>
        <v>603054.04445602593</v>
      </c>
      <c r="AG30" s="15"/>
      <c r="AH30" s="272">
        <f>EOMONTH(AH29,12)</f>
        <v>42004</v>
      </c>
      <c r="AI30" s="267"/>
      <c r="AJ30" s="267"/>
      <c r="AK30" s="397">
        <f ca="1">SUM(Start:End!AK30)</f>
        <v>565927.90785226866</v>
      </c>
      <c r="AL30" s="233"/>
    </row>
    <row r="31" spans="2:38" x14ac:dyDescent="0.3">
      <c r="B31" s="232"/>
      <c r="C31" s="250">
        <f t="shared" ref="C31:C69" si="6">C30+1</f>
        <v>2015</v>
      </c>
      <c r="D31" s="397">
        <f ca="1">SUM(Start:End!D31)</f>
        <v>174499.71173324221</v>
      </c>
      <c r="E31" s="397">
        <f ca="1">SUM(Start:End!E31)</f>
        <v>2161.9146538201203</v>
      </c>
      <c r="F31" s="397">
        <f ca="1">SUM(Start:End!F31)</f>
        <v>0</v>
      </c>
      <c r="G31" s="397">
        <f ca="1">SUM(Start:End!G31)</f>
        <v>187471.19965616293</v>
      </c>
      <c r="H31" s="15"/>
      <c r="I31" s="271">
        <f ca="1">Assumptions!O$65</f>
        <v>4</v>
      </c>
      <c r="J31" s="271">
        <f ca="1">Assumptions!P$65</f>
        <v>88</v>
      </c>
      <c r="K31" s="271">
        <f t="shared" ca="1" si="0"/>
        <v>44</v>
      </c>
      <c r="L31" s="15"/>
      <c r="M31" s="35">
        <f t="shared" ref="M31:M69" ca="1" si="7">+IFERROR(Q31/D31,"N/A")</f>
        <v>3.7599999999999993</v>
      </c>
      <c r="N31" s="35">
        <f t="shared" ref="N31:N69" ca="1" si="8">+IFERROR(R31/E31,"N/A")</f>
        <v>75.583234776881113</v>
      </c>
      <c r="O31" s="35" t="str">
        <f t="shared" ref="O31:O69" ca="1" si="9">+IFERROR(S31/F31,"N/A")</f>
        <v>N/A</v>
      </c>
      <c r="P31" s="15"/>
      <c r="Q31" s="397">
        <f ca="1">SUM(Start:End!Q31)</f>
        <v>656118.91611699061</v>
      </c>
      <c r="R31" s="397">
        <f ca="1">SUM(Start:End!R31)</f>
        <v>163404.5028472658</v>
      </c>
      <c r="S31" s="397">
        <f ca="1">SUM(Start:End!S31)</f>
        <v>0</v>
      </c>
      <c r="T31" s="397">
        <f ca="1">SUM(Start:End!T31)</f>
        <v>819523.4189642563</v>
      </c>
      <c r="U31" s="15"/>
      <c r="V31" s="35">
        <f t="shared" ca="1" si="4"/>
        <v>0.33037757778307603</v>
      </c>
      <c r="W31" s="397">
        <f ca="1">SUM(Start:End!W31)</f>
        <v>61936.280846490547</v>
      </c>
      <c r="X31" s="35">
        <f t="shared" ca="1" si="4"/>
        <v>0.36618135430401555</v>
      </c>
      <c r="Y31" s="397">
        <f ca="1">SUM(Start:End!Y31)</f>
        <v>68648.457783092235</v>
      </c>
      <c r="Z31" s="35">
        <f t="shared" ref="Z31" ca="1" si="10">+IFERROR(AA31/$G31,"N/A")</f>
        <v>0.57401401485494319</v>
      </c>
      <c r="AA31" s="397">
        <f ca="1">SUM(Start:End!AA31)</f>
        <v>107611.09598430674</v>
      </c>
      <c r="AB31" s="397">
        <f ca="1">SUM(Start:End!AB31)</f>
        <v>238195.83461388954</v>
      </c>
      <c r="AC31" s="15"/>
      <c r="AD31" s="397">
        <f ca="1">SUM(Start:End!AD31)</f>
        <v>581327.58435036684</v>
      </c>
      <c r="AE31" s="397">
        <f ca="1">SUM(Start:End!AE31)</f>
        <v>21347.709243726451</v>
      </c>
      <c r="AF31" s="397">
        <f ca="1">SUM(Start:End!AF31)</f>
        <v>559979.87510664039</v>
      </c>
      <c r="AG31" s="15"/>
      <c r="AH31" s="273">
        <f t="shared" ref="AH31:AH69" si="11">EOMONTH(AH30,12)</f>
        <v>42369</v>
      </c>
      <c r="AI31" s="267"/>
      <c r="AJ31" s="267"/>
      <c r="AK31" s="397">
        <f ca="1">SUM(Start:End!AK31)</f>
        <v>477732.3058911775</v>
      </c>
      <c r="AL31" s="233"/>
    </row>
    <row r="32" spans="2:38" x14ac:dyDescent="0.3">
      <c r="B32" s="232"/>
      <c r="C32" s="250">
        <f t="shared" si="6"/>
        <v>2016</v>
      </c>
      <c r="D32" s="397">
        <f ca="1">SUM(Start:End!D32)</f>
        <v>154741.11060932474</v>
      </c>
      <c r="E32" s="397">
        <f ca="1">SUM(Start:End!E32)</f>
        <v>1932.6716541289775</v>
      </c>
      <c r="F32" s="397">
        <f ca="1">SUM(Start:End!F32)</f>
        <v>0</v>
      </c>
      <c r="G32" s="397">
        <f ca="1">SUM(Start:End!G32)</f>
        <v>166337.14053409861</v>
      </c>
      <c r="H32" s="15"/>
      <c r="I32" s="271">
        <f ca="1">Assumptions!O$66</f>
        <v>4.0999999999999996</v>
      </c>
      <c r="J32" s="271">
        <f ca="1">Assumptions!P$66</f>
        <v>84</v>
      </c>
      <c r="K32" s="271">
        <f t="shared" ca="1" si="0"/>
        <v>42</v>
      </c>
      <c r="L32" s="15"/>
      <c r="M32" s="35">
        <f t="shared" ca="1" si="7"/>
        <v>3.8539999999999996</v>
      </c>
      <c r="N32" s="35">
        <f t="shared" ca="1" si="8"/>
        <v>72.107823758303411</v>
      </c>
      <c r="O32" s="35" t="str">
        <f t="shared" ca="1" si="9"/>
        <v>N/A</v>
      </c>
      <c r="P32" s="15"/>
      <c r="Q32" s="397">
        <f ca="1">SUM(Start:End!Q32)</f>
        <v>596372.24028833746</v>
      </c>
      <c r="R32" s="397">
        <f ca="1">SUM(Start:End!R32)</f>
        <v>139360.74701860105</v>
      </c>
      <c r="S32" s="397">
        <f ca="1">SUM(Start:End!S32)</f>
        <v>0</v>
      </c>
      <c r="T32" s="397">
        <f ca="1">SUM(Start:End!T32)</f>
        <v>735732.98730693851</v>
      </c>
      <c r="U32" s="15"/>
      <c r="V32" s="35">
        <f t="shared" ca="1" si="4"/>
        <v>0.33066819967971078</v>
      </c>
      <c r="W32" s="397">
        <f ca="1">SUM(Start:End!W32)</f>
        <v>55002.40280028143</v>
      </c>
      <c r="X32" s="35">
        <f t="shared" ca="1" si="4"/>
        <v>0.36612689336334064</v>
      </c>
      <c r="Y32" s="397">
        <f ca="1">SUM(Start:End!Y32)</f>
        <v>60900.500514690924</v>
      </c>
      <c r="Z32" s="35">
        <f t="shared" ref="Z32" ca="1" si="12">+IFERROR(AA32/$G32,"N/A")</f>
        <v>0.573928643650642</v>
      </c>
      <c r="AA32" s="397">
        <f ca="1">SUM(Start:End!AA32)</f>
        <v>95465.649455461447</v>
      </c>
      <c r="AB32" s="397">
        <f ca="1">SUM(Start:End!AB32)</f>
        <v>211368.55277043383</v>
      </c>
      <c r="AC32" s="15"/>
      <c r="AD32" s="397">
        <f ca="1">SUM(Start:End!AD32)</f>
        <v>524364.43453650468</v>
      </c>
      <c r="AE32" s="397">
        <f ca="1">SUM(Start:End!AE32)</f>
        <v>18949.357466619822</v>
      </c>
      <c r="AF32" s="397">
        <f ca="1">SUM(Start:End!AF32)</f>
        <v>505415.07706988486</v>
      </c>
      <c r="AG32" s="15"/>
      <c r="AH32" s="273">
        <f t="shared" si="11"/>
        <v>42735</v>
      </c>
      <c r="AI32" s="267"/>
      <c r="AJ32" s="267"/>
      <c r="AK32" s="397">
        <f ca="1">SUM(Start:End!AK32)</f>
        <v>391983.42157106637</v>
      </c>
      <c r="AL32" s="233"/>
    </row>
    <row r="33" spans="2:38" x14ac:dyDescent="0.3">
      <c r="B33" s="232"/>
      <c r="C33" s="250">
        <f t="shared" si="6"/>
        <v>2017</v>
      </c>
      <c r="D33" s="397">
        <f ca="1">SUM(Start:End!D33)</f>
        <v>136470.96527512488</v>
      </c>
      <c r="E33" s="397">
        <f ca="1">SUM(Start:End!E33)</f>
        <v>1723.6262611060056</v>
      </c>
      <c r="F33" s="397">
        <f ca="1">SUM(Start:End!F33)</f>
        <v>0</v>
      </c>
      <c r="G33" s="397">
        <f ca="1">SUM(Start:End!G33)</f>
        <v>146812.7228417609</v>
      </c>
      <c r="H33" s="15"/>
      <c r="I33" s="271">
        <f ca="1">Assumptions!O$67</f>
        <v>4.2</v>
      </c>
      <c r="J33" s="271">
        <f ca="1">Assumptions!P$67</f>
        <v>82</v>
      </c>
      <c r="K33" s="271">
        <f t="shared" ca="1" si="0"/>
        <v>41</v>
      </c>
      <c r="L33" s="15"/>
      <c r="M33" s="35">
        <f t="shared" ca="1" si="7"/>
        <v>3.948</v>
      </c>
      <c r="N33" s="35">
        <f t="shared" ca="1" si="8"/>
        <v>70.337759962224155</v>
      </c>
      <c r="O33" s="35" t="str">
        <f t="shared" ca="1" si="9"/>
        <v>N/A</v>
      </c>
      <c r="P33" s="15"/>
      <c r="Q33" s="397">
        <f ca="1">SUM(Start:End!Q33)</f>
        <v>538787.37090619304</v>
      </c>
      <c r="R33" s="397">
        <f ca="1">SUM(Start:End!R33)</f>
        <v>121236.01021826011</v>
      </c>
      <c r="S33" s="397">
        <f ca="1">SUM(Start:End!S33)</f>
        <v>0</v>
      </c>
      <c r="T33" s="397">
        <f ca="1">SUM(Start:End!T33)</f>
        <v>660023.38112445315</v>
      </c>
      <c r="U33" s="15"/>
      <c r="V33" s="35">
        <f t="shared" ca="1" si="4"/>
        <v>0.33107331935525636</v>
      </c>
      <c r="W33" s="397">
        <f ca="1">SUM(Start:End!W33)</f>
        <v>48605.775474805043</v>
      </c>
      <c r="X33" s="35">
        <f t="shared" ca="1" si="4"/>
        <v>0.36605097617034305</v>
      </c>
      <c r="Y33" s="397">
        <f ca="1">SUM(Start:End!Y33)</f>
        <v>53740.940510452601</v>
      </c>
      <c r="Z33" s="35">
        <f t="shared" ref="Z33" ca="1" si="13">+IFERROR(AA33/$G33,"N/A")</f>
        <v>0.57380963832107834</v>
      </c>
      <c r="AA33" s="397">
        <f ca="1">SUM(Start:End!AA33)</f>
        <v>84242.555394763534</v>
      </c>
      <c r="AB33" s="397">
        <f ca="1">SUM(Start:End!AB33)</f>
        <v>186589.27138002121</v>
      </c>
      <c r="AC33" s="15"/>
      <c r="AD33" s="397">
        <f ca="1">SUM(Start:End!AD33)</f>
        <v>473434.10974443197</v>
      </c>
      <c r="AE33" s="397">
        <f ca="1">SUM(Start:End!AE33)</f>
        <v>16735.227838628551</v>
      </c>
      <c r="AF33" s="397">
        <f ca="1">SUM(Start:End!AF33)</f>
        <v>456698.88190580346</v>
      </c>
      <c r="AG33" s="15"/>
      <c r="AH33" s="273">
        <f t="shared" si="11"/>
        <v>43100</v>
      </c>
      <c r="AI33" s="267"/>
      <c r="AJ33" s="267"/>
      <c r="AK33" s="397">
        <f ca="1">SUM(Start:End!AK33)</f>
        <v>322000.66562565154</v>
      </c>
      <c r="AL33" s="233"/>
    </row>
    <row r="34" spans="2:38" x14ac:dyDescent="0.3">
      <c r="B34" s="232"/>
      <c r="C34" s="250">
        <f t="shared" si="6"/>
        <v>2018</v>
      </c>
      <c r="D34" s="397">
        <f ca="1">SUM(Start:End!D34)</f>
        <v>120687.70758970693</v>
      </c>
      <c r="E34" s="397">
        <f ca="1">SUM(Start:End!E34)</f>
        <v>1539.1978066313577</v>
      </c>
      <c r="F34" s="397">
        <f ca="1">SUM(Start:End!F34)</f>
        <v>0</v>
      </c>
      <c r="G34" s="397">
        <f ca="1">SUM(Start:End!G34)</f>
        <v>129922.89442949506</v>
      </c>
      <c r="H34" s="15"/>
      <c r="I34" s="271">
        <f ca="1">Assumptions!O$68</f>
        <v>4.5</v>
      </c>
      <c r="J34" s="271">
        <f ca="1">Assumptions!P$68</f>
        <v>80</v>
      </c>
      <c r="K34" s="271">
        <f t="shared" ca="1" si="0"/>
        <v>40</v>
      </c>
      <c r="L34" s="15"/>
      <c r="M34" s="35">
        <f t="shared" ca="1" si="7"/>
        <v>4.2299999999999995</v>
      </c>
      <c r="N34" s="35">
        <f t="shared" ca="1" si="8"/>
        <v>68.577418593592398</v>
      </c>
      <c r="O34" s="35" t="str">
        <f t="shared" ca="1" si="9"/>
        <v>N/A</v>
      </c>
      <c r="P34" s="15"/>
      <c r="Q34" s="397">
        <f ca="1">SUM(Start:End!Q34)</f>
        <v>510509.00310446025</v>
      </c>
      <c r="R34" s="397">
        <f ca="1">SUM(Start:End!R34)</f>
        <v>105554.21228369791</v>
      </c>
      <c r="S34" s="397">
        <f ca="1">SUM(Start:End!S34)</f>
        <v>0</v>
      </c>
      <c r="T34" s="397">
        <f ca="1">SUM(Start:End!T34)</f>
        <v>616063.21538815822</v>
      </c>
      <c r="U34" s="15"/>
      <c r="V34" s="35">
        <f t="shared" ca="1" si="4"/>
        <v>0.33142968152065572</v>
      </c>
      <c r="W34" s="397">
        <f ca="1">SUM(Start:End!W34)</f>
        <v>43060.303523009323</v>
      </c>
      <c r="X34" s="35">
        <f t="shared" ca="1" si="4"/>
        <v>0.36598419586585351</v>
      </c>
      <c r="Y34" s="397">
        <f ca="1">SUM(Start:End!Y34)</f>
        <v>47549.726042342932</v>
      </c>
      <c r="Z34" s="35">
        <f t="shared" ref="Z34" ca="1" si="14">+IFERROR(AA34/$G34,"N/A")</f>
        <v>0.57370495568160818</v>
      </c>
      <c r="AA34" s="397">
        <f ca="1">SUM(Start:End!AA34)</f>
        <v>74537.408390699726</v>
      </c>
      <c r="AB34" s="397">
        <f ca="1">SUM(Start:End!AB34)</f>
        <v>165147.43795605196</v>
      </c>
      <c r="AC34" s="15"/>
      <c r="AD34" s="397">
        <f ca="1">SUM(Start:End!AD34)</f>
        <v>450915.7774321062</v>
      </c>
      <c r="AE34" s="397">
        <f ca="1">SUM(Start:End!AE34)</f>
        <v>14817.828246709869</v>
      </c>
      <c r="AF34" s="397">
        <f ca="1">SUM(Start:End!AF34)</f>
        <v>436097.94918539631</v>
      </c>
      <c r="AG34" s="15"/>
      <c r="AH34" s="273">
        <f t="shared" si="11"/>
        <v>43465</v>
      </c>
      <c r="AI34" s="267"/>
      <c r="AJ34" s="267"/>
      <c r="AK34" s="397">
        <f ca="1">SUM(Start:End!AK34)</f>
        <v>279523.40645844216</v>
      </c>
      <c r="AL34" s="233"/>
    </row>
    <row r="35" spans="2:38" x14ac:dyDescent="0.3">
      <c r="B35" s="232"/>
      <c r="C35" s="250">
        <f t="shared" si="6"/>
        <v>2019</v>
      </c>
      <c r="D35" s="397">
        <f ca="1">SUM(Start:End!D35)</f>
        <v>106729.82882398884</v>
      </c>
      <c r="E35" s="397">
        <f ca="1">SUM(Start:End!E35)</f>
        <v>1374.6064785979324</v>
      </c>
      <c r="F35" s="397">
        <f ca="1">SUM(Start:End!F35)</f>
        <v>0</v>
      </c>
      <c r="G35" s="397">
        <f ca="1">SUM(Start:End!G35)</f>
        <v>114977.46769557643</v>
      </c>
      <c r="H35" s="15"/>
      <c r="I35" s="271">
        <f ca="1">Assumptions!O$68</f>
        <v>4.5</v>
      </c>
      <c r="J35" s="271">
        <f ca="1">Assumptions!P$68</f>
        <v>80</v>
      </c>
      <c r="K35" s="271">
        <f t="shared" ca="1" si="0"/>
        <v>40</v>
      </c>
      <c r="L35" s="15"/>
      <c r="M35" s="35">
        <f t="shared" ca="1" si="7"/>
        <v>4.2299999999999995</v>
      </c>
      <c r="N35" s="35">
        <f t="shared" ca="1" si="8"/>
        <v>68.532725858895688</v>
      </c>
      <c r="O35" s="35" t="str">
        <f t="shared" ca="1" si="9"/>
        <v>N/A</v>
      </c>
      <c r="P35" s="15"/>
      <c r="Q35" s="397">
        <f ca="1">SUM(Start:End!Q35)</f>
        <v>451467.17592547275</v>
      </c>
      <c r="R35" s="397">
        <f ca="1">SUM(Start:End!R35)</f>
        <v>94205.528961614065</v>
      </c>
      <c r="S35" s="397">
        <f ca="1">SUM(Start:End!S35)</f>
        <v>0</v>
      </c>
      <c r="T35" s="397">
        <f ca="1">SUM(Start:End!T35)</f>
        <v>545672.70488708676</v>
      </c>
      <c r="U35" s="15"/>
      <c r="V35" s="35">
        <f t="shared" ca="1" si="4"/>
        <v>0.33179181616955206</v>
      </c>
      <c r="W35" s="397">
        <f ca="1">SUM(Start:End!W35)</f>
        <v>38148.582825291305</v>
      </c>
      <c r="X35" s="35">
        <f t="shared" ca="1" si="4"/>
        <v>0.36591633382979133</v>
      </c>
      <c r="Y35" s="397">
        <f ca="1">SUM(Start:End!Y35)</f>
        <v>42072.133452198592</v>
      </c>
      <c r="Z35" s="35">
        <f t="shared" ref="Z35" ca="1" si="15">+IFERROR(AA35/$G35,"N/A")</f>
        <v>0.5735985773548079</v>
      </c>
      <c r="AA35" s="397">
        <f ca="1">SUM(Start:End!AA35)</f>
        <v>65950.911898041028</v>
      </c>
      <c r="AB35" s="397">
        <f ca="1">SUM(Start:End!AB35)</f>
        <v>146171.6281755309</v>
      </c>
      <c r="AC35" s="15"/>
      <c r="AD35" s="397">
        <f ca="1">SUM(Start:End!AD35)</f>
        <v>399501.07671155588</v>
      </c>
      <c r="AE35" s="397">
        <f ca="1">SUM(Start:End!AE35)</f>
        <v>13120.372250714967</v>
      </c>
      <c r="AF35" s="397">
        <f ca="1">SUM(Start:End!AF35)</f>
        <v>386380.70446084091</v>
      </c>
      <c r="AG35" s="15"/>
      <c r="AH35" s="273">
        <f t="shared" si="11"/>
        <v>43830</v>
      </c>
      <c r="AI35" s="267"/>
      <c r="AJ35" s="267"/>
      <c r="AK35" s="397">
        <f ca="1">SUM(Start:End!AK35)</f>
        <v>225142.18715073838</v>
      </c>
      <c r="AL35" s="233"/>
    </row>
    <row r="36" spans="2:38" x14ac:dyDescent="0.3">
      <c r="B36" s="232"/>
      <c r="C36" s="250">
        <f t="shared" si="6"/>
        <v>2020</v>
      </c>
      <c r="D36" s="397">
        <f ca="1">SUM(Start:End!D36)</f>
        <v>94644.811062005596</v>
      </c>
      <c r="E36" s="397">
        <f ca="1">SUM(Start:End!E36)</f>
        <v>1229.1589865823692</v>
      </c>
      <c r="F36" s="397">
        <f ca="1">SUM(Start:End!F36)</f>
        <v>0</v>
      </c>
      <c r="G36" s="397">
        <f ca="1">SUM(Start:End!G36)</f>
        <v>102019.76498149981</v>
      </c>
      <c r="H36" s="15"/>
      <c r="I36" s="271">
        <f ca="1">Assumptions!O$68</f>
        <v>4.5</v>
      </c>
      <c r="J36" s="271">
        <f ca="1">Assumptions!P$68</f>
        <v>80</v>
      </c>
      <c r="K36" s="271">
        <f t="shared" ca="1" si="0"/>
        <v>40</v>
      </c>
      <c r="L36" s="15"/>
      <c r="M36" s="35">
        <f t="shared" ca="1" si="7"/>
        <v>4.2299999999999995</v>
      </c>
      <c r="N36" s="35">
        <f t="shared" ca="1" si="8"/>
        <v>68.49511466949491</v>
      </c>
      <c r="O36" s="35" t="str">
        <f t="shared" ca="1" si="9"/>
        <v>N/A</v>
      </c>
      <c r="P36" s="15"/>
      <c r="Q36" s="397">
        <f ca="1">SUM(Start:End!Q36)</f>
        <v>400347.55079228361</v>
      </c>
      <c r="R36" s="397">
        <f ca="1">SUM(Start:End!R36)</f>
        <v>84191.385732999537</v>
      </c>
      <c r="S36" s="397">
        <f ca="1">SUM(Start:End!S36)</f>
        <v>0</v>
      </c>
      <c r="T36" s="397">
        <f ca="1">SUM(Start:End!T36)</f>
        <v>484538.93652528315</v>
      </c>
      <c r="U36" s="15"/>
      <c r="V36" s="35">
        <f t="shared" ca="1" si="4"/>
        <v>0.3321017473079434</v>
      </c>
      <c r="W36" s="397">
        <f ca="1">SUM(Start:End!W36)</f>
        <v>33880.942210301822</v>
      </c>
      <c r="X36" s="35">
        <f t="shared" ca="1" si="4"/>
        <v>0.36585825444370002</v>
      </c>
      <c r="Y36" s="397">
        <f ca="1">SUM(Start:End!Y36)</f>
        <v>37324.773134888033</v>
      </c>
      <c r="Z36" s="35">
        <f t="shared" ref="Z36" ca="1" si="16">+IFERROR(AA36/$G36,"N/A")</f>
        <v>0.57350753399282695</v>
      </c>
      <c r="AA36" s="397">
        <f ca="1">SUM(Start:End!AA36)</f>
        <v>58509.103833067718</v>
      </c>
      <c r="AB36" s="397">
        <f ca="1">SUM(Start:End!AB36)</f>
        <v>129714.81917825757</v>
      </c>
      <c r="AC36" s="15"/>
      <c r="AD36" s="397">
        <f ca="1">SUM(Start:End!AD36)</f>
        <v>354824.11734702555</v>
      </c>
      <c r="AE36" s="397">
        <f ca="1">SUM(Start:End!AE36)</f>
        <v>11647.115248002494</v>
      </c>
      <c r="AF36" s="397">
        <f ca="1">SUM(Start:End!AF36)</f>
        <v>343177.00209902308</v>
      </c>
      <c r="AG36" s="15"/>
      <c r="AH36" s="273">
        <f t="shared" si="11"/>
        <v>44196</v>
      </c>
      <c r="AI36" s="267"/>
      <c r="AJ36" s="267"/>
      <c r="AK36" s="397">
        <f ca="1">SUM(Start:End!AK36)</f>
        <v>181788.72415536831</v>
      </c>
      <c r="AL36" s="233"/>
    </row>
    <row r="37" spans="2:38" x14ac:dyDescent="0.3">
      <c r="B37" s="232"/>
      <c r="C37" s="250">
        <f t="shared" si="6"/>
        <v>2021</v>
      </c>
      <c r="D37" s="397">
        <f ca="1">SUM(Start:End!D37)</f>
        <v>83470.182377865014</v>
      </c>
      <c r="E37" s="397">
        <f ca="1">SUM(Start:End!E37)</f>
        <v>1096.5889169142777</v>
      </c>
      <c r="F37" s="397">
        <f ca="1">SUM(Start:End!F37)</f>
        <v>0</v>
      </c>
      <c r="G37" s="397">
        <f ca="1">SUM(Start:End!G37)</f>
        <v>90049.715879350682</v>
      </c>
      <c r="H37" s="15"/>
      <c r="I37" s="271">
        <f ca="1">Assumptions!O$68</f>
        <v>4.5</v>
      </c>
      <c r="J37" s="271">
        <f ca="1">Assumptions!P$68</f>
        <v>80</v>
      </c>
      <c r="K37" s="271">
        <f t="shared" ca="1" si="0"/>
        <v>40</v>
      </c>
      <c r="L37" s="15"/>
      <c r="M37" s="35">
        <f t="shared" ca="1" si="7"/>
        <v>4.2299999999999995</v>
      </c>
      <c r="N37" s="35">
        <f t="shared" ca="1" si="8"/>
        <v>68.44364685344361</v>
      </c>
      <c r="O37" s="35" t="str">
        <f t="shared" ca="1" si="9"/>
        <v>N/A</v>
      </c>
      <c r="P37" s="15"/>
      <c r="Q37" s="397">
        <f ca="1">SUM(Start:End!Q37)</f>
        <v>353078.87145836896</v>
      </c>
      <c r="R37" s="397">
        <f ca="1">SUM(Start:End!R37)</f>
        <v>75054.544572681043</v>
      </c>
      <c r="S37" s="397">
        <f ca="1">SUM(Start:End!S37)</f>
        <v>0</v>
      </c>
      <c r="T37" s="397">
        <f ca="1">SUM(Start:End!T37)</f>
        <v>428133.41603104997</v>
      </c>
      <c r="U37" s="15"/>
      <c r="V37" s="35">
        <f t="shared" ca="1" si="4"/>
        <v>0.33253374332450958</v>
      </c>
      <c r="W37" s="397">
        <f ca="1">SUM(Start:End!W37)</f>
        <v>29944.569106669016</v>
      </c>
      <c r="X37" s="35">
        <f t="shared" ca="1" si="4"/>
        <v>0.36577730077261578</v>
      </c>
      <c r="Y37" s="397">
        <f ca="1">SUM(Start:End!Y37)</f>
        <v>32938.142009689851</v>
      </c>
      <c r="Z37" s="35">
        <f t="shared" ref="Z37" ca="1" si="17">+IFERROR(AA37/$G37,"N/A")</f>
        <v>0.57338063364355984</v>
      </c>
      <c r="AA37" s="397">
        <f ca="1">SUM(Start:End!AA37)</f>
        <v>51632.76315032463</v>
      </c>
      <c r="AB37" s="397">
        <f ca="1">SUM(Start:End!AB37)</f>
        <v>114515.47426668351</v>
      </c>
      <c r="AC37" s="15"/>
      <c r="AD37" s="397">
        <f ca="1">SUM(Start:End!AD37)</f>
        <v>313617.94176436646</v>
      </c>
      <c r="AE37" s="397">
        <f ca="1">SUM(Start:End!AE37)</f>
        <v>10287.169663516544</v>
      </c>
      <c r="AF37" s="397">
        <f ca="1">SUM(Start:End!AF37)</f>
        <v>303330.77210084995</v>
      </c>
      <c r="AG37" s="15"/>
      <c r="AH37" s="273">
        <f t="shared" si="11"/>
        <v>44561</v>
      </c>
      <c r="AI37" s="267"/>
      <c r="AJ37" s="267"/>
      <c r="AK37" s="397">
        <f ca="1">SUM(Start:End!AK37)</f>
        <v>146073.8752623616</v>
      </c>
      <c r="AL37" s="233"/>
    </row>
    <row r="38" spans="2:38" x14ac:dyDescent="0.3">
      <c r="B38" s="232"/>
      <c r="C38" s="250">
        <f t="shared" si="6"/>
        <v>2022</v>
      </c>
      <c r="D38" s="397">
        <f ca="1">SUM(Start:End!D38)</f>
        <v>73816.616911666846</v>
      </c>
      <c r="E38" s="397">
        <f ca="1">SUM(Start:End!E38)</f>
        <v>979.54684959175802</v>
      </c>
      <c r="F38" s="397">
        <f ca="1">SUM(Start:End!F38)</f>
        <v>0</v>
      </c>
      <c r="G38" s="397">
        <f ca="1">SUM(Start:End!G38)</f>
        <v>79693.898009217388</v>
      </c>
      <c r="H38" s="15"/>
      <c r="I38" s="271">
        <f ca="1">Assumptions!O$68</f>
        <v>4.5</v>
      </c>
      <c r="J38" s="271">
        <f ca="1">Assumptions!P$68</f>
        <v>80</v>
      </c>
      <c r="K38" s="271">
        <f t="shared" ca="1" si="0"/>
        <v>40</v>
      </c>
      <c r="L38" s="15"/>
      <c r="M38" s="35">
        <f t="shared" ca="1" si="7"/>
        <v>4.2299999999999995</v>
      </c>
      <c r="N38" s="35">
        <f t="shared" ca="1" si="8"/>
        <v>68.399273393076669</v>
      </c>
      <c r="O38" s="35" t="str">
        <f t="shared" ca="1" si="9"/>
        <v>N/A</v>
      </c>
      <c r="P38" s="15"/>
      <c r="Q38" s="397">
        <f ca="1">SUM(Start:End!Q38)</f>
        <v>312244.2895363507</v>
      </c>
      <c r="R38" s="397">
        <f ca="1">SUM(Start:End!R38)</f>
        <v>67000.292766553612</v>
      </c>
      <c r="S38" s="397">
        <f ca="1">SUM(Start:End!S38)</f>
        <v>0</v>
      </c>
      <c r="T38" s="397">
        <f ca="1">SUM(Start:End!T38)</f>
        <v>379244.58230290428</v>
      </c>
      <c r="U38" s="15"/>
      <c r="V38" s="35">
        <f t="shared" ca="1" si="4"/>
        <v>0.33291370841744805</v>
      </c>
      <c r="W38" s="397">
        <f ca="1">SUM(Start:End!W38)</f>
        <v>26531.19112449044</v>
      </c>
      <c r="X38" s="35">
        <f t="shared" ca="1" si="4"/>
        <v>0.36570609740967353</v>
      </c>
      <c r="Y38" s="397">
        <f ca="1">SUM(Start:End!Y38)</f>
        <v>29144.544428315439</v>
      </c>
      <c r="Z38" s="35">
        <f t="shared" ref="Z38" ca="1" si="18">+IFERROR(AA38/$G38,"N/A")</f>
        <v>0.57326901756110971</v>
      </c>
      <c r="AA38" s="397">
        <f ca="1">SUM(Start:End!AA38)</f>
        <v>45686.04261735933</v>
      </c>
      <c r="AB38" s="397">
        <f ca="1">SUM(Start:End!AB38)</f>
        <v>101361.77817016521</v>
      </c>
      <c r="AC38" s="15"/>
      <c r="AD38" s="397">
        <f ca="1">SUM(Start:End!AD38)</f>
        <v>277882.80413273908</v>
      </c>
      <c r="AE38" s="397">
        <f ca="1">SUM(Start:End!AE38)</f>
        <v>9109.2855117510662</v>
      </c>
      <c r="AF38" s="397">
        <f ca="1">SUM(Start:End!AF38)</f>
        <v>268773.518620988</v>
      </c>
      <c r="AG38" s="15"/>
      <c r="AH38" s="273">
        <f t="shared" si="11"/>
        <v>44926</v>
      </c>
      <c r="AI38" s="267"/>
      <c r="AJ38" s="267"/>
      <c r="AK38" s="397">
        <f ca="1">SUM(Start:End!AK38)</f>
        <v>117665.69711986346</v>
      </c>
      <c r="AL38" s="233"/>
    </row>
    <row r="39" spans="2:38" x14ac:dyDescent="0.3">
      <c r="B39" s="232"/>
      <c r="C39" s="250">
        <f t="shared" si="6"/>
        <v>2023</v>
      </c>
      <c r="D39" s="397">
        <f ca="1">SUM(Start:End!D39)</f>
        <v>65279.513918119104</v>
      </c>
      <c r="E39" s="397">
        <f ca="1">SUM(Start:End!E39)</f>
        <v>875.06210926103665</v>
      </c>
      <c r="F39" s="397">
        <f ca="1">SUM(Start:End!F39)</f>
        <v>0</v>
      </c>
      <c r="G39" s="397">
        <f ca="1">SUM(Start:End!G39)</f>
        <v>70529.886573685319</v>
      </c>
      <c r="H39" s="15"/>
      <c r="I39" s="271">
        <f ca="1">Assumptions!O$68</f>
        <v>4.5</v>
      </c>
      <c r="J39" s="271">
        <f ca="1">Assumptions!P$68</f>
        <v>80</v>
      </c>
      <c r="K39" s="271">
        <f t="shared" ca="1" si="0"/>
        <v>40</v>
      </c>
      <c r="L39" s="15"/>
      <c r="M39" s="35">
        <f t="shared" ca="1" si="7"/>
        <v>4.2299999999999995</v>
      </c>
      <c r="N39" s="35">
        <f t="shared" ca="1" si="8"/>
        <v>68.355019059260584</v>
      </c>
      <c r="O39" s="35" t="str">
        <f t="shared" ca="1" si="9"/>
        <v>N/A</v>
      </c>
      <c r="P39" s="15"/>
      <c r="Q39" s="397">
        <f ca="1">SUM(Start:End!Q39)</f>
        <v>276132.34387364378</v>
      </c>
      <c r="R39" s="397">
        <f ca="1">SUM(Start:End!R39)</f>
        <v>59814.887156574929</v>
      </c>
      <c r="S39" s="397">
        <f ca="1">SUM(Start:End!S39)</f>
        <v>0</v>
      </c>
      <c r="T39" s="397">
        <f ca="1">SUM(Start:End!T39)</f>
        <v>335947.23103021871</v>
      </c>
      <c r="U39" s="15"/>
      <c r="V39" s="35">
        <f t="shared" ca="1" si="4"/>
        <v>0.33329979116783842</v>
      </c>
      <c r="W39" s="397">
        <f ca="1">SUM(Start:End!W39)</f>
        <v>23507.596466100647</v>
      </c>
      <c r="X39" s="35">
        <f t="shared" ca="1" si="4"/>
        <v>0.36563374763146306</v>
      </c>
      <c r="Y39" s="397">
        <f ca="1">SUM(Start:End!Y39)</f>
        <v>25788.106747958573</v>
      </c>
      <c r="Z39" s="35">
        <f t="shared" ref="Z39" ca="1" si="19">+IFERROR(AA39/$G39,"N/A")</f>
        <v>0.57315560439526636</v>
      </c>
      <c r="AA39" s="397">
        <f ca="1">SUM(Start:End!AA39)</f>
        <v>40424.599767070191</v>
      </c>
      <c r="AB39" s="397">
        <f ca="1">SUM(Start:End!AB39)</f>
        <v>89720.302981129411</v>
      </c>
      <c r="AC39" s="15"/>
      <c r="AD39" s="397">
        <f ca="1">SUM(Start:End!AD39)</f>
        <v>246226.9280490893</v>
      </c>
      <c r="AE39" s="397">
        <f ca="1">SUM(Start:End!AE39)</f>
        <v>8066.4404596086451</v>
      </c>
      <c r="AF39" s="397">
        <f ca="1">SUM(Start:End!AF39)</f>
        <v>238160.48758948065</v>
      </c>
      <c r="AG39" s="15"/>
      <c r="AH39" s="273">
        <f t="shared" si="11"/>
        <v>45291</v>
      </c>
      <c r="AI39" s="267"/>
      <c r="AJ39" s="267"/>
      <c r="AK39" s="397">
        <f ca="1">SUM(Start:End!AK39)</f>
        <v>94785.176018028826</v>
      </c>
      <c r="AL39" s="233"/>
    </row>
    <row r="40" spans="2:38" x14ac:dyDescent="0.3">
      <c r="B40" s="232"/>
      <c r="C40" s="250">
        <f t="shared" si="6"/>
        <v>2024</v>
      </c>
      <c r="D40" s="397">
        <f ca="1">SUM(Start:End!D40)</f>
        <v>57887.915019416614</v>
      </c>
      <c r="E40" s="397">
        <f ca="1">SUM(Start:End!E40)</f>
        <v>782.66819519404305</v>
      </c>
      <c r="F40" s="397">
        <f ca="1">SUM(Start:End!F40)</f>
        <v>0</v>
      </c>
      <c r="G40" s="397">
        <f ca="1">SUM(Start:End!G40)</f>
        <v>62583.924190580874</v>
      </c>
      <c r="H40" s="15"/>
      <c r="I40" s="271">
        <f ca="1">Assumptions!O$68</f>
        <v>4.5</v>
      </c>
      <c r="J40" s="271">
        <f ca="1">Assumptions!P$68</f>
        <v>80</v>
      </c>
      <c r="K40" s="271">
        <f t="shared" ca="1" si="0"/>
        <v>40</v>
      </c>
      <c r="L40" s="15"/>
      <c r="M40" s="35">
        <f t="shared" ca="1" si="7"/>
        <v>4.2299999999999995</v>
      </c>
      <c r="N40" s="35">
        <f t="shared" ca="1" si="8"/>
        <v>68.317797282795027</v>
      </c>
      <c r="O40" s="35" t="str">
        <f t="shared" ca="1" si="9"/>
        <v>N/A</v>
      </c>
      <c r="P40" s="15"/>
      <c r="Q40" s="397">
        <f ca="1">SUM(Start:End!Q40)</f>
        <v>244865.88053213226</v>
      </c>
      <c r="R40" s="397">
        <f ca="1">SUM(Start:End!R40)</f>
        <v>53470.167098957681</v>
      </c>
      <c r="S40" s="397">
        <f ca="1">SUM(Start:End!S40)</f>
        <v>0</v>
      </c>
      <c r="T40" s="397">
        <f ca="1">SUM(Start:End!T40)</f>
        <v>298336.04763108998</v>
      </c>
      <c r="U40" s="15"/>
      <c r="V40" s="35">
        <f t="shared" ca="1" si="4"/>
        <v>0.33363018843004549</v>
      </c>
      <c r="W40" s="397">
        <f ca="1">SUM(Start:End!W40)</f>
        <v>20879.886420395178</v>
      </c>
      <c r="X40" s="35">
        <f t="shared" ca="1" si="4"/>
        <v>0.36557183300663754</v>
      </c>
      <c r="Y40" s="397">
        <f ca="1">SUM(Start:End!Y40)</f>
        <v>22878.919883099094</v>
      </c>
      <c r="Z40" s="35">
        <f t="shared" ref="Z40" ca="1" si="20">+IFERROR(AA40/$G40,"N/A")</f>
        <v>0.5730585490374317</v>
      </c>
      <c r="AA40" s="397">
        <f ca="1">SUM(Start:End!AA40)</f>
        <v>35864.252789722901</v>
      </c>
      <c r="AB40" s="397">
        <f ca="1">SUM(Start:End!AB40)</f>
        <v>79623.059093217176</v>
      </c>
      <c r="AC40" s="15"/>
      <c r="AD40" s="397">
        <f ca="1">SUM(Start:End!AD40)</f>
        <v>218712.98853787279</v>
      </c>
      <c r="AE40" s="397">
        <f ca="1">SUM(Start:End!AE40)</f>
        <v>7161.185781508033</v>
      </c>
      <c r="AF40" s="397">
        <f ca="1">SUM(Start:End!AF40)</f>
        <v>211551.80275636475</v>
      </c>
      <c r="AG40" s="15"/>
      <c r="AH40" s="273">
        <f t="shared" si="11"/>
        <v>45657</v>
      </c>
      <c r="AI40" s="267"/>
      <c r="AJ40" s="267"/>
      <c r="AK40" s="397">
        <f ca="1">SUM(Start:End!AK40)</f>
        <v>76541.109905065037</v>
      </c>
      <c r="AL40" s="233"/>
    </row>
    <row r="41" spans="2:38" x14ac:dyDescent="0.3">
      <c r="B41" s="232"/>
      <c r="C41" s="250">
        <f t="shared" si="6"/>
        <v>2025</v>
      </c>
      <c r="D41" s="397">
        <f ca="1">SUM(Start:End!D41)</f>
        <v>51053.14036687628</v>
      </c>
      <c r="E41" s="397">
        <f ca="1">SUM(Start:End!E41)</f>
        <v>698.49414852777738</v>
      </c>
      <c r="F41" s="397">
        <f ca="1">SUM(Start:End!F41)</f>
        <v>0</v>
      </c>
      <c r="G41" s="397">
        <f ca="1">SUM(Start:End!G41)</f>
        <v>55244.105258042946</v>
      </c>
      <c r="H41" s="15"/>
      <c r="I41" s="271">
        <f ca="1">Assumptions!O$68</f>
        <v>4.5</v>
      </c>
      <c r="J41" s="271">
        <f ca="1">Assumptions!P$68</f>
        <v>80</v>
      </c>
      <c r="K41" s="271">
        <f t="shared" ca="1" si="0"/>
        <v>40</v>
      </c>
      <c r="L41" s="15"/>
      <c r="M41" s="35">
        <f t="shared" ca="1" si="7"/>
        <v>4.2299999999999995</v>
      </c>
      <c r="N41" s="35">
        <f t="shared" ca="1" si="8"/>
        <v>68.266892646164308</v>
      </c>
      <c r="O41" s="35" t="str">
        <f t="shared" ca="1" si="9"/>
        <v>N/A</v>
      </c>
      <c r="P41" s="15"/>
      <c r="Q41" s="397">
        <f ca="1">SUM(Start:End!Q41)</f>
        <v>215954.78375188663</v>
      </c>
      <c r="R41" s="397">
        <f ca="1">SUM(Start:End!R41)</f>
        <v>47684.025051519726</v>
      </c>
      <c r="S41" s="397">
        <f ca="1">SUM(Start:End!S41)</f>
        <v>0</v>
      </c>
      <c r="T41" s="397">
        <f ca="1">SUM(Start:End!T41)</f>
        <v>263638.80880340637</v>
      </c>
      <c r="U41" s="15"/>
      <c r="V41" s="35">
        <f t="shared" ca="1" si="4"/>
        <v>0.33409066529933928</v>
      </c>
      <c r="W41" s="397">
        <f ca="1">SUM(Start:End!W41)</f>
        <v>18456.539879526295</v>
      </c>
      <c r="X41" s="35">
        <f t="shared" ca="1" si="4"/>
        <v>0.36548554218082163</v>
      </c>
      <c r="Y41" s="397">
        <f ca="1">SUM(Start:End!Y41)</f>
        <v>20190.921762530204</v>
      </c>
      <c r="Z41" s="35">
        <f t="shared" ref="Z41" ca="1" si="21">+IFERROR(AA41/$G41,"N/A")</f>
        <v>0.57292328233750411</v>
      </c>
      <c r="AA41" s="397">
        <f ca="1">SUM(Start:End!AA41)</f>
        <v>31650.634114236535</v>
      </c>
      <c r="AB41" s="397">
        <f ca="1">SUM(Start:End!AB41)</f>
        <v>70298.095756293027</v>
      </c>
      <c r="AC41" s="15"/>
      <c r="AD41" s="397">
        <f ca="1">SUM(Start:End!AD41)</f>
        <v>193340.71304711333</v>
      </c>
      <c r="AE41" s="397">
        <f ca="1">SUM(Start:End!AE41)</f>
        <v>6325.6526302906386</v>
      </c>
      <c r="AF41" s="397">
        <f ca="1">SUM(Start:End!AF41)</f>
        <v>187015.0604168227</v>
      </c>
      <c r="AG41" s="15"/>
      <c r="AH41" s="273">
        <f t="shared" si="11"/>
        <v>46022</v>
      </c>
      <c r="AI41" s="267"/>
      <c r="AJ41" s="267"/>
      <c r="AK41" s="397">
        <f ca="1">SUM(Start:End!AK41)</f>
        <v>61512.293729913268</v>
      </c>
      <c r="AL41" s="233"/>
    </row>
    <row r="42" spans="2:38" x14ac:dyDescent="0.3">
      <c r="B42" s="232"/>
      <c r="C42" s="250">
        <f t="shared" si="6"/>
        <v>2026</v>
      </c>
      <c r="D42" s="397">
        <f ca="1">SUM(Start:End!D42)</f>
        <v>45148.6985800408</v>
      </c>
      <c r="E42" s="397">
        <f ca="1">SUM(Start:End!E42)</f>
        <v>624.12676453943436</v>
      </c>
      <c r="F42" s="397">
        <f ca="1">SUM(Start:End!F42)</f>
        <v>0</v>
      </c>
      <c r="G42" s="397">
        <f ca="1">SUM(Start:End!G42)</f>
        <v>48893.459167277404</v>
      </c>
      <c r="H42" s="15"/>
      <c r="I42" s="271">
        <f ca="1">Assumptions!O$68</f>
        <v>4.5</v>
      </c>
      <c r="J42" s="271">
        <f ca="1">Assumptions!P$68</f>
        <v>80</v>
      </c>
      <c r="K42" s="271">
        <f t="shared" ca="1" si="0"/>
        <v>40</v>
      </c>
      <c r="L42" s="15"/>
      <c r="M42" s="35">
        <f t="shared" ca="1" si="7"/>
        <v>4.2299999999999995</v>
      </c>
      <c r="N42" s="35">
        <f t="shared" ca="1" si="8"/>
        <v>68.223032817607134</v>
      </c>
      <c r="O42" s="35" t="str">
        <f t="shared" ca="1" si="9"/>
        <v>N/A</v>
      </c>
      <c r="P42" s="15"/>
      <c r="Q42" s="397">
        <f ca="1">SUM(Start:End!Q42)</f>
        <v>190978.99499357256</v>
      </c>
      <c r="R42" s="397">
        <f ca="1">SUM(Start:End!R42)</f>
        <v>42579.820739520786</v>
      </c>
      <c r="S42" s="397">
        <f ca="1">SUM(Start:End!S42)</f>
        <v>0</v>
      </c>
      <c r="T42" s="397">
        <f ca="1">SUM(Start:End!T42)</f>
        <v>233558.81573309336</v>
      </c>
      <c r="U42" s="15"/>
      <c r="V42" s="35">
        <f t="shared" ca="1" si="4"/>
        <v>0.33449563688765038</v>
      </c>
      <c r="W42" s="397">
        <f ca="1">SUM(Start:End!W42)</f>
        <v>16354.648763798783</v>
      </c>
      <c r="X42" s="35">
        <f t="shared" ca="1" si="4"/>
        <v>0.36540965273855514</v>
      </c>
      <c r="Y42" s="397">
        <f ca="1">SUM(Start:End!Y42)</f>
        <v>17866.141935501561</v>
      </c>
      <c r="Z42" s="35">
        <f t="shared" ref="Z42" ca="1" si="22">+IFERROR(AA42/$G42,"N/A")</f>
        <v>0.57280432050908636</v>
      </c>
      <c r="AA42" s="397">
        <f ca="1">SUM(Start:End!AA42)</f>
        <v>28006.384655651094</v>
      </c>
      <c r="AB42" s="397">
        <f ca="1">SUM(Start:End!AB42)</f>
        <v>62227.175354951447</v>
      </c>
      <c r="AC42" s="15"/>
      <c r="AD42" s="397">
        <f ca="1">SUM(Start:End!AD42)</f>
        <v>171331.64037814192</v>
      </c>
      <c r="AE42" s="397">
        <f ca="1">SUM(Start:End!AE42)</f>
        <v>5601.8491199734808</v>
      </c>
      <c r="AF42" s="397">
        <f ca="1">SUM(Start:End!AF42)</f>
        <v>165729.79125816844</v>
      </c>
      <c r="AG42" s="15"/>
      <c r="AH42" s="273">
        <f t="shared" si="11"/>
        <v>46387</v>
      </c>
      <c r="AI42" s="267"/>
      <c r="AJ42" s="267"/>
      <c r="AK42" s="397">
        <f ca="1">SUM(Start:End!AK42)</f>
        <v>49555.656966139293</v>
      </c>
      <c r="AL42" s="233"/>
    </row>
    <row r="43" spans="2:38" x14ac:dyDescent="0.3">
      <c r="B43" s="232"/>
      <c r="C43" s="250">
        <f t="shared" si="6"/>
        <v>2027</v>
      </c>
      <c r="D43" s="397">
        <f ca="1">SUM(Start:End!D43)</f>
        <v>39927.122383129892</v>
      </c>
      <c r="E43" s="397">
        <f ca="1">SUM(Start:End!E43)</f>
        <v>328.87710960551254</v>
      </c>
      <c r="F43" s="397">
        <f ca="1">SUM(Start:End!F43)</f>
        <v>0</v>
      </c>
      <c r="G43" s="397">
        <f ca="1">SUM(Start:End!G43)</f>
        <v>41900.385040762965</v>
      </c>
      <c r="H43" s="15"/>
      <c r="I43" s="271">
        <f ca="1">Assumptions!O$68</f>
        <v>4.5</v>
      </c>
      <c r="J43" s="271">
        <f ca="1">Assumptions!P$68</f>
        <v>80</v>
      </c>
      <c r="K43" s="271">
        <f t="shared" ca="1" si="0"/>
        <v>40</v>
      </c>
      <c r="L43" s="15"/>
      <c r="M43" s="35">
        <f t="shared" ca="1" si="7"/>
        <v>4.2299999999999995</v>
      </c>
      <c r="N43" s="35">
        <f t="shared" ca="1" si="8"/>
        <v>71.087390973601273</v>
      </c>
      <c r="O43" s="35" t="str">
        <f t="shared" ca="1" si="9"/>
        <v>N/A</v>
      </c>
      <c r="P43" s="15"/>
      <c r="Q43" s="397">
        <f ca="1">SUM(Start:End!Q43)</f>
        <v>168891.72768063942</v>
      </c>
      <c r="R43" s="397">
        <f ca="1">SUM(Start:End!R43)</f>
        <v>23379.015672794987</v>
      </c>
      <c r="S43" s="397">
        <f ca="1">SUM(Start:End!S43)</f>
        <v>0</v>
      </c>
      <c r="T43" s="397">
        <f ca="1">SUM(Start:End!T43)</f>
        <v>192270.7433534344</v>
      </c>
      <c r="U43" s="15"/>
      <c r="V43" s="35">
        <f t="shared" ca="1" si="4"/>
        <v>0.31807750458005501</v>
      </c>
      <c r="W43" s="397">
        <f ca="1">SUM(Start:End!W43)</f>
        <v>13327.569914709351</v>
      </c>
      <c r="X43" s="35">
        <f t="shared" ca="1" si="4"/>
        <v>0.36848632018843086</v>
      </c>
      <c r="Y43" s="397">
        <f ca="1">SUM(Start:End!Y43)</f>
        <v>15439.718698149121</v>
      </c>
      <c r="Z43" s="35">
        <f t="shared" ref="Z43" ca="1" si="23">+IFERROR(AA43/$G43,"N/A")</f>
        <v>0.57762720461970241</v>
      </c>
      <c r="AA43" s="397">
        <f ca="1">SUM(Start:End!AA43)</f>
        <v>24202.802283585108</v>
      </c>
      <c r="AB43" s="397">
        <f ca="1">SUM(Start:End!AB43)</f>
        <v>52970.09089644358</v>
      </c>
      <c r="AC43" s="15"/>
      <c r="AD43" s="397">
        <f ca="1">SUM(Start:End!AD43)</f>
        <v>139300.65245699082</v>
      </c>
      <c r="AE43" s="397">
        <f ca="1">SUM(Start:End!AE43)</f>
        <v>4683.5942579348048</v>
      </c>
      <c r="AF43" s="397">
        <f ca="1">SUM(Start:End!AF43)</f>
        <v>134617.05819905602</v>
      </c>
      <c r="AG43" s="15"/>
      <c r="AH43" s="273">
        <f t="shared" si="11"/>
        <v>46752</v>
      </c>
      <c r="AI43" s="267"/>
      <c r="AJ43" s="267"/>
      <c r="AK43" s="397">
        <f ca="1">SUM(Start:End!AK43)</f>
        <v>36593.172686580619</v>
      </c>
      <c r="AL43" s="233"/>
    </row>
    <row r="44" spans="2:38" x14ac:dyDescent="0.3">
      <c r="B44" s="232"/>
      <c r="C44" s="250">
        <f t="shared" si="6"/>
        <v>2028</v>
      </c>
      <c r="D44" s="397">
        <f ca="1">SUM(Start:End!D44)</f>
        <v>35406.174598413207</v>
      </c>
      <c r="E44" s="397">
        <f ca="1">SUM(Start:End!E44)</f>
        <v>198.74567861895181</v>
      </c>
      <c r="F44" s="397">
        <f ca="1">SUM(Start:End!F44)</f>
        <v>0</v>
      </c>
      <c r="G44" s="397">
        <f ca="1">SUM(Start:End!G44)</f>
        <v>36598.648670126917</v>
      </c>
      <c r="H44" s="15"/>
      <c r="I44" s="271">
        <f ca="1">Assumptions!O$68</f>
        <v>4.5</v>
      </c>
      <c r="J44" s="271">
        <f ca="1">Assumptions!P$68</f>
        <v>80</v>
      </c>
      <c r="K44" s="271">
        <f t="shared" ca="1" si="0"/>
        <v>40</v>
      </c>
      <c r="L44" s="15"/>
      <c r="M44" s="35">
        <f t="shared" ca="1" si="7"/>
        <v>4.2299999999999995</v>
      </c>
      <c r="N44" s="35">
        <f t="shared" ca="1" si="8"/>
        <v>74.400000000000006</v>
      </c>
      <c r="O44" s="35" t="str">
        <f t="shared" ca="1" si="9"/>
        <v>N/A</v>
      </c>
      <c r="P44" s="15"/>
      <c r="Q44" s="397">
        <f ca="1">SUM(Start:End!Q44)</f>
        <v>149768.11855128786</v>
      </c>
      <c r="R44" s="397">
        <f ca="1">SUM(Start:End!R44)</f>
        <v>14786.678489250016</v>
      </c>
      <c r="S44" s="397">
        <f ca="1">SUM(Start:End!S44)</f>
        <v>0</v>
      </c>
      <c r="T44" s="397">
        <f ca="1">SUM(Start:End!T44)</f>
        <v>164554.79704053787</v>
      </c>
      <c r="U44" s="15"/>
      <c r="V44" s="35">
        <f t="shared" ca="1" si="4"/>
        <v>0.31</v>
      </c>
      <c r="W44" s="397">
        <f ca="1">SUM(Start:End!W44)</f>
        <v>11345.581087739343</v>
      </c>
      <c r="X44" s="35">
        <f t="shared" ca="1" si="4"/>
        <v>0.37</v>
      </c>
      <c r="Y44" s="397">
        <f ca="1">SUM(Start:End!Y44)</f>
        <v>13541.500007946959</v>
      </c>
      <c r="Z44" s="35">
        <f t="shared" ref="Z44" ca="1" si="24">+IFERROR(AA44/$G44,"N/A")</f>
        <v>0.57999999999999996</v>
      </c>
      <c r="AA44" s="397">
        <f ca="1">SUM(Start:End!AA44)</f>
        <v>21227.216228673609</v>
      </c>
      <c r="AB44" s="397">
        <f ca="1">SUM(Start:End!AB44)</f>
        <v>46114.297324359912</v>
      </c>
      <c r="AC44" s="15"/>
      <c r="AD44" s="397">
        <f ca="1">SUM(Start:End!AD44)</f>
        <v>118440.49971617796</v>
      </c>
      <c r="AE44" s="397">
        <f ca="1">SUM(Start:End!AE44)</f>
        <v>4040.6737275829487</v>
      </c>
      <c r="AF44" s="397">
        <f ca="1">SUM(Start:End!AF44)</f>
        <v>114399.82598859501</v>
      </c>
      <c r="AG44" s="15"/>
      <c r="AH44" s="273">
        <f t="shared" si="11"/>
        <v>47118</v>
      </c>
      <c r="AI44" s="267"/>
      <c r="AJ44" s="267"/>
      <c r="AK44" s="397">
        <f ca="1">SUM(Start:End!AK44)</f>
        <v>28270.445228590488</v>
      </c>
      <c r="AL44" s="233"/>
    </row>
    <row r="45" spans="2:38" x14ac:dyDescent="0.3">
      <c r="B45" s="232"/>
      <c r="C45" s="250">
        <f t="shared" si="6"/>
        <v>2029</v>
      </c>
      <c r="D45" s="397">
        <f ca="1">SUM(Start:End!D45)</f>
        <v>31225.799046668366</v>
      </c>
      <c r="E45" s="397">
        <f ca="1">SUM(Start:End!E45)</f>
        <v>175.27995306861689</v>
      </c>
      <c r="F45" s="397">
        <f ca="1">SUM(Start:End!F45)</f>
        <v>0</v>
      </c>
      <c r="G45" s="397">
        <f ca="1">SUM(Start:End!G45)</f>
        <v>32277.478765080068</v>
      </c>
      <c r="H45" s="15"/>
      <c r="I45" s="271">
        <f ca="1">Assumptions!O$68</f>
        <v>4.5</v>
      </c>
      <c r="J45" s="271">
        <f ca="1">Assumptions!P$68</f>
        <v>80</v>
      </c>
      <c r="K45" s="271">
        <f t="shared" ca="1" si="0"/>
        <v>40</v>
      </c>
      <c r="L45" s="15"/>
      <c r="M45" s="35">
        <f t="shared" ca="1" si="7"/>
        <v>4.2299999999999995</v>
      </c>
      <c r="N45" s="35">
        <f t="shared" ca="1" si="8"/>
        <v>74.400000000000006</v>
      </c>
      <c r="O45" s="35" t="str">
        <f t="shared" ca="1" si="9"/>
        <v>N/A</v>
      </c>
      <c r="P45" s="15"/>
      <c r="Q45" s="397">
        <f ca="1">SUM(Start:End!Q45)</f>
        <v>132085.12996740718</v>
      </c>
      <c r="R45" s="397">
        <f ca="1">SUM(Start:End!R45)</f>
        <v>13040.828508305098</v>
      </c>
      <c r="S45" s="397">
        <f ca="1">SUM(Start:End!S45)</f>
        <v>0</v>
      </c>
      <c r="T45" s="397">
        <f ca="1">SUM(Start:End!T45)</f>
        <v>145125.95847571228</v>
      </c>
      <c r="U45" s="15"/>
      <c r="V45" s="35">
        <f t="shared" ca="1" si="4"/>
        <v>0.31</v>
      </c>
      <c r="W45" s="397">
        <f ca="1">SUM(Start:End!W45)</f>
        <v>10006.018417174821</v>
      </c>
      <c r="X45" s="35">
        <f t="shared" ca="1" si="4"/>
        <v>0.37</v>
      </c>
      <c r="Y45" s="397">
        <f ca="1">SUM(Start:End!Y45)</f>
        <v>11942.667143079625</v>
      </c>
      <c r="Z45" s="35">
        <f t="shared" ref="Z45" ca="1" si="25">+IFERROR(AA45/$G45,"N/A")</f>
        <v>0.57999999999999996</v>
      </c>
      <c r="AA45" s="397">
        <f ca="1">SUM(Start:End!AA45)</f>
        <v>18720.937683746437</v>
      </c>
      <c r="AB45" s="397">
        <f ca="1">SUM(Start:End!AB45)</f>
        <v>40669.623244000883</v>
      </c>
      <c r="AC45" s="15"/>
      <c r="AD45" s="397">
        <f ca="1">SUM(Start:End!AD45)</f>
        <v>104456.33523171139</v>
      </c>
      <c r="AE45" s="397">
        <f ca="1">SUM(Start:End!AE45)</f>
        <v>3563.5949735251043</v>
      </c>
      <c r="AF45" s="397">
        <f ca="1">SUM(Start:End!AF45)</f>
        <v>100892.74025818628</v>
      </c>
      <c r="AG45" s="15"/>
      <c r="AH45" s="273">
        <f t="shared" si="11"/>
        <v>47483</v>
      </c>
      <c r="AI45" s="267"/>
      <c r="AJ45" s="267"/>
      <c r="AK45" s="397">
        <f ca="1">SUM(Start:End!AK45)</f>
        <v>22665.980816787549</v>
      </c>
      <c r="AL45" s="233"/>
    </row>
    <row r="46" spans="2:38" x14ac:dyDescent="0.3">
      <c r="B46" s="232"/>
      <c r="C46" s="250">
        <f t="shared" si="6"/>
        <v>2030</v>
      </c>
      <c r="D46" s="397">
        <f ca="1">SUM(Start:End!D46)</f>
        <v>27614.44602521745</v>
      </c>
      <c r="E46" s="397">
        <f ca="1">SUM(Start:End!E46)</f>
        <v>155.00832488167825</v>
      </c>
      <c r="F46" s="397">
        <f ca="1">SUM(Start:End!F46)</f>
        <v>0</v>
      </c>
      <c r="G46" s="397">
        <f ca="1">SUM(Start:End!G46)</f>
        <v>28544.495974507521</v>
      </c>
      <c r="H46" s="15"/>
      <c r="I46" s="271">
        <f ca="1">Assumptions!O$68</f>
        <v>4.5</v>
      </c>
      <c r="J46" s="271">
        <f ca="1">Assumptions!P$68</f>
        <v>80</v>
      </c>
      <c r="K46" s="271">
        <f t="shared" ca="1" si="0"/>
        <v>40</v>
      </c>
      <c r="L46" s="15"/>
      <c r="M46" s="35">
        <f t="shared" ca="1" si="7"/>
        <v>4.2299999999999995</v>
      </c>
      <c r="N46" s="35">
        <f t="shared" ca="1" si="8"/>
        <v>74.400000000000006</v>
      </c>
      <c r="O46" s="35" t="str">
        <f t="shared" ca="1" si="9"/>
        <v>N/A</v>
      </c>
      <c r="P46" s="15"/>
      <c r="Q46" s="397">
        <f ca="1">SUM(Start:End!Q46)</f>
        <v>116809.10668666981</v>
      </c>
      <c r="R46" s="397">
        <f ca="1">SUM(Start:End!R46)</f>
        <v>11532.619371196863</v>
      </c>
      <c r="S46" s="397">
        <f ca="1">SUM(Start:End!S46)</f>
        <v>0</v>
      </c>
      <c r="T46" s="397">
        <f ca="1">SUM(Start:End!T46)</f>
        <v>128341.72605786668</v>
      </c>
      <c r="U46" s="15"/>
      <c r="V46" s="35">
        <f t="shared" ca="1" si="4"/>
        <v>0.31</v>
      </c>
      <c r="W46" s="397">
        <f ca="1">SUM(Start:End!W46)</f>
        <v>8848.7937520973319</v>
      </c>
      <c r="X46" s="35">
        <f t="shared" ca="1" si="4"/>
        <v>0.37</v>
      </c>
      <c r="Y46" s="397">
        <f ca="1">SUM(Start:End!Y46)</f>
        <v>10561.463510567783</v>
      </c>
      <c r="Z46" s="35">
        <f t="shared" ref="Z46" ca="1" si="26">+IFERROR(AA46/$G46,"N/A")</f>
        <v>0.57999999999999996</v>
      </c>
      <c r="AA46" s="397">
        <f ca="1">SUM(Start:End!AA46)</f>
        <v>16555.807665214361</v>
      </c>
      <c r="AB46" s="397">
        <f ca="1">SUM(Start:End!AB46)</f>
        <v>35966.064927879474</v>
      </c>
      <c r="AC46" s="15"/>
      <c r="AD46" s="397">
        <f ca="1">SUM(Start:End!AD46)</f>
        <v>92375.661129987202</v>
      </c>
      <c r="AE46" s="397">
        <f ca="1">SUM(Start:End!AE46)</f>
        <v>3151.4550165736973</v>
      </c>
      <c r="AF46" s="397">
        <f ca="1">SUM(Start:End!AF46)</f>
        <v>89224.2061134135</v>
      </c>
      <c r="AG46" s="15"/>
      <c r="AH46" s="273">
        <f t="shared" si="11"/>
        <v>47848</v>
      </c>
      <c r="AI46" s="267"/>
      <c r="AJ46" s="267"/>
      <c r="AK46" s="397">
        <f ca="1">SUM(Start:End!AK46)</f>
        <v>18222.359336392015</v>
      </c>
      <c r="AL46" s="233"/>
    </row>
    <row r="47" spans="2:38" x14ac:dyDescent="0.3">
      <c r="B47" s="232"/>
      <c r="C47" s="250">
        <f t="shared" si="6"/>
        <v>2031</v>
      </c>
      <c r="D47" s="397">
        <f ca="1">SUM(Start:End!D47)</f>
        <v>24420.756315634106</v>
      </c>
      <c r="E47" s="397">
        <f ca="1">SUM(Start:End!E47)</f>
        <v>137.08116850771765</v>
      </c>
      <c r="F47" s="397">
        <f ca="1">SUM(Start:End!F47)</f>
        <v>0</v>
      </c>
      <c r="G47" s="397">
        <f ca="1">SUM(Start:End!G47)</f>
        <v>25243.243326680411</v>
      </c>
      <c r="H47" s="15"/>
      <c r="I47" s="271">
        <f ca="1">Assumptions!O$68</f>
        <v>4.5</v>
      </c>
      <c r="J47" s="271">
        <f ca="1">Assumptions!P$68</f>
        <v>80</v>
      </c>
      <c r="K47" s="271">
        <f t="shared" ca="1" si="0"/>
        <v>40</v>
      </c>
      <c r="L47" s="15"/>
      <c r="M47" s="35">
        <f t="shared" ca="1" si="7"/>
        <v>4.2299999999999995</v>
      </c>
      <c r="N47" s="35">
        <f t="shared" ca="1" si="8"/>
        <v>74.400000000000006</v>
      </c>
      <c r="O47" s="35" t="str">
        <f t="shared" ca="1" si="9"/>
        <v>N/A</v>
      </c>
      <c r="P47" s="15"/>
      <c r="Q47" s="397">
        <f ca="1">SUM(Start:End!Q47)</f>
        <v>103299.79921513225</v>
      </c>
      <c r="R47" s="397">
        <f ca="1">SUM(Start:End!R47)</f>
        <v>10198.838936974194</v>
      </c>
      <c r="S47" s="397">
        <f ca="1">SUM(Start:End!S47)</f>
        <v>0</v>
      </c>
      <c r="T47" s="397">
        <f ca="1">SUM(Start:End!T47)</f>
        <v>113498.63815210645</v>
      </c>
      <c r="U47" s="15"/>
      <c r="V47" s="35">
        <f t="shared" ca="1" si="4"/>
        <v>0.31</v>
      </c>
      <c r="W47" s="397">
        <f ca="1">SUM(Start:End!W47)</f>
        <v>7825.4054312709277</v>
      </c>
      <c r="X47" s="35">
        <f t="shared" ca="1" si="4"/>
        <v>0.37</v>
      </c>
      <c r="Y47" s="397">
        <f ca="1">SUM(Start:End!Y47)</f>
        <v>9340.0000308717517</v>
      </c>
      <c r="Z47" s="35">
        <f t="shared" ref="Z47" ca="1" si="27">+IFERROR(AA47/$G47,"N/A")</f>
        <v>0.57999999999999996</v>
      </c>
      <c r="AA47" s="397">
        <f ca="1">SUM(Start:End!AA47)</f>
        <v>14641.081129474638</v>
      </c>
      <c r="AB47" s="397">
        <f ca="1">SUM(Start:End!AB47)</f>
        <v>31806.486591617318</v>
      </c>
      <c r="AC47" s="15"/>
      <c r="AD47" s="397">
        <f ca="1">SUM(Start:End!AD47)</f>
        <v>81692.151560489132</v>
      </c>
      <c r="AE47" s="397">
        <f ca="1">SUM(Start:End!AE47)</f>
        <v>2786.9802251020487</v>
      </c>
      <c r="AF47" s="397">
        <f ca="1">SUM(Start:End!AF47)</f>
        <v>78905.171335387087</v>
      </c>
      <c r="AG47" s="15"/>
      <c r="AH47" s="273">
        <f t="shared" si="11"/>
        <v>48213</v>
      </c>
      <c r="AI47" s="267"/>
      <c r="AJ47" s="267"/>
      <c r="AK47" s="397">
        <f ca="1">SUM(Start:End!AK47)</f>
        <v>14649.901209598538</v>
      </c>
      <c r="AL47" s="233"/>
    </row>
    <row r="48" spans="2:38" x14ac:dyDescent="0.3">
      <c r="B48" s="232"/>
      <c r="C48" s="250">
        <f t="shared" si="6"/>
        <v>2032</v>
      </c>
      <c r="D48" s="397">
        <f ca="1">SUM(Start:End!D48)</f>
        <v>21655.594250938939</v>
      </c>
      <c r="E48" s="397">
        <f ca="1">SUM(Start:End!E48)</f>
        <v>121.55946876826452</v>
      </c>
      <c r="F48" s="397">
        <f ca="1">SUM(Start:End!F48)</f>
        <v>0</v>
      </c>
      <c r="G48" s="397">
        <f ca="1">SUM(Start:End!G48)</f>
        <v>22384.951063548528</v>
      </c>
      <c r="H48" s="15"/>
      <c r="I48" s="271">
        <f ca="1">Assumptions!O$68</f>
        <v>4.5</v>
      </c>
      <c r="J48" s="271">
        <f ca="1">Assumptions!P$68</f>
        <v>80</v>
      </c>
      <c r="K48" s="271">
        <f t="shared" ca="1" si="0"/>
        <v>40</v>
      </c>
      <c r="L48" s="15"/>
      <c r="M48" s="35">
        <f t="shared" ca="1" si="7"/>
        <v>4.2299999999999995</v>
      </c>
      <c r="N48" s="35">
        <f t="shared" ca="1" si="8"/>
        <v>74.400000000000006</v>
      </c>
      <c r="O48" s="35" t="str">
        <f t="shared" ca="1" si="9"/>
        <v>N/A</v>
      </c>
      <c r="P48" s="15"/>
      <c r="Q48" s="397">
        <f ca="1">SUM(Start:End!Q48)</f>
        <v>91603.163681471706</v>
      </c>
      <c r="R48" s="397">
        <f ca="1">SUM(Start:End!R48)</f>
        <v>9044.0244763588817</v>
      </c>
      <c r="S48" s="397">
        <f ca="1">SUM(Start:End!S48)</f>
        <v>0</v>
      </c>
      <c r="T48" s="397">
        <f ca="1">SUM(Start:End!T48)</f>
        <v>100647.18815783059</v>
      </c>
      <c r="U48" s="15"/>
      <c r="V48" s="35">
        <f t="shared" ca="1" si="4"/>
        <v>0.31</v>
      </c>
      <c r="W48" s="397">
        <f ca="1">SUM(Start:End!W48)</f>
        <v>6939.3348297000439</v>
      </c>
      <c r="X48" s="35">
        <f t="shared" ca="1" si="4"/>
        <v>0.37000000000000005</v>
      </c>
      <c r="Y48" s="397">
        <f ca="1">SUM(Start:End!Y48)</f>
        <v>8282.4318935129559</v>
      </c>
      <c r="Z48" s="35">
        <f t="shared" ref="Z48" ca="1" si="28">+IFERROR(AA48/$G48,"N/A")</f>
        <v>0.57999999999999996</v>
      </c>
      <c r="AA48" s="397">
        <f ca="1">SUM(Start:End!AA48)</f>
        <v>12983.271616858145</v>
      </c>
      <c r="AB48" s="397">
        <f ca="1">SUM(Start:End!AB48)</f>
        <v>28205.038340071143</v>
      </c>
      <c r="AC48" s="15"/>
      <c r="AD48" s="397">
        <f ca="1">SUM(Start:End!AD48)</f>
        <v>72442.149817759448</v>
      </c>
      <c r="AE48" s="397">
        <f ca="1">SUM(Start:End!AE48)</f>
        <v>2471.4104739484319</v>
      </c>
      <c r="AF48" s="397">
        <f ca="1">SUM(Start:End!AF48)</f>
        <v>69970.739343811016</v>
      </c>
      <c r="AG48" s="15"/>
      <c r="AH48" s="273">
        <f t="shared" si="11"/>
        <v>48579</v>
      </c>
      <c r="AI48" s="267"/>
      <c r="AJ48" s="267"/>
      <c r="AK48" s="397">
        <f ca="1">SUM(Start:End!AK48)</f>
        <v>11810.084544883701</v>
      </c>
      <c r="AL48" s="233"/>
    </row>
    <row r="49" spans="2:38" x14ac:dyDescent="0.3">
      <c r="B49" s="232"/>
      <c r="C49" s="250">
        <f t="shared" si="6"/>
        <v>2033</v>
      </c>
      <c r="D49" s="397">
        <f ca="1">SUM(Start:End!D49)</f>
        <v>19098.737493835662</v>
      </c>
      <c r="E49" s="397">
        <f ca="1">SUM(Start:End!E49)</f>
        <v>107.20705038119827</v>
      </c>
      <c r="F49" s="397">
        <f ca="1">SUM(Start:End!F49)</f>
        <v>0</v>
      </c>
      <c r="G49" s="397">
        <f ca="1">SUM(Start:End!G49)</f>
        <v>19741.979796122851</v>
      </c>
      <c r="H49" s="15"/>
      <c r="I49" s="271">
        <f ca="1">Assumptions!O$68</f>
        <v>4.5</v>
      </c>
      <c r="J49" s="271">
        <f ca="1">Assumptions!P$68</f>
        <v>80</v>
      </c>
      <c r="K49" s="271">
        <f t="shared" ca="1" si="0"/>
        <v>40</v>
      </c>
      <c r="L49" s="15"/>
      <c r="M49" s="35">
        <f t="shared" ca="1" si="7"/>
        <v>4.2299999999999995</v>
      </c>
      <c r="N49" s="35">
        <f t="shared" ca="1" si="8"/>
        <v>74.400000000000006</v>
      </c>
      <c r="O49" s="35" t="str">
        <f t="shared" ca="1" si="9"/>
        <v>N/A</v>
      </c>
      <c r="P49" s="15"/>
      <c r="Q49" s="397">
        <f ca="1">SUM(Start:End!Q49)</f>
        <v>80787.659598924845</v>
      </c>
      <c r="R49" s="397">
        <f ca="1">SUM(Start:End!R49)</f>
        <v>7976.2045483611519</v>
      </c>
      <c r="S49" s="397">
        <f ca="1">SUM(Start:End!S49)</f>
        <v>0</v>
      </c>
      <c r="T49" s="397">
        <f ca="1">SUM(Start:End!T49)</f>
        <v>88763.864147286004</v>
      </c>
      <c r="U49" s="15"/>
      <c r="V49" s="35">
        <f t="shared" ca="1" si="4"/>
        <v>0.31</v>
      </c>
      <c r="W49" s="397">
        <f ca="1">SUM(Start:End!W49)</f>
        <v>6120.0137367980833</v>
      </c>
      <c r="X49" s="35">
        <f t="shared" ca="1" si="4"/>
        <v>0.37</v>
      </c>
      <c r="Y49" s="397">
        <f ca="1">SUM(Start:End!Y49)</f>
        <v>7304.5325245654549</v>
      </c>
      <c r="Z49" s="35">
        <f t="shared" ref="Z49" ca="1" si="29">+IFERROR(AA49/$G49,"N/A")</f>
        <v>0.57999999999999996</v>
      </c>
      <c r="AA49" s="397">
        <f ca="1">SUM(Start:End!AA49)</f>
        <v>11450.348281751252</v>
      </c>
      <c r="AB49" s="397">
        <f ca="1">SUM(Start:End!AB49)</f>
        <v>24874.894543114791</v>
      </c>
      <c r="AC49" s="15"/>
      <c r="AD49" s="397">
        <f ca="1">SUM(Start:End!AD49)</f>
        <v>63888.969604171216</v>
      </c>
      <c r="AE49" s="397">
        <f ca="1">SUM(Start:End!AE49)</f>
        <v>2179.6132368619046</v>
      </c>
      <c r="AF49" s="397">
        <f ca="1">SUM(Start:End!AF49)</f>
        <v>61709.356367309309</v>
      </c>
      <c r="AG49" s="15"/>
      <c r="AH49" s="273">
        <f t="shared" si="11"/>
        <v>48944</v>
      </c>
      <c r="AI49" s="267"/>
      <c r="AJ49" s="267"/>
      <c r="AK49" s="397">
        <f ca="1">SUM(Start:End!AK49)</f>
        <v>9468.798512881418</v>
      </c>
      <c r="AL49" s="233"/>
    </row>
    <row r="50" spans="2:38" x14ac:dyDescent="0.3">
      <c r="B50" s="232"/>
      <c r="C50" s="250">
        <f t="shared" si="6"/>
        <v>2034</v>
      </c>
      <c r="D50" s="397">
        <f ca="1">SUM(Start:End!D50)</f>
        <v>12076.196162460079</v>
      </c>
      <c r="E50" s="397">
        <f ca="1">SUM(Start:End!E50)</f>
        <v>67.787379706116965</v>
      </c>
      <c r="F50" s="397">
        <f ca="1">SUM(Start:End!F50)</f>
        <v>0</v>
      </c>
      <c r="G50" s="397">
        <f ca="1">SUM(Start:End!G50)</f>
        <v>12482.92044069678</v>
      </c>
      <c r="H50" s="15"/>
      <c r="I50" s="271">
        <f ca="1">Assumptions!O$68</f>
        <v>4.5</v>
      </c>
      <c r="J50" s="271">
        <f ca="1">Assumptions!P$68</f>
        <v>80</v>
      </c>
      <c r="K50" s="271">
        <f t="shared" ca="1" si="0"/>
        <v>40</v>
      </c>
      <c r="L50" s="15"/>
      <c r="M50" s="35">
        <f t="shared" ca="1" si="7"/>
        <v>4.2299999999999995</v>
      </c>
      <c r="N50" s="35">
        <f t="shared" ca="1" si="8"/>
        <v>74.400000000000006</v>
      </c>
      <c r="O50" s="35" t="str">
        <f t="shared" ca="1" si="9"/>
        <v>N/A</v>
      </c>
      <c r="P50" s="15"/>
      <c r="Q50" s="397">
        <f ca="1">SUM(Start:End!Q50)</f>
        <v>51082.309767206127</v>
      </c>
      <c r="R50" s="397">
        <f ca="1">SUM(Start:End!R50)</f>
        <v>5043.3810501351027</v>
      </c>
      <c r="S50" s="397">
        <f ca="1">SUM(Start:End!S50)</f>
        <v>0</v>
      </c>
      <c r="T50" s="397">
        <f ca="1">SUM(Start:End!T50)</f>
        <v>56125.69081734123</v>
      </c>
      <c r="U50" s="15"/>
      <c r="V50" s="35">
        <f t="shared" ca="1" si="4"/>
        <v>0.31</v>
      </c>
      <c r="W50" s="397">
        <f ca="1">SUM(Start:End!W50)</f>
        <v>3869.7053366160017</v>
      </c>
      <c r="X50" s="35">
        <f t="shared" ca="1" si="4"/>
        <v>0.37</v>
      </c>
      <c r="Y50" s="397">
        <f ca="1">SUM(Start:End!Y50)</f>
        <v>4618.6805630578083</v>
      </c>
      <c r="Z50" s="35">
        <f t="shared" ref="Z50" ca="1" si="30">+IFERROR(AA50/$G50,"N/A")</f>
        <v>0.57999999999999996</v>
      </c>
      <c r="AA50" s="397">
        <f ca="1">SUM(Start:End!AA50)</f>
        <v>7240.0938556041319</v>
      </c>
      <c r="AB50" s="397">
        <f ca="1">SUM(Start:End!AB50)</f>
        <v>15728.479755277942</v>
      </c>
      <c r="AC50" s="15"/>
      <c r="AD50" s="397">
        <f ca="1">SUM(Start:End!AD50)</f>
        <v>40397.211062063288</v>
      </c>
      <c r="AE50" s="397">
        <f ca="1">SUM(Start:End!AE50)</f>
        <v>1378.1768043638733</v>
      </c>
      <c r="AF50" s="397">
        <f ca="1">SUM(Start:End!AF50)</f>
        <v>39019.034257699415</v>
      </c>
      <c r="AG50" s="15"/>
      <c r="AH50" s="273">
        <f t="shared" si="11"/>
        <v>49309</v>
      </c>
      <c r="AI50" s="267"/>
      <c r="AJ50" s="267"/>
      <c r="AK50" s="397">
        <f ca="1">SUM(Start:End!AK50)</f>
        <v>5442.8665912542456</v>
      </c>
      <c r="AL50" s="233"/>
    </row>
    <row r="51" spans="2:38" x14ac:dyDescent="0.3">
      <c r="B51" s="232"/>
      <c r="C51" s="250">
        <f t="shared" si="6"/>
        <v>2035</v>
      </c>
      <c r="D51" s="397">
        <f ca="1">SUM(Start:End!D51)</f>
        <v>0</v>
      </c>
      <c r="E51" s="397">
        <f ca="1">SUM(Start:End!E51)</f>
        <v>0</v>
      </c>
      <c r="F51" s="397">
        <f ca="1">SUM(Start:End!F51)</f>
        <v>0</v>
      </c>
      <c r="G51" s="397">
        <f ca="1">SUM(Start:End!G51)</f>
        <v>0</v>
      </c>
      <c r="H51" s="15"/>
      <c r="I51" s="271">
        <f ca="1">Assumptions!O$68</f>
        <v>4.5</v>
      </c>
      <c r="J51" s="271">
        <f ca="1">Assumptions!P$68</f>
        <v>80</v>
      </c>
      <c r="K51" s="271">
        <f t="shared" ca="1" si="0"/>
        <v>40</v>
      </c>
      <c r="L51" s="15"/>
      <c r="M51" s="35" t="str">
        <f t="shared" ca="1" si="7"/>
        <v>N/A</v>
      </c>
      <c r="N51" s="35" t="str">
        <f t="shared" ca="1" si="8"/>
        <v>N/A</v>
      </c>
      <c r="O51" s="35" t="str">
        <f t="shared" ca="1" si="9"/>
        <v>N/A</v>
      </c>
      <c r="P51" s="15"/>
      <c r="Q51" s="397">
        <f ca="1">SUM(Start:End!Q51)</f>
        <v>0</v>
      </c>
      <c r="R51" s="397">
        <f ca="1">SUM(Start:End!R51)</f>
        <v>0</v>
      </c>
      <c r="S51" s="397">
        <f ca="1">SUM(Start:End!S51)</f>
        <v>0</v>
      </c>
      <c r="T51" s="397">
        <f ca="1">SUM(Start:End!T51)</f>
        <v>0</v>
      </c>
      <c r="U51" s="15"/>
      <c r="V51" s="35" t="str">
        <f t="shared" ca="1" si="4"/>
        <v>N/A</v>
      </c>
      <c r="W51" s="397">
        <f ca="1">SUM(Start:End!W51)</f>
        <v>0</v>
      </c>
      <c r="X51" s="35" t="str">
        <f t="shared" ca="1" si="4"/>
        <v>N/A</v>
      </c>
      <c r="Y51" s="397">
        <f ca="1">SUM(Start:End!Y51)</f>
        <v>0</v>
      </c>
      <c r="Z51" s="35" t="str">
        <f t="shared" ref="Z51" ca="1" si="31">+IFERROR(AA51/$G51,"N/A")</f>
        <v>N/A</v>
      </c>
      <c r="AA51" s="397">
        <f ca="1">SUM(Start:End!AA51)</f>
        <v>0</v>
      </c>
      <c r="AB51" s="397">
        <f ca="1">SUM(Start:End!AB51)</f>
        <v>0</v>
      </c>
      <c r="AC51" s="15"/>
      <c r="AD51" s="397">
        <f ca="1">SUM(Start:End!AD51)</f>
        <v>0</v>
      </c>
      <c r="AE51" s="397">
        <f ca="1">SUM(Start:End!AE51)</f>
        <v>0</v>
      </c>
      <c r="AF51" s="397">
        <f ca="1">SUM(Start:End!AF51)</f>
        <v>0</v>
      </c>
      <c r="AG51" s="15"/>
      <c r="AH51" s="273">
        <f t="shared" si="11"/>
        <v>49674</v>
      </c>
      <c r="AI51" s="267"/>
      <c r="AJ51" s="267"/>
      <c r="AK51" s="397">
        <f ca="1">SUM(Start:End!AK51)</f>
        <v>0</v>
      </c>
      <c r="AL51" s="233"/>
    </row>
    <row r="52" spans="2:38" x14ac:dyDescent="0.3">
      <c r="B52" s="232"/>
      <c r="C52" s="250">
        <f t="shared" si="6"/>
        <v>2036</v>
      </c>
      <c r="D52" s="397">
        <f ca="1">SUM(Start:End!D52)</f>
        <v>0</v>
      </c>
      <c r="E52" s="397">
        <f ca="1">SUM(Start:End!E52)</f>
        <v>0</v>
      </c>
      <c r="F52" s="397">
        <f ca="1">SUM(Start:End!F52)</f>
        <v>0</v>
      </c>
      <c r="G52" s="397">
        <f ca="1">SUM(Start:End!G52)</f>
        <v>0</v>
      </c>
      <c r="H52" s="15"/>
      <c r="I52" s="271">
        <f ca="1">Assumptions!O$68</f>
        <v>4.5</v>
      </c>
      <c r="J52" s="271">
        <f ca="1">Assumptions!P$68</f>
        <v>80</v>
      </c>
      <c r="K52" s="271">
        <f t="shared" ca="1" si="0"/>
        <v>40</v>
      </c>
      <c r="L52" s="15"/>
      <c r="M52" s="35" t="str">
        <f t="shared" ca="1" si="7"/>
        <v>N/A</v>
      </c>
      <c r="N52" s="35" t="str">
        <f t="shared" ca="1" si="8"/>
        <v>N/A</v>
      </c>
      <c r="O52" s="35" t="str">
        <f t="shared" ca="1" si="9"/>
        <v>N/A</v>
      </c>
      <c r="P52" s="15"/>
      <c r="Q52" s="397">
        <f ca="1">SUM(Start:End!Q52)</f>
        <v>0</v>
      </c>
      <c r="R52" s="397">
        <f ca="1">SUM(Start:End!R52)</f>
        <v>0</v>
      </c>
      <c r="S52" s="397">
        <f ca="1">SUM(Start:End!S52)</f>
        <v>0</v>
      </c>
      <c r="T52" s="397">
        <f ca="1">SUM(Start:End!T52)</f>
        <v>0</v>
      </c>
      <c r="U52" s="15"/>
      <c r="V52" s="35" t="str">
        <f t="shared" ca="1" si="4"/>
        <v>N/A</v>
      </c>
      <c r="W52" s="397">
        <f ca="1">SUM(Start:End!W52)</f>
        <v>0</v>
      </c>
      <c r="X52" s="35" t="str">
        <f t="shared" ca="1" si="4"/>
        <v>N/A</v>
      </c>
      <c r="Y52" s="397">
        <f ca="1">SUM(Start:End!Y52)</f>
        <v>0</v>
      </c>
      <c r="Z52" s="35" t="str">
        <f t="shared" ref="Z52" ca="1" si="32">+IFERROR(AA52/$G52,"N/A")</f>
        <v>N/A</v>
      </c>
      <c r="AA52" s="397">
        <f ca="1">SUM(Start:End!AA52)</f>
        <v>0</v>
      </c>
      <c r="AB52" s="397">
        <f ca="1">SUM(Start:End!AB52)</f>
        <v>0</v>
      </c>
      <c r="AC52" s="15"/>
      <c r="AD52" s="397">
        <f ca="1">SUM(Start:End!AD52)</f>
        <v>0</v>
      </c>
      <c r="AE52" s="397">
        <f ca="1">SUM(Start:End!AE52)</f>
        <v>0</v>
      </c>
      <c r="AF52" s="397">
        <f ca="1">SUM(Start:End!AF52)</f>
        <v>0</v>
      </c>
      <c r="AG52" s="15"/>
      <c r="AH52" s="273">
        <f t="shared" si="11"/>
        <v>50040</v>
      </c>
      <c r="AI52" s="267"/>
      <c r="AJ52" s="267"/>
      <c r="AK52" s="397">
        <f ca="1">SUM(Start:End!AK52)</f>
        <v>0</v>
      </c>
      <c r="AL52" s="233"/>
    </row>
    <row r="53" spans="2:38" x14ac:dyDescent="0.3">
      <c r="B53" s="232"/>
      <c r="C53" s="250">
        <f t="shared" si="6"/>
        <v>2037</v>
      </c>
      <c r="D53" s="397">
        <f ca="1">SUM(Start:End!D53)</f>
        <v>0</v>
      </c>
      <c r="E53" s="397">
        <f ca="1">SUM(Start:End!E53)</f>
        <v>0</v>
      </c>
      <c r="F53" s="397">
        <f ca="1">SUM(Start:End!F53)</f>
        <v>0</v>
      </c>
      <c r="G53" s="397">
        <f ca="1">SUM(Start:End!G53)</f>
        <v>0</v>
      </c>
      <c r="H53" s="15"/>
      <c r="I53" s="271">
        <f ca="1">Assumptions!O$68</f>
        <v>4.5</v>
      </c>
      <c r="J53" s="271">
        <f ca="1">Assumptions!P$68</f>
        <v>80</v>
      </c>
      <c r="K53" s="271">
        <f t="shared" ca="1" si="0"/>
        <v>40</v>
      </c>
      <c r="L53" s="15"/>
      <c r="M53" s="35" t="str">
        <f t="shared" ca="1" si="7"/>
        <v>N/A</v>
      </c>
      <c r="N53" s="35" t="str">
        <f t="shared" ca="1" si="8"/>
        <v>N/A</v>
      </c>
      <c r="O53" s="35" t="str">
        <f t="shared" ca="1" si="9"/>
        <v>N/A</v>
      </c>
      <c r="P53" s="15"/>
      <c r="Q53" s="397">
        <f ca="1">SUM(Start:End!Q53)</f>
        <v>0</v>
      </c>
      <c r="R53" s="397">
        <f ca="1">SUM(Start:End!R53)</f>
        <v>0</v>
      </c>
      <c r="S53" s="397">
        <f ca="1">SUM(Start:End!S53)</f>
        <v>0</v>
      </c>
      <c r="T53" s="397">
        <f ca="1">SUM(Start:End!T53)</f>
        <v>0</v>
      </c>
      <c r="U53" s="15"/>
      <c r="V53" s="35" t="str">
        <f t="shared" ca="1" si="4"/>
        <v>N/A</v>
      </c>
      <c r="W53" s="397">
        <f ca="1">SUM(Start:End!W53)</f>
        <v>0</v>
      </c>
      <c r="X53" s="35" t="str">
        <f t="shared" ca="1" si="4"/>
        <v>N/A</v>
      </c>
      <c r="Y53" s="397">
        <f ca="1">SUM(Start:End!Y53)</f>
        <v>0</v>
      </c>
      <c r="Z53" s="35" t="str">
        <f t="shared" ref="Z53" ca="1" si="33">+IFERROR(AA53/$G53,"N/A")</f>
        <v>N/A</v>
      </c>
      <c r="AA53" s="397">
        <f ca="1">SUM(Start:End!AA53)</f>
        <v>0</v>
      </c>
      <c r="AB53" s="397">
        <f ca="1">SUM(Start:End!AB53)</f>
        <v>0</v>
      </c>
      <c r="AC53" s="15"/>
      <c r="AD53" s="397">
        <f ca="1">SUM(Start:End!AD53)</f>
        <v>0</v>
      </c>
      <c r="AE53" s="397">
        <f ca="1">SUM(Start:End!AE53)</f>
        <v>0</v>
      </c>
      <c r="AF53" s="397">
        <f ca="1">SUM(Start:End!AF53)</f>
        <v>0</v>
      </c>
      <c r="AG53" s="15"/>
      <c r="AH53" s="273">
        <f t="shared" si="11"/>
        <v>50405</v>
      </c>
      <c r="AI53" s="267"/>
      <c r="AJ53" s="267"/>
      <c r="AK53" s="397">
        <f ca="1">SUM(Start:End!AK53)</f>
        <v>0</v>
      </c>
      <c r="AL53" s="233"/>
    </row>
    <row r="54" spans="2:38" x14ac:dyDescent="0.3">
      <c r="B54" s="232"/>
      <c r="C54" s="250">
        <f t="shared" si="6"/>
        <v>2038</v>
      </c>
      <c r="D54" s="397">
        <f ca="1">SUM(Start:End!D54)</f>
        <v>0</v>
      </c>
      <c r="E54" s="397">
        <f ca="1">SUM(Start:End!E54)</f>
        <v>0</v>
      </c>
      <c r="F54" s="397">
        <f ca="1">SUM(Start:End!F54)</f>
        <v>0</v>
      </c>
      <c r="G54" s="397">
        <f ca="1">SUM(Start:End!G54)</f>
        <v>0</v>
      </c>
      <c r="H54" s="15"/>
      <c r="I54" s="271">
        <f ca="1">Assumptions!O$68</f>
        <v>4.5</v>
      </c>
      <c r="J54" s="271">
        <f ca="1">Assumptions!P$68</f>
        <v>80</v>
      </c>
      <c r="K54" s="271">
        <f t="shared" ca="1" si="0"/>
        <v>40</v>
      </c>
      <c r="L54" s="15"/>
      <c r="M54" s="35" t="str">
        <f t="shared" ca="1" si="7"/>
        <v>N/A</v>
      </c>
      <c r="N54" s="35" t="str">
        <f t="shared" ca="1" si="8"/>
        <v>N/A</v>
      </c>
      <c r="O54" s="35" t="str">
        <f t="shared" ca="1" si="9"/>
        <v>N/A</v>
      </c>
      <c r="P54" s="15"/>
      <c r="Q54" s="397">
        <f ca="1">SUM(Start:End!Q54)</f>
        <v>0</v>
      </c>
      <c r="R54" s="397">
        <f ca="1">SUM(Start:End!R54)</f>
        <v>0</v>
      </c>
      <c r="S54" s="397">
        <f ca="1">SUM(Start:End!S54)</f>
        <v>0</v>
      </c>
      <c r="T54" s="397">
        <f ca="1">SUM(Start:End!T54)</f>
        <v>0</v>
      </c>
      <c r="U54" s="15"/>
      <c r="V54" s="35" t="str">
        <f t="shared" ca="1" si="4"/>
        <v>N/A</v>
      </c>
      <c r="W54" s="397">
        <f ca="1">SUM(Start:End!W54)</f>
        <v>0</v>
      </c>
      <c r="X54" s="35" t="str">
        <f t="shared" ca="1" si="4"/>
        <v>N/A</v>
      </c>
      <c r="Y54" s="397">
        <f ca="1">SUM(Start:End!Y54)</f>
        <v>0</v>
      </c>
      <c r="Z54" s="35" t="str">
        <f t="shared" ref="Z54" ca="1" si="34">+IFERROR(AA54/$G54,"N/A")</f>
        <v>N/A</v>
      </c>
      <c r="AA54" s="397">
        <f ca="1">SUM(Start:End!AA54)</f>
        <v>0</v>
      </c>
      <c r="AB54" s="397">
        <f ca="1">SUM(Start:End!AB54)</f>
        <v>0</v>
      </c>
      <c r="AC54" s="15"/>
      <c r="AD54" s="397">
        <f ca="1">SUM(Start:End!AD54)</f>
        <v>0</v>
      </c>
      <c r="AE54" s="397">
        <f ca="1">SUM(Start:End!AE54)</f>
        <v>0</v>
      </c>
      <c r="AF54" s="397">
        <f ca="1">SUM(Start:End!AF54)</f>
        <v>0</v>
      </c>
      <c r="AG54" s="15"/>
      <c r="AH54" s="273">
        <f t="shared" si="11"/>
        <v>50770</v>
      </c>
      <c r="AI54" s="267"/>
      <c r="AJ54" s="267"/>
      <c r="AK54" s="397">
        <f ca="1">SUM(Start:End!AK54)</f>
        <v>0</v>
      </c>
      <c r="AL54" s="233"/>
    </row>
    <row r="55" spans="2:38" x14ac:dyDescent="0.3">
      <c r="B55" s="232"/>
      <c r="C55" s="250">
        <f t="shared" si="6"/>
        <v>2039</v>
      </c>
      <c r="D55" s="397">
        <f ca="1">SUM(Start:End!D55)</f>
        <v>0</v>
      </c>
      <c r="E55" s="397">
        <f ca="1">SUM(Start:End!E55)</f>
        <v>0</v>
      </c>
      <c r="F55" s="397">
        <f ca="1">SUM(Start:End!F55)</f>
        <v>0</v>
      </c>
      <c r="G55" s="397">
        <f ca="1">SUM(Start:End!G55)</f>
        <v>0</v>
      </c>
      <c r="H55" s="15"/>
      <c r="I55" s="271">
        <f ca="1">Assumptions!O$68</f>
        <v>4.5</v>
      </c>
      <c r="J55" s="271">
        <f ca="1">Assumptions!P$68</f>
        <v>80</v>
      </c>
      <c r="K55" s="271">
        <f t="shared" ca="1" si="0"/>
        <v>40</v>
      </c>
      <c r="L55" s="15"/>
      <c r="M55" s="35" t="str">
        <f t="shared" ca="1" si="7"/>
        <v>N/A</v>
      </c>
      <c r="N55" s="35" t="str">
        <f t="shared" ca="1" si="8"/>
        <v>N/A</v>
      </c>
      <c r="O55" s="35" t="str">
        <f t="shared" ca="1" si="9"/>
        <v>N/A</v>
      </c>
      <c r="P55" s="15"/>
      <c r="Q55" s="397">
        <f ca="1">SUM(Start:End!Q55)</f>
        <v>0</v>
      </c>
      <c r="R55" s="397">
        <f ca="1">SUM(Start:End!R55)</f>
        <v>0</v>
      </c>
      <c r="S55" s="397">
        <f ca="1">SUM(Start:End!S55)</f>
        <v>0</v>
      </c>
      <c r="T55" s="397">
        <f ca="1">SUM(Start:End!T55)</f>
        <v>0</v>
      </c>
      <c r="U55" s="15"/>
      <c r="V55" s="35" t="str">
        <f t="shared" ca="1" si="4"/>
        <v>N/A</v>
      </c>
      <c r="W55" s="397">
        <f ca="1">SUM(Start:End!W55)</f>
        <v>0</v>
      </c>
      <c r="X55" s="35" t="str">
        <f t="shared" ca="1" si="4"/>
        <v>N/A</v>
      </c>
      <c r="Y55" s="397">
        <f ca="1">SUM(Start:End!Y55)</f>
        <v>0</v>
      </c>
      <c r="Z55" s="35" t="str">
        <f t="shared" ref="Z55" ca="1" si="35">+IFERROR(AA55/$G55,"N/A")</f>
        <v>N/A</v>
      </c>
      <c r="AA55" s="397">
        <f ca="1">SUM(Start:End!AA55)</f>
        <v>0</v>
      </c>
      <c r="AB55" s="397">
        <f ca="1">SUM(Start:End!AB55)</f>
        <v>0</v>
      </c>
      <c r="AC55" s="15"/>
      <c r="AD55" s="397">
        <f ca="1">SUM(Start:End!AD55)</f>
        <v>0</v>
      </c>
      <c r="AE55" s="397">
        <f ca="1">SUM(Start:End!AE55)</f>
        <v>0</v>
      </c>
      <c r="AF55" s="397">
        <f ca="1">SUM(Start:End!AF55)</f>
        <v>0</v>
      </c>
      <c r="AG55" s="15"/>
      <c r="AH55" s="273">
        <f t="shared" si="11"/>
        <v>51135</v>
      </c>
      <c r="AI55" s="267"/>
      <c r="AJ55" s="267"/>
      <c r="AK55" s="397">
        <f ca="1">SUM(Start:End!AK55)</f>
        <v>0</v>
      </c>
      <c r="AL55" s="233"/>
    </row>
    <row r="56" spans="2:38" x14ac:dyDescent="0.3">
      <c r="B56" s="232"/>
      <c r="C56" s="250">
        <f t="shared" si="6"/>
        <v>2040</v>
      </c>
      <c r="D56" s="397">
        <f ca="1">SUM(Start:End!D56)</f>
        <v>0</v>
      </c>
      <c r="E56" s="397">
        <f ca="1">SUM(Start:End!E56)</f>
        <v>0</v>
      </c>
      <c r="F56" s="397">
        <f ca="1">SUM(Start:End!F56)</f>
        <v>0</v>
      </c>
      <c r="G56" s="397">
        <f ca="1">SUM(Start:End!G56)</f>
        <v>0</v>
      </c>
      <c r="H56" s="15"/>
      <c r="I56" s="271">
        <f ca="1">Assumptions!O$68</f>
        <v>4.5</v>
      </c>
      <c r="J56" s="271">
        <f ca="1">Assumptions!P$68</f>
        <v>80</v>
      </c>
      <c r="K56" s="271">
        <f t="shared" ca="1" si="0"/>
        <v>40</v>
      </c>
      <c r="L56" s="15"/>
      <c r="M56" s="35" t="str">
        <f t="shared" ca="1" si="7"/>
        <v>N/A</v>
      </c>
      <c r="N56" s="35" t="str">
        <f t="shared" ca="1" si="8"/>
        <v>N/A</v>
      </c>
      <c r="O56" s="35" t="str">
        <f t="shared" ca="1" si="9"/>
        <v>N/A</v>
      </c>
      <c r="P56" s="15"/>
      <c r="Q56" s="397">
        <f ca="1">SUM(Start:End!Q56)</f>
        <v>0</v>
      </c>
      <c r="R56" s="397">
        <f ca="1">SUM(Start:End!R56)</f>
        <v>0</v>
      </c>
      <c r="S56" s="397">
        <f ca="1">SUM(Start:End!S56)</f>
        <v>0</v>
      </c>
      <c r="T56" s="397">
        <f ca="1">SUM(Start:End!T56)</f>
        <v>0</v>
      </c>
      <c r="U56" s="15"/>
      <c r="V56" s="35" t="str">
        <f t="shared" ca="1" si="4"/>
        <v>N/A</v>
      </c>
      <c r="W56" s="397">
        <f ca="1">SUM(Start:End!W56)</f>
        <v>0</v>
      </c>
      <c r="X56" s="35" t="str">
        <f t="shared" ca="1" si="4"/>
        <v>N/A</v>
      </c>
      <c r="Y56" s="397">
        <f ca="1">SUM(Start:End!Y56)</f>
        <v>0</v>
      </c>
      <c r="Z56" s="35" t="str">
        <f t="shared" ref="Z56" ca="1" si="36">+IFERROR(AA56/$G56,"N/A")</f>
        <v>N/A</v>
      </c>
      <c r="AA56" s="397">
        <f ca="1">SUM(Start:End!AA56)</f>
        <v>0</v>
      </c>
      <c r="AB56" s="397">
        <f ca="1">SUM(Start:End!AB56)</f>
        <v>0</v>
      </c>
      <c r="AC56" s="15"/>
      <c r="AD56" s="397">
        <f ca="1">SUM(Start:End!AD56)</f>
        <v>0</v>
      </c>
      <c r="AE56" s="397">
        <f ca="1">SUM(Start:End!AE56)</f>
        <v>0</v>
      </c>
      <c r="AF56" s="397">
        <f ca="1">SUM(Start:End!AF56)</f>
        <v>0</v>
      </c>
      <c r="AG56" s="15"/>
      <c r="AH56" s="273">
        <f t="shared" si="11"/>
        <v>51501</v>
      </c>
      <c r="AI56" s="267"/>
      <c r="AJ56" s="267"/>
      <c r="AK56" s="397">
        <f ca="1">SUM(Start:End!AK56)</f>
        <v>0</v>
      </c>
      <c r="AL56" s="233"/>
    </row>
    <row r="57" spans="2:38" x14ac:dyDescent="0.3">
      <c r="B57" s="232"/>
      <c r="C57" s="250">
        <f t="shared" si="6"/>
        <v>2041</v>
      </c>
      <c r="D57" s="397">
        <f ca="1">SUM(Start:End!D57)</f>
        <v>0</v>
      </c>
      <c r="E57" s="397">
        <f ca="1">SUM(Start:End!E57)</f>
        <v>0</v>
      </c>
      <c r="F57" s="397">
        <f ca="1">SUM(Start:End!F57)</f>
        <v>0</v>
      </c>
      <c r="G57" s="397">
        <f ca="1">SUM(Start:End!G57)</f>
        <v>0</v>
      </c>
      <c r="H57" s="15"/>
      <c r="I57" s="271">
        <f ca="1">Assumptions!O$68</f>
        <v>4.5</v>
      </c>
      <c r="J57" s="271">
        <f ca="1">Assumptions!P$68</f>
        <v>80</v>
      </c>
      <c r="K57" s="271">
        <f t="shared" ca="1" si="0"/>
        <v>40</v>
      </c>
      <c r="L57" s="15"/>
      <c r="M57" s="35" t="str">
        <f t="shared" ca="1" si="7"/>
        <v>N/A</v>
      </c>
      <c r="N57" s="35" t="str">
        <f t="shared" ca="1" si="8"/>
        <v>N/A</v>
      </c>
      <c r="O57" s="35" t="str">
        <f t="shared" ca="1" si="9"/>
        <v>N/A</v>
      </c>
      <c r="P57" s="15"/>
      <c r="Q57" s="397">
        <f ca="1">SUM(Start:End!Q57)</f>
        <v>0</v>
      </c>
      <c r="R57" s="397">
        <f ca="1">SUM(Start:End!R57)</f>
        <v>0</v>
      </c>
      <c r="S57" s="397">
        <f ca="1">SUM(Start:End!S57)</f>
        <v>0</v>
      </c>
      <c r="T57" s="397">
        <f ca="1">SUM(Start:End!T57)</f>
        <v>0</v>
      </c>
      <c r="U57" s="15"/>
      <c r="V57" s="35" t="str">
        <f t="shared" ca="1" si="4"/>
        <v>N/A</v>
      </c>
      <c r="W57" s="397">
        <f ca="1">SUM(Start:End!W57)</f>
        <v>0</v>
      </c>
      <c r="X57" s="35" t="str">
        <f t="shared" ca="1" si="4"/>
        <v>N/A</v>
      </c>
      <c r="Y57" s="397">
        <f ca="1">SUM(Start:End!Y57)</f>
        <v>0</v>
      </c>
      <c r="Z57" s="35" t="str">
        <f t="shared" ref="Z57" ca="1" si="37">+IFERROR(AA57/$G57,"N/A")</f>
        <v>N/A</v>
      </c>
      <c r="AA57" s="397">
        <f ca="1">SUM(Start:End!AA57)</f>
        <v>0</v>
      </c>
      <c r="AB57" s="397">
        <f ca="1">SUM(Start:End!AB57)</f>
        <v>0</v>
      </c>
      <c r="AC57" s="15"/>
      <c r="AD57" s="397">
        <f ca="1">SUM(Start:End!AD57)</f>
        <v>0</v>
      </c>
      <c r="AE57" s="397">
        <f ca="1">SUM(Start:End!AE57)</f>
        <v>0</v>
      </c>
      <c r="AF57" s="397">
        <f ca="1">SUM(Start:End!AF57)</f>
        <v>0</v>
      </c>
      <c r="AG57" s="15"/>
      <c r="AH57" s="273">
        <f t="shared" si="11"/>
        <v>51866</v>
      </c>
      <c r="AI57" s="267"/>
      <c r="AJ57" s="267"/>
      <c r="AK57" s="397">
        <f ca="1">SUM(Start:End!AK57)</f>
        <v>0</v>
      </c>
      <c r="AL57" s="233"/>
    </row>
    <row r="58" spans="2:38" x14ac:dyDescent="0.3">
      <c r="B58" s="232"/>
      <c r="C58" s="250">
        <f t="shared" si="6"/>
        <v>2042</v>
      </c>
      <c r="D58" s="397">
        <f ca="1">SUM(Start:End!D58)</f>
        <v>0</v>
      </c>
      <c r="E58" s="397">
        <f ca="1">SUM(Start:End!E58)</f>
        <v>0</v>
      </c>
      <c r="F58" s="397">
        <f ca="1">SUM(Start:End!F58)</f>
        <v>0</v>
      </c>
      <c r="G58" s="397">
        <f ca="1">SUM(Start:End!G58)</f>
        <v>0</v>
      </c>
      <c r="H58" s="15"/>
      <c r="I58" s="271">
        <f ca="1">Assumptions!O$68</f>
        <v>4.5</v>
      </c>
      <c r="J58" s="271">
        <f ca="1">Assumptions!P$68</f>
        <v>80</v>
      </c>
      <c r="K58" s="271">
        <f t="shared" ca="1" si="0"/>
        <v>40</v>
      </c>
      <c r="L58" s="15"/>
      <c r="M58" s="35" t="str">
        <f t="shared" ca="1" si="7"/>
        <v>N/A</v>
      </c>
      <c r="N58" s="35" t="str">
        <f t="shared" ca="1" si="8"/>
        <v>N/A</v>
      </c>
      <c r="O58" s="35" t="str">
        <f t="shared" ca="1" si="9"/>
        <v>N/A</v>
      </c>
      <c r="P58" s="15"/>
      <c r="Q58" s="397">
        <f ca="1">SUM(Start:End!Q58)</f>
        <v>0</v>
      </c>
      <c r="R58" s="397">
        <f ca="1">SUM(Start:End!R58)</f>
        <v>0</v>
      </c>
      <c r="S58" s="397">
        <f ca="1">SUM(Start:End!S58)</f>
        <v>0</v>
      </c>
      <c r="T58" s="397">
        <f ca="1">SUM(Start:End!T58)</f>
        <v>0</v>
      </c>
      <c r="U58" s="15"/>
      <c r="V58" s="35" t="str">
        <f t="shared" ca="1" si="4"/>
        <v>N/A</v>
      </c>
      <c r="W58" s="397">
        <f ca="1">SUM(Start:End!W58)</f>
        <v>0</v>
      </c>
      <c r="X58" s="35" t="str">
        <f t="shared" ca="1" si="4"/>
        <v>N/A</v>
      </c>
      <c r="Y58" s="397">
        <f ca="1">SUM(Start:End!Y58)</f>
        <v>0</v>
      </c>
      <c r="Z58" s="35" t="str">
        <f t="shared" ref="Z58" ca="1" si="38">+IFERROR(AA58/$G58,"N/A")</f>
        <v>N/A</v>
      </c>
      <c r="AA58" s="397">
        <f ca="1">SUM(Start:End!AA58)</f>
        <v>0</v>
      </c>
      <c r="AB58" s="397">
        <f ca="1">SUM(Start:End!AB58)</f>
        <v>0</v>
      </c>
      <c r="AC58" s="15"/>
      <c r="AD58" s="397">
        <f ca="1">SUM(Start:End!AD58)</f>
        <v>0</v>
      </c>
      <c r="AE58" s="397">
        <f ca="1">SUM(Start:End!AE58)</f>
        <v>0</v>
      </c>
      <c r="AF58" s="397">
        <f ca="1">SUM(Start:End!AF58)</f>
        <v>0</v>
      </c>
      <c r="AG58" s="15"/>
      <c r="AH58" s="273">
        <f t="shared" si="11"/>
        <v>52231</v>
      </c>
      <c r="AI58" s="267"/>
      <c r="AJ58" s="267"/>
      <c r="AK58" s="397">
        <f ca="1">SUM(Start:End!AK58)</f>
        <v>0</v>
      </c>
      <c r="AL58" s="233"/>
    </row>
    <row r="59" spans="2:38" x14ac:dyDescent="0.3">
      <c r="B59" s="232"/>
      <c r="C59" s="250">
        <f t="shared" si="6"/>
        <v>2043</v>
      </c>
      <c r="D59" s="397">
        <f ca="1">SUM(Start:End!D59)</f>
        <v>0</v>
      </c>
      <c r="E59" s="397">
        <f ca="1">SUM(Start:End!E59)</f>
        <v>0</v>
      </c>
      <c r="F59" s="397">
        <f ca="1">SUM(Start:End!F59)</f>
        <v>0</v>
      </c>
      <c r="G59" s="397">
        <f ca="1">SUM(Start:End!G59)</f>
        <v>0</v>
      </c>
      <c r="H59" s="15"/>
      <c r="I59" s="271">
        <f ca="1">Assumptions!O$68</f>
        <v>4.5</v>
      </c>
      <c r="J59" s="271">
        <f ca="1">Assumptions!P$68</f>
        <v>80</v>
      </c>
      <c r="K59" s="271">
        <f t="shared" ca="1" si="0"/>
        <v>40</v>
      </c>
      <c r="L59" s="15"/>
      <c r="M59" s="35" t="str">
        <f t="shared" ca="1" si="7"/>
        <v>N/A</v>
      </c>
      <c r="N59" s="35" t="str">
        <f t="shared" ca="1" si="8"/>
        <v>N/A</v>
      </c>
      <c r="O59" s="35" t="str">
        <f t="shared" ca="1" si="9"/>
        <v>N/A</v>
      </c>
      <c r="P59" s="15"/>
      <c r="Q59" s="397">
        <f ca="1">SUM(Start:End!Q59)</f>
        <v>0</v>
      </c>
      <c r="R59" s="397">
        <f ca="1">SUM(Start:End!R59)</f>
        <v>0</v>
      </c>
      <c r="S59" s="397">
        <f ca="1">SUM(Start:End!S59)</f>
        <v>0</v>
      </c>
      <c r="T59" s="397">
        <f ca="1">SUM(Start:End!T59)</f>
        <v>0</v>
      </c>
      <c r="U59" s="15"/>
      <c r="V59" s="35" t="str">
        <f t="shared" ca="1" si="4"/>
        <v>N/A</v>
      </c>
      <c r="W59" s="397">
        <f ca="1">SUM(Start:End!W59)</f>
        <v>0</v>
      </c>
      <c r="X59" s="35" t="str">
        <f t="shared" ca="1" si="4"/>
        <v>N/A</v>
      </c>
      <c r="Y59" s="397">
        <f ca="1">SUM(Start:End!Y59)</f>
        <v>0</v>
      </c>
      <c r="Z59" s="35" t="str">
        <f t="shared" ref="Z59" ca="1" si="39">+IFERROR(AA59/$G59,"N/A")</f>
        <v>N/A</v>
      </c>
      <c r="AA59" s="397">
        <f ca="1">SUM(Start:End!AA59)</f>
        <v>0</v>
      </c>
      <c r="AB59" s="397">
        <f ca="1">SUM(Start:End!AB59)</f>
        <v>0</v>
      </c>
      <c r="AC59" s="15"/>
      <c r="AD59" s="397">
        <f ca="1">SUM(Start:End!AD59)</f>
        <v>0</v>
      </c>
      <c r="AE59" s="397">
        <f ca="1">SUM(Start:End!AE59)</f>
        <v>0</v>
      </c>
      <c r="AF59" s="397">
        <f ca="1">SUM(Start:End!AF59)</f>
        <v>0</v>
      </c>
      <c r="AG59" s="15"/>
      <c r="AH59" s="273">
        <f t="shared" si="11"/>
        <v>52596</v>
      </c>
      <c r="AI59" s="267"/>
      <c r="AJ59" s="267"/>
      <c r="AK59" s="397">
        <f ca="1">SUM(Start:End!AK59)</f>
        <v>0</v>
      </c>
      <c r="AL59" s="233"/>
    </row>
    <row r="60" spans="2:38" x14ac:dyDescent="0.3">
      <c r="B60" s="232"/>
      <c r="C60" s="250">
        <f t="shared" si="6"/>
        <v>2044</v>
      </c>
      <c r="D60" s="397">
        <f ca="1">SUM(Start:End!D60)</f>
        <v>0</v>
      </c>
      <c r="E60" s="397">
        <f ca="1">SUM(Start:End!E60)</f>
        <v>0</v>
      </c>
      <c r="F60" s="397">
        <f ca="1">SUM(Start:End!F60)</f>
        <v>0</v>
      </c>
      <c r="G60" s="397">
        <f ca="1">SUM(Start:End!G60)</f>
        <v>0</v>
      </c>
      <c r="H60" s="15"/>
      <c r="I60" s="271">
        <f ca="1">Assumptions!O$68</f>
        <v>4.5</v>
      </c>
      <c r="J60" s="271">
        <f ca="1">Assumptions!P$68</f>
        <v>80</v>
      </c>
      <c r="K60" s="271">
        <f t="shared" ca="1" si="0"/>
        <v>40</v>
      </c>
      <c r="L60" s="15"/>
      <c r="M60" s="35" t="str">
        <f t="shared" ca="1" si="7"/>
        <v>N/A</v>
      </c>
      <c r="N60" s="35" t="str">
        <f t="shared" ca="1" si="8"/>
        <v>N/A</v>
      </c>
      <c r="O60" s="35" t="str">
        <f t="shared" ca="1" si="9"/>
        <v>N/A</v>
      </c>
      <c r="P60" s="15"/>
      <c r="Q60" s="397">
        <f ca="1">SUM(Start:End!Q60)</f>
        <v>0</v>
      </c>
      <c r="R60" s="397">
        <f ca="1">SUM(Start:End!R60)</f>
        <v>0</v>
      </c>
      <c r="S60" s="397">
        <f ca="1">SUM(Start:End!S60)</f>
        <v>0</v>
      </c>
      <c r="T60" s="397">
        <f ca="1">SUM(Start:End!T60)</f>
        <v>0</v>
      </c>
      <c r="U60" s="15"/>
      <c r="V60" s="35" t="str">
        <f t="shared" ca="1" si="4"/>
        <v>N/A</v>
      </c>
      <c r="W60" s="397">
        <f ca="1">SUM(Start:End!W60)</f>
        <v>0</v>
      </c>
      <c r="X60" s="35" t="str">
        <f t="shared" ca="1" si="4"/>
        <v>N/A</v>
      </c>
      <c r="Y60" s="397">
        <f ca="1">SUM(Start:End!Y60)</f>
        <v>0</v>
      </c>
      <c r="Z60" s="35" t="str">
        <f t="shared" ref="Z60" ca="1" si="40">+IFERROR(AA60/$G60,"N/A")</f>
        <v>N/A</v>
      </c>
      <c r="AA60" s="397">
        <f ca="1">SUM(Start:End!AA60)</f>
        <v>0</v>
      </c>
      <c r="AB60" s="397">
        <f ca="1">SUM(Start:End!AB60)</f>
        <v>0</v>
      </c>
      <c r="AC60" s="15"/>
      <c r="AD60" s="397">
        <f ca="1">SUM(Start:End!AD60)</f>
        <v>0</v>
      </c>
      <c r="AE60" s="397">
        <f ca="1">SUM(Start:End!AE60)</f>
        <v>0</v>
      </c>
      <c r="AF60" s="397">
        <f ca="1">SUM(Start:End!AF60)</f>
        <v>0</v>
      </c>
      <c r="AG60" s="15"/>
      <c r="AH60" s="273">
        <f t="shared" si="11"/>
        <v>52962</v>
      </c>
      <c r="AI60" s="267"/>
      <c r="AJ60" s="267"/>
      <c r="AK60" s="397">
        <f ca="1">SUM(Start:End!AK60)</f>
        <v>0</v>
      </c>
      <c r="AL60" s="233"/>
    </row>
    <row r="61" spans="2:38" x14ac:dyDescent="0.3">
      <c r="B61" s="232"/>
      <c r="C61" s="250">
        <f t="shared" si="6"/>
        <v>2045</v>
      </c>
      <c r="D61" s="397">
        <f ca="1">SUM(Start:End!D61)</f>
        <v>0</v>
      </c>
      <c r="E61" s="397">
        <f ca="1">SUM(Start:End!E61)</f>
        <v>0</v>
      </c>
      <c r="F61" s="397">
        <f ca="1">SUM(Start:End!F61)</f>
        <v>0</v>
      </c>
      <c r="G61" s="397">
        <f ca="1">SUM(Start:End!G61)</f>
        <v>0</v>
      </c>
      <c r="H61" s="15"/>
      <c r="I61" s="271">
        <f ca="1">Assumptions!O$68</f>
        <v>4.5</v>
      </c>
      <c r="J61" s="271">
        <f ca="1">Assumptions!P$68</f>
        <v>80</v>
      </c>
      <c r="K61" s="271">
        <f t="shared" ca="1" si="0"/>
        <v>40</v>
      </c>
      <c r="L61" s="15"/>
      <c r="M61" s="35" t="str">
        <f t="shared" ca="1" si="7"/>
        <v>N/A</v>
      </c>
      <c r="N61" s="35" t="str">
        <f t="shared" ca="1" si="8"/>
        <v>N/A</v>
      </c>
      <c r="O61" s="35" t="str">
        <f t="shared" ca="1" si="9"/>
        <v>N/A</v>
      </c>
      <c r="P61" s="15"/>
      <c r="Q61" s="397">
        <f ca="1">SUM(Start:End!Q61)</f>
        <v>0</v>
      </c>
      <c r="R61" s="397">
        <f ca="1">SUM(Start:End!R61)</f>
        <v>0</v>
      </c>
      <c r="S61" s="397">
        <f ca="1">SUM(Start:End!S61)</f>
        <v>0</v>
      </c>
      <c r="T61" s="397">
        <f ca="1">SUM(Start:End!T61)</f>
        <v>0</v>
      </c>
      <c r="U61" s="15"/>
      <c r="V61" s="35" t="str">
        <f t="shared" ca="1" si="4"/>
        <v>N/A</v>
      </c>
      <c r="W61" s="397">
        <f ca="1">SUM(Start:End!W61)</f>
        <v>0</v>
      </c>
      <c r="X61" s="35" t="str">
        <f t="shared" ca="1" si="4"/>
        <v>N/A</v>
      </c>
      <c r="Y61" s="397">
        <f ca="1">SUM(Start:End!Y61)</f>
        <v>0</v>
      </c>
      <c r="Z61" s="35" t="str">
        <f t="shared" ref="Z61" ca="1" si="41">+IFERROR(AA61/$G61,"N/A")</f>
        <v>N/A</v>
      </c>
      <c r="AA61" s="397">
        <f ca="1">SUM(Start:End!AA61)</f>
        <v>0</v>
      </c>
      <c r="AB61" s="397">
        <f ca="1">SUM(Start:End!AB61)</f>
        <v>0</v>
      </c>
      <c r="AC61" s="15"/>
      <c r="AD61" s="397">
        <f ca="1">SUM(Start:End!AD61)</f>
        <v>0</v>
      </c>
      <c r="AE61" s="397">
        <f ca="1">SUM(Start:End!AE61)</f>
        <v>0</v>
      </c>
      <c r="AF61" s="397">
        <f ca="1">SUM(Start:End!AF61)</f>
        <v>0</v>
      </c>
      <c r="AG61" s="15"/>
      <c r="AH61" s="273">
        <f t="shared" si="11"/>
        <v>53327</v>
      </c>
      <c r="AI61" s="267"/>
      <c r="AJ61" s="267"/>
      <c r="AK61" s="397">
        <f ca="1">SUM(Start:End!AK61)</f>
        <v>0</v>
      </c>
      <c r="AL61" s="233"/>
    </row>
    <row r="62" spans="2:38" x14ac:dyDescent="0.3">
      <c r="B62" s="232"/>
      <c r="C62" s="250">
        <f t="shared" si="6"/>
        <v>2046</v>
      </c>
      <c r="D62" s="397">
        <f ca="1">SUM(Start:End!D62)</f>
        <v>0</v>
      </c>
      <c r="E62" s="397">
        <f ca="1">SUM(Start:End!E62)</f>
        <v>0</v>
      </c>
      <c r="F62" s="397">
        <f ca="1">SUM(Start:End!F62)</f>
        <v>0</v>
      </c>
      <c r="G62" s="397">
        <f ca="1">SUM(Start:End!G62)</f>
        <v>0</v>
      </c>
      <c r="H62" s="15"/>
      <c r="I62" s="271">
        <f ca="1">Assumptions!O$68</f>
        <v>4.5</v>
      </c>
      <c r="J62" s="271">
        <f ca="1">Assumptions!P$68</f>
        <v>80</v>
      </c>
      <c r="K62" s="271">
        <f t="shared" ca="1" si="0"/>
        <v>40</v>
      </c>
      <c r="L62" s="15"/>
      <c r="M62" s="35" t="str">
        <f t="shared" ca="1" si="7"/>
        <v>N/A</v>
      </c>
      <c r="N62" s="35" t="str">
        <f t="shared" ca="1" si="8"/>
        <v>N/A</v>
      </c>
      <c r="O62" s="35" t="str">
        <f t="shared" ca="1" si="9"/>
        <v>N/A</v>
      </c>
      <c r="P62" s="15"/>
      <c r="Q62" s="397">
        <f ca="1">SUM(Start:End!Q62)</f>
        <v>0</v>
      </c>
      <c r="R62" s="397">
        <f ca="1">SUM(Start:End!R62)</f>
        <v>0</v>
      </c>
      <c r="S62" s="397">
        <f ca="1">SUM(Start:End!S62)</f>
        <v>0</v>
      </c>
      <c r="T62" s="397">
        <f ca="1">SUM(Start:End!T62)</f>
        <v>0</v>
      </c>
      <c r="U62" s="15"/>
      <c r="V62" s="35" t="str">
        <f t="shared" ca="1" si="4"/>
        <v>N/A</v>
      </c>
      <c r="W62" s="397">
        <f ca="1">SUM(Start:End!W62)</f>
        <v>0</v>
      </c>
      <c r="X62" s="35" t="str">
        <f t="shared" ca="1" si="4"/>
        <v>N/A</v>
      </c>
      <c r="Y62" s="397">
        <f ca="1">SUM(Start:End!Y62)</f>
        <v>0</v>
      </c>
      <c r="Z62" s="35" t="str">
        <f t="shared" ref="Z62" ca="1" si="42">+IFERROR(AA62/$G62,"N/A")</f>
        <v>N/A</v>
      </c>
      <c r="AA62" s="397">
        <f ca="1">SUM(Start:End!AA62)</f>
        <v>0</v>
      </c>
      <c r="AB62" s="397">
        <f ca="1">SUM(Start:End!AB62)</f>
        <v>0</v>
      </c>
      <c r="AC62" s="15"/>
      <c r="AD62" s="397">
        <f ca="1">SUM(Start:End!AD62)</f>
        <v>0</v>
      </c>
      <c r="AE62" s="397">
        <f ca="1">SUM(Start:End!AE62)</f>
        <v>0</v>
      </c>
      <c r="AF62" s="397">
        <f ca="1">SUM(Start:End!AF62)</f>
        <v>0</v>
      </c>
      <c r="AG62" s="15"/>
      <c r="AH62" s="273">
        <f t="shared" si="11"/>
        <v>53692</v>
      </c>
      <c r="AI62" s="267"/>
      <c r="AJ62" s="267"/>
      <c r="AK62" s="397">
        <f ca="1">SUM(Start:End!AK62)</f>
        <v>0</v>
      </c>
      <c r="AL62" s="233"/>
    </row>
    <row r="63" spans="2:38" x14ac:dyDescent="0.3">
      <c r="B63" s="232"/>
      <c r="C63" s="250">
        <f t="shared" si="6"/>
        <v>2047</v>
      </c>
      <c r="D63" s="397">
        <f ca="1">SUM(Start:End!D63)</f>
        <v>0</v>
      </c>
      <c r="E63" s="397">
        <f ca="1">SUM(Start:End!E63)</f>
        <v>0</v>
      </c>
      <c r="F63" s="397">
        <f ca="1">SUM(Start:End!F63)</f>
        <v>0</v>
      </c>
      <c r="G63" s="397">
        <f ca="1">SUM(Start:End!G63)</f>
        <v>0</v>
      </c>
      <c r="H63" s="15"/>
      <c r="I63" s="271">
        <f ca="1">Assumptions!O$68</f>
        <v>4.5</v>
      </c>
      <c r="J63" s="271">
        <f ca="1">Assumptions!P$68</f>
        <v>80</v>
      </c>
      <c r="K63" s="271">
        <f t="shared" ca="1" si="0"/>
        <v>40</v>
      </c>
      <c r="L63" s="15"/>
      <c r="M63" s="35" t="str">
        <f t="shared" ca="1" si="7"/>
        <v>N/A</v>
      </c>
      <c r="N63" s="35" t="str">
        <f t="shared" ca="1" si="8"/>
        <v>N/A</v>
      </c>
      <c r="O63" s="35" t="str">
        <f t="shared" ca="1" si="9"/>
        <v>N/A</v>
      </c>
      <c r="P63" s="15"/>
      <c r="Q63" s="397">
        <f ca="1">SUM(Start:End!Q63)</f>
        <v>0</v>
      </c>
      <c r="R63" s="397">
        <f ca="1">SUM(Start:End!R63)</f>
        <v>0</v>
      </c>
      <c r="S63" s="397">
        <f ca="1">SUM(Start:End!S63)</f>
        <v>0</v>
      </c>
      <c r="T63" s="397">
        <f ca="1">SUM(Start:End!T63)</f>
        <v>0</v>
      </c>
      <c r="U63" s="15"/>
      <c r="V63" s="35" t="str">
        <f t="shared" ca="1" si="4"/>
        <v>N/A</v>
      </c>
      <c r="W63" s="397">
        <f ca="1">SUM(Start:End!W63)</f>
        <v>0</v>
      </c>
      <c r="X63" s="35" t="str">
        <f t="shared" ca="1" si="4"/>
        <v>N/A</v>
      </c>
      <c r="Y63" s="397">
        <f ca="1">SUM(Start:End!Y63)</f>
        <v>0</v>
      </c>
      <c r="Z63" s="35" t="str">
        <f t="shared" ref="Z63" ca="1" si="43">+IFERROR(AA63/$G63,"N/A")</f>
        <v>N/A</v>
      </c>
      <c r="AA63" s="397">
        <f ca="1">SUM(Start:End!AA63)</f>
        <v>0</v>
      </c>
      <c r="AB63" s="397">
        <f ca="1">SUM(Start:End!AB63)</f>
        <v>0</v>
      </c>
      <c r="AC63" s="15"/>
      <c r="AD63" s="397">
        <f ca="1">SUM(Start:End!AD63)</f>
        <v>0</v>
      </c>
      <c r="AE63" s="397">
        <f ca="1">SUM(Start:End!AE63)</f>
        <v>0</v>
      </c>
      <c r="AF63" s="397">
        <f ca="1">SUM(Start:End!AF63)</f>
        <v>0</v>
      </c>
      <c r="AG63" s="15"/>
      <c r="AH63" s="273">
        <f t="shared" si="11"/>
        <v>54057</v>
      </c>
      <c r="AI63" s="267"/>
      <c r="AJ63" s="267"/>
      <c r="AK63" s="397">
        <f ca="1">SUM(Start:End!AK63)</f>
        <v>0</v>
      </c>
      <c r="AL63" s="233"/>
    </row>
    <row r="64" spans="2:38" x14ac:dyDescent="0.3">
      <c r="B64" s="232"/>
      <c r="C64" s="250">
        <f t="shared" si="6"/>
        <v>2048</v>
      </c>
      <c r="D64" s="397">
        <f ca="1">SUM(Start:End!D64)</f>
        <v>0</v>
      </c>
      <c r="E64" s="397">
        <f ca="1">SUM(Start:End!E64)</f>
        <v>0</v>
      </c>
      <c r="F64" s="397">
        <f ca="1">SUM(Start:End!F64)</f>
        <v>0</v>
      </c>
      <c r="G64" s="397">
        <f ca="1">SUM(Start:End!G64)</f>
        <v>0</v>
      </c>
      <c r="H64" s="15"/>
      <c r="I64" s="271">
        <f ca="1">Assumptions!O$68</f>
        <v>4.5</v>
      </c>
      <c r="J64" s="271">
        <f ca="1">Assumptions!P$68</f>
        <v>80</v>
      </c>
      <c r="K64" s="271">
        <f t="shared" ca="1" si="0"/>
        <v>40</v>
      </c>
      <c r="L64" s="15"/>
      <c r="M64" s="35" t="str">
        <f t="shared" ca="1" si="7"/>
        <v>N/A</v>
      </c>
      <c r="N64" s="35" t="str">
        <f t="shared" ca="1" si="8"/>
        <v>N/A</v>
      </c>
      <c r="O64" s="35" t="str">
        <f t="shared" ca="1" si="9"/>
        <v>N/A</v>
      </c>
      <c r="P64" s="15"/>
      <c r="Q64" s="397">
        <f ca="1">SUM(Start:End!Q64)</f>
        <v>0</v>
      </c>
      <c r="R64" s="397">
        <f ca="1">SUM(Start:End!R64)</f>
        <v>0</v>
      </c>
      <c r="S64" s="397">
        <f ca="1">SUM(Start:End!S64)</f>
        <v>0</v>
      </c>
      <c r="T64" s="397">
        <f ca="1">SUM(Start:End!T64)</f>
        <v>0</v>
      </c>
      <c r="U64" s="15"/>
      <c r="V64" s="35" t="str">
        <f t="shared" ca="1" si="4"/>
        <v>N/A</v>
      </c>
      <c r="W64" s="397">
        <f ca="1">SUM(Start:End!W64)</f>
        <v>0</v>
      </c>
      <c r="X64" s="35" t="str">
        <f t="shared" ca="1" si="4"/>
        <v>N/A</v>
      </c>
      <c r="Y64" s="397">
        <f ca="1">SUM(Start:End!Y64)</f>
        <v>0</v>
      </c>
      <c r="Z64" s="35" t="str">
        <f t="shared" ref="Z64" ca="1" si="44">+IFERROR(AA64/$G64,"N/A")</f>
        <v>N/A</v>
      </c>
      <c r="AA64" s="397">
        <f ca="1">SUM(Start:End!AA64)</f>
        <v>0</v>
      </c>
      <c r="AB64" s="397">
        <f ca="1">SUM(Start:End!AB64)</f>
        <v>0</v>
      </c>
      <c r="AC64" s="15"/>
      <c r="AD64" s="397">
        <f ca="1">SUM(Start:End!AD64)</f>
        <v>0</v>
      </c>
      <c r="AE64" s="397">
        <f ca="1">SUM(Start:End!AE64)</f>
        <v>0</v>
      </c>
      <c r="AF64" s="397">
        <f ca="1">SUM(Start:End!AF64)</f>
        <v>0</v>
      </c>
      <c r="AG64" s="15"/>
      <c r="AH64" s="273">
        <f t="shared" si="11"/>
        <v>54423</v>
      </c>
      <c r="AI64" s="267"/>
      <c r="AJ64" s="267"/>
      <c r="AK64" s="397">
        <f ca="1">SUM(Start:End!AK64)</f>
        <v>0</v>
      </c>
      <c r="AL64" s="233"/>
    </row>
    <row r="65" spans="2:38" x14ac:dyDescent="0.3">
      <c r="B65" s="232"/>
      <c r="C65" s="250">
        <f t="shared" si="6"/>
        <v>2049</v>
      </c>
      <c r="D65" s="397">
        <f ca="1">SUM(Start:End!D65)</f>
        <v>0</v>
      </c>
      <c r="E65" s="397">
        <f ca="1">SUM(Start:End!E65)</f>
        <v>0</v>
      </c>
      <c r="F65" s="397">
        <f ca="1">SUM(Start:End!F65)</f>
        <v>0</v>
      </c>
      <c r="G65" s="397">
        <f ca="1">SUM(Start:End!G65)</f>
        <v>0</v>
      </c>
      <c r="H65" s="15"/>
      <c r="I65" s="271">
        <f ca="1">Assumptions!O$68</f>
        <v>4.5</v>
      </c>
      <c r="J65" s="271">
        <f ca="1">Assumptions!P$68</f>
        <v>80</v>
      </c>
      <c r="K65" s="271">
        <f t="shared" ca="1" si="0"/>
        <v>40</v>
      </c>
      <c r="L65" s="15"/>
      <c r="M65" s="35" t="str">
        <f t="shared" ca="1" si="7"/>
        <v>N/A</v>
      </c>
      <c r="N65" s="35" t="str">
        <f t="shared" ca="1" si="8"/>
        <v>N/A</v>
      </c>
      <c r="O65" s="35" t="str">
        <f t="shared" ca="1" si="9"/>
        <v>N/A</v>
      </c>
      <c r="P65" s="15"/>
      <c r="Q65" s="397">
        <f ca="1">SUM(Start:End!Q65)</f>
        <v>0</v>
      </c>
      <c r="R65" s="397">
        <f ca="1">SUM(Start:End!R65)</f>
        <v>0</v>
      </c>
      <c r="S65" s="397">
        <f ca="1">SUM(Start:End!S65)</f>
        <v>0</v>
      </c>
      <c r="T65" s="397">
        <f ca="1">SUM(Start:End!T65)</f>
        <v>0</v>
      </c>
      <c r="U65" s="15"/>
      <c r="V65" s="35" t="str">
        <f t="shared" ca="1" si="4"/>
        <v>N/A</v>
      </c>
      <c r="W65" s="397">
        <f ca="1">SUM(Start:End!W65)</f>
        <v>0</v>
      </c>
      <c r="X65" s="35" t="str">
        <f t="shared" ca="1" si="4"/>
        <v>N/A</v>
      </c>
      <c r="Y65" s="397">
        <f ca="1">SUM(Start:End!Y65)</f>
        <v>0</v>
      </c>
      <c r="Z65" s="35" t="str">
        <f t="shared" ref="Z65" ca="1" si="45">+IFERROR(AA65/$G65,"N/A")</f>
        <v>N/A</v>
      </c>
      <c r="AA65" s="397">
        <f ca="1">SUM(Start:End!AA65)</f>
        <v>0</v>
      </c>
      <c r="AB65" s="397">
        <f ca="1">SUM(Start:End!AB65)</f>
        <v>0</v>
      </c>
      <c r="AC65" s="15"/>
      <c r="AD65" s="397">
        <f ca="1">SUM(Start:End!AD65)</f>
        <v>0</v>
      </c>
      <c r="AE65" s="397">
        <f ca="1">SUM(Start:End!AE65)</f>
        <v>0</v>
      </c>
      <c r="AF65" s="397">
        <f ca="1">SUM(Start:End!AF65)</f>
        <v>0</v>
      </c>
      <c r="AG65" s="15"/>
      <c r="AH65" s="273">
        <f t="shared" si="11"/>
        <v>54788</v>
      </c>
      <c r="AI65" s="267"/>
      <c r="AJ65" s="267"/>
      <c r="AK65" s="397">
        <f ca="1">SUM(Start:End!AK65)</f>
        <v>0</v>
      </c>
      <c r="AL65" s="233"/>
    </row>
    <row r="66" spans="2:38" x14ac:dyDescent="0.3">
      <c r="B66" s="232"/>
      <c r="C66" s="250">
        <f t="shared" si="6"/>
        <v>2050</v>
      </c>
      <c r="D66" s="397">
        <f ca="1">SUM(Start:End!D66)</f>
        <v>0</v>
      </c>
      <c r="E66" s="397">
        <f ca="1">SUM(Start:End!E66)</f>
        <v>0</v>
      </c>
      <c r="F66" s="397">
        <f ca="1">SUM(Start:End!F66)</f>
        <v>0</v>
      </c>
      <c r="G66" s="397">
        <f ca="1">SUM(Start:End!G66)</f>
        <v>0</v>
      </c>
      <c r="H66" s="15"/>
      <c r="I66" s="271">
        <f ca="1">Assumptions!O$68</f>
        <v>4.5</v>
      </c>
      <c r="J66" s="271">
        <f ca="1">Assumptions!P$68</f>
        <v>80</v>
      </c>
      <c r="K66" s="271">
        <f t="shared" ca="1" si="0"/>
        <v>40</v>
      </c>
      <c r="L66" s="15"/>
      <c r="M66" s="35" t="str">
        <f t="shared" ca="1" si="7"/>
        <v>N/A</v>
      </c>
      <c r="N66" s="35" t="str">
        <f t="shared" ca="1" si="8"/>
        <v>N/A</v>
      </c>
      <c r="O66" s="35" t="str">
        <f t="shared" ca="1" si="9"/>
        <v>N/A</v>
      </c>
      <c r="P66" s="15"/>
      <c r="Q66" s="397">
        <f ca="1">SUM(Start:End!Q66)</f>
        <v>0</v>
      </c>
      <c r="R66" s="397">
        <f ca="1">SUM(Start:End!R66)</f>
        <v>0</v>
      </c>
      <c r="S66" s="397">
        <f ca="1">SUM(Start:End!S66)</f>
        <v>0</v>
      </c>
      <c r="T66" s="397">
        <f ca="1">SUM(Start:End!T66)</f>
        <v>0</v>
      </c>
      <c r="U66" s="15"/>
      <c r="V66" s="35" t="str">
        <f t="shared" ca="1" si="4"/>
        <v>N/A</v>
      </c>
      <c r="W66" s="397">
        <f ca="1">SUM(Start:End!W66)</f>
        <v>0</v>
      </c>
      <c r="X66" s="35" t="str">
        <f t="shared" ca="1" si="4"/>
        <v>N/A</v>
      </c>
      <c r="Y66" s="397">
        <f ca="1">SUM(Start:End!Y66)</f>
        <v>0</v>
      </c>
      <c r="Z66" s="35" t="str">
        <f t="shared" ref="Z66" ca="1" si="46">+IFERROR(AA66/$G66,"N/A")</f>
        <v>N/A</v>
      </c>
      <c r="AA66" s="397">
        <f ca="1">SUM(Start:End!AA66)</f>
        <v>0</v>
      </c>
      <c r="AB66" s="397">
        <f ca="1">SUM(Start:End!AB66)</f>
        <v>0</v>
      </c>
      <c r="AC66" s="15"/>
      <c r="AD66" s="397">
        <f ca="1">SUM(Start:End!AD66)</f>
        <v>0</v>
      </c>
      <c r="AE66" s="397">
        <f ca="1">SUM(Start:End!AE66)</f>
        <v>0</v>
      </c>
      <c r="AF66" s="397">
        <f ca="1">SUM(Start:End!AF66)</f>
        <v>0</v>
      </c>
      <c r="AG66" s="15"/>
      <c r="AH66" s="273">
        <f t="shared" si="11"/>
        <v>55153</v>
      </c>
      <c r="AI66" s="267"/>
      <c r="AJ66" s="267"/>
      <c r="AK66" s="397">
        <f ca="1">SUM(Start:End!AK66)</f>
        <v>0</v>
      </c>
      <c r="AL66" s="233"/>
    </row>
    <row r="67" spans="2:38" x14ac:dyDescent="0.3">
      <c r="B67" s="232"/>
      <c r="C67" s="250">
        <f t="shared" si="6"/>
        <v>2051</v>
      </c>
      <c r="D67" s="397">
        <f ca="1">SUM(Start:End!D67)</f>
        <v>0</v>
      </c>
      <c r="E67" s="397">
        <f ca="1">SUM(Start:End!E67)</f>
        <v>0</v>
      </c>
      <c r="F67" s="397">
        <f ca="1">SUM(Start:End!F67)</f>
        <v>0</v>
      </c>
      <c r="G67" s="397">
        <f ca="1">SUM(Start:End!G67)</f>
        <v>0</v>
      </c>
      <c r="H67" s="15"/>
      <c r="I67" s="271">
        <f ca="1">Assumptions!O$68</f>
        <v>4.5</v>
      </c>
      <c r="J67" s="271">
        <f ca="1">Assumptions!P$68</f>
        <v>80</v>
      </c>
      <c r="K67" s="271">
        <f t="shared" ca="1" si="0"/>
        <v>40</v>
      </c>
      <c r="L67" s="15"/>
      <c r="M67" s="35" t="str">
        <f t="shared" ca="1" si="7"/>
        <v>N/A</v>
      </c>
      <c r="N67" s="35" t="str">
        <f t="shared" ca="1" si="8"/>
        <v>N/A</v>
      </c>
      <c r="O67" s="35" t="str">
        <f t="shared" ca="1" si="9"/>
        <v>N/A</v>
      </c>
      <c r="P67" s="15"/>
      <c r="Q67" s="397">
        <f ca="1">SUM(Start:End!Q67)</f>
        <v>0</v>
      </c>
      <c r="R67" s="397">
        <f ca="1">SUM(Start:End!R67)</f>
        <v>0</v>
      </c>
      <c r="S67" s="397">
        <f ca="1">SUM(Start:End!S67)</f>
        <v>0</v>
      </c>
      <c r="T67" s="397">
        <f ca="1">SUM(Start:End!T67)</f>
        <v>0</v>
      </c>
      <c r="U67" s="15"/>
      <c r="V67" s="35" t="str">
        <f t="shared" ca="1" si="4"/>
        <v>N/A</v>
      </c>
      <c r="W67" s="397">
        <f ca="1">SUM(Start:End!W67)</f>
        <v>0</v>
      </c>
      <c r="X67" s="35" t="str">
        <f t="shared" ca="1" si="4"/>
        <v>N/A</v>
      </c>
      <c r="Y67" s="397">
        <f ca="1">SUM(Start:End!Y67)</f>
        <v>0</v>
      </c>
      <c r="Z67" s="35" t="str">
        <f t="shared" ref="Z67" ca="1" si="47">+IFERROR(AA67/$G67,"N/A")</f>
        <v>N/A</v>
      </c>
      <c r="AA67" s="397">
        <f ca="1">SUM(Start:End!AA67)</f>
        <v>0</v>
      </c>
      <c r="AB67" s="397">
        <f ca="1">SUM(Start:End!AB67)</f>
        <v>0</v>
      </c>
      <c r="AC67" s="15"/>
      <c r="AD67" s="397">
        <f ca="1">SUM(Start:End!AD67)</f>
        <v>0</v>
      </c>
      <c r="AE67" s="397">
        <f ca="1">SUM(Start:End!AE67)</f>
        <v>0</v>
      </c>
      <c r="AF67" s="397">
        <f ca="1">SUM(Start:End!AF67)</f>
        <v>0</v>
      </c>
      <c r="AG67" s="15"/>
      <c r="AH67" s="273">
        <f t="shared" si="11"/>
        <v>55518</v>
      </c>
      <c r="AI67" s="267"/>
      <c r="AJ67" s="267"/>
      <c r="AK67" s="397">
        <f ca="1">SUM(Start:End!AK67)</f>
        <v>0</v>
      </c>
      <c r="AL67" s="233"/>
    </row>
    <row r="68" spans="2:38" x14ac:dyDescent="0.3">
      <c r="B68" s="232"/>
      <c r="C68" s="250">
        <f t="shared" si="6"/>
        <v>2052</v>
      </c>
      <c r="D68" s="397">
        <f ca="1">SUM(Start:End!D68)</f>
        <v>0</v>
      </c>
      <c r="E68" s="397">
        <f ca="1">SUM(Start:End!E68)</f>
        <v>0</v>
      </c>
      <c r="F68" s="397">
        <f ca="1">SUM(Start:End!F68)</f>
        <v>0</v>
      </c>
      <c r="G68" s="397">
        <f ca="1">SUM(Start:End!G68)</f>
        <v>0</v>
      </c>
      <c r="H68" s="15"/>
      <c r="I68" s="271">
        <f ca="1">Assumptions!O$68</f>
        <v>4.5</v>
      </c>
      <c r="J68" s="271">
        <f ca="1">Assumptions!P$68</f>
        <v>80</v>
      </c>
      <c r="K68" s="271">
        <f t="shared" ca="1" si="0"/>
        <v>40</v>
      </c>
      <c r="L68" s="15"/>
      <c r="M68" s="35" t="str">
        <f t="shared" ca="1" si="7"/>
        <v>N/A</v>
      </c>
      <c r="N68" s="35" t="str">
        <f t="shared" ca="1" si="8"/>
        <v>N/A</v>
      </c>
      <c r="O68" s="35" t="str">
        <f t="shared" ca="1" si="9"/>
        <v>N/A</v>
      </c>
      <c r="P68" s="15"/>
      <c r="Q68" s="397">
        <f ca="1">SUM(Start:End!Q68)</f>
        <v>0</v>
      </c>
      <c r="R68" s="397">
        <f ca="1">SUM(Start:End!R68)</f>
        <v>0</v>
      </c>
      <c r="S68" s="397">
        <f ca="1">SUM(Start:End!S68)</f>
        <v>0</v>
      </c>
      <c r="T68" s="397">
        <f ca="1">SUM(Start:End!T68)</f>
        <v>0</v>
      </c>
      <c r="U68" s="15"/>
      <c r="V68" s="35" t="str">
        <f t="shared" ca="1" si="4"/>
        <v>N/A</v>
      </c>
      <c r="W68" s="397">
        <f ca="1">SUM(Start:End!W68)</f>
        <v>0</v>
      </c>
      <c r="X68" s="35" t="str">
        <f t="shared" ca="1" si="4"/>
        <v>N/A</v>
      </c>
      <c r="Y68" s="397">
        <f ca="1">SUM(Start:End!Y68)</f>
        <v>0</v>
      </c>
      <c r="Z68" s="35" t="str">
        <f t="shared" ref="Z68" ca="1" si="48">+IFERROR(AA68/$G68,"N/A")</f>
        <v>N/A</v>
      </c>
      <c r="AA68" s="397">
        <f ca="1">SUM(Start:End!AA68)</f>
        <v>0</v>
      </c>
      <c r="AB68" s="397">
        <f ca="1">SUM(Start:End!AB68)</f>
        <v>0</v>
      </c>
      <c r="AC68" s="15"/>
      <c r="AD68" s="397">
        <f ca="1">SUM(Start:End!AD68)</f>
        <v>0</v>
      </c>
      <c r="AE68" s="397">
        <f ca="1">SUM(Start:End!AE68)</f>
        <v>0</v>
      </c>
      <c r="AF68" s="397">
        <f ca="1">SUM(Start:End!AF68)</f>
        <v>0</v>
      </c>
      <c r="AG68" s="15"/>
      <c r="AH68" s="273">
        <f t="shared" si="11"/>
        <v>55884</v>
      </c>
      <c r="AI68" s="267"/>
      <c r="AJ68" s="267"/>
      <c r="AK68" s="397">
        <f ca="1">SUM(Start:End!AK68)</f>
        <v>0</v>
      </c>
      <c r="AL68" s="233"/>
    </row>
    <row r="69" spans="2:38" x14ac:dyDescent="0.3">
      <c r="B69" s="232"/>
      <c r="C69" s="250">
        <f t="shared" si="6"/>
        <v>2053</v>
      </c>
      <c r="D69" s="397">
        <f ca="1">SUM(Start:End!D69)</f>
        <v>0</v>
      </c>
      <c r="E69" s="397">
        <f ca="1">SUM(Start:End!E69)</f>
        <v>0</v>
      </c>
      <c r="F69" s="397">
        <f ca="1">SUM(Start:End!F69)</f>
        <v>0</v>
      </c>
      <c r="G69" s="397">
        <f ca="1">SUM(Start:End!G69)</f>
        <v>0</v>
      </c>
      <c r="H69" s="15"/>
      <c r="I69" s="271">
        <f ca="1">Assumptions!O$68</f>
        <v>4.5</v>
      </c>
      <c r="J69" s="271">
        <f ca="1">Assumptions!P$68</f>
        <v>80</v>
      </c>
      <c r="K69" s="271">
        <f t="shared" ca="1" si="0"/>
        <v>40</v>
      </c>
      <c r="L69" s="15"/>
      <c r="M69" s="35" t="str">
        <f t="shared" ca="1" si="7"/>
        <v>N/A</v>
      </c>
      <c r="N69" s="35" t="str">
        <f t="shared" ca="1" si="8"/>
        <v>N/A</v>
      </c>
      <c r="O69" s="35" t="str">
        <f t="shared" ca="1" si="9"/>
        <v>N/A</v>
      </c>
      <c r="P69" s="15"/>
      <c r="Q69" s="397">
        <f ca="1">SUM(Start:End!Q69)</f>
        <v>0</v>
      </c>
      <c r="R69" s="397">
        <f ca="1">SUM(Start:End!R69)</f>
        <v>0</v>
      </c>
      <c r="S69" s="397">
        <f ca="1">SUM(Start:End!S69)</f>
        <v>0</v>
      </c>
      <c r="T69" s="397">
        <f ca="1">SUM(Start:End!T69)</f>
        <v>0</v>
      </c>
      <c r="U69" s="15"/>
      <c r="V69" s="35" t="str">
        <f t="shared" ca="1" si="4"/>
        <v>N/A</v>
      </c>
      <c r="W69" s="397">
        <f ca="1">SUM(Start:End!W69)</f>
        <v>0</v>
      </c>
      <c r="X69" s="35" t="str">
        <f t="shared" ca="1" si="4"/>
        <v>N/A</v>
      </c>
      <c r="Y69" s="397">
        <f ca="1">SUM(Start:End!Y69)</f>
        <v>0</v>
      </c>
      <c r="Z69" s="35" t="str">
        <f t="shared" ref="Z69" ca="1" si="49">+IFERROR(AA69/$G69,"N/A")</f>
        <v>N/A</v>
      </c>
      <c r="AA69" s="397">
        <f ca="1">SUM(Start:End!AA69)</f>
        <v>0</v>
      </c>
      <c r="AB69" s="397">
        <f ca="1">SUM(Start:End!AB69)</f>
        <v>0</v>
      </c>
      <c r="AC69" s="15"/>
      <c r="AD69" s="397">
        <f ca="1">SUM(Start:End!AD69)</f>
        <v>0</v>
      </c>
      <c r="AE69" s="397">
        <f ca="1">SUM(Start:End!AE69)</f>
        <v>0</v>
      </c>
      <c r="AF69" s="397">
        <f ca="1">SUM(Start:End!AF69)</f>
        <v>0</v>
      </c>
      <c r="AG69" s="15"/>
      <c r="AH69" s="273">
        <f t="shared" si="11"/>
        <v>56249</v>
      </c>
      <c r="AI69" s="267"/>
      <c r="AJ69" s="267"/>
      <c r="AK69" s="397">
        <f ca="1">SUM(Start:End!AK69)</f>
        <v>0</v>
      </c>
      <c r="AL69" s="233"/>
    </row>
    <row r="70" spans="2:38" x14ac:dyDescent="0.3">
      <c r="B70" s="232"/>
      <c r="C70" s="274" t="s">
        <v>302</v>
      </c>
      <c r="D70" s="39">
        <f ca="1">SUM(D29:D69)</f>
        <v>1796300.8849557519</v>
      </c>
      <c r="E70" s="39">
        <f t="shared" ref="E70:G70" ca="1" si="50">SUM(E29:E69)</f>
        <v>19983.185840707978</v>
      </c>
      <c r="F70" s="39">
        <f t="shared" ca="1" si="50"/>
        <v>0</v>
      </c>
      <c r="G70" s="39">
        <f t="shared" ca="1" si="50"/>
        <v>1916199.9999999995</v>
      </c>
      <c r="H70" s="15"/>
      <c r="I70" s="35"/>
      <c r="J70" s="35"/>
      <c r="K70" s="35"/>
      <c r="L70" s="15"/>
      <c r="M70" s="35"/>
      <c r="N70" s="35"/>
      <c r="O70" s="35"/>
      <c r="P70" s="15"/>
      <c r="Q70" s="39">
        <f ca="1">SUM(Q29:Q69)</f>
        <v>7122043.2405763622</v>
      </c>
      <c r="R70" s="39">
        <f t="shared" ref="R70" ca="1" si="51">SUM(R29:R69)</f>
        <v>1457672.28987562</v>
      </c>
      <c r="S70" s="39">
        <f t="shared" ref="S70" ca="1" si="52">SUM(S29:S69)</f>
        <v>0</v>
      </c>
      <c r="T70" s="39">
        <f t="shared" ref="T70" ca="1" si="53">SUM(T29:T69)</f>
        <v>8579715.5304519851</v>
      </c>
      <c r="U70" s="15"/>
      <c r="V70" s="275"/>
      <c r="W70" s="399">
        <f t="shared" ref="W70" ca="1" si="54">SUM(W29:W69)</f>
        <v>626007.99999999988</v>
      </c>
      <c r="X70" s="275"/>
      <c r="Y70" s="399">
        <f t="shared" ref="Y70" ca="1" si="55">SUM(Y29:Y69)</f>
        <v>702999.99999999988</v>
      </c>
      <c r="Z70" s="275"/>
      <c r="AA70" s="399">
        <f t="shared" ref="AA70:AF70" ca="1" si="56">SUM(AA29:AA69)</f>
        <v>1101999.9999999993</v>
      </c>
      <c r="AB70" s="399">
        <f t="shared" ca="1" si="56"/>
        <v>2431007.9999999986</v>
      </c>
      <c r="AC70" s="15"/>
      <c r="AD70" s="39">
        <f t="shared" ca="1" si="56"/>
        <v>6148707.5304519823</v>
      </c>
      <c r="AE70" s="39">
        <f t="shared" ca="1" si="56"/>
        <v>216999.99999999997</v>
      </c>
      <c r="AF70" s="39">
        <f t="shared" ca="1" si="56"/>
        <v>5931707.5304519841</v>
      </c>
      <c r="AG70" s="15"/>
      <c r="AH70" s="277"/>
      <c r="AI70" s="278"/>
      <c r="AJ70" s="278"/>
      <c r="AK70" s="399">
        <f t="shared" ref="AK70" ca="1" si="57">SUM(AK29:AK69)</f>
        <v>3280614.7791927722</v>
      </c>
      <c r="AL70" s="233"/>
    </row>
    <row r="71" spans="2:38" x14ac:dyDescent="0.3">
      <c r="B71" s="232"/>
      <c r="C71" s="283" t="s">
        <v>303</v>
      </c>
      <c r="D71" s="397">
        <f ca="1">SUM(Start:End!D71)</f>
        <v>0</v>
      </c>
      <c r="E71" s="397">
        <f ca="1">SUM(Start:End!E71)</f>
        <v>0</v>
      </c>
      <c r="F71" s="397">
        <f ca="1">SUM(Start:End!F71)</f>
        <v>0</v>
      </c>
      <c r="G71" s="397">
        <f ca="1">SUM(Start:End!G71)</f>
        <v>0</v>
      </c>
      <c r="H71" s="15"/>
      <c r="I71" s="271">
        <f ca="1">Assumptions!O$68</f>
        <v>4.5</v>
      </c>
      <c r="J71" s="271">
        <f ca="1">Assumptions!P$68</f>
        <v>80</v>
      </c>
      <c r="K71" s="271">
        <f ca="1">J71*NGL_Price_Diff_vs_Oil</f>
        <v>40</v>
      </c>
      <c r="L71" s="15"/>
      <c r="M71" s="35" t="str">
        <f t="shared" ref="M71" ca="1" si="58">+IFERROR(Q71/D71,"N/A")</f>
        <v>N/A</v>
      </c>
      <c r="N71" s="35" t="str">
        <f t="shared" ref="N71" ca="1" si="59">+IFERROR(R71/E71,"N/A")</f>
        <v>N/A</v>
      </c>
      <c r="O71" s="35" t="str">
        <f t="shared" ref="O71" ca="1" si="60">+IFERROR(S71/F71,"N/A")</f>
        <v>N/A</v>
      </c>
      <c r="P71" s="15"/>
      <c r="Q71" s="397">
        <f ca="1">SUM(Start:End!Q71)</f>
        <v>0</v>
      </c>
      <c r="R71" s="397">
        <f ca="1">SUM(Start:End!R71)</f>
        <v>0</v>
      </c>
      <c r="S71" s="397">
        <f ca="1">SUM(Start:End!S71)</f>
        <v>0</v>
      </c>
      <c r="T71" s="397">
        <f ca="1">SUM(Start:End!T71)</f>
        <v>0</v>
      </c>
      <c r="U71" s="15"/>
      <c r="V71" s="35" t="str">
        <f t="shared" ca="1" si="4"/>
        <v>N/A</v>
      </c>
      <c r="W71" s="397">
        <f ca="1">SUM(Start:End!W71)</f>
        <v>0</v>
      </c>
      <c r="X71" s="35" t="str">
        <f t="shared" ca="1" si="4"/>
        <v>N/A</v>
      </c>
      <c r="Y71" s="397">
        <f ca="1">SUM(Start:End!Y71)</f>
        <v>0</v>
      </c>
      <c r="Z71" s="35" t="str">
        <f t="shared" ref="Z71" ca="1" si="61">+IFERROR(AA71/$G71,"N/A")</f>
        <v>N/A</v>
      </c>
      <c r="AA71" s="397">
        <f ca="1">SUM(Start:End!AA71)</f>
        <v>0</v>
      </c>
      <c r="AB71" s="397">
        <f ca="1">SUM(Start:End!AB71)</f>
        <v>0</v>
      </c>
      <c r="AC71" s="15"/>
      <c r="AD71" s="397">
        <f ca="1">SUM(Start:End!AD71)</f>
        <v>0</v>
      </c>
      <c r="AE71" s="397">
        <f ca="1">SUM(Start:End!AE71)</f>
        <v>0</v>
      </c>
      <c r="AF71" s="397">
        <f ca="1">SUM(Start:End!AF71)</f>
        <v>0</v>
      </c>
      <c r="AG71" s="15"/>
      <c r="AH71" s="266">
        <f>Remainder_Date</f>
        <v>56249</v>
      </c>
      <c r="AI71" s="267"/>
      <c r="AJ71" s="267"/>
      <c r="AK71" s="397">
        <f ca="1">SUM(Start:End!AK71)</f>
        <v>0</v>
      </c>
      <c r="AL71" s="233"/>
    </row>
    <row r="72" spans="2:38" x14ac:dyDescent="0.3">
      <c r="B72" s="232"/>
      <c r="C72" s="60" t="s">
        <v>26</v>
      </c>
      <c r="D72" s="39">
        <f ca="1">D71+D70</f>
        <v>1796300.8849557519</v>
      </c>
      <c r="E72" s="39">
        <f t="shared" ref="E72:G72" ca="1" si="62">E71+E70</f>
        <v>19983.185840707978</v>
      </c>
      <c r="F72" s="39">
        <f t="shared" ca="1" si="62"/>
        <v>0</v>
      </c>
      <c r="G72" s="39">
        <f t="shared" ca="1" si="62"/>
        <v>1916199.9999999995</v>
      </c>
      <c r="H72" s="15"/>
      <c r="I72" s="15"/>
      <c r="J72" s="15"/>
      <c r="K72" s="15"/>
      <c r="L72" s="15"/>
      <c r="M72" s="15"/>
      <c r="N72" s="15"/>
      <c r="O72" s="15"/>
      <c r="P72" s="15"/>
      <c r="Q72" s="39">
        <f ca="1">Q71+Q70</f>
        <v>7122043.2405763622</v>
      </c>
      <c r="R72" s="39">
        <f t="shared" ref="R72" ca="1" si="63">R71+R70</f>
        <v>1457672.28987562</v>
      </c>
      <c r="S72" s="39">
        <f t="shared" ref="S72" ca="1" si="64">S71+S70</f>
        <v>0</v>
      </c>
      <c r="T72" s="39">
        <f t="shared" ref="T72" ca="1" si="65">T71+T70</f>
        <v>8579715.5304519851</v>
      </c>
      <c r="U72" s="15"/>
      <c r="V72" s="9"/>
      <c r="W72" s="39">
        <f t="shared" ref="W72" ca="1" si="66">W71+W70</f>
        <v>626007.99999999988</v>
      </c>
      <c r="X72" s="9"/>
      <c r="Y72" s="39">
        <f t="shared" ref="Y72" ca="1" si="67">Y71+Y70</f>
        <v>702999.99999999988</v>
      </c>
      <c r="Z72" s="9"/>
      <c r="AA72" s="39">
        <f t="shared" ref="AA72:AF72" ca="1" si="68">AA71+AA70</f>
        <v>1101999.9999999993</v>
      </c>
      <c r="AB72" s="39">
        <f t="shared" ca="1" si="68"/>
        <v>2431007.9999999986</v>
      </c>
      <c r="AC72" s="15"/>
      <c r="AD72" s="39">
        <f t="shared" ca="1" si="68"/>
        <v>6148707.5304519823</v>
      </c>
      <c r="AE72" s="39">
        <f t="shared" ca="1" si="68"/>
        <v>216999.99999999997</v>
      </c>
      <c r="AF72" s="39">
        <f t="shared" ca="1" si="68"/>
        <v>5931707.5304519841</v>
      </c>
      <c r="AG72" s="15"/>
      <c r="AH72" s="9"/>
      <c r="AI72" s="9"/>
      <c r="AJ72" s="9"/>
      <c r="AK72" s="39">
        <f t="shared" ref="AK72" ca="1" si="69">AK71+AK70</f>
        <v>3280614.7791927722</v>
      </c>
      <c r="AL72" s="233"/>
    </row>
    <row r="73" spans="2:38" x14ac:dyDescent="0.3">
      <c r="B73" s="232"/>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233"/>
    </row>
    <row r="74" spans="2:38" x14ac:dyDescent="0.3">
      <c r="B74" s="285" t="s">
        <v>28</v>
      </c>
      <c r="C74" s="286"/>
      <c r="D74" s="287"/>
      <c r="E74" s="287"/>
      <c r="F74" s="287"/>
      <c r="G74" s="287"/>
      <c r="H74" s="287"/>
      <c r="I74" s="287"/>
      <c r="J74" s="287"/>
      <c r="K74" s="287"/>
      <c r="L74" s="287"/>
      <c r="M74" s="287"/>
      <c r="N74" s="287"/>
      <c r="O74" s="287"/>
      <c r="P74" s="287"/>
      <c r="Q74" s="286" t="str">
        <f>B74</f>
        <v>PDNP</v>
      </c>
      <c r="R74" s="287"/>
      <c r="S74" s="287"/>
      <c r="T74" s="287"/>
      <c r="U74" s="287"/>
      <c r="V74" s="287"/>
      <c r="W74" s="287"/>
      <c r="X74" s="287"/>
      <c r="Y74" s="287"/>
      <c r="Z74" s="287"/>
      <c r="AA74" s="287"/>
      <c r="AB74" s="287"/>
      <c r="AC74" s="287"/>
      <c r="AD74" s="286" t="str">
        <f>Q74</f>
        <v>PDNP</v>
      </c>
      <c r="AE74" s="287"/>
      <c r="AF74" s="287"/>
      <c r="AG74" s="287"/>
      <c r="AH74" s="287"/>
      <c r="AI74" s="287"/>
      <c r="AJ74" s="287"/>
      <c r="AK74" s="287"/>
      <c r="AL74" s="288"/>
    </row>
    <row r="75" spans="2:38" x14ac:dyDescent="0.3">
      <c r="B75" s="232"/>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233"/>
    </row>
    <row r="76" spans="2:38" x14ac:dyDescent="0.3">
      <c r="B76" s="232"/>
      <c r="C76" s="37" t="s">
        <v>277</v>
      </c>
      <c r="D76" s="23"/>
      <c r="E76" s="23"/>
      <c r="F76" s="23"/>
      <c r="G76" s="23"/>
      <c r="H76" s="261"/>
      <c r="I76" s="37" t="s">
        <v>15</v>
      </c>
      <c r="J76" s="23"/>
      <c r="K76" s="23"/>
      <c r="L76" s="15"/>
      <c r="M76" s="37" t="s">
        <v>278</v>
      </c>
      <c r="N76" s="23"/>
      <c r="O76" s="23"/>
      <c r="P76" s="15"/>
      <c r="Q76" s="37" t="s">
        <v>279</v>
      </c>
      <c r="R76" s="23"/>
      <c r="S76" s="23"/>
      <c r="T76" s="23"/>
      <c r="U76" s="15"/>
      <c r="V76" s="37" t="s">
        <v>280</v>
      </c>
      <c r="W76" s="23"/>
      <c r="X76" s="23"/>
      <c r="Y76" s="23"/>
      <c r="Z76" s="23"/>
      <c r="AA76" s="23"/>
      <c r="AB76" s="4"/>
      <c r="AC76" s="15"/>
      <c r="AD76" s="37" t="s">
        <v>281</v>
      </c>
      <c r="AE76" s="23"/>
      <c r="AF76" s="23"/>
      <c r="AG76" s="15"/>
      <c r="AH76" s="37" t="s">
        <v>282</v>
      </c>
      <c r="AI76" s="23"/>
      <c r="AJ76" s="23"/>
      <c r="AK76" s="23"/>
      <c r="AL76" s="233"/>
    </row>
    <row r="77" spans="2:38" x14ac:dyDescent="0.3">
      <c r="B77" s="232"/>
      <c r="C77" s="250"/>
      <c r="D77" s="250" t="s">
        <v>10</v>
      </c>
      <c r="E77" s="250" t="s">
        <v>11</v>
      </c>
      <c r="F77" s="250" t="s">
        <v>245</v>
      </c>
      <c r="G77" s="250" t="s">
        <v>12</v>
      </c>
      <c r="H77" s="261"/>
      <c r="I77" s="262" t="s">
        <v>10</v>
      </c>
      <c r="J77" s="262" t="s">
        <v>11</v>
      </c>
      <c r="K77" s="262" t="s">
        <v>245</v>
      </c>
      <c r="L77" s="15"/>
      <c r="M77" s="262" t="s">
        <v>10</v>
      </c>
      <c r="N77" s="262" t="s">
        <v>11</v>
      </c>
      <c r="O77" s="262" t="s">
        <v>245</v>
      </c>
      <c r="P77" s="15"/>
      <c r="Q77" s="262" t="s">
        <v>10</v>
      </c>
      <c r="R77" s="262" t="s">
        <v>11</v>
      </c>
      <c r="S77" s="262" t="s">
        <v>245</v>
      </c>
      <c r="T77" s="262" t="s">
        <v>12</v>
      </c>
      <c r="U77" s="15"/>
      <c r="V77" s="262" t="s">
        <v>283</v>
      </c>
      <c r="W77" s="262" t="s">
        <v>283</v>
      </c>
      <c r="X77" s="262" t="s">
        <v>284</v>
      </c>
      <c r="Y77" s="262" t="s">
        <v>284</v>
      </c>
      <c r="Z77" s="262" t="s">
        <v>285</v>
      </c>
      <c r="AA77" s="262" t="s">
        <v>285</v>
      </c>
      <c r="AB77" s="262" t="s">
        <v>12</v>
      </c>
      <c r="AC77" s="15"/>
      <c r="AD77" s="262" t="s">
        <v>286</v>
      </c>
      <c r="AE77" s="262" t="s">
        <v>287</v>
      </c>
      <c r="AF77" s="262" t="s">
        <v>281</v>
      </c>
      <c r="AG77" s="15"/>
      <c r="AH77" s="262"/>
      <c r="AI77" s="262" t="s">
        <v>288</v>
      </c>
      <c r="AJ77" s="262" t="s">
        <v>288</v>
      </c>
      <c r="AK77" s="262" t="s">
        <v>289</v>
      </c>
      <c r="AL77" s="233"/>
    </row>
    <row r="78" spans="2:38" x14ac:dyDescent="0.3">
      <c r="B78" s="232"/>
      <c r="C78" s="13" t="s">
        <v>9</v>
      </c>
      <c r="D78" s="13" t="s">
        <v>307</v>
      </c>
      <c r="E78" s="13" t="s">
        <v>308</v>
      </c>
      <c r="F78" s="13" t="s">
        <v>308</v>
      </c>
      <c r="G78" s="13" t="s">
        <v>248</v>
      </c>
      <c r="H78" s="4"/>
      <c r="I78" s="13" t="s">
        <v>24</v>
      </c>
      <c r="J78" s="13" t="s">
        <v>25</v>
      </c>
      <c r="K78" s="13" t="s">
        <v>25</v>
      </c>
      <c r="L78" s="4"/>
      <c r="M78" s="13" t="s">
        <v>24</v>
      </c>
      <c r="N78" s="13" t="s">
        <v>25</v>
      </c>
      <c r="O78" s="13" t="s">
        <v>25</v>
      </c>
      <c r="P78" s="4"/>
      <c r="Q78" s="13" t="s">
        <v>293</v>
      </c>
      <c r="R78" s="13" t="s">
        <v>293</v>
      </c>
      <c r="S78" s="13" t="s">
        <v>293</v>
      </c>
      <c r="T78" s="13" t="s">
        <v>293</v>
      </c>
      <c r="U78" s="4"/>
      <c r="V78" s="13" t="s">
        <v>294</v>
      </c>
      <c r="W78" s="13" t="s">
        <v>293</v>
      </c>
      <c r="X78" s="13" t="s">
        <v>294</v>
      </c>
      <c r="Y78" s="13" t="s">
        <v>293</v>
      </c>
      <c r="Z78" s="13" t="s">
        <v>294</v>
      </c>
      <c r="AA78" s="13" t="s">
        <v>293</v>
      </c>
      <c r="AB78" s="13" t="s">
        <v>293</v>
      </c>
      <c r="AC78" s="4"/>
      <c r="AD78" s="13" t="s">
        <v>293</v>
      </c>
      <c r="AE78" s="13" t="s">
        <v>293</v>
      </c>
      <c r="AF78" s="13" t="s">
        <v>293</v>
      </c>
      <c r="AG78" s="4"/>
      <c r="AH78" s="13" t="s">
        <v>295</v>
      </c>
      <c r="AI78" s="13" t="s">
        <v>296</v>
      </c>
      <c r="AJ78" s="13" t="s">
        <v>297</v>
      </c>
      <c r="AK78" s="13" t="s">
        <v>293</v>
      </c>
      <c r="AL78" s="258"/>
    </row>
    <row r="79" spans="2:38" x14ac:dyDescent="0.3">
      <c r="B79" s="232"/>
      <c r="C79" s="250">
        <f>YEAR(FY_Date)</f>
        <v>2013</v>
      </c>
      <c r="D79" s="397">
        <f ca="1">SUM(Start:End!D79)</f>
        <v>0</v>
      </c>
      <c r="E79" s="397">
        <f ca="1">SUM(Start:End!E79)</f>
        <v>0</v>
      </c>
      <c r="F79" s="397">
        <f ca="1">SUM(Start:End!F79)</f>
        <v>0</v>
      </c>
      <c r="G79" s="397">
        <f ca="1">SUM(Start:End!G79)</f>
        <v>0</v>
      </c>
      <c r="H79" s="15"/>
      <c r="I79" s="264">
        <f ca="1">Assumptions!O$63</f>
        <v>3.7</v>
      </c>
      <c r="J79" s="264">
        <f ca="1">Assumptions!P$63</f>
        <v>101</v>
      </c>
      <c r="K79" s="264">
        <f t="shared" ref="K79:K119" ca="1" si="70">J79*NGL_Price_Diff_vs_Oil</f>
        <v>50.5</v>
      </c>
      <c r="L79" s="15"/>
      <c r="M79" s="51" t="str">
        <f ca="1">+IFERROR(Q79/D79,"N/A")</f>
        <v>N/A</v>
      </c>
      <c r="N79" s="51" t="str">
        <f t="shared" ref="N79:N119" ca="1" si="71">+IFERROR(R79/E79,"N/A")</f>
        <v>N/A</v>
      </c>
      <c r="O79" s="51" t="str">
        <f t="shared" ref="O79:O119" ca="1" si="72">+IFERROR(S79/F79,"N/A")</f>
        <v>N/A</v>
      </c>
      <c r="P79" s="15"/>
      <c r="Q79" s="397">
        <f ca="1">SUM(Start:End!Q79)</f>
        <v>0</v>
      </c>
      <c r="R79" s="397">
        <f ca="1">SUM(Start:End!R79)</f>
        <v>0</v>
      </c>
      <c r="S79" s="397">
        <f ca="1">SUM(Start:End!S79)</f>
        <v>0</v>
      </c>
      <c r="T79" s="397">
        <f ca="1">SUM(Start:End!T79)</f>
        <v>0</v>
      </c>
      <c r="U79" s="15"/>
      <c r="V79" s="51" t="str">
        <f ca="1">+IFERROR(W79/$G79,"N/A")</f>
        <v>N/A</v>
      </c>
      <c r="W79" s="397">
        <f ca="1">SUM(Start:End!W79)</f>
        <v>0</v>
      </c>
      <c r="X79" s="51" t="str">
        <f ca="1">+IFERROR(Y79/$G79,"N/A")</f>
        <v>N/A</v>
      </c>
      <c r="Y79" s="397">
        <f ca="1">SUM(Start:End!Y79)</f>
        <v>0</v>
      </c>
      <c r="Z79" s="51" t="str">
        <f ca="1">+IFERROR(AA79/$G79,"N/A")</f>
        <v>N/A</v>
      </c>
      <c r="AA79" s="397">
        <f ca="1">SUM(Start:End!AA79)</f>
        <v>0</v>
      </c>
      <c r="AB79" s="397">
        <f ca="1">SUM(Start:End!AB79)</f>
        <v>0</v>
      </c>
      <c r="AC79" s="15"/>
      <c r="AD79" s="397">
        <f ca="1">SUM(Start:End!AD79)</f>
        <v>0</v>
      </c>
      <c r="AE79" s="397">
        <f ca="1">SUM(Start:End!AE79)</f>
        <v>0</v>
      </c>
      <c r="AF79" s="397">
        <f ca="1">SUM(Start:End!AF79)</f>
        <v>0</v>
      </c>
      <c r="AG79" s="15"/>
      <c r="AH79" s="266">
        <f>FY_Date</f>
        <v>41639</v>
      </c>
      <c r="AI79" s="267"/>
      <c r="AJ79" s="267"/>
      <c r="AK79" s="397">
        <f ca="1">SUM(Start:End!AK79)</f>
        <v>0</v>
      </c>
      <c r="AL79" s="233"/>
    </row>
    <row r="80" spans="2:38" x14ac:dyDescent="0.3">
      <c r="B80" s="232"/>
      <c r="C80" s="270">
        <f>C79+1</f>
        <v>2014</v>
      </c>
      <c r="D80" s="397">
        <f ca="1">SUM(Start:End!D80)</f>
        <v>127699.11504424778</v>
      </c>
      <c r="E80" s="397">
        <f ca="1">SUM(Start:End!E80)</f>
        <v>716.81415929203649</v>
      </c>
      <c r="F80" s="397">
        <f ca="1">SUM(Start:End!F80)</f>
        <v>0</v>
      </c>
      <c r="G80" s="397">
        <f ca="1">SUM(Start:End!G80)</f>
        <v>132000</v>
      </c>
      <c r="H80" s="15"/>
      <c r="I80" s="271">
        <f ca="1">Assumptions!O$64</f>
        <v>3.8</v>
      </c>
      <c r="J80" s="271">
        <f ca="1">Assumptions!P$64</f>
        <v>92</v>
      </c>
      <c r="K80" s="271">
        <f t="shared" ca="1" si="70"/>
        <v>46</v>
      </c>
      <c r="L80" s="15"/>
      <c r="M80" s="35">
        <f t="shared" ref="M80:M119" ca="1" si="73">+IFERROR(Q80/D80,"N/A")</f>
        <v>3.5719999999999996</v>
      </c>
      <c r="N80" s="35">
        <f t="shared" ca="1" si="71"/>
        <v>85.56</v>
      </c>
      <c r="O80" s="35" t="str">
        <f t="shared" ca="1" si="72"/>
        <v>N/A</v>
      </c>
      <c r="P80" s="15"/>
      <c r="Q80" s="397">
        <f ca="1">SUM(Start:End!Q80)</f>
        <v>456141.23893805302</v>
      </c>
      <c r="R80" s="397">
        <f ca="1">SUM(Start:End!R80)</f>
        <v>61330.619469026642</v>
      </c>
      <c r="S80" s="397">
        <f ca="1">SUM(Start:End!S80)</f>
        <v>0</v>
      </c>
      <c r="T80" s="397">
        <f ca="1">SUM(Start:End!T80)</f>
        <v>517471.85840707965</v>
      </c>
      <c r="U80" s="15"/>
      <c r="V80" s="35">
        <f t="shared" ref="V80" ca="1" si="74">+IFERROR(W80/$G80,"N/A")</f>
        <v>0.31</v>
      </c>
      <c r="W80" s="397">
        <f ca="1">SUM(Start:End!W80)</f>
        <v>40920</v>
      </c>
      <c r="X80" s="35">
        <f t="shared" ref="X80" ca="1" si="75">+IFERROR(Y80/$G80,"N/A")</f>
        <v>0.37</v>
      </c>
      <c r="Y80" s="397">
        <f ca="1">SUM(Start:End!Y80)</f>
        <v>48840</v>
      </c>
      <c r="Z80" s="35">
        <f t="shared" ref="Z80:Z119" ca="1" si="76">+IFERROR(AA80/$G80,"N/A")</f>
        <v>0.57999999999999996</v>
      </c>
      <c r="AA80" s="397">
        <f ca="1">SUM(Start:End!AA80)</f>
        <v>76560</v>
      </c>
      <c r="AB80" s="397">
        <f ca="1">SUM(Start:End!AB80)</f>
        <v>166320</v>
      </c>
      <c r="AC80" s="15"/>
      <c r="AD80" s="397">
        <f ca="1">SUM(Start:End!AD80)</f>
        <v>351151.85840707965</v>
      </c>
      <c r="AE80" s="397">
        <f ca="1">SUM(Start:End!AE80)</f>
        <v>71000</v>
      </c>
      <c r="AF80" s="397">
        <f ca="1">SUM(Start:End!AF80)</f>
        <v>280151.85840707965</v>
      </c>
      <c r="AG80" s="15"/>
      <c r="AH80" s="272">
        <f>EOMONTH(AH79,12)</f>
        <v>42004</v>
      </c>
      <c r="AI80" s="267"/>
      <c r="AJ80" s="267"/>
      <c r="AK80" s="397">
        <f ca="1">SUM(Start:End!AK80)</f>
        <v>262904.72067434184</v>
      </c>
      <c r="AL80" s="233"/>
    </row>
    <row r="81" spans="2:38" x14ac:dyDescent="0.3">
      <c r="B81" s="232"/>
      <c r="C81" s="250">
        <f t="shared" ref="C81:C119" si="77">C80+1</f>
        <v>2015</v>
      </c>
      <c r="D81" s="397">
        <f ca="1">SUM(Start:End!D81)</f>
        <v>0</v>
      </c>
      <c r="E81" s="397">
        <f ca="1">SUM(Start:End!E81)</f>
        <v>0</v>
      </c>
      <c r="F81" s="397">
        <f ca="1">SUM(Start:End!F81)</f>
        <v>0</v>
      </c>
      <c r="G81" s="397">
        <f ca="1">SUM(Start:End!G81)</f>
        <v>0</v>
      </c>
      <c r="H81" s="15"/>
      <c r="I81" s="271">
        <f ca="1">Assumptions!O$65</f>
        <v>4</v>
      </c>
      <c r="J81" s="271">
        <f ca="1">Assumptions!P$65</f>
        <v>88</v>
      </c>
      <c r="K81" s="271">
        <f t="shared" ca="1" si="70"/>
        <v>44</v>
      </c>
      <c r="L81" s="15"/>
      <c r="M81" s="35" t="str">
        <f t="shared" ca="1" si="73"/>
        <v>N/A</v>
      </c>
      <c r="N81" s="35" t="str">
        <f t="shared" ca="1" si="71"/>
        <v>N/A</v>
      </c>
      <c r="O81" s="35" t="str">
        <f t="shared" ca="1" si="72"/>
        <v>N/A</v>
      </c>
      <c r="P81" s="15"/>
      <c r="Q81" s="397">
        <f ca="1">SUM(Start:End!Q81)</f>
        <v>0</v>
      </c>
      <c r="R81" s="397">
        <f ca="1">SUM(Start:End!R81)</f>
        <v>0</v>
      </c>
      <c r="S81" s="397">
        <f ca="1">SUM(Start:End!S81)</f>
        <v>0</v>
      </c>
      <c r="T81" s="397">
        <f ca="1">SUM(Start:End!T81)</f>
        <v>0</v>
      </c>
      <c r="U81" s="15"/>
      <c r="V81" s="35" t="str">
        <f t="shared" ref="V81" ca="1" si="78">+IFERROR(W81/$G81,"N/A")</f>
        <v>N/A</v>
      </c>
      <c r="W81" s="397">
        <f ca="1">SUM(Start:End!W81)</f>
        <v>0</v>
      </c>
      <c r="X81" s="35" t="str">
        <f t="shared" ref="X81" ca="1" si="79">+IFERROR(Y81/$G81,"N/A")</f>
        <v>N/A</v>
      </c>
      <c r="Y81" s="397">
        <f ca="1">SUM(Start:End!Y81)</f>
        <v>0</v>
      </c>
      <c r="Z81" s="35" t="str">
        <f t="shared" ca="1" si="76"/>
        <v>N/A</v>
      </c>
      <c r="AA81" s="397">
        <f ca="1">SUM(Start:End!AA81)</f>
        <v>0</v>
      </c>
      <c r="AB81" s="397">
        <f ca="1">SUM(Start:End!AB81)</f>
        <v>0</v>
      </c>
      <c r="AC81" s="15"/>
      <c r="AD81" s="397">
        <f ca="1">SUM(Start:End!AD81)</f>
        <v>0</v>
      </c>
      <c r="AE81" s="397">
        <f ca="1">SUM(Start:End!AE81)</f>
        <v>0</v>
      </c>
      <c r="AF81" s="397">
        <f ca="1">SUM(Start:End!AF81)</f>
        <v>0</v>
      </c>
      <c r="AG81" s="15"/>
      <c r="AH81" s="273">
        <f t="shared" ref="AH81:AH119" si="80">EOMONTH(AH80,12)</f>
        <v>42369</v>
      </c>
      <c r="AI81" s="267"/>
      <c r="AJ81" s="267"/>
      <c r="AK81" s="397">
        <f ca="1">SUM(Start:End!AK81)</f>
        <v>0</v>
      </c>
      <c r="AL81" s="233"/>
    </row>
    <row r="82" spans="2:38" x14ac:dyDescent="0.3">
      <c r="B82" s="232"/>
      <c r="C82" s="250">
        <f t="shared" si="77"/>
        <v>2016</v>
      </c>
      <c r="D82" s="397">
        <f ca="1">SUM(Start:End!D82)</f>
        <v>0</v>
      </c>
      <c r="E82" s="397">
        <f ca="1">SUM(Start:End!E82)</f>
        <v>0</v>
      </c>
      <c r="F82" s="397">
        <f ca="1">SUM(Start:End!F82)</f>
        <v>0</v>
      </c>
      <c r="G82" s="397">
        <f ca="1">SUM(Start:End!G82)</f>
        <v>0</v>
      </c>
      <c r="H82" s="15"/>
      <c r="I82" s="271">
        <f ca="1">Assumptions!O$66</f>
        <v>4.0999999999999996</v>
      </c>
      <c r="J82" s="271">
        <f ca="1">Assumptions!P$66</f>
        <v>84</v>
      </c>
      <c r="K82" s="271">
        <f t="shared" ca="1" si="70"/>
        <v>42</v>
      </c>
      <c r="L82" s="15"/>
      <c r="M82" s="35" t="str">
        <f t="shared" ca="1" si="73"/>
        <v>N/A</v>
      </c>
      <c r="N82" s="35" t="str">
        <f t="shared" ca="1" si="71"/>
        <v>N/A</v>
      </c>
      <c r="O82" s="35" t="str">
        <f t="shared" ca="1" si="72"/>
        <v>N/A</v>
      </c>
      <c r="P82" s="15"/>
      <c r="Q82" s="397">
        <f ca="1">SUM(Start:End!Q82)</f>
        <v>0</v>
      </c>
      <c r="R82" s="397">
        <f ca="1">SUM(Start:End!R82)</f>
        <v>0</v>
      </c>
      <c r="S82" s="397">
        <f ca="1">SUM(Start:End!S82)</f>
        <v>0</v>
      </c>
      <c r="T82" s="397">
        <f ca="1">SUM(Start:End!T82)</f>
        <v>0</v>
      </c>
      <c r="U82" s="15"/>
      <c r="V82" s="35" t="str">
        <f t="shared" ref="V82" ca="1" si="81">+IFERROR(W82/$G82,"N/A")</f>
        <v>N/A</v>
      </c>
      <c r="W82" s="397">
        <f ca="1">SUM(Start:End!W82)</f>
        <v>0</v>
      </c>
      <c r="X82" s="35" t="str">
        <f t="shared" ref="X82" ca="1" si="82">+IFERROR(Y82/$G82,"N/A")</f>
        <v>N/A</v>
      </c>
      <c r="Y82" s="397">
        <f ca="1">SUM(Start:End!Y82)</f>
        <v>0</v>
      </c>
      <c r="Z82" s="35" t="str">
        <f t="shared" ca="1" si="76"/>
        <v>N/A</v>
      </c>
      <c r="AA82" s="397">
        <f ca="1">SUM(Start:End!AA82)</f>
        <v>0</v>
      </c>
      <c r="AB82" s="397">
        <f ca="1">SUM(Start:End!AB82)</f>
        <v>0</v>
      </c>
      <c r="AC82" s="15"/>
      <c r="AD82" s="397">
        <f ca="1">SUM(Start:End!AD82)</f>
        <v>0</v>
      </c>
      <c r="AE82" s="397">
        <f ca="1">SUM(Start:End!AE82)</f>
        <v>0</v>
      </c>
      <c r="AF82" s="397">
        <f ca="1">SUM(Start:End!AF82)</f>
        <v>0</v>
      </c>
      <c r="AG82" s="15"/>
      <c r="AH82" s="273">
        <f t="shared" si="80"/>
        <v>42735</v>
      </c>
      <c r="AI82" s="267"/>
      <c r="AJ82" s="267"/>
      <c r="AK82" s="397">
        <f ca="1">SUM(Start:End!AK82)</f>
        <v>0</v>
      </c>
      <c r="AL82" s="233"/>
    </row>
    <row r="83" spans="2:38" x14ac:dyDescent="0.3">
      <c r="B83" s="232"/>
      <c r="C83" s="250">
        <f t="shared" si="77"/>
        <v>2017</v>
      </c>
      <c r="D83" s="397">
        <f ca="1">SUM(Start:End!D83)</f>
        <v>0</v>
      </c>
      <c r="E83" s="397">
        <f ca="1">SUM(Start:End!E83)</f>
        <v>0</v>
      </c>
      <c r="F83" s="397">
        <f ca="1">SUM(Start:End!F83)</f>
        <v>0</v>
      </c>
      <c r="G83" s="397">
        <f ca="1">SUM(Start:End!G83)</f>
        <v>0</v>
      </c>
      <c r="H83" s="15"/>
      <c r="I83" s="271">
        <f ca="1">Assumptions!O$67</f>
        <v>4.2</v>
      </c>
      <c r="J83" s="271">
        <f ca="1">Assumptions!P$67</f>
        <v>82</v>
      </c>
      <c r="K83" s="271">
        <f t="shared" ca="1" si="70"/>
        <v>41</v>
      </c>
      <c r="L83" s="15"/>
      <c r="M83" s="35" t="str">
        <f t="shared" ca="1" si="73"/>
        <v>N/A</v>
      </c>
      <c r="N83" s="35" t="str">
        <f t="shared" ca="1" si="71"/>
        <v>N/A</v>
      </c>
      <c r="O83" s="35" t="str">
        <f t="shared" ca="1" si="72"/>
        <v>N/A</v>
      </c>
      <c r="P83" s="15"/>
      <c r="Q83" s="397">
        <f ca="1">SUM(Start:End!Q83)</f>
        <v>0</v>
      </c>
      <c r="R83" s="397">
        <f ca="1">SUM(Start:End!R83)</f>
        <v>0</v>
      </c>
      <c r="S83" s="397">
        <f ca="1">SUM(Start:End!S83)</f>
        <v>0</v>
      </c>
      <c r="T83" s="397">
        <f ca="1">SUM(Start:End!T83)</f>
        <v>0</v>
      </c>
      <c r="U83" s="15"/>
      <c r="V83" s="35" t="str">
        <f t="shared" ref="V83" ca="1" si="83">+IFERROR(W83/$G83,"N/A")</f>
        <v>N/A</v>
      </c>
      <c r="W83" s="397">
        <f ca="1">SUM(Start:End!W83)</f>
        <v>0</v>
      </c>
      <c r="X83" s="35" t="str">
        <f t="shared" ref="X83" ca="1" si="84">+IFERROR(Y83/$G83,"N/A")</f>
        <v>N/A</v>
      </c>
      <c r="Y83" s="397">
        <f ca="1">SUM(Start:End!Y83)</f>
        <v>0</v>
      </c>
      <c r="Z83" s="35" t="str">
        <f t="shared" ca="1" si="76"/>
        <v>N/A</v>
      </c>
      <c r="AA83" s="397">
        <f ca="1">SUM(Start:End!AA83)</f>
        <v>0</v>
      </c>
      <c r="AB83" s="397">
        <f ca="1">SUM(Start:End!AB83)</f>
        <v>0</v>
      </c>
      <c r="AC83" s="15"/>
      <c r="AD83" s="397">
        <f ca="1">SUM(Start:End!AD83)</f>
        <v>0</v>
      </c>
      <c r="AE83" s="397">
        <f ca="1">SUM(Start:End!AE83)</f>
        <v>0</v>
      </c>
      <c r="AF83" s="397">
        <f ca="1">SUM(Start:End!AF83)</f>
        <v>0</v>
      </c>
      <c r="AG83" s="15"/>
      <c r="AH83" s="273">
        <f t="shared" si="80"/>
        <v>43100</v>
      </c>
      <c r="AI83" s="267"/>
      <c r="AJ83" s="267"/>
      <c r="AK83" s="397">
        <f ca="1">SUM(Start:End!AK83)</f>
        <v>0</v>
      </c>
      <c r="AL83" s="233"/>
    </row>
    <row r="84" spans="2:38" x14ac:dyDescent="0.3">
      <c r="B84" s="232"/>
      <c r="C84" s="250">
        <f t="shared" si="77"/>
        <v>2018</v>
      </c>
      <c r="D84" s="397">
        <f ca="1">SUM(Start:End!D84)</f>
        <v>0</v>
      </c>
      <c r="E84" s="397">
        <f ca="1">SUM(Start:End!E84)</f>
        <v>0</v>
      </c>
      <c r="F84" s="397">
        <f ca="1">SUM(Start:End!F84)</f>
        <v>0</v>
      </c>
      <c r="G84" s="397">
        <f ca="1">SUM(Start:End!G84)</f>
        <v>0</v>
      </c>
      <c r="H84" s="15"/>
      <c r="I84" s="271">
        <f ca="1">Assumptions!O$68</f>
        <v>4.5</v>
      </c>
      <c r="J84" s="271">
        <f ca="1">Assumptions!P$68</f>
        <v>80</v>
      </c>
      <c r="K84" s="271">
        <f t="shared" ca="1" si="70"/>
        <v>40</v>
      </c>
      <c r="L84" s="15"/>
      <c r="M84" s="35" t="str">
        <f t="shared" ca="1" si="73"/>
        <v>N/A</v>
      </c>
      <c r="N84" s="35" t="str">
        <f t="shared" ca="1" si="71"/>
        <v>N/A</v>
      </c>
      <c r="O84" s="35" t="str">
        <f t="shared" ca="1" si="72"/>
        <v>N/A</v>
      </c>
      <c r="P84" s="15"/>
      <c r="Q84" s="397">
        <f ca="1">SUM(Start:End!Q84)</f>
        <v>0</v>
      </c>
      <c r="R84" s="397">
        <f ca="1">SUM(Start:End!R84)</f>
        <v>0</v>
      </c>
      <c r="S84" s="397">
        <f ca="1">SUM(Start:End!S84)</f>
        <v>0</v>
      </c>
      <c r="T84" s="397">
        <f ca="1">SUM(Start:End!T84)</f>
        <v>0</v>
      </c>
      <c r="U84" s="15"/>
      <c r="V84" s="35" t="str">
        <f t="shared" ref="V84" ca="1" si="85">+IFERROR(W84/$G84,"N/A")</f>
        <v>N/A</v>
      </c>
      <c r="W84" s="397">
        <f ca="1">SUM(Start:End!W84)</f>
        <v>0</v>
      </c>
      <c r="X84" s="35" t="str">
        <f t="shared" ref="X84" ca="1" si="86">+IFERROR(Y84/$G84,"N/A")</f>
        <v>N/A</v>
      </c>
      <c r="Y84" s="397">
        <f ca="1">SUM(Start:End!Y84)</f>
        <v>0</v>
      </c>
      <c r="Z84" s="35" t="str">
        <f t="shared" ca="1" si="76"/>
        <v>N/A</v>
      </c>
      <c r="AA84" s="397">
        <f ca="1">SUM(Start:End!AA84)</f>
        <v>0</v>
      </c>
      <c r="AB84" s="397">
        <f ca="1">SUM(Start:End!AB84)</f>
        <v>0</v>
      </c>
      <c r="AC84" s="15"/>
      <c r="AD84" s="397">
        <f ca="1">SUM(Start:End!AD84)</f>
        <v>0</v>
      </c>
      <c r="AE84" s="397">
        <f ca="1">SUM(Start:End!AE84)</f>
        <v>0</v>
      </c>
      <c r="AF84" s="397">
        <f ca="1">SUM(Start:End!AF84)</f>
        <v>0</v>
      </c>
      <c r="AG84" s="15"/>
      <c r="AH84" s="273">
        <f t="shared" si="80"/>
        <v>43465</v>
      </c>
      <c r="AI84" s="267"/>
      <c r="AJ84" s="267"/>
      <c r="AK84" s="397">
        <f ca="1">SUM(Start:End!AK84)</f>
        <v>0</v>
      </c>
      <c r="AL84" s="233"/>
    </row>
    <row r="85" spans="2:38" x14ac:dyDescent="0.3">
      <c r="B85" s="232"/>
      <c r="C85" s="250">
        <f t="shared" si="77"/>
        <v>2019</v>
      </c>
      <c r="D85" s="397">
        <f ca="1">SUM(Start:End!D85)</f>
        <v>0</v>
      </c>
      <c r="E85" s="397">
        <f ca="1">SUM(Start:End!E85)</f>
        <v>0</v>
      </c>
      <c r="F85" s="397">
        <f ca="1">SUM(Start:End!F85)</f>
        <v>0</v>
      </c>
      <c r="G85" s="397">
        <f ca="1">SUM(Start:End!G85)</f>
        <v>0</v>
      </c>
      <c r="H85" s="15"/>
      <c r="I85" s="271">
        <f ca="1">Assumptions!O$68</f>
        <v>4.5</v>
      </c>
      <c r="J85" s="271">
        <f ca="1">Assumptions!P$68</f>
        <v>80</v>
      </c>
      <c r="K85" s="271">
        <f t="shared" ca="1" si="70"/>
        <v>40</v>
      </c>
      <c r="L85" s="15"/>
      <c r="M85" s="35" t="str">
        <f t="shared" ca="1" si="73"/>
        <v>N/A</v>
      </c>
      <c r="N85" s="35" t="str">
        <f t="shared" ca="1" si="71"/>
        <v>N/A</v>
      </c>
      <c r="O85" s="35" t="str">
        <f t="shared" ca="1" si="72"/>
        <v>N/A</v>
      </c>
      <c r="P85" s="15"/>
      <c r="Q85" s="397">
        <f ca="1">SUM(Start:End!Q85)</f>
        <v>0</v>
      </c>
      <c r="R85" s="397">
        <f ca="1">SUM(Start:End!R85)</f>
        <v>0</v>
      </c>
      <c r="S85" s="397">
        <f ca="1">SUM(Start:End!S85)</f>
        <v>0</v>
      </c>
      <c r="T85" s="397">
        <f ca="1">SUM(Start:End!T85)</f>
        <v>0</v>
      </c>
      <c r="U85" s="15"/>
      <c r="V85" s="35" t="str">
        <f t="shared" ref="V85" ca="1" si="87">+IFERROR(W85/$G85,"N/A")</f>
        <v>N/A</v>
      </c>
      <c r="W85" s="397">
        <f ca="1">SUM(Start:End!W85)</f>
        <v>0</v>
      </c>
      <c r="X85" s="35" t="str">
        <f t="shared" ref="X85" ca="1" si="88">+IFERROR(Y85/$G85,"N/A")</f>
        <v>N/A</v>
      </c>
      <c r="Y85" s="397">
        <f ca="1">SUM(Start:End!Y85)</f>
        <v>0</v>
      </c>
      <c r="Z85" s="35" t="str">
        <f t="shared" ca="1" si="76"/>
        <v>N/A</v>
      </c>
      <c r="AA85" s="397">
        <f ca="1">SUM(Start:End!AA85)</f>
        <v>0</v>
      </c>
      <c r="AB85" s="397">
        <f ca="1">SUM(Start:End!AB85)</f>
        <v>0</v>
      </c>
      <c r="AC85" s="15"/>
      <c r="AD85" s="397">
        <f ca="1">SUM(Start:End!AD85)</f>
        <v>0</v>
      </c>
      <c r="AE85" s="397">
        <f ca="1">SUM(Start:End!AE85)</f>
        <v>0</v>
      </c>
      <c r="AF85" s="397">
        <f ca="1">SUM(Start:End!AF85)</f>
        <v>0</v>
      </c>
      <c r="AG85" s="15"/>
      <c r="AH85" s="273">
        <f t="shared" si="80"/>
        <v>43830</v>
      </c>
      <c r="AI85" s="267"/>
      <c r="AJ85" s="267"/>
      <c r="AK85" s="397">
        <f ca="1">SUM(Start:End!AK85)</f>
        <v>0</v>
      </c>
      <c r="AL85" s="233"/>
    </row>
    <row r="86" spans="2:38" x14ac:dyDescent="0.3">
      <c r="B86" s="232"/>
      <c r="C86" s="250">
        <f t="shared" si="77"/>
        <v>2020</v>
      </c>
      <c r="D86" s="397">
        <f ca="1">SUM(Start:End!D86)</f>
        <v>0</v>
      </c>
      <c r="E86" s="397">
        <f ca="1">SUM(Start:End!E86)</f>
        <v>0</v>
      </c>
      <c r="F86" s="397">
        <f ca="1">SUM(Start:End!F86)</f>
        <v>0</v>
      </c>
      <c r="G86" s="397">
        <f ca="1">SUM(Start:End!G86)</f>
        <v>0</v>
      </c>
      <c r="H86" s="15"/>
      <c r="I86" s="271">
        <f ca="1">Assumptions!O$68</f>
        <v>4.5</v>
      </c>
      <c r="J86" s="271">
        <f ca="1">Assumptions!P$68</f>
        <v>80</v>
      </c>
      <c r="K86" s="271">
        <f t="shared" ca="1" si="70"/>
        <v>40</v>
      </c>
      <c r="L86" s="15"/>
      <c r="M86" s="35" t="str">
        <f t="shared" ca="1" si="73"/>
        <v>N/A</v>
      </c>
      <c r="N86" s="35" t="str">
        <f t="shared" ca="1" si="71"/>
        <v>N/A</v>
      </c>
      <c r="O86" s="35" t="str">
        <f t="shared" ca="1" si="72"/>
        <v>N/A</v>
      </c>
      <c r="P86" s="15"/>
      <c r="Q86" s="397">
        <f ca="1">SUM(Start:End!Q86)</f>
        <v>0</v>
      </c>
      <c r="R86" s="397">
        <f ca="1">SUM(Start:End!R86)</f>
        <v>0</v>
      </c>
      <c r="S86" s="397">
        <f ca="1">SUM(Start:End!S86)</f>
        <v>0</v>
      </c>
      <c r="T86" s="397">
        <f ca="1">SUM(Start:End!T86)</f>
        <v>0</v>
      </c>
      <c r="U86" s="15"/>
      <c r="V86" s="35" t="str">
        <f t="shared" ref="V86" ca="1" si="89">+IFERROR(W86/$G86,"N/A")</f>
        <v>N/A</v>
      </c>
      <c r="W86" s="397">
        <f ca="1">SUM(Start:End!W86)</f>
        <v>0</v>
      </c>
      <c r="X86" s="35" t="str">
        <f t="shared" ref="X86" ca="1" si="90">+IFERROR(Y86/$G86,"N/A")</f>
        <v>N/A</v>
      </c>
      <c r="Y86" s="397">
        <f ca="1">SUM(Start:End!Y86)</f>
        <v>0</v>
      </c>
      <c r="Z86" s="35" t="str">
        <f t="shared" ca="1" si="76"/>
        <v>N/A</v>
      </c>
      <c r="AA86" s="397">
        <f ca="1">SUM(Start:End!AA86)</f>
        <v>0</v>
      </c>
      <c r="AB86" s="397">
        <f ca="1">SUM(Start:End!AB86)</f>
        <v>0</v>
      </c>
      <c r="AC86" s="15"/>
      <c r="AD86" s="397">
        <f ca="1">SUM(Start:End!AD86)</f>
        <v>0</v>
      </c>
      <c r="AE86" s="397">
        <f ca="1">SUM(Start:End!AE86)</f>
        <v>0</v>
      </c>
      <c r="AF86" s="397">
        <f ca="1">SUM(Start:End!AF86)</f>
        <v>0</v>
      </c>
      <c r="AG86" s="15"/>
      <c r="AH86" s="273">
        <f t="shared" si="80"/>
        <v>44196</v>
      </c>
      <c r="AI86" s="267"/>
      <c r="AJ86" s="267"/>
      <c r="AK86" s="397">
        <f ca="1">SUM(Start:End!AK86)</f>
        <v>0</v>
      </c>
      <c r="AL86" s="233"/>
    </row>
    <row r="87" spans="2:38" x14ac:dyDescent="0.3">
      <c r="B87" s="232"/>
      <c r="C87" s="250">
        <f t="shared" si="77"/>
        <v>2021</v>
      </c>
      <c r="D87" s="397">
        <f ca="1">SUM(Start:End!D87)</f>
        <v>0</v>
      </c>
      <c r="E87" s="397">
        <f ca="1">SUM(Start:End!E87)</f>
        <v>0</v>
      </c>
      <c r="F87" s="397">
        <f ca="1">SUM(Start:End!F87)</f>
        <v>0</v>
      </c>
      <c r="G87" s="397">
        <f ca="1">SUM(Start:End!G87)</f>
        <v>0</v>
      </c>
      <c r="H87" s="15"/>
      <c r="I87" s="271">
        <f ca="1">Assumptions!O$68</f>
        <v>4.5</v>
      </c>
      <c r="J87" s="271">
        <f ca="1">Assumptions!P$68</f>
        <v>80</v>
      </c>
      <c r="K87" s="271">
        <f t="shared" ca="1" si="70"/>
        <v>40</v>
      </c>
      <c r="L87" s="15"/>
      <c r="M87" s="35" t="str">
        <f t="shared" ca="1" si="73"/>
        <v>N/A</v>
      </c>
      <c r="N87" s="35" t="str">
        <f t="shared" ca="1" si="71"/>
        <v>N/A</v>
      </c>
      <c r="O87" s="35" t="str">
        <f t="shared" ca="1" si="72"/>
        <v>N/A</v>
      </c>
      <c r="P87" s="15"/>
      <c r="Q87" s="397">
        <f ca="1">SUM(Start:End!Q87)</f>
        <v>0</v>
      </c>
      <c r="R87" s="397">
        <f ca="1">SUM(Start:End!R87)</f>
        <v>0</v>
      </c>
      <c r="S87" s="397">
        <f ca="1">SUM(Start:End!S87)</f>
        <v>0</v>
      </c>
      <c r="T87" s="397">
        <f ca="1">SUM(Start:End!T87)</f>
        <v>0</v>
      </c>
      <c r="U87" s="15"/>
      <c r="V87" s="35" t="str">
        <f t="shared" ref="V87" ca="1" si="91">+IFERROR(W87/$G87,"N/A")</f>
        <v>N/A</v>
      </c>
      <c r="W87" s="397">
        <f ca="1">SUM(Start:End!W87)</f>
        <v>0</v>
      </c>
      <c r="X87" s="35" t="str">
        <f t="shared" ref="X87" ca="1" si="92">+IFERROR(Y87/$G87,"N/A")</f>
        <v>N/A</v>
      </c>
      <c r="Y87" s="397">
        <f ca="1">SUM(Start:End!Y87)</f>
        <v>0</v>
      </c>
      <c r="Z87" s="35" t="str">
        <f t="shared" ca="1" si="76"/>
        <v>N/A</v>
      </c>
      <c r="AA87" s="397">
        <f ca="1">SUM(Start:End!AA87)</f>
        <v>0</v>
      </c>
      <c r="AB87" s="397">
        <f ca="1">SUM(Start:End!AB87)</f>
        <v>0</v>
      </c>
      <c r="AC87" s="15"/>
      <c r="AD87" s="397">
        <f ca="1">SUM(Start:End!AD87)</f>
        <v>0</v>
      </c>
      <c r="AE87" s="397">
        <f ca="1">SUM(Start:End!AE87)</f>
        <v>0</v>
      </c>
      <c r="AF87" s="397">
        <f ca="1">SUM(Start:End!AF87)</f>
        <v>0</v>
      </c>
      <c r="AG87" s="15"/>
      <c r="AH87" s="273">
        <f t="shared" si="80"/>
        <v>44561</v>
      </c>
      <c r="AI87" s="267"/>
      <c r="AJ87" s="267"/>
      <c r="AK87" s="397">
        <f ca="1">SUM(Start:End!AK87)</f>
        <v>0</v>
      </c>
      <c r="AL87" s="233"/>
    </row>
    <row r="88" spans="2:38" x14ac:dyDescent="0.3">
      <c r="B88" s="232"/>
      <c r="C88" s="250">
        <f t="shared" si="77"/>
        <v>2022</v>
      </c>
      <c r="D88" s="397">
        <f ca="1">SUM(Start:End!D88)</f>
        <v>0</v>
      </c>
      <c r="E88" s="397">
        <f ca="1">SUM(Start:End!E88)</f>
        <v>0</v>
      </c>
      <c r="F88" s="397">
        <f ca="1">SUM(Start:End!F88)</f>
        <v>0</v>
      </c>
      <c r="G88" s="397">
        <f ca="1">SUM(Start:End!G88)</f>
        <v>0</v>
      </c>
      <c r="H88" s="15"/>
      <c r="I88" s="271">
        <f ca="1">Assumptions!O$68</f>
        <v>4.5</v>
      </c>
      <c r="J88" s="271">
        <f ca="1">Assumptions!P$68</f>
        <v>80</v>
      </c>
      <c r="K88" s="271">
        <f t="shared" ca="1" si="70"/>
        <v>40</v>
      </c>
      <c r="L88" s="15"/>
      <c r="M88" s="35" t="str">
        <f t="shared" ca="1" si="73"/>
        <v>N/A</v>
      </c>
      <c r="N88" s="35" t="str">
        <f t="shared" ca="1" si="71"/>
        <v>N/A</v>
      </c>
      <c r="O88" s="35" t="str">
        <f t="shared" ca="1" si="72"/>
        <v>N/A</v>
      </c>
      <c r="P88" s="15"/>
      <c r="Q88" s="397">
        <f ca="1">SUM(Start:End!Q88)</f>
        <v>0</v>
      </c>
      <c r="R88" s="397">
        <f ca="1">SUM(Start:End!R88)</f>
        <v>0</v>
      </c>
      <c r="S88" s="397">
        <f ca="1">SUM(Start:End!S88)</f>
        <v>0</v>
      </c>
      <c r="T88" s="397">
        <f ca="1">SUM(Start:End!T88)</f>
        <v>0</v>
      </c>
      <c r="U88" s="15"/>
      <c r="V88" s="35" t="str">
        <f t="shared" ref="V88" ca="1" si="93">+IFERROR(W88/$G88,"N/A")</f>
        <v>N/A</v>
      </c>
      <c r="W88" s="397">
        <f ca="1">SUM(Start:End!W88)</f>
        <v>0</v>
      </c>
      <c r="X88" s="35" t="str">
        <f t="shared" ref="X88" ca="1" si="94">+IFERROR(Y88/$G88,"N/A")</f>
        <v>N/A</v>
      </c>
      <c r="Y88" s="397">
        <f ca="1">SUM(Start:End!Y88)</f>
        <v>0</v>
      </c>
      <c r="Z88" s="35" t="str">
        <f t="shared" ca="1" si="76"/>
        <v>N/A</v>
      </c>
      <c r="AA88" s="397">
        <f ca="1">SUM(Start:End!AA88)</f>
        <v>0</v>
      </c>
      <c r="AB88" s="397">
        <f ca="1">SUM(Start:End!AB88)</f>
        <v>0</v>
      </c>
      <c r="AC88" s="15"/>
      <c r="AD88" s="397">
        <f ca="1">SUM(Start:End!AD88)</f>
        <v>0</v>
      </c>
      <c r="AE88" s="397">
        <f ca="1">SUM(Start:End!AE88)</f>
        <v>0</v>
      </c>
      <c r="AF88" s="397">
        <f ca="1">SUM(Start:End!AF88)</f>
        <v>0</v>
      </c>
      <c r="AG88" s="15"/>
      <c r="AH88" s="273">
        <f t="shared" si="80"/>
        <v>44926</v>
      </c>
      <c r="AI88" s="267"/>
      <c r="AJ88" s="267"/>
      <c r="AK88" s="397">
        <f ca="1">SUM(Start:End!AK88)</f>
        <v>0</v>
      </c>
      <c r="AL88" s="233"/>
    </row>
    <row r="89" spans="2:38" x14ac:dyDescent="0.3">
      <c r="B89" s="232"/>
      <c r="C89" s="250">
        <f t="shared" si="77"/>
        <v>2023</v>
      </c>
      <c r="D89" s="397">
        <f ca="1">SUM(Start:End!D89)</f>
        <v>0</v>
      </c>
      <c r="E89" s="397">
        <f ca="1">SUM(Start:End!E89)</f>
        <v>0</v>
      </c>
      <c r="F89" s="397">
        <f ca="1">SUM(Start:End!F89)</f>
        <v>0</v>
      </c>
      <c r="G89" s="397">
        <f ca="1">SUM(Start:End!G89)</f>
        <v>0</v>
      </c>
      <c r="H89" s="15"/>
      <c r="I89" s="271">
        <f ca="1">Assumptions!O$68</f>
        <v>4.5</v>
      </c>
      <c r="J89" s="271">
        <f ca="1">Assumptions!P$68</f>
        <v>80</v>
      </c>
      <c r="K89" s="271">
        <f t="shared" ca="1" si="70"/>
        <v>40</v>
      </c>
      <c r="L89" s="15"/>
      <c r="M89" s="35" t="str">
        <f t="shared" ca="1" si="73"/>
        <v>N/A</v>
      </c>
      <c r="N89" s="35" t="str">
        <f t="shared" ca="1" si="71"/>
        <v>N/A</v>
      </c>
      <c r="O89" s="35" t="str">
        <f t="shared" ca="1" si="72"/>
        <v>N/A</v>
      </c>
      <c r="P89" s="15"/>
      <c r="Q89" s="397">
        <f ca="1">SUM(Start:End!Q89)</f>
        <v>0</v>
      </c>
      <c r="R89" s="397">
        <f ca="1">SUM(Start:End!R89)</f>
        <v>0</v>
      </c>
      <c r="S89" s="397">
        <f ca="1">SUM(Start:End!S89)</f>
        <v>0</v>
      </c>
      <c r="T89" s="397">
        <f ca="1">SUM(Start:End!T89)</f>
        <v>0</v>
      </c>
      <c r="U89" s="15"/>
      <c r="V89" s="35" t="str">
        <f t="shared" ref="V89" ca="1" si="95">+IFERROR(W89/$G89,"N/A")</f>
        <v>N/A</v>
      </c>
      <c r="W89" s="397">
        <f ca="1">SUM(Start:End!W89)</f>
        <v>0</v>
      </c>
      <c r="X89" s="35" t="str">
        <f t="shared" ref="X89" ca="1" si="96">+IFERROR(Y89/$G89,"N/A")</f>
        <v>N/A</v>
      </c>
      <c r="Y89" s="397">
        <f ca="1">SUM(Start:End!Y89)</f>
        <v>0</v>
      </c>
      <c r="Z89" s="35" t="str">
        <f t="shared" ca="1" si="76"/>
        <v>N/A</v>
      </c>
      <c r="AA89" s="397">
        <f ca="1">SUM(Start:End!AA89)</f>
        <v>0</v>
      </c>
      <c r="AB89" s="397">
        <f ca="1">SUM(Start:End!AB89)</f>
        <v>0</v>
      </c>
      <c r="AC89" s="15"/>
      <c r="AD89" s="397">
        <f ca="1">SUM(Start:End!AD89)</f>
        <v>0</v>
      </c>
      <c r="AE89" s="397">
        <f ca="1">SUM(Start:End!AE89)</f>
        <v>0</v>
      </c>
      <c r="AF89" s="397">
        <f ca="1">SUM(Start:End!AF89)</f>
        <v>0</v>
      </c>
      <c r="AG89" s="15"/>
      <c r="AH89" s="273">
        <f t="shared" si="80"/>
        <v>45291</v>
      </c>
      <c r="AI89" s="267"/>
      <c r="AJ89" s="267"/>
      <c r="AK89" s="397">
        <f ca="1">SUM(Start:End!AK89)</f>
        <v>0</v>
      </c>
      <c r="AL89" s="233"/>
    </row>
    <row r="90" spans="2:38" x14ac:dyDescent="0.3">
      <c r="B90" s="232"/>
      <c r="C90" s="250">
        <f t="shared" si="77"/>
        <v>2024</v>
      </c>
      <c r="D90" s="397">
        <f ca="1">SUM(Start:End!D90)</f>
        <v>0</v>
      </c>
      <c r="E90" s="397">
        <f ca="1">SUM(Start:End!E90)</f>
        <v>0</v>
      </c>
      <c r="F90" s="397">
        <f ca="1">SUM(Start:End!F90)</f>
        <v>0</v>
      </c>
      <c r="G90" s="397">
        <f ca="1">SUM(Start:End!G90)</f>
        <v>0</v>
      </c>
      <c r="H90" s="15"/>
      <c r="I90" s="271">
        <f ca="1">Assumptions!O$68</f>
        <v>4.5</v>
      </c>
      <c r="J90" s="271">
        <f ca="1">Assumptions!P$68</f>
        <v>80</v>
      </c>
      <c r="K90" s="271">
        <f t="shared" ca="1" si="70"/>
        <v>40</v>
      </c>
      <c r="L90" s="15"/>
      <c r="M90" s="35" t="str">
        <f t="shared" ca="1" si="73"/>
        <v>N/A</v>
      </c>
      <c r="N90" s="35" t="str">
        <f t="shared" ca="1" si="71"/>
        <v>N/A</v>
      </c>
      <c r="O90" s="35" t="str">
        <f t="shared" ca="1" si="72"/>
        <v>N/A</v>
      </c>
      <c r="P90" s="15"/>
      <c r="Q90" s="397">
        <f ca="1">SUM(Start:End!Q90)</f>
        <v>0</v>
      </c>
      <c r="R90" s="397">
        <f ca="1">SUM(Start:End!R90)</f>
        <v>0</v>
      </c>
      <c r="S90" s="397">
        <f ca="1">SUM(Start:End!S90)</f>
        <v>0</v>
      </c>
      <c r="T90" s="397">
        <f ca="1">SUM(Start:End!T90)</f>
        <v>0</v>
      </c>
      <c r="U90" s="15"/>
      <c r="V90" s="35" t="str">
        <f t="shared" ref="V90" ca="1" si="97">+IFERROR(W90/$G90,"N/A")</f>
        <v>N/A</v>
      </c>
      <c r="W90" s="397">
        <f ca="1">SUM(Start:End!W90)</f>
        <v>0</v>
      </c>
      <c r="X90" s="35" t="str">
        <f t="shared" ref="X90" ca="1" si="98">+IFERROR(Y90/$G90,"N/A")</f>
        <v>N/A</v>
      </c>
      <c r="Y90" s="397">
        <f ca="1">SUM(Start:End!Y90)</f>
        <v>0</v>
      </c>
      <c r="Z90" s="35" t="str">
        <f t="shared" ca="1" si="76"/>
        <v>N/A</v>
      </c>
      <c r="AA90" s="397">
        <f ca="1">SUM(Start:End!AA90)</f>
        <v>0</v>
      </c>
      <c r="AB90" s="397">
        <f ca="1">SUM(Start:End!AB90)</f>
        <v>0</v>
      </c>
      <c r="AC90" s="15"/>
      <c r="AD90" s="397">
        <f ca="1">SUM(Start:End!AD90)</f>
        <v>0</v>
      </c>
      <c r="AE90" s="397">
        <f ca="1">SUM(Start:End!AE90)</f>
        <v>0</v>
      </c>
      <c r="AF90" s="397">
        <f ca="1">SUM(Start:End!AF90)</f>
        <v>0</v>
      </c>
      <c r="AG90" s="15"/>
      <c r="AH90" s="273">
        <f t="shared" si="80"/>
        <v>45657</v>
      </c>
      <c r="AI90" s="267"/>
      <c r="AJ90" s="267"/>
      <c r="AK90" s="397">
        <f ca="1">SUM(Start:End!AK90)</f>
        <v>0</v>
      </c>
      <c r="AL90" s="233"/>
    </row>
    <row r="91" spans="2:38" x14ac:dyDescent="0.3">
      <c r="B91" s="232"/>
      <c r="C91" s="250">
        <f t="shared" si="77"/>
        <v>2025</v>
      </c>
      <c r="D91" s="397">
        <f ca="1">SUM(Start:End!D91)</f>
        <v>0</v>
      </c>
      <c r="E91" s="397">
        <f ca="1">SUM(Start:End!E91)</f>
        <v>0</v>
      </c>
      <c r="F91" s="397">
        <f ca="1">SUM(Start:End!F91)</f>
        <v>0</v>
      </c>
      <c r="G91" s="397">
        <f ca="1">SUM(Start:End!G91)</f>
        <v>0</v>
      </c>
      <c r="H91" s="15"/>
      <c r="I91" s="271">
        <f ca="1">Assumptions!O$68</f>
        <v>4.5</v>
      </c>
      <c r="J91" s="271">
        <f ca="1">Assumptions!P$68</f>
        <v>80</v>
      </c>
      <c r="K91" s="271">
        <f t="shared" ca="1" si="70"/>
        <v>40</v>
      </c>
      <c r="L91" s="15"/>
      <c r="M91" s="35" t="str">
        <f t="shared" ca="1" si="73"/>
        <v>N/A</v>
      </c>
      <c r="N91" s="35" t="str">
        <f t="shared" ca="1" si="71"/>
        <v>N/A</v>
      </c>
      <c r="O91" s="35" t="str">
        <f t="shared" ca="1" si="72"/>
        <v>N/A</v>
      </c>
      <c r="P91" s="15"/>
      <c r="Q91" s="397">
        <f ca="1">SUM(Start:End!Q91)</f>
        <v>0</v>
      </c>
      <c r="R91" s="397">
        <f ca="1">SUM(Start:End!R91)</f>
        <v>0</v>
      </c>
      <c r="S91" s="397">
        <f ca="1">SUM(Start:End!S91)</f>
        <v>0</v>
      </c>
      <c r="T91" s="397">
        <f ca="1">SUM(Start:End!T91)</f>
        <v>0</v>
      </c>
      <c r="U91" s="15"/>
      <c r="V91" s="35" t="str">
        <f t="shared" ref="V91" ca="1" si="99">+IFERROR(W91/$G91,"N/A")</f>
        <v>N/A</v>
      </c>
      <c r="W91" s="397">
        <f ca="1">SUM(Start:End!W91)</f>
        <v>0</v>
      </c>
      <c r="X91" s="35" t="str">
        <f t="shared" ref="X91" ca="1" si="100">+IFERROR(Y91/$G91,"N/A")</f>
        <v>N/A</v>
      </c>
      <c r="Y91" s="397">
        <f ca="1">SUM(Start:End!Y91)</f>
        <v>0</v>
      </c>
      <c r="Z91" s="35" t="str">
        <f t="shared" ca="1" si="76"/>
        <v>N/A</v>
      </c>
      <c r="AA91" s="397">
        <f ca="1">SUM(Start:End!AA91)</f>
        <v>0</v>
      </c>
      <c r="AB91" s="397">
        <f ca="1">SUM(Start:End!AB91)</f>
        <v>0</v>
      </c>
      <c r="AC91" s="15"/>
      <c r="AD91" s="397">
        <f ca="1">SUM(Start:End!AD91)</f>
        <v>0</v>
      </c>
      <c r="AE91" s="397">
        <f ca="1">SUM(Start:End!AE91)</f>
        <v>0</v>
      </c>
      <c r="AF91" s="397">
        <f ca="1">SUM(Start:End!AF91)</f>
        <v>0</v>
      </c>
      <c r="AG91" s="15"/>
      <c r="AH91" s="273">
        <f t="shared" si="80"/>
        <v>46022</v>
      </c>
      <c r="AI91" s="267"/>
      <c r="AJ91" s="267"/>
      <c r="AK91" s="397">
        <f ca="1">SUM(Start:End!AK91)</f>
        <v>0</v>
      </c>
      <c r="AL91" s="233"/>
    </row>
    <row r="92" spans="2:38" x14ac:dyDescent="0.3">
      <c r="B92" s="232"/>
      <c r="C92" s="250">
        <f t="shared" si="77"/>
        <v>2026</v>
      </c>
      <c r="D92" s="397">
        <f ca="1">SUM(Start:End!D92)</f>
        <v>0</v>
      </c>
      <c r="E92" s="397">
        <f ca="1">SUM(Start:End!E92)</f>
        <v>0</v>
      </c>
      <c r="F92" s="397">
        <f ca="1">SUM(Start:End!F92)</f>
        <v>0</v>
      </c>
      <c r="G92" s="397">
        <f ca="1">SUM(Start:End!G92)</f>
        <v>0</v>
      </c>
      <c r="H92" s="15"/>
      <c r="I92" s="271">
        <f ca="1">Assumptions!O$68</f>
        <v>4.5</v>
      </c>
      <c r="J92" s="271">
        <f ca="1">Assumptions!P$68</f>
        <v>80</v>
      </c>
      <c r="K92" s="271">
        <f t="shared" ca="1" si="70"/>
        <v>40</v>
      </c>
      <c r="L92" s="15"/>
      <c r="M92" s="35" t="str">
        <f t="shared" ca="1" si="73"/>
        <v>N/A</v>
      </c>
      <c r="N92" s="35" t="str">
        <f t="shared" ca="1" si="71"/>
        <v>N/A</v>
      </c>
      <c r="O92" s="35" t="str">
        <f t="shared" ca="1" si="72"/>
        <v>N/A</v>
      </c>
      <c r="P92" s="15"/>
      <c r="Q92" s="397">
        <f ca="1">SUM(Start:End!Q92)</f>
        <v>0</v>
      </c>
      <c r="R92" s="397">
        <f ca="1">SUM(Start:End!R92)</f>
        <v>0</v>
      </c>
      <c r="S92" s="397">
        <f ca="1">SUM(Start:End!S92)</f>
        <v>0</v>
      </c>
      <c r="T92" s="397">
        <f ca="1">SUM(Start:End!T92)</f>
        <v>0</v>
      </c>
      <c r="U92" s="15"/>
      <c r="V92" s="35" t="str">
        <f t="shared" ref="V92" ca="1" si="101">+IFERROR(W92/$G92,"N/A")</f>
        <v>N/A</v>
      </c>
      <c r="W92" s="397">
        <f ca="1">SUM(Start:End!W92)</f>
        <v>0</v>
      </c>
      <c r="X92" s="35" t="str">
        <f t="shared" ref="X92" ca="1" si="102">+IFERROR(Y92/$G92,"N/A")</f>
        <v>N/A</v>
      </c>
      <c r="Y92" s="397">
        <f ca="1">SUM(Start:End!Y92)</f>
        <v>0</v>
      </c>
      <c r="Z92" s="35" t="str">
        <f t="shared" ca="1" si="76"/>
        <v>N/A</v>
      </c>
      <c r="AA92" s="397">
        <f ca="1">SUM(Start:End!AA92)</f>
        <v>0</v>
      </c>
      <c r="AB92" s="397">
        <f ca="1">SUM(Start:End!AB92)</f>
        <v>0</v>
      </c>
      <c r="AC92" s="15"/>
      <c r="AD92" s="397">
        <f ca="1">SUM(Start:End!AD92)</f>
        <v>0</v>
      </c>
      <c r="AE92" s="397">
        <f ca="1">SUM(Start:End!AE92)</f>
        <v>0</v>
      </c>
      <c r="AF92" s="397">
        <f ca="1">SUM(Start:End!AF92)</f>
        <v>0</v>
      </c>
      <c r="AG92" s="15"/>
      <c r="AH92" s="273">
        <f t="shared" si="80"/>
        <v>46387</v>
      </c>
      <c r="AI92" s="267"/>
      <c r="AJ92" s="267"/>
      <c r="AK92" s="397">
        <f ca="1">SUM(Start:End!AK92)</f>
        <v>0</v>
      </c>
      <c r="AL92" s="233"/>
    </row>
    <row r="93" spans="2:38" x14ac:dyDescent="0.3">
      <c r="B93" s="232"/>
      <c r="C93" s="250">
        <f t="shared" si="77"/>
        <v>2027</v>
      </c>
      <c r="D93" s="397">
        <f ca="1">SUM(Start:End!D93)</f>
        <v>0</v>
      </c>
      <c r="E93" s="397">
        <f ca="1">SUM(Start:End!E93)</f>
        <v>0</v>
      </c>
      <c r="F93" s="397">
        <f ca="1">SUM(Start:End!F93)</f>
        <v>0</v>
      </c>
      <c r="G93" s="397">
        <f ca="1">SUM(Start:End!G93)</f>
        <v>0</v>
      </c>
      <c r="H93" s="15"/>
      <c r="I93" s="271">
        <f ca="1">Assumptions!O$68</f>
        <v>4.5</v>
      </c>
      <c r="J93" s="271">
        <f ca="1">Assumptions!P$68</f>
        <v>80</v>
      </c>
      <c r="K93" s="271">
        <f t="shared" ca="1" si="70"/>
        <v>40</v>
      </c>
      <c r="L93" s="15"/>
      <c r="M93" s="35" t="str">
        <f t="shared" ca="1" si="73"/>
        <v>N/A</v>
      </c>
      <c r="N93" s="35" t="str">
        <f t="shared" ca="1" si="71"/>
        <v>N/A</v>
      </c>
      <c r="O93" s="35" t="str">
        <f t="shared" ca="1" si="72"/>
        <v>N/A</v>
      </c>
      <c r="P93" s="15"/>
      <c r="Q93" s="397">
        <f ca="1">SUM(Start:End!Q93)</f>
        <v>0</v>
      </c>
      <c r="R93" s="397">
        <f ca="1">SUM(Start:End!R93)</f>
        <v>0</v>
      </c>
      <c r="S93" s="397">
        <f ca="1">SUM(Start:End!S93)</f>
        <v>0</v>
      </c>
      <c r="T93" s="397">
        <f ca="1">SUM(Start:End!T93)</f>
        <v>0</v>
      </c>
      <c r="U93" s="15"/>
      <c r="V93" s="35" t="str">
        <f t="shared" ref="V93" ca="1" si="103">+IFERROR(W93/$G93,"N/A")</f>
        <v>N/A</v>
      </c>
      <c r="W93" s="397">
        <f ca="1">SUM(Start:End!W93)</f>
        <v>0</v>
      </c>
      <c r="X93" s="35" t="str">
        <f t="shared" ref="X93" ca="1" si="104">+IFERROR(Y93/$G93,"N/A")</f>
        <v>N/A</v>
      </c>
      <c r="Y93" s="397">
        <f ca="1">SUM(Start:End!Y93)</f>
        <v>0</v>
      </c>
      <c r="Z93" s="35" t="str">
        <f t="shared" ca="1" si="76"/>
        <v>N/A</v>
      </c>
      <c r="AA93" s="397">
        <f ca="1">SUM(Start:End!AA93)</f>
        <v>0</v>
      </c>
      <c r="AB93" s="397">
        <f ca="1">SUM(Start:End!AB93)</f>
        <v>0</v>
      </c>
      <c r="AC93" s="15"/>
      <c r="AD93" s="397">
        <f ca="1">SUM(Start:End!AD93)</f>
        <v>0</v>
      </c>
      <c r="AE93" s="397">
        <f ca="1">SUM(Start:End!AE93)</f>
        <v>0</v>
      </c>
      <c r="AF93" s="397">
        <f ca="1">SUM(Start:End!AF93)</f>
        <v>0</v>
      </c>
      <c r="AG93" s="15"/>
      <c r="AH93" s="273">
        <f t="shared" si="80"/>
        <v>46752</v>
      </c>
      <c r="AI93" s="267"/>
      <c r="AJ93" s="267"/>
      <c r="AK93" s="397">
        <f ca="1">SUM(Start:End!AK93)</f>
        <v>0</v>
      </c>
      <c r="AL93" s="233"/>
    </row>
    <row r="94" spans="2:38" x14ac:dyDescent="0.3">
      <c r="B94" s="232"/>
      <c r="C94" s="250">
        <f t="shared" si="77"/>
        <v>2028</v>
      </c>
      <c r="D94" s="397">
        <f ca="1">SUM(Start:End!D94)</f>
        <v>0</v>
      </c>
      <c r="E94" s="397">
        <f ca="1">SUM(Start:End!E94)</f>
        <v>0</v>
      </c>
      <c r="F94" s="397">
        <f ca="1">SUM(Start:End!F94)</f>
        <v>0</v>
      </c>
      <c r="G94" s="397">
        <f ca="1">SUM(Start:End!G94)</f>
        <v>0</v>
      </c>
      <c r="H94" s="15"/>
      <c r="I94" s="271">
        <f ca="1">Assumptions!O$68</f>
        <v>4.5</v>
      </c>
      <c r="J94" s="271">
        <f ca="1">Assumptions!P$68</f>
        <v>80</v>
      </c>
      <c r="K94" s="271">
        <f t="shared" ca="1" si="70"/>
        <v>40</v>
      </c>
      <c r="L94" s="15"/>
      <c r="M94" s="35" t="str">
        <f t="shared" ca="1" si="73"/>
        <v>N/A</v>
      </c>
      <c r="N94" s="35" t="str">
        <f t="shared" ca="1" si="71"/>
        <v>N/A</v>
      </c>
      <c r="O94" s="35" t="str">
        <f t="shared" ca="1" si="72"/>
        <v>N/A</v>
      </c>
      <c r="P94" s="15"/>
      <c r="Q94" s="397">
        <f ca="1">SUM(Start:End!Q94)</f>
        <v>0</v>
      </c>
      <c r="R94" s="397">
        <f ca="1">SUM(Start:End!R94)</f>
        <v>0</v>
      </c>
      <c r="S94" s="397">
        <f ca="1">SUM(Start:End!S94)</f>
        <v>0</v>
      </c>
      <c r="T94" s="397">
        <f ca="1">SUM(Start:End!T94)</f>
        <v>0</v>
      </c>
      <c r="U94" s="15"/>
      <c r="V94" s="35" t="str">
        <f t="shared" ref="V94" ca="1" si="105">+IFERROR(W94/$G94,"N/A")</f>
        <v>N/A</v>
      </c>
      <c r="W94" s="397">
        <f ca="1">SUM(Start:End!W94)</f>
        <v>0</v>
      </c>
      <c r="X94" s="35" t="str">
        <f t="shared" ref="X94" ca="1" si="106">+IFERROR(Y94/$G94,"N/A")</f>
        <v>N/A</v>
      </c>
      <c r="Y94" s="397">
        <f ca="1">SUM(Start:End!Y94)</f>
        <v>0</v>
      </c>
      <c r="Z94" s="35" t="str">
        <f t="shared" ca="1" si="76"/>
        <v>N/A</v>
      </c>
      <c r="AA94" s="397">
        <f ca="1">SUM(Start:End!AA94)</f>
        <v>0</v>
      </c>
      <c r="AB94" s="397">
        <f ca="1">SUM(Start:End!AB94)</f>
        <v>0</v>
      </c>
      <c r="AC94" s="15"/>
      <c r="AD94" s="397">
        <f ca="1">SUM(Start:End!AD94)</f>
        <v>0</v>
      </c>
      <c r="AE94" s="397">
        <f ca="1">SUM(Start:End!AE94)</f>
        <v>0</v>
      </c>
      <c r="AF94" s="397">
        <f ca="1">SUM(Start:End!AF94)</f>
        <v>0</v>
      </c>
      <c r="AG94" s="15"/>
      <c r="AH94" s="273">
        <f t="shared" si="80"/>
        <v>47118</v>
      </c>
      <c r="AI94" s="267"/>
      <c r="AJ94" s="267"/>
      <c r="AK94" s="397">
        <f ca="1">SUM(Start:End!AK94)</f>
        <v>0</v>
      </c>
      <c r="AL94" s="233"/>
    </row>
    <row r="95" spans="2:38" x14ac:dyDescent="0.3">
      <c r="B95" s="232"/>
      <c r="C95" s="250">
        <f t="shared" si="77"/>
        <v>2029</v>
      </c>
      <c r="D95" s="397">
        <f ca="1">SUM(Start:End!D95)</f>
        <v>0</v>
      </c>
      <c r="E95" s="397">
        <f ca="1">SUM(Start:End!E95)</f>
        <v>0</v>
      </c>
      <c r="F95" s="397">
        <f ca="1">SUM(Start:End!F95)</f>
        <v>0</v>
      </c>
      <c r="G95" s="397">
        <f ca="1">SUM(Start:End!G95)</f>
        <v>0</v>
      </c>
      <c r="H95" s="15"/>
      <c r="I95" s="271">
        <f ca="1">Assumptions!O$68</f>
        <v>4.5</v>
      </c>
      <c r="J95" s="271">
        <f ca="1">Assumptions!P$68</f>
        <v>80</v>
      </c>
      <c r="K95" s="271">
        <f t="shared" ca="1" si="70"/>
        <v>40</v>
      </c>
      <c r="L95" s="15"/>
      <c r="M95" s="35" t="str">
        <f t="shared" ca="1" si="73"/>
        <v>N/A</v>
      </c>
      <c r="N95" s="35" t="str">
        <f t="shared" ca="1" si="71"/>
        <v>N/A</v>
      </c>
      <c r="O95" s="35" t="str">
        <f t="shared" ca="1" si="72"/>
        <v>N/A</v>
      </c>
      <c r="P95" s="15"/>
      <c r="Q95" s="397">
        <f ca="1">SUM(Start:End!Q95)</f>
        <v>0</v>
      </c>
      <c r="R95" s="397">
        <f ca="1">SUM(Start:End!R95)</f>
        <v>0</v>
      </c>
      <c r="S95" s="397">
        <f ca="1">SUM(Start:End!S95)</f>
        <v>0</v>
      </c>
      <c r="T95" s="397">
        <f ca="1">SUM(Start:End!T95)</f>
        <v>0</v>
      </c>
      <c r="U95" s="15"/>
      <c r="V95" s="35" t="str">
        <f t="shared" ref="V95" ca="1" si="107">+IFERROR(W95/$G95,"N/A")</f>
        <v>N/A</v>
      </c>
      <c r="W95" s="397">
        <f ca="1">SUM(Start:End!W95)</f>
        <v>0</v>
      </c>
      <c r="X95" s="35" t="str">
        <f t="shared" ref="X95" ca="1" si="108">+IFERROR(Y95/$G95,"N/A")</f>
        <v>N/A</v>
      </c>
      <c r="Y95" s="397">
        <f ca="1">SUM(Start:End!Y95)</f>
        <v>0</v>
      </c>
      <c r="Z95" s="35" t="str">
        <f t="shared" ca="1" si="76"/>
        <v>N/A</v>
      </c>
      <c r="AA95" s="397">
        <f ca="1">SUM(Start:End!AA95)</f>
        <v>0</v>
      </c>
      <c r="AB95" s="397">
        <f ca="1">SUM(Start:End!AB95)</f>
        <v>0</v>
      </c>
      <c r="AC95" s="15"/>
      <c r="AD95" s="397">
        <f ca="1">SUM(Start:End!AD95)</f>
        <v>0</v>
      </c>
      <c r="AE95" s="397">
        <f ca="1">SUM(Start:End!AE95)</f>
        <v>0</v>
      </c>
      <c r="AF95" s="397">
        <f ca="1">SUM(Start:End!AF95)</f>
        <v>0</v>
      </c>
      <c r="AG95" s="15"/>
      <c r="AH95" s="273">
        <f t="shared" si="80"/>
        <v>47483</v>
      </c>
      <c r="AI95" s="267"/>
      <c r="AJ95" s="267"/>
      <c r="AK95" s="397">
        <f ca="1">SUM(Start:End!AK95)</f>
        <v>0</v>
      </c>
      <c r="AL95" s="233"/>
    </row>
    <row r="96" spans="2:38" x14ac:dyDescent="0.3">
      <c r="B96" s="232"/>
      <c r="C96" s="250">
        <f t="shared" si="77"/>
        <v>2030</v>
      </c>
      <c r="D96" s="397">
        <f ca="1">SUM(Start:End!D96)</f>
        <v>0</v>
      </c>
      <c r="E96" s="397">
        <f ca="1">SUM(Start:End!E96)</f>
        <v>0</v>
      </c>
      <c r="F96" s="397">
        <f ca="1">SUM(Start:End!F96)</f>
        <v>0</v>
      </c>
      <c r="G96" s="397">
        <f ca="1">SUM(Start:End!G96)</f>
        <v>0</v>
      </c>
      <c r="H96" s="15"/>
      <c r="I96" s="271">
        <f ca="1">Assumptions!O$68</f>
        <v>4.5</v>
      </c>
      <c r="J96" s="271">
        <f ca="1">Assumptions!P$68</f>
        <v>80</v>
      </c>
      <c r="K96" s="271">
        <f t="shared" ca="1" si="70"/>
        <v>40</v>
      </c>
      <c r="L96" s="15"/>
      <c r="M96" s="35" t="str">
        <f t="shared" ca="1" si="73"/>
        <v>N/A</v>
      </c>
      <c r="N96" s="35" t="str">
        <f t="shared" ca="1" si="71"/>
        <v>N/A</v>
      </c>
      <c r="O96" s="35" t="str">
        <f t="shared" ca="1" si="72"/>
        <v>N/A</v>
      </c>
      <c r="P96" s="15"/>
      <c r="Q96" s="397">
        <f ca="1">SUM(Start:End!Q96)</f>
        <v>0</v>
      </c>
      <c r="R96" s="397">
        <f ca="1">SUM(Start:End!R96)</f>
        <v>0</v>
      </c>
      <c r="S96" s="397">
        <f ca="1">SUM(Start:End!S96)</f>
        <v>0</v>
      </c>
      <c r="T96" s="397">
        <f ca="1">SUM(Start:End!T96)</f>
        <v>0</v>
      </c>
      <c r="U96" s="15"/>
      <c r="V96" s="35" t="str">
        <f t="shared" ref="V96" ca="1" si="109">+IFERROR(W96/$G96,"N/A")</f>
        <v>N/A</v>
      </c>
      <c r="W96" s="397">
        <f ca="1">SUM(Start:End!W96)</f>
        <v>0</v>
      </c>
      <c r="X96" s="35" t="str">
        <f t="shared" ref="X96" ca="1" si="110">+IFERROR(Y96/$G96,"N/A")</f>
        <v>N/A</v>
      </c>
      <c r="Y96" s="397">
        <f ca="1">SUM(Start:End!Y96)</f>
        <v>0</v>
      </c>
      <c r="Z96" s="35" t="str">
        <f t="shared" ca="1" si="76"/>
        <v>N/A</v>
      </c>
      <c r="AA96" s="397">
        <f ca="1">SUM(Start:End!AA96)</f>
        <v>0</v>
      </c>
      <c r="AB96" s="397">
        <f ca="1">SUM(Start:End!AB96)</f>
        <v>0</v>
      </c>
      <c r="AC96" s="15"/>
      <c r="AD96" s="397">
        <f ca="1">SUM(Start:End!AD96)</f>
        <v>0</v>
      </c>
      <c r="AE96" s="397">
        <f ca="1">SUM(Start:End!AE96)</f>
        <v>0</v>
      </c>
      <c r="AF96" s="397">
        <f ca="1">SUM(Start:End!AF96)</f>
        <v>0</v>
      </c>
      <c r="AG96" s="15"/>
      <c r="AH96" s="273">
        <f t="shared" si="80"/>
        <v>47848</v>
      </c>
      <c r="AI96" s="267"/>
      <c r="AJ96" s="267"/>
      <c r="AK96" s="397">
        <f ca="1">SUM(Start:End!AK96)</f>
        <v>0</v>
      </c>
      <c r="AL96" s="233"/>
    </row>
    <row r="97" spans="2:38" x14ac:dyDescent="0.3">
      <c r="B97" s="232"/>
      <c r="C97" s="250">
        <f t="shared" si="77"/>
        <v>2031</v>
      </c>
      <c r="D97" s="397">
        <f ca="1">SUM(Start:End!D97)</f>
        <v>0</v>
      </c>
      <c r="E97" s="397">
        <f ca="1">SUM(Start:End!E97)</f>
        <v>0</v>
      </c>
      <c r="F97" s="397">
        <f ca="1">SUM(Start:End!F97)</f>
        <v>0</v>
      </c>
      <c r="G97" s="397">
        <f ca="1">SUM(Start:End!G97)</f>
        <v>0</v>
      </c>
      <c r="H97" s="15"/>
      <c r="I97" s="271">
        <f ca="1">Assumptions!O$68</f>
        <v>4.5</v>
      </c>
      <c r="J97" s="271">
        <f ca="1">Assumptions!P$68</f>
        <v>80</v>
      </c>
      <c r="K97" s="271">
        <f t="shared" ca="1" si="70"/>
        <v>40</v>
      </c>
      <c r="L97" s="15"/>
      <c r="M97" s="35" t="str">
        <f t="shared" ca="1" si="73"/>
        <v>N/A</v>
      </c>
      <c r="N97" s="35" t="str">
        <f t="shared" ca="1" si="71"/>
        <v>N/A</v>
      </c>
      <c r="O97" s="35" t="str">
        <f t="shared" ca="1" si="72"/>
        <v>N/A</v>
      </c>
      <c r="P97" s="15"/>
      <c r="Q97" s="397">
        <f ca="1">SUM(Start:End!Q97)</f>
        <v>0</v>
      </c>
      <c r="R97" s="397">
        <f ca="1">SUM(Start:End!R97)</f>
        <v>0</v>
      </c>
      <c r="S97" s="397">
        <f ca="1">SUM(Start:End!S97)</f>
        <v>0</v>
      </c>
      <c r="T97" s="397">
        <f ca="1">SUM(Start:End!T97)</f>
        <v>0</v>
      </c>
      <c r="U97" s="15"/>
      <c r="V97" s="35" t="str">
        <f t="shared" ref="V97" ca="1" si="111">+IFERROR(W97/$G97,"N/A")</f>
        <v>N/A</v>
      </c>
      <c r="W97" s="397">
        <f ca="1">SUM(Start:End!W97)</f>
        <v>0</v>
      </c>
      <c r="X97" s="35" t="str">
        <f t="shared" ref="X97" ca="1" si="112">+IFERROR(Y97/$G97,"N/A")</f>
        <v>N/A</v>
      </c>
      <c r="Y97" s="397">
        <f ca="1">SUM(Start:End!Y97)</f>
        <v>0</v>
      </c>
      <c r="Z97" s="35" t="str">
        <f t="shared" ca="1" si="76"/>
        <v>N/A</v>
      </c>
      <c r="AA97" s="397">
        <f ca="1">SUM(Start:End!AA97)</f>
        <v>0</v>
      </c>
      <c r="AB97" s="397">
        <f ca="1">SUM(Start:End!AB97)</f>
        <v>0</v>
      </c>
      <c r="AC97" s="15"/>
      <c r="AD97" s="397">
        <f ca="1">SUM(Start:End!AD97)</f>
        <v>0</v>
      </c>
      <c r="AE97" s="397">
        <f ca="1">SUM(Start:End!AE97)</f>
        <v>0</v>
      </c>
      <c r="AF97" s="397">
        <f ca="1">SUM(Start:End!AF97)</f>
        <v>0</v>
      </c>
      <c r="AG97" s="15"/>
      <c r="AH97" s="273">
        <f t="shared" si="80"/>
        <v>48213</v>
      </c>
      <c r="AI97" s="267"/>
      <c r="AJ97" s="267"/>
      <c r="AK97" s="397">
        <f ca="1">SUM(Start:End!AK97)</f>
        <v>0</v>
      </c>
      <c r="AL97" s="233"/>
    </row>
    <row r="98" spans="2:38" x14ac:dyDescent="0.3">
      <c r="B98" s="232"/>
      <c r="C98" s="250">
        <f t="shared" si="77"/>
        <v>2032</v>
      </c>
      <c r="D98" s="397">
        <f ca="1">SUM(Start:End!D98)</f>
        <v>0</v>
      </c>
      <c r="E98" s="397">
        <f ca="1">SUM(Start:End!E98)</f>
        <v>0</v>
      </c>
      <c r="F98" s="397">
        <f ca="1">SUM(Start:End!F98)</f>
        <v>0</v>
      </c>
      <c r="G98" s="397">
        <f ca="1">SUM(Start:End!G98)</f>
        <v>0</v>
      </c>
      <c r="H98" s="15"/>
      <c r="I98" s="271">
        <f ca="1">Assumptions!O$68</f>
        <v>4.5</v>
      </c>
      <c r="J98" s="271">
        <f ca="1">Assumptions!P$68</f>
        <v>80</v>
      </c>
      <c r="K98" s="271">
        <f t="shared" ca="1" si="70"/>
        <v>40</v>
      </c>
      <c r="L98" s="15"/>
      <c r="M98" s="35" t="str">
        <f t="shared" ca="1" si="73"/>
        <v>N/A</v>
      </c>
      <c r="N98" s="35" t="str">
        <f t="shared" ca="1" si="71"/>
        <v>N/A</v>
      </c>
      <c r="O98" s="35" t="str">
        <f t="shared" ca="1" si="72"/>
        <v>N/A</v>
      </c>
      <c r="P98" s="15"/>
      <c r="Q98" s="397">
        <f ca="1">SUM(Start:End!Q98)</f>
        <v>0</v>
      </c>
      <c r="R98" s="397">
        <f ca="1">SUM(Start:End!R98)</f>
        <v>0</v>
      </c>
      <c r="S98" s="397">
        <f ca="1">SUM(Start:End!S98)</f>
        <v>0</v>
      </c>
      <c r="T98" s="397">
        <f ca="1">SUM(Start:End!T98)</f>
        <v>0</v>
      </c>
      <c r="U98" s="15"/>
      <c r="V98" s="35" t="str">
        <f t="shared" ref="V98" ca="1" si="113">+IFERROR(W98/$G98,"N/A")</f>
        <v>N/A</v>
      </c>
      <c r="W98" s="397">
        <f ca="1">SUM(Start:End!W98)</f>
        <v>0</v>
      </c>
      <c r="X98" s="35" t="str">
        <f t="shared" ref="X98" ca="1" si="114">+IFERROR(Y98/$G98,"N/A")</f>
        <v>N/A</v>
      </c>
      <c r="Y98" s="397">
        <f ca="1">SUM(Start:End!Y98)</f>
        <v>0</v>
      </c>
      <c r="Z98" s="35" t="str">
        <f t="shared" ca="1" si="76"/>
        <v>N/A</v>
      </c>
      <c r="AA98" s="397">
        <f ca="1">SUM(Start:End!AA98)</f>
        <v>0</v>
      </c>
      <c r="AB98" s="397">
        <f ca="1">SUM(Start:End!AB98)</f>
        <v>0</v>
      </c>
      <c r="AC98" s="15"/>
      <c r="AD98" s="397">
        <f ca="1">SUM(Start:End!AD98)</f>
        <v>0</v>
      </c>
      <c r="AE98" s="397">
        <f ca="1">SUM(Start:End!AE98)</f>
        <v>0</v>
      </c>
      <c r="AF98" s="397">
        <f ca="1">SUM(Start:End!AF98)</f>
        <v>0</v>
      </c>
      <c r="AG98" s="15"/>
      <c r="AH98" s="273">
        <f t="shared" si="80"/>
        <v>48579</v>
      </c>
      <c r="AI98" s="267"/>
      <c r="AJ98" s="267"/>
      <c r="AK98" s="397">
        <f ca="1">SUM(Start:End!AK98)</f>
        <v>0</v>
      </c>
      <c r="AL98" s="233"/>
    </row>
    <row r="99" spans="2:38" x14ac:dyDescent="0.3">
      <c r="B99" s="232"/>
      <c r="C99" s="250">
        <f t="shared" si="77"/>
        <v>2033</v>
      </c>
      <c r="D99" s="397">
        <f ca="1">SUM(Start:End!D99)</f>
        <v>0</v>
      </c>
      <c r="E99" s="397">
        <f ca="1">SUM(Start:End!E99)</f>
        <v>0</v>
      </c>
      <c r="F99" s="397">
        <f ca="1">SUM(Start:End!F99)</f>
        <v>0</v>
      </c>
      <c r="G99" s="397">
        <f ca="1">SUM(Start:End!G99)</f>
        <v>0</v>
      </c>
      <c r="H99" s="15"/>
      <c r="I99" s="271">
        <f ca="1">Assumptions!O$68</f>
        <v>4.5</v>
      </c>
      <c r="J99" s="271">
        <f ca="1">Assumptions!P$68</f>
        <v>80</v>
      </c>
      <c r="K99" s="271">
        <f t="shared" ca="1" si="70"/>
        <v>40</v>
      </c>
      <c r="L99" s="15"/>
      <c r="M99" s="35" t="str">
        <f t="shared" ca="1" si="73"/>
        <v>N/A</v>
      </c>
      <c r="N99" s="35" t="str">
        <f t="shared" ca="1" si="71"/>
        <v>N/A</v>
      </c>
      <c r="O99" s="35" t="str">
        <f t="shared" ca="1" si="72"/>
        <v>N/A</v>
      </c>
      <c r="P99" s="15"/>
      <c r="Q99" s="397">
        <f ca="1">SUM(Start:End!Q99)</f>
        <v>0</v>
      </c>
      <c r="R99" s="397">
        <f ca="1">SUM(Start:End!R99)</f>
        <v>0</v>
      </c>
      <c r="S99" s="397">
        <f ca="1">SUM(Start:End!S99)</f>
        <v>0</v>
      </c>
      <c r="T99" s="397">
        <f ca="1">SUM(Start:End!T99)</f>
        <v>0</v>
      </c>
      <c r="U99" s="15"/>
      <c r="V99" s="35" t="str">
        <f t="shared" ref="V99" ca="1" si="115">+IFERROR(W99/$G99,"N/A")</f>
        <v>N/A</v>
      </c>
      <c r="W99" s="397">
        <f ca="1">SUM(Start:End!W99)</f>
        <v>0</v>
      </c>
      <c r="X99" s="35" t="str">
        <f t="shared" ref="X99" ca="1" si="116">+IFERROR(Y99/$G99,"N/A")</f>
        <v>N/A</v>
      </c>
      <c r="Y99" s="397">
        <f ca="1">SUM(Start:End!Y99)</f>
        <v>0</v>
      </c>
      <c r="Z99" s="35" t="str">
        <f t="shared" ca="1" si="76"/>
        <v>N/A</v>
      </c>
      <c r="AA99" s="397">
        <f ca="1">SUM(Start:End!AA99)</f>
        <v>0</v>
      </c>
      <c r="AB99" s="397">
        <f ca="1">SUM(Start:End!AB99)</f>
        <v>0</v>
      </c>
      <c r="AC99" s="15"/>
      <c r="AD99" s="397">
        <f ca="1">SUM(Start:End!AD99)</f>
        <v>0</v>
      </c>
      <c r="AE99" s="397">
        <f ca="1">SUM(Start:End!AE99)</f>
        <v>0</v>
      </c>
      <c r="AF99" s="397">
        <f ca="1">SUM(Start:End!AF99)</f>
        <v>0</v>
      </c>
      <c r="AG99" s="15"/>
      <c r="AH99" s="273">
        <f t="shared" si="80"/>
        <v>48944</v>
      </c>
      <c r="AI99" s="267"/>
      <c r="AJ99" s="267"/>
      <c r="AK99" s="397">
        <f ca="1">SUM(Start:End!AK99)</f>
        <v>0</v>
      </c>
      <c r="AL99" s="233"/>
    </row>
    <row r="100" spans="2:38" x14ac:dyDescent="0.3">
      <c r="B100" s="232"/>
      <c r="C100" s="250">
        <f t="shared" si="77"/>
        <v>2034</v>
      </c>
      <c r="D100" s="397">
        <f ca="1">SUM(Start:End!D100)</f>
        <v>0</v>
      </c>
      <c r="E100" s="397">
        <f ca="1">SUM(Start:End!E100)</f>
        <v>0</v>
      </c>
      <c r="F100" s="397">
        <f ca="1">SUM(Start:End!F100)</f>
        <v>0</v>
      </c>
      <c r="G100" s="397">
        <f ca="1">SUM(Start:End!G100)</f>
        <v>0</v>
      </c>
      <c r="H100" s="15"/>
      <c r="I100" s="271">
        <f ca="1">Assumptions!O$68</f>
        <v>4.5</v>
      </c>
      <c r="J100" s="271">
        <f ca="1">Assumptions!P$68</f>
        <v>80</v>
      </c>
      <c r="K100" s="271">
        <f t="shared" ca="1" si="70"/>
        <v>40</v>
      </c>
      <c r="L100" s="15"/>
      <c r="M100" s="35" t="str">
        <f t="shared" ca="1" si="73"/>
        <v>N/A</v>
      </c>
      <c r="N100" s="35" t="str">
        <f t="shared" ca="1" si="71"/>
        <v>N/A</v>
      </c>
      <c r="O100" s="35" t="str">
        <f t="shared" ca="1" si="72"/>
        <v>N/A</v>
      </c>
      <c r="P100" s="15"/>
      <c r="Q100" s="397">
        <f ca="1">SUM(Start:End!Q100)</f>
        <v>0</v>
      </c>
      <c r="R100" s="397">
        <f ca="1">SUM(Start:End!R100)</f>
        <v>0</v>
      </c>
      <c r="S100" s="397">
        <f ca="1">SUM(Start:End!S100)</f>
        <v>0</v>
      </c>
      <c r="T100" s="397">
        <f ca="1">SUM(Start:End!T100)</f>
        <v>0</v>
      </c>
      <c r="U100" s="15"/>
      <c r="V100" s="35" t="str">
        <f t="shared" ref="V100" ca="1" si="117">+IFERROR(W100/$G100,"N/A")</f>
        <v>N/A</v>
      </c>
      <c r="W100" s="397">
        <f ca="1">SUM(Start:End!W100)</f>
        <v>0</v>
      </c>
      <c r="X100" s="35" t="str">
        <f t="shared" ref="X100" ca="1" si="118">+IFERROR(Y100/$G100,"N/A")</f>
        <v>N/A</v>
      </c>
      <c r="Y100" s="397">
        <f ca="1">SUM(Start:End!Y100)</f>
        <v>0</v>
      </c>
      <c r="Z100" s="35" t="str">
        <f t="shared" ca="1" si="76"/>
        <v>N/A</v>
      </c>
      <c r="AA100" s="397">
        <f ca="1">SUM(Start:End!AA100)</f>
        <v>0</v>
      </c>
      <c r="AB100" s="397">
        <f ca="1">SUM(Start:End!AB100)</f>
        <v>0</v>
      </c>
      <c r="AC100" s="15"/>
      <c r="AD100" s="397">
        <f ca="1">SUM(Start:End!AD100)</f>
        <v>0</v>
      </c>
      <c r="AE100" s="397">
        <f ca="1">SUM(Start:End!AE100)</f>
        <v>0</v>
      </c>
      <c r="AF100" s="397">
        <f ca="1">SUM(Start:End!AF100)</f>
        <v>0</v>
      </c>
      <c r="AG100" s="15"/>
      <c r="AH100" s="273">
        <f t="shared" si="80"/>
        <v>49309</v>
      </c>
      <c r="AI100" s="267"/>
      <c r="AJ100" s="267"/>
      <c r="AK100" s="397">
        <f ca="1">SUM(Start:End!AK100)</f>
        <v>0</v>
      </c>
      <c r="AL100" s="233"/>
    </row>
    <row r="101" spans="2:38" x14ac:dyDescent="0.3">
      <c r="B101" s="232"/>
      <c r="C101" s="250">
        <f t="shared" si="77"/>
        <v>2035</v>
      </c>
      <c r="D101" s="397">
        <f ca="1">SUM(Start:End!D101)</f>
        <v>0</v>
      </c>
      <c r="E101" s="397">
        <f ca="1">SUM(Start:End!E101)</f>
        <v>0</v>
      </c>
      <c r="F101" s="397">
        <f ca="1">SUM(Start:End!F101)</f>
        <v>0</v>
      </c>
      <c r="G101" s="397">
        <f ca="1">SUM(Start:End!G101)</f>
        <v>0</v>
      </c>
      <c r="H101" s="15"/>
      <c r="I101" s="271">
        <f ca="1">Assumptions!O$68</f>
        <v>4.5</v>
      </c>
      <c r="J101" s="271">
        <f ca="1">Assumptions!P$68</f>
        <v>80</v>
      </c>
      <c r="K101" s="271">
        <f t="shared" ca="1" si="70"/>
        <v>40</v>
      </c>
      <c r="L101" s="15"/>
      <c r="M101" s="35" t="str">
        <f t="shared" ca="1" si="73"/>
        <v>N/A</v>
      </c>
      <c r="N101" s="35" t="str">
        <f t="shared" ca="1" si="71"/>
        <v>N/A</v>
      </c>
      <c r="O101" s="35" t="str">
        <f t="shared" ca="1" si="72"/>
        <v>N/A</v>
      </c>
      <c r="P101" s="15"/>
      <c r="Q101" s="397">
        <f ca="1">SUM(Start:End!Q101)</f>
        <v>0</v>
      </c>
      <c r="R101" s="397">
        <f ca="1">SUM(Start:End!R101)</f>
        <v>0</v>
      </c>
      <c r="S101" s="397">
        <f ca="1">SUM(Start:End!S101)</f>
        <v>0</v>
      </c>
      <c r="T101" s="397">
        <f ca="1">SUM(Start:End!T101)</f>
        <v>0</v>
      </c>
      <c r="U101" s="15"/>
      <c r="V101" s="35" t="str">
        <f t="shared" ref="V101" ca="1" si="119">+IFERROR(W101/$G101,"N/A")</f>
        <v>N/A</v>
      </c>
      <c r="W101" s="397">
        <f ca="1">SUM(Start:End!W101)</f>
        <v>0</v>
      </c>
      <c r="X101" s="35" t="str">
        <f t="shared" ref="X101" ca="1" si="120">+IFERROR(Y101/$G101,"N/A")</f>
        <v>N/A</v>
      </c>
      <c r="Y101" s="397">
        <f ca="1">SUM(Start:End!Y101)</f>
        <v>0</v>
      </c>
      <c r="Z101" s="35" t="str">
        <f t="shared" ca="1" si="76"/>
        <v>N/A</v>
      </c>
      <c r="AA101" s="397">
        <f ca="1">SUM(Start:End!AA101)</f>
        <v>0</v>
      </c>
      <c r="AB101" s="397">
        <f ca="1">SUM(Start:End!AB101)</f>
        <v>0</v>
      </c>
      <c r="AC101" s="15"/>
      <c r="AD101" s="397">
        <f ca="1">SUM(Start:End!AD101)</f>
        <v>0</v>
      </c>
      <c r="AE101" s="397">
        <f ca="1">SUM(Start:End!AE101)</f>
        <v>0</v>
      </c>
      <c r="AF101" s="397">
        <f ca="1">SUM(Start:End!AF101)</f>
        <v>0</v>
      </c>
      <c r="AG101" s="15"/>
      <c r="AH101" s="273">
        <f t="shared" si="80"/>
        <v>49674</v>
      </c>
      <c r="AI101" s="267"/>
      <c r="AJ101" s="267"/>
      <c r="AK101" s="397">
        <f ca="1">SUM(Start:End!AK101)</f>
        <v>0</v>
      </c>
      <c r="AL101" s="233"/>
    </row>
    <row r="102" spans="2:38" x14ac:dyDescent="0.3">
      <c r="B102" s="232"/>
      <c r="C102" s="250">
        <f t="shared" si="77"/>
        <v>2036</v>
      </c>
      <c r="D102" s="397">
        <f ca="1">SUM(Start:End!D102)</f>
        <v>0</v>
      </c>
      <c r="E102" s="397">
        <f ca="1">SUM(Start:End!E102)</f>
        <v>0</v>
      </c>
      <c r="F102" s="397">
        <f ca="1">SUM(Start:End!F102)</f>
        <v>0</v>
      </c>
      <c r="G102" s="397">
        <f ca="1">SUM(Start:End!G102)</f>
        <v>0</v>
      </c>
      <c r="H102" s="15"/>
      <c r="I102" s="271">
        <f ca="1">Assumptions!O$68</f>
        <v>4.5</v>
      </c>
      <c r="J102" s="271">
        <f ca="1">Assumptions!P$68</f>
        <v>80</v>
      </c>
      <c r="K102" s="271">
        <f t="shared" ca="1" si="70"/>
        <v>40</v>
      </c>
      <c r="L102" s="15"/>
      <c r="M102" s="35" t="str">
        <f t="shared" ca="1" si="73"/>
        <v>N/A</v>
      </c>
      <c r="N102" s="35" t="str">
        <f t="shared" ca="1" si="71"/>
        <v>N/A</v>
      </c>
      <c r="O102" s="35" t="str">
        <f t="shared" ca="1" si="72"/>
        <v>N/A</v>
      </c>
      <c r="P102" s="15"/>
      <c r="Q102" s="397">
        <f ca="1">SUM(Start:End!Q102)</f>
        <v>0</v>
      </c>
      <c r="R102" s="397">
        <f ca="1">SUM(Start:End!R102)</f>
        <v>0</v>
      </c>
      <c r="S102" s="397">
        <f ca="1">SUM(Start:End!S102)</f>
        <v>0</v>
      </c>
      <c r="T102" s="397">
        <f ca="1">SUM(Start:End!T102)</f>
        <v>0</v>
      </c>
      <c r="U102" s="15"/>
      <c r="V102" s="35" t="str">
        <f t="shared" ref="V102" ca="1" si="121">+IFERROR(W102/$G102,"N/A")</f>
        <v>N/A</v>
      </c>
      <c r="W102" s="397">
        <f ca="1">SUM(Start:End!W102)</f>
        <v>0</v>
      </c>
      <c r="X102" s="35" t="str">
        <f t="shared" ref="X102" ca="1" si="122">+IFERROR(Y102/$G102,"N/A")</f>
        <v>N/A</v>
      </c>
      <c r="Y102" s="397">
        <f ca="1">SUM(Start:End!Y102)</f>
        <v>0</v>
      </c>
      <c r="Z102" s="35" t="str">
        <f t="shared" ca="1" si="76"/>
        <v>N/A</v>
      </c>
      <c r="AA102" s="397">
        <f ca="1">SUM(Start:End!AA102)</f>
        <v>0</v>
      </c>
      <c r="AB102" s="397">
        <f ca="1">SUM(Start:End!AB102)</f>
        <v>0</v>
      </c>
      <c r="AC102" s="15"/>
      <c r="AD102" s="397">
        <f ca="1">SUM(Start:End!AD102)</f>
        <v>0</v>
      </c>
      <c r="AE102" s="397">
        <f ca="1">SUM(Start:End!AE102)</f>
        <v>0</v>
      </c>
      <c r="AF102" s="397">
        <f ca="1">SUM(Start:End!AF102)</f>
        <v>0</v>
      </c>
      <c r="AG102" s="15"/>
      <c r="AH102" s="273">
        <f t="shared" si="80"/>
        <v>50040</v>
      </c>
      <c r="AI102" s="267"/>
      <c r="AJ102" s="267"/>
      <c r="AK102" s="397">
        <f ca="1">SUM(Start:End!AK102)</f>
        <v>0</v>
      </c>
      <c r="AL102" s="233"/>
    </row>
    <row r="103" spans="2:38" x14ac:dyDescent="0.3">
      <c r="B103" s="232"/>
      <c r="C103" s="250">
        <f t="shared" si="77"/>
        <v>2037</v>
      </c>
      <c r="D103" s="397">
        <f ca="1">SUM(Start:End!D103)</f>
        <v>0</v>
      </c>
      <c r="E103" s="397">
        <f ca="1">SUM(Start:End!E103)</f>
        <v>0</v>
      </c>
      <c r="F103" s="397">
        <f ca="1">SUM(Start:End!F103)</f>
        <v>0</v>
      </c>
      <c r="G103" s="397">
        <f ca="1">SUM(Start:End!G103)</f>
        <v>0</v>
      </c>
      <c r="H103" s="15"/>
      <c r="I103" s="271">
        <f ca="1">Assumptions!O$68</f>
        <v>4.5</v>
      </c>
      <c r="J103" s="271">
        <f ca="1">Assumptions!P$68</f>
        <v>80</v>
      </c>
      <c r="K103" s="271">
        <f t="shared" ca="1" si="70"/>
        <v>40</v>
      </c>
      <c r="L103" s="15"/>
      <c r="M103" s="35" t="str">
        <f t="shared" ca="1" si="73"/>
        <v>N/A</v>
      </c>
      <c r="N103" s="35" t="str">
        <f t="shared" ca="1" si="71"/>
        <v>N/A</v>
      </c>
      <c r="O103" s="35" t="str">
        <f t="shared" ca="1" si="72"/>
        <v>N/A</v>
      </c>
      <c r="P103" s="15"/>
      <c r="Q103" s="397">
        <f ca="1">SUM(Start:End!Q103)</f>
        <v>0</v>
      </c>
      <c r="R103" s="397">
        <f ca="1">SUM(Start:End!R103)</f>
        <v>0</v>
      </c>
      <c r="S103" s="397">
        <f ca="1">SUM(Start:End!S103)</f>
        <v>0</v>
      </c>
      <c r="T103" s="397">
        <f ca="1">SUM(Start:End!T103)</f>
        <v>0</v>
      </c>
      <c r="U103" s="15"/>
      <c r="V103" s="35" t="str">
        <f t="shared" ref="V103" ca="1" si="123">+IFERROR(W103/$G103,"N/A")</f>
        <v>N/A</v>
      </c>
      <c r="W103" s="397">
        <f ca="1">SUM(Start:End!W103)</f>
        <v>0</v>
      </c>
      <c r="X103" s="35" t="str">
        <f t="shared" ref="X103" ca="1" si="124">+IFERROR(Y103/$G103,"N/A")</f>
        <v>N/A</v>
      </c>
      <c r="Y103" s="397">
        <f ca="1">SUM(Start:End!Y103)</f>
        <v>0</v>
      </c>
      <c r="Z103" s="35" t="str">
        <f t="shared" ca="1" si="76"/>
        <v>N/A</v>
      </c>
      <c r="AA103" s="397">
        <f ca="1">SUM(Start:End!AA103)</f>
        <v>0</v>
      </c>
      <c r="AB103" s="397">
        <f ca="1">SUM(Start:End!AB103)</f>
        <v>0</v>
      </c>
      <c r="AC103" s="15"/>
      <c r="AD103" s="397">
        <f ca="1">SUM(Start:End!AD103)</f>
        <v>0</v>
      </c>
      <c r="AE103" s="397">
        <f ca="1">SUM(Start:End!AE103)</f>
        <v>0</v>
      </c>
      <c r="AF103" s="397">
        <f ca="1">SUM(Start:End!AF103)</f>
        <v>0</v>
      </c>
      <c r="AG103" s="15"/>
      <c r="AH103" s="273">
        <f t="shared" si="80"/>
        <v>50405</v>
      </c>
      <c r="AI103" s="267"/>
      <c r="AJ103" s="267"/>
      <c r="AK103" s="397">
        <f ca="1">SUM(Start:End!AK103)</f>
        <v>0</v>
      </c>
      <c r="AL103" s="233"/>
    </row>
    <row r="104" spans="2:38" x14ac:dyDescent="0.3">
      <c r="B104" s="232"/>
      <c r="C104" s="250">
        <f t="shared" si="77"/>
        <v>2038</v>
      </c>
      <c r="D104" s="397">
        <f ca="1">SUM(Start:End!D104)</f>
        <v>0</v>
      </c>
      <c r="E104" s="397">
        <f ca="1">SUM(Start:End!E104)</f>
        <v>0</v>
      </c>
      <c r="F104" s="397">
        <f ca="1">SUM(Start:End!F104)</f>
        <v>0</v>
      </c>
      <c r="G104" s="397">
        <f ca="1">SUM(Start:End!G104)</f>
        <v>0</v>
      </c>
      <c r="H104" s="15"/>
      <c r="I104" s="271">
        <f ca="1">Assumptions!O$68</f>
        <v>4.5</v>
      </c>
      <c r="J104" s="271">
        <f ca="1">Assumptions!P$68</f>
        <v>80</v>
      </c>
      <c r="K104" s="271">
        <f t="shared" ca="1" si="70"/>
        <v>40</v>
      </c>
      <c r="L104" s="15"/>
      <c r="M104" s="35" t="str">
        <f t="shared" ca="1" si="73"/>
        <v>N/A</v>
      </c>
      <c r="N104" s="35" t="str">
        <f t="shared" ca="1" si="71"/>
        <v>N/A</v>
      </c>
      <c r="O104" s="35" t="str">
        <f t="shared" ca="1" si="72"/>
        <v>N/A</v>
      </c>
      <c r="P104" s="15"/>
      <c r="Q104" s="397">
        <f ca="1">SUM(Start:End!Q104)</f>
        <v>0</v>
      </c>
      <c r="R104" s="397">
        <f ca="1">SUM(Start:End!R104)</f>
        <v>0</v>
      </c>
      <c r="S104" s="397">
        <f ca="1">SUM(Start:End!S104)</f>
        <v>0</v>
      </c>
      <c r="T104" s="397">
        <f ca="1">SUM(Start:End!T104)</f>
        <v>0</v>
      </c>
      <c r="U104" s="15"/>
      <c r="V104" s="35" t="str">
        <f t="shared" ref="V104" ca="1" si="125">+IFERROR(W104/$G104,"N/A")</f>
        <v>N/A</v>
      </c>
      <c r="W104" s="397">
        <f ca="1">SUM(Start:End!W104)</f>
        <v>0</v>
      </c>
      <c r="X104" s="35" t="str">
        <f t="shared" ref="X104" ca="1" si="126">+IFERROR(Y104/$G104,"N/A")</f>
        <v>N/A</v>
      </c>
      <c r="Y104" s="397">
        <f ca="1">SUM(Start:End!Y104)</f>
        <v>0</v>
      </c>
      <c r="Z104" s="35" t="str">
        <f t="shared" ca="1" si="76"/>
        <v>N/A</v>
      </c>
      <c r="AA104" s="397">
        <f ca="1">SUM(Start:End!AA104)</f>
        <v>0</v>
      </c>
      <c r="AB104" s="397">
        <f ca="1">SUM(Start:End!AB104)</f>
        <v>0</v>
      </c>
      <c r="AC104" s="15"/>
      <c r="AD104" s="397">
        <f ca="1">SUM(Start:End!AD104)</f>
        <v>0</v>
      </c>
      <c r="AE104" s="397">
        <f ca="1">SUM(Start:End!AE104)</f>
        <v>0</v>
      </c>
      <c r="AF104" s="397">
        <f ca="1">SUM(Start:End!AF104)</f>
        <v>0</v>
      </c>
      <c r="AG104" s="15"/>
      <c r="AH104" s="273">
        <f t="shared" si="80"/>
        <v>50770</v>
      </c>
      <c r="AI104" s="267"/>
      <c r="AJ104" s="267"/>
      <c r="AK104" s="397">
        <f ca="1">SUM(Start:End!AK104)</f>
        <v>0</v>
      </c>
      <c r="AL104" s="233"/>
    </row>
    <row r="105" spans="2:38" x14ac:dyDescent="0.3">
      <c r="B105" s="232"/>
      <c r="C105" s="250">
        <f t="shared" si="77"/>
        <v>2039</v>
      </c>
      <c r="D105" s="397">
        <f ca="1">SUM(Start:End!D105)</f>
        <v>0</v>
      </c>
      <c r="E105" s="397">
        <f ca="1">SUM(Start:End!E105)</f>
        <v>0</v>
      </c>
      <c r="F105" s="397">
        <f ca="1">SUM(Start:End!F105)</f>
        <v>0</v>
      </c>
      <c r="G105" s="397">
        <f ca="1">SUM(Start:End!G105)</f>
        <v>0</v>
      </c>
      <c r="H105" s="15"/>
      <c r="I105" s="271">
        <f ca="1">Assumptions!O$68</f>
        <v>4.5</v>
      </c>
      <c r="J105" s="271">
        <f ca="1">Assumptions!P$68</f>
        <v>80</v>
      </c>
      <c r="K105" s="271">
        <f t="shared" ca="1" si="70"/>
        <v>40</v>
      </c>
      <c r="L105" s="15"/>
      <c r="M105" s="35" t="str">
        <f t="shared" ca="1" si="73"/>
        <v>N/A</v>
      </c>
      <c r="N105" s="35" t="str">
        <f t="shared" ca="1" si="71"/>
        <v>N/A</v>
      </c>
      <c r="O105" s="35" t="str">
        <f t="shared" ca="1" si="72"/>
        <v>N/A</v>
      </c>
      <c r="P105" s="15"/>
      <c r="Q105" s="397">
        <f ca="1">SUM(Start:End!Q105)</f>
        <v>0</v>
      </c>
      <c r="R105" s="397">
        <f ca="1">SUM(Start:End!R105)</f>
        <v>0</v>
      </c>
      <c r="S105" s="397">
        <f ca="1">SUM(Start:End!S105)</f>
        <v>0</v>
      </c>
      <c r="T105" s="397">
        <f ca="1">SUM(Start:End!T105)</f>
        <v>0</v>
      </c>
      <c r="U105" s="15"/>
      <c r="V105" s="35" t="str">
        <f t="shared" ref="V105" ca="1" si="127">+IFERROR(W105/$G105,"N/A")</f>
        <v>N/A</v>
      </c>
      <c r="W105" s="397">
        <f ca="1">SUM(Start:End!W105)</f>
        <v>0</v>
      </c>
      <c r="X105" s="35" t="str">
        <f t="shared" ref="X105" ca="1" si="128">+IFERROR(Y105/$G105,"N/A")</f>
        <v>N/A</v>
      </c>
      <c r="Y105" s="397">
        <f ca="1">SUM(Start:End!Y105)</f>
        <v>0</v>
      </c>
      <c r="Z105" s="35" t="str">
        <f t="shared" ca="1" si="76"/>
        <v>N/A</v>
      </c>
      <c r="AA105" s="397">
        <f ca="1">SUM(Start:End!AA105)</f>
        <v>0</v>
      </c>
      <c r="AB105" s="397">
        <f ca="1">SUM(Start:End!AB105)</f>
        <v>0</v>
      </c>
      <c r="AC105" s="15"/>
      <c r="AD105" s="397">
        <f ca="1">SUM(Start:End!AD105)</f>
        <v>0</v>
      </c>
      <c r="AE105" s="397">
        <f ca="1">SUM(Start:End!AE105)</f>
        <v>0</v>
      </c>
      <c r="AF105" s="397">
        <f ca="1">SUM(Start:End!AF105)</f>
        <v>0</v>
      </c>
      <c r="AG105" s="15"/>
      <c r="AH105" s="273">
        <f t="shared" si="80"/>
        <v>51135</v>
      </c>
      <c r="AI105" s="267"/>
      <c r="AJ105" s="267"/>
      <c r="AK105" s="397">
        <f ca="1">SUM(Start:End!AK105)</f>
        <v>0</v>
      </c>
      <c r="AL105" s="233"/>
    </row>
    <row r="106" spans="2:38" x14ac:dyDescent="0.3">
      <c r="B106" s="232"/>
      <c r="C106" s="250">
        <f t="shared" si="77"/>
        <v>2040</v>
      </c>
      <c r="D106" s="397">
        <f ca="1">SUM(Start:End!D106)</f>
        <v>0</v>
      </c>
      <c r="E106" s="397">
        <f ca="1">SUM(Start:End!E106)</f>
        <v>0</v>
      </c>
      <c r="F106" s="397">
        <f ca="1">SUM(Start:End!F106)</f>
        <v>0</v>
      </c>
      <c r="G106" s="397">
        <f ca="1">SUM(Start:End!G106)</f>
        <v>0</v>
      </c>
      <c r="H106" s="15"/>
      <c r="I106" s="271">
        <f ca="1">Assumptions!O$68</f>
        <v>4.5</v>
      </c>
      <c r="J106" s="271">
        <f ca="1">Assumptions!P$68</f>
        <v>80</v>
      </c>
      <c r="K106" s="271">
        <f t="shared" ca="1" si="70"/>
        <v>40</v>
      </c>
      <c r="L106" s="15"/>
      <c r="M106" s="35" t="str">
        <f t="shared" ca="1" si="73"/>
        <v>N/A</v>
      </c>
      <c r="N106" s="35" t="str">
        <f t="shared" ca="1" si="71"/>
        <v>N/A</v>
      </c>
      <c r="O106" s="35" t="str">
        <f t="shared" ca="1" si="72"/>
        <v>N/A</v>
      </c>
      <c r="P106" s="15"/>
      <c r="Q106" s="397">
        <f ca="1">SUM(Start:End!Q106)</f>
        <v>0</v>
      </c>
      <c r="R106" s="397">
        <f ca="1">SUM(Start:End!R106)</f>
        <v>0</v>
      </c>
      <c r="S106" s="397">
        <f ca="1">SUM(Start:End!S106)</f>
        <v>0</v>
      </c>
      <c r="T106" s="397">
        <f ca="1">SUM(Start:End!T106)</f>
        <v>0</v>
      </c>
      <c r="U106" s="15"/>
      <c r="V106" s="35" t="str">
        <f t="shared" ref="V106" ca="1" si="129">+IFERROR(W106/$G106,"N/A")</f>
        <v>N/A</v>
      </c>
      <c r="W106" s="397">
        <f ca="1">SUM(Start:End!W106)</f>
        <v>0</v>
      </c>
      <c r="X106" s="35" t="str">
        <f t="shared" ref="X106" ca="1" si="130">+IFERROR(Y106/$G106,"N/A")</f>
        <v>N/A</v>
      </c>
      <c r="Y106" s="397">
        <f ca="1">SUM(Start:End!Y106)</f>
        <v>0</v>
      </c>
      <c r="Z106" s="35" t="str">
        <f t="shared" ca="1" si="76"/>
        <v>N/A</v>
      </c>
      <c r="AA106" s="397">
        <f ca="1">SUM(Start:End!AA106)</f>
        <v>0</v>
      </c>
      <c r="AB106" s="397">
        <f ca="1">SUM(Start:End!AB106)</f>
        <v>0</v>
      </c>
      <c r="AC106" s="15"/>
      <c r="AD106" s="397">
        <f ca="1">SUM(Start:End!AD106)</f>
        <v>0</v>
      </c>
      <c r="AE106" s="397">
        <f ca="1">SUM(Start:End!AE106)</f>
        <v>0</v>
      </c>
      <c r="AF106" s="397">
        <f ca="1">SUM(Start:End!AF106)</f>
        <v>0</v>
      </c>
      <c r="AG106" s="15"/>
      <c r="AH106" s="273">
        <f t="shared" si="80"/>
        <v>51501</v>
      </c>
      <c r="AI106" s="267"/>
      <c r="AJ106" s="267"/>
      <c r="AK106" s="397">
        <f ca="1">SUM(Start:End!AK106)</f>
        <v>0</v>
      </c>
      <c r="AL106" s="233"/>
    </row>
    <row r="107" spans="2:38" x14ac:dyDescent="0.3">
      <c r="B107" s="232"/>
      <c r="C107" s="250">
        <f t="shared" si="77"/>
        <v>2041</v>
      </c>
      <c r="D107" s="397">
        <f ca="1">SUM(Start:End!D107)</f>
        <v>0</v>
      </c>
      <c r="E107" s="397">
        <f ca="1">SUM(Start:End!E107)</f>
        <v>0</v>
      </c>
      <c r="F107" s="397">
        <f ca="1">SUM(Start:End!F107)</f>
        <v>0</v>
      </c>
      <c r="G107" s="397">
        <f ca="1">SUM(Start:End!G107)</f>
        <v>0</v>
      </c>
      <c r="H107" s="15"/>
      <c r="I107" s="271">
        <f ca="1">Assumptions!O$68</f>
        <v>4.5</v>
      </c>
      <c r="J107" s="271">
        <f ca="1">Assumptions!P$68</f>
        <v>80</v>
      </c>
      <c r="K107" s="271">
        <f t="shared" ca="1" si="70"/>
        <v>40</v>
      </c>
      <c r="L107" s="15"/>
      <c r="M107" s="35" t="str">
        <f t="shared" ca="1" si="73"/>
        <v>N/A</v>
      </c>
      <c r="N107" s="35" t="str">
        <f t="shared" ca="1" si="71"/>
        <v>N/A</v>
      </c>
      <c r="O107" s="35" t="str">
        <f t="shared" ca="1" si="72"/>
        <v>N/A</v>
      </c>
      <c r="P107" s="15"/>
      <c r="Q107" s="397">
        <f ca="1">SUM(Start:End!Q107)</f>
        <v>0</v>
      </c>
      <c r="R107" s="397">
        <f ca="1">SUM(Start:End!R107)</f>
        <v>0</v>
      </c>
      <c r="S107" s="397">
        <f ca="1">SUM(Start:End!S107)</f>
        <v>0</v>
      </c>
      <c r="T107" s="397">
        <f ca="1">SUM(Start:End!T107)</f>
        <v>0</v>
      </c>
      <c r="U107" s="15"/>
      <c r="V107" s="35" t="str">
        <f t="shared" ref="V107" ca="1" si="131">+IFERROR(W107/$G107,"N/A")</f>
        <v>N/A</v>
      </c>
      <c r="W107" s="397">
        <f ca="1">SUM(Start:End!W107)</f>
        <v>0</v>
      </c>
      <c r="X107" s="35" t="str">
        <f t="shared" ref="X107" ca="1" si="132">+IFERROR(Y107/$G107,"N/A")</f>
        <v>N/A</v>
      </c>
      <c r="Y107" s="397">
        <f ca="1">SUM(Start:End!Y107)</f>
        <v>0</v>
      </c>
      <c r="Z107" s="35" t="str">
        <f t="shared" ca="1" si="76"/>
        <v>N/A</v>
      </c>
      <c r="AA107" s="397">
        <f ca="1">SUM(Start:End!AA107)</f>
        <v>0</v>
      </c>
      <c r="AB107" s="397">
        <f ca="1">SUM(Start:End!AB107)</f>
        <v>0</v>
      </c>
      <c r="AC107" s="15"/>
      <c r="AD107" s="397">
        <f ca="1">SUM(Start:End!AD107)</f>
        <v>0</v>
      </c>
      <c r="AE107" s="397">
        <f ca="1">SUM(Start:End!AE107)</f>
        <v>0</v>
      </c>
      <c r="AF107" s="397">
        <f ca="1">SUM(Start:End!AF107)</f>
        <v>0</v>
      </c>
      <c r="AG107" s="15"/>
      <c r="AH107" s="273">
        <f t="shared" si="80"/>
        <v>51866</v>
      </c>
      <c r="AI107" s="267"/>
      <c r="AJ107" s="267"/>
      <c r="AK107" s="397">
        <f ca="1">SUM(Start:End!AK107)</f>
        <v>0</v>
      </c>
      <c r="AL107" s="233"/>
    </row>
    <row r="108" spans="2:38" x14ac:dyDescent="0.3">
      <c r="B108" s="232"/>
      <c r="C108" s="250">
        <f t="shared" si="77"/>
        <v>2042</v>
      </c>
      <c r="D108" s="397">
        <f ca="1">SUM(Start:End!D108)</f>
        <v>0</v>
      </c>
      <c r="E108" s="397">
        <f ca="1">SUM(Start:End!E108)</f>
        <v>0</v>
      </c>
      <c r="F108" s="397">
        <f ca="1">SUM(Start:End!F108)</f>
        <v>0</v>
      </c>
      <c r="G108" s="397">
        <f ca="1">SUM(Start:End!G108)</f>
        <v>0</v>
      </c>
      <c r="H108" s="15"/>
      <c r="I108" s="271">
        <f ca="1">Assumptions!O$68</f>
        <v>4.5</v>
      </c>
      <c r="J108" s="271">
        <f ca="1">Assumptions!P$68</f>
        <v>80</v>
      </c>
      <c r="K108" s="271">
        <f t="shared" ca="1" si="70"/>
        <v>40</v>
      </c>
      <c r="L108" s="15"/>
      <c r="M108" s="35" t="str">
        <f t="shared" ca="1" si="73"/>
        <v>N/A</v>
      </c>
      <c r="N108" s="35" t="str">
        <f t="shared" ca="1" si="71"/>
        <v>N/A</v>
      </c>
      <c r="O108" s="35" t="str">
        <f t="shared" ca="1" si="72"/>
        <v>N/A</v>
      </c>
      <c r="P108" s="15"/>
      <c r="Q108" s="397">
        <f ca="1">SUM(Start:End!Q108)</f>
        <v>0</v>
      </c>
      <c r="R108" s="397">
        <f ca="1">SUM(Start:End!R108)</f>
        <v>0</v>
      </c>
      <c r="S108" s="397">
        <f ca="1">SUM(Start:End!S108)</f>
        <v>0</v>
      </c>
      <c r="T108" s="397">
        <f ca="1">SUM(Start:End!T108)</f>
        <v>0</v>
      </c>
      <c r="U108" s="15"/>
      <c r="V108" s="35" t="str">
        <f t="shared" ref="V108" ca="1" si="133">+IFERROR(W108/$G108,"N/A")</f>
        <v>N/A</v>
      </c>
      <c r="W108" s="397">
        <f ca="1">SUM(Start:End!W108)</f>
        <v>0</v>
      </c>
      <c r="X108" s="35" t="str">
        <f t="shared" ref="X108" ca="1" si="134">+IFERROR(Y108/$G108,"N/A")</f>
        <v>N/A</v>
      </c>
      <c r="Y108" s="397">
        <f ca="1">SUM(Start:End!Y108)</f>
        <v>0</v>
      </c>
      <c r="Z108" s="35" t="str">
        <f t="shared" ca="1" si="76"/>
        <v>N/A</v>
      </c>
      <c r="AA108" s="397">
        <f ca="1">SUM(Start:End!AA108)</f>
        <v>0</v>
      </c>
      <c r="AB108" s="397">
        <f ca="1">SUM(Start:End!AB108)</f>
        <v>0</v>
      </c>
      <c r="AC108" s="15"/>
      <c r="AD108" s="397">
        <f ca="1">SUM(Start:End!AD108)</f>
        <v>0</v>
      </c>
      <c r="AE108" s="397">
        <f ca="1">SUM(Start:End!AE108)</f>
        <v>0</v>
      </c>
      <c r="AF108" s="397">
        <f ca="1">SUM(Start:End!AF108)</f>
        <v>0</v>
      </c>
      <c r="AG108" s="15"/>
      <c r="AH108" s="273">
        <f t="shared" si="80"/>
        <v>52231</v>
      </c>
      <c r="AI108" s="267"/>
      <c r="AJ108" s="267"/>
      <c r="AK108" s="397">
        <f ca="1">SUM(Start:End!AK108)</f>
        <v>0</v>
      </c>
      <c r="AL108" s="233"/>
    </row>
    <row r="109" spans="2:38" x14ac:dyDescent="0.3">
      <c r="B109" s="232"/>
      <c r="C109" s="250">
        <f t="shared" si="77"/>
        <v>2043</v>
      </c>
      <c r="D109" s="397">
        <f ca="1">SUM(Start:End!D109)</f>
        <v>0</v>
      </c>
      <c r="E109" s="397">
        <f ca="1">SUM(Start:End!E109)</f>
        <v>0</v>
      </c>
      <c r="F109" s="397">
        <f ca="1">SUM(Start:End!F109)</f>
        <v>0</v>
      </c>
      <c r="G109" s="397">
        <f ca="1">SUM(Start:End!G109)</f>
        <v>0</v>
      </c>
      <c r="H109" s="15"/>
      <c r="I109" s="271">
        <f ca="1">Assumptions!O$68</f>
        <v>4.5</v>
      </c>
      <c r="J109" s="271">
        <f ca="1">Assumptions!P$68</f>
        <v>80</v>
      </c>
      <c r="K109" s="271">
        <f t="shared" ca="1" si="70"/>
        <v>40</v>
      </c>
      <c r="L109" s="15"/>
      <c r="M109" s="35" t="str">
        <f t="shared" ca="1" si="73"/>
        <v>N/A</v>
      </c>
      <c r="N109" s="35" t="str">
        <f t="shared" ca="1" si="71"/>
        <v>N/A</v>
      </c>
      <c r="O109" s="35" t="str">
        <f t="shared" ca="1" si="72"/>
        <v>N/A</v>
      </c>
      <c r="P109" s="15"/>
      <c r="Q109" s="397">
        <f ca="1">SUM(Start:End!Q109)</f>
        <v>0</v>
      </c>
      <c r="R109" s="397">
        <f ca="1">SUM(Start:End!R109)</f>
        <v>0</v>
      </c>
      <c r="S109" s="397">
        <f ca="1">SUM(Start:End!S109)</f>
        <v>0</v>
      </c>
      <c r="T109" s="397">
        <f ca="1">SUM(Start:End!T109)</f>
        <v>0</v>
      </c>
      <c r="U109" s="15"/>
      <c r="V109" s="35" t="str">
        <f t="shared" ref="V109" ca="1" si="135">+IFERROR(W109/$G109,"N/A")</f>
        <v>N/A</v>
      </c>
      <c r="W109" s="397">
        <f ca="1">SUM(Start:End!W109)</f>
        <v>0</v>
      </c>
      <c r="X109" s="35" t="str">
        <f t="shared" ref="X109" ca="1" si="136">+IFERROR(Y109/$G109,"N/A")</f>
        <v>N/A</v>
      </c>
      <c r="Y109" s="397">
        <f ca="1">SUM(Start:End!Y109)</f>
        <v>0</v>
      </c>
      <c r="Z109" s="35" t="str">
        <f t="shared" ca="1" si="76"/>
        <v>N/A</v>
      </c>
      <c r="AA109" s="397">
        <f ca="1">SUM(Start:End!AA109)</f>
        <v>0</v>
      </c>
      <c r="AB109" s="397">
        <f ca="1">SUM(Start:End!AB109)</f>
        <v>0</v>
      </c>
      <c r="AC109" s="15"/>
      <c r="AD109" s="397">
        <f ca="1">SUM(Start:End!AD109)</f>
        <v>0</v>
      </c>
      <c r="AE109" s="397">
        <f ca="1">SUM(Start:End!AE109)</f>
        <v>0</v>
      </c>
      <c r="AF109" s="397">
        <f ca="1">SUM(Start:End!AF109)</f>
        <v>0</v>
      </c>
      <c r="AG109" s="15"/>
      <c r="AH109" s="273">
        <f t="shared" si="80"/>
        <v>52596</v>
      </c>
      <c r="AI109" s="267"/>
      <c r="AJ109" s="267"/>
      <c r="AK109" s="397">
        <f ca="1">SUM(Start:End!AK109)</f>
        <v>0</v>
      </c>
      <c r="AL109" s="233"/>
    </row>
    <row r="110" spans="2:38" x14ac:dyDescent="0.3">
      <c r="B110" s="232"/>
      <c r="C110" s="250">
        <f t="shared" si="77"/>
        <v>2044</v>
      </c>
      <c r="D110" s="397">
        <f ca="1">SUM(Start:End!D110)</f>
        <v>0</v>
      </c>
      <c r="E110" s="397">
        <f ca="1">SUM(Start:End!E110)</f>
        <v>0</v>
      </c>
      <c r="F110" s="397">
        <f ca="1">SUM(Start:End!F110)</f>
        <v>0</v>
      </c>
      <c r="G110" s="397">
        <f ca="1">SUM(Start:End!G110)</f>
        <v>0</v>
      </c>
      <c r="H110" s="15"/>
      <c r="I110" s="271">
        <f ca="1">Assumptions!O$68</f>
        <v>4.5</v>
      </c>
      <c r="J110" s="271">
        <f ca="1">Assumptions!P$68</f>
        <v>80</v>
      </c>
      <c r="K110" s="271">
        <f t="shared" ca="1" si="70"/>
        <v>40</v>
      </c>
      <c r="L110" s="15"/>
      <c r="M110" s="35" t="str">
        <f t="shared" ca="1" si="73"/>
        <v>N/A</v>
      </c>
      <c r="N110" s="35" t="str">
        <f t="shared" ca="1" si="71"/>
        <v>N/A</v>
      </c>
      <c r="O110" s="35" t="str">
        <f t="shared" ca="1" si="72"/>
        <v>N/A</v>
      </c>
      <c r="P110" s="15"/>
      <c r="Q110" s="397">
        <f ca="1">SUM(Start:End!Q110)</f>
        <v>0</v>
      </c>
      <c r="R110" s="397">
        <f ca="1">SUM(Start:End!R110)</f>
        <v>0</v>
      </c>
      <c r="S110" s="397">
        <f ca="1">SUM(Start:End!S110)</f>
        <v>0</v>
      </c>
      <c r="T110" s="397">
        <f ca="1">SUM(Start:End!T110)</f>
        <v>0</v>
      </c>
      <c r="U110" s="15"/>
      <c r="V110" s="35" t="str">
        <f t="shared" ref="V110" ca="1" si="137">+IFERROR(W110/$G110,"N/A")</f>
        <v>N/A</v>
      </c>
      <c r="W110" s="397">
        <f ca="1">SUM(Start:End!W110)</f>
        <v>0</v>
      </c>
      <c r="X110" s="35" t="str">
        <f t="shared" ref="X110" ca="1" si="138">+IFERROR(Y110/$G110,"N/A")</f>
        <v>N/A</v>
      </c>
      <c r="Y110" s="397">
        <f ca="1">SUM(Start:End!Y110)</f>
        <v>0</v>
      </c>
      <c r="Z110" s="35" t="str">
        <f t="shared" ca="1" si="76"/>
        <v>N/A</v>
      </c>
      <c r="AA110" s="397">
        <f ca="1">SUM(Start:End!AA110)</f>
        <v>0</v>
      </c>
      <c r="AB110" s="397">
        <f ca="1">SUM(Start:End!AB110)</f>
        <v>0</v>
      </c>
      <c r="AC110" s="15"/>
      <c r="AD110" s="397">
        <f ca="1">SUM(Start:End!AD110)</f>
        <v>0</v>
      </c>
      <c r="AE110" s="397">
        <f ca="1">SUM(Start:End!AE110)</f>
        <v>0</v>
      </c>
      <c r="AF110" s="397">
        <f ca="1">SUM(Start:End!AF110)</f>
        <v>0</v>
      </c>
      <c r="AG110" s="15"/>
      <c r="AH110" s="273">
        <f t="shared" si="80"/>
        <v>52962</v>
      </c>
      <c r="AI110" s="267"/>
      <c r="AJ110" s="267"/>
      <c r="AK110" s="397">
        <f ca="1">SUM(Start:End!AK110)</f>
        <v>0</v>
      </c>
      <c r="AL110" s="233"/>
    </row>
    <row r="111" spans="2:38" x14ac:dyDescent="0.3">
      <c r="B111" s="232"/>
      <c r="C111" s="250">
        <f t="shared" si="77"/>
        <v>2045</v>
      </c>
      <c r="D111" s="397">
        <f ca="1">SUM(Start:End!D111)</f>
        <v>0</v>
      </c>
      <c r="E111" s="397">
        <f ca="1">SUM(Start:End!E111)</f>
        <v>0</v>
      </c>
      <c r="F111" s="397">
        <f ca="1">SUM(Start:End!F111)</f>
        <v>0</v>
      </c>
      <c r="G111" s="397">
        <f ca="1">SUM(Start:End!G111)</f>
        <v>0</v>
      </c>
      <c r="H111" s="15"/>
      <c r="I111" s="271">
        <f ca="1">Assumptions!O$68</f>
        <v>4.5</v>
      </c>
      <c r="J111" s="271">
        <f ca="1">Assumptions!P$68</f>
        <v>80</v>
      </c>
      <c r="K111" s="271">
        <f t="shared" ca="1" si="70"/>
        <v>40</v>
      </c>
      <c r="L111" s="15"/>
      <c r="M111" s="35" t="str">
        <f t="shared" ca="1" si="73"/>
        <v>N/A</v>
      </c>
      <c r="N111" s="35" t="str">
        <f t="shared" ca="1" si="71"/>
        <v>N/A</v>
      </c>
      <c r="O111" s="35" t="str">
        <f t="shared" ca="1" si="72"/>
        <v>N/A</v>
      </c>
      <c r="P111" s="15"/>
      <c r="Q111" s="397">
        <f ca="1">SUM(Start:End!Q111)</f>
        <v>0</v>
      </c>
      <c r="R111" s="397">
        <f ca="1">SUM(Start:End!R111)</f>
        <v>0</v>
      </c>
      <c r="S111" s="397">
        <f ca="1">SUM(Start:End!S111)</f>
        <v>0</v>
      </c>
      <c r="T111" s="397">
        <f ca="1">SUM(Start:End!T111)</f>
        <v>0</v>
      </c>
      <c r="U111" s="15"/>
      <c r="V111" s="35" t="str">
        <f t="shared" ref="V111" ca="1" si="139">+IFERROR(W111/$G111,"N/A")</f>
        <v>N/A</v>
      </c>
      <c r="W111" s="397">
        <f ca="1">SUM(Start:End!W111)</f>
        <v>0</v>
      </c>
      <c r="X111" s="35" t="str">
        <f t="shared" ref="X111" ca="1" si="140">+IFERROR(Y111/$G111,"N/A")</f>
        <v>N/A</v>
      </c>
      <c r="Y111" s="397">
        <f ca="1">SUM(Start:End!Y111)</f>
        <v>0</v>
      </c>
      <c r="Z111" s="35" t="str">
        <f t="shared" ca="1" si="76"/>
        <v>N/A</v>
      </c>
      <c r="AA111" s="397">
        <f ca="1">SUM(Start:End!AA111)</f>
        <v>0</v>
      </c>
      <c r="AB111" s="397">
        <f ca="1">SUM(Start:End!AB111)</f>
        <v>0</v>
      </c>
      <c r="AC111" s="15"/>
      <c r="AD111" s="397">
        <f ca="1">SUM(Start:End!AD111)</f>
        <v>0</v>
      </c>
      <c r="AE111" s="397">
        <f ca="1">SUM(Start:End!AE111)</f>
        <v>0</v>
      </c>
      <c r="AF111" s="397">
        <f ca="1">SUM(Start:End!AF111)</f>
        <v>0</v>
      </c>
      <c r="AG111" s="15"/>
      <c r="AH111" s="273">
        <f t="shared" si="80"/>
        <v>53327</v>
      </c>
      <c r="AI111" s="267"/>
      <c r="AJ111" s="267"/>
      <c r="AK111" s="397">
        <f ca="1">SUM(Start:End!AK111)</f>
        <v>0</v>
      </c>
      <c r="AL111" s="233"/>
    </row>
    <row r="112" spans="2:38" x14ac:dyDescent="0.3">
      <c r="B112" s="232"/>
      <c r="C112" s="250">
        <f t="shared" si="77"/>
        <v>2046</v>
      </c>
      <c r="D112" s="397">
        <f ca="1">SUM(Start:End!D112)</f>
        <v>0</v>
      </c>
      <c r="E112" s="397">
        <f ca="1">SUM(Start:End!E112)</f>
        <v>0</v>
      </c>
      <c r="F112" s="397">
        <f ca="1">SUM(Start:End!F112)</f>
        <v>0</v>
      </c>
      <c r="G112" s="397">
        <f ca="1">SUM(Start:End!G112)</f>
        <v>0</v>
      </c>
      <c r="H112" s="15"/>
      <c r="I112" s="271">
        <f ca="1">Assumptions!O$68</f>
        <v>4.5</v>
      </c>
      <c r="J112" s="271">
        <f ca="1">Assumptions!P$68</f>
        <v>80</v>
      </c>
      <c r="K112" s="271">
        <f t="shared" ca="1" si="70"/>
        <v>40</v>
      </c>
      <c r="L112" s="15"/>
      <c r="M112" s="35" t="str">
        <f t="shared" ca="1" si="73"/>
        <v>N/A</v>
      </c>
      <c r="N112" s="35" t="str">
        <f t="shared" ca="1" si="71"/>
        <v>N/A</v>
      </c>
      <c r="O112" s="35" t="str">
        <f t="shared" ca="1" si="72"/>
        <v>N/A</v>
      </c>
      <c r="P112" s="15"/>
      <c r="Q112" s="397">
        <f ca="1">SUM(Start:End!Q112)</f>
        <v>0</v>
      </c>
      <c r="R112" s="397">
        <f ca="1">SUM(Start:End!R112)</f>
        <v>0</v>
      </c>
      <c r="S112" s="397">
        <f ca="1">SUM(Start:End!S112)</f>
        <v>0</v>
      </c>
      <c r="T112" s="397">
        <f ca="1">SUM(Start:End!T112)</f>
        <v>0</v>
      </c>
      <c r="U112" s="15"/>
      <c r="V112" s="35" t="str">
        <f t="shared" ref="V112" ca="1" si="141">+IFERROR(W112/$G112,"N/A")</f>
        <v>N/A</v>
      </c>
      <c r="W112" s="397">
        <f ca="1">SUM(Start:End!W112)</f>
        <v>0</v>
      </c>
      <c r="X112" s="35" t="str">
        <f t="shared" ref="X112" ca="1" si="142">+IFERROR(Y112/$G112,"N/A")</f>
        <v>N/A</v>
      </c>
      <c r="Y112" s="397">
        <f ca="1">SUM(Start:End!Y112)</f>
        <v>0</v>
      </c>
      <c r="Z112" s="35" t="str">
        <f t="shared" ca="1" si="76"/>
        <v>N/A</v>
      </c>
      <c r="AA112" s="397">
        <f ca="1">SUM(Start:End!AA112)</f>
        <v>0</v>
      </c>
      <c r="AB112" s="397">
        <f ca="1">SUM(Start:End!AB112)</f>
        <v>0</v>
      </c>
      <c r="AC112" s="15"/>
      <c r="AD112" s="397">
        <f ca="1">SUM(Start:End!AD112)</f>
        <v>0</v>
      </c>
      <c r="AE112" s="397">
        <f ca="1">SUM(Start:End!AE112)</f>
        <v>0</v>
      </c>
      <c r="AF112" s="397">
        <f ca="1">SUM(Start:End!AF112)</f>
        <v>0</v>
      </c>
      <c r="AG112" s="15"/>
      <c r="AH112" s="273">
        <f t="shared" si="80"/>
        <v>53692</v>
      </c>
      <c r="AI112" s="267"/>
      <c r="AJ112" s="267"/>
      <c r="AK112" s="397">
        <f ca="1">SUM(Start:End!AK112)</f>
        <v>0</v>
      </c>
      <c r="AL112" s="233"/>
    </row>
    <row r="113" spans="2:38" x14ac:dyDescent="0.3">
      <c r="B113" s="232"/>
      <c r="C113" s="250">
        <f t="shared" si="77"/>
        <v>2047</v>
      </c>
      <c r="D113" s="397">
        <f ca="1">SUM(Start:End!D113)</f>
        <v>0</v>
      </c>
      <c r="E113" s="397">
        <f ca="1">SUM(Start:End!E113)</f>
        <v>0</v>
      </c>
      <c r="F113" s="397">
        <f ca="1">SUM(Start:End!F113)</f>
        <v>0</v>
      </c>
      <c r="G113" s="397">
        <f ca="1">SUM(Start:End!G113)</f>
        <v>0</v>
      </c>
      <c r="H113" s="15"/>
      <c r="I113" s="271">
        <f ca="1">Assumptions!O$68</f>
        <v>4.5</v>
      </c>
      <c r="J113" s="271">
        <f ca="1">Assumptions!P$68</f>
        <v>80</v>
      </c>
      <c r="K113" s="271">
        <f t="shared" ca="1" si="70"/>
        <v>40</v>
      </c>
      <c r="L113" s="15"/>
      <c r="M113" s="35" t="str">
        <f t="shared" ca="1" si="73"/>
        <v>N/A</v>
      </c>
      <c r="N113" s="35" t="str">
        <f t="shared" ca="1" si="71"/>
        <v>N/A</v>
      </c>
      <c r="O113" s="35" t="str">
        <f t="shared" ca="1" si="72"/>
        <v>N/A</v>
      </c>
      <c r="P113" s="15"/>
      <c r="Q113" s="397">
        <f ca="1">SUM(Start:End!Q113)</f>
        <v>0</v>
      </c>
      <c r="R113" s="397">
        <f ca="1">SUM(Start:End!R113)</f>
        <v>0</v>
      </c>
      <c r="S113" s="397">
        <f ca="1">SUM(Start:End!S113)</f>
        <v>0</v>
      </c>
      <c r="T113" s="397">
        <f ca="1">SUM(Start:End!T113)</f>
        <v>0</v>
      </c>
      <c r="U113" s="15"/>
      <c r="V113" s="35" t="str">
        <f t="shared" ref="V113" ca="1" si="143">+IFERROR(W113/$G113,"N/A")</f>
        <v>N/A</v>
      </c>
      <c r="W113" s="397">
        <f ca="1">SUM(Start:End!W113)</f>
        <v>0</v>
      </c>
      <c r="X113" s="35" t="str">
        <f t="shared" ref="X113" ca="1" si="144">+IFERROR(Y113/$G113,"N/A")</f>
        <v>N/A</v>
      </c>
      <c r="Y113" s="397">
        <f ca="1">SUM(Start:End!Y113)</f>
        <v>0</v>
      </c>
      <c r="Z113" s="35" t="str">
        <f t="shared" ca="1" si="76"/>
        <v>N/A</v>
      </c>
      <c r="AA113" s="397">
        <f ca="1">SUM(Start:End!AA113)</f>
        <v>0</v>
      </c>
      <c r="AB113" s="397">
        <f ca="1">SUM(Start:End!AB113)</f>
        <v>0</v>
      </c>
      <c r="AC113" s="15"/>
      <c r="AD113" s="397">
        <f ca="1">SUM(Start:End!AD113)</f>
        <v>0</v>
      </c>
      <c r="AE113" s="397">
        <f ca="1">SUM(Start:End!AE113)</f>
        <v>0</v>
      </c>
      <c r="AF113" s="397">
        <f ca="1">SUM(Start:End!AF113)</f>
        <v>0</v>
      </c>
      <c r="AG113" s="15"/>
      <c r="AH113" s="273">
        <f t="shared" si="80"/>
        <v>54057</v>
      </c>
      <c r="AI113" s="267"/>
      <c r="AJ113" s="267"/>
      <c r="AK113" s="397">
        <f ca="1">SUM(Start:End!AK113)</f>
        <v>0</v>
      </c>
      <c r="AL113" s="233"/>
    </row>
    <row r="114" spans="2:38" x14ac:dyDescent="0.3">
      <c r="B114" s="232"/>
      <c r="C114" s="250">
        <f t="shared" si="77"/>
        <v>2048</v>
      </c>
      <c r="D114" s="397">
        <f ca="1">SUM(Start:End!D114)</f>
        <v>0</v>
      </c>
      <c r="E114" s="397">
        <f ca="1">SUM(Start:End!E114)</f>
        <v>0</v>
      </c>
      <c r="F114" s="397">
        <f ca="1">SUM(Start:End!F114)</f>
        <v>0</v>
      </c>
      <c r="G114" s="397">
        <f ca="1">SUM(Start:End!G114)</f>
        <v>0</v>
      </c>
      <c r="H114" s="15"/>
      <c r="I114" s="271">
        <f ca="1">Assumptions!O$68</f>
        <v>4.5</v>
      </c>
      <c r="J114" s="271">
        <f ca="1">Assumptions!P$68</f>
        <v>80</v>
      </c>
      <c r="K114" s="271">
        <f t="shared" ca="1" si="70"/>
        <v>40</v>
      </c>
      <c r="L114" s="15"/>
      <c r="M114" s="35" t="str">
        <f t="shared" ca="1" si="73"/>
        <v>N/A</v>
      </c>
      <c r="N114" s="35" t="str">
        <f t="shared" ca="1" si="71"/>
        <v>N/A</v>
      </c>
      <c r="O114" s="35" t="str">
        <f t="shared" ca="1" si="72"/>
        <v>N/A</v>
      </c>
      <c r="P114" s="15"/>
      <c r="Q114" s="397">
        <f ca="1">SUM(Start:End!Q114)</f>
        <v>0</v>
      </c>
      <c r="R114" s="397">
        <f ca="1">SUM(Start:End!R114)</f>
        <v>0</v>
      </c>
      <c r="S114" s="397">
        <f ca="1">SUM(Start:End!S114)</f>
        <v>0</v>
      </c>
      <c r="T114" s="397">
        <f ca="1">SUM(Start:End!T114)</f>
        <v>0</v>
      </c>
      <c r="U114" s="15"/>
      <c r="V114" s="35" t="str">
        <f t="shared" ref="V114" ca="1" si="145">+IFERROR(W114/$G114,"N/A")</f>
        <v>N/A</v>
      </c>
      <c r="W114" s="397">
        <f ca="1">SUM(Start:End!W114)</f>
        <v>0</v>
      </c>
      <c r="X114" s="35" t="str">
        <f t="shared" ref="X114" ca="1" si="146">+IFERROR(Y114/$G114,"N/A")</f>
        <v>N/A</v>
      </c>
      <c r="Y114" s="397">
        <f ca="1">SUM(Start:End!Y114)</f>
        <v>0</v>
      </c>
      <c r="Z114" s="35" t="str">
        <f t="shared" ca="1" si="76"/>
        <v>N/A</v>
      </c>
      <c r="AA114" s="397">
        <f ca="1">SUM(Start:End!AA114)</f>
        <v>0</v>
      </c>
      <c r="AB114" s="397">
        <f ca="1">SUM(Start:End!AB114)</f>
        <v>0</v>
      </c>
      <c r="AC114" s="15"/>
      <c r="AD114" s="397">
        <f ca="1">SUM(Start:End!AD114)</f>
        <v>0</v>
      </c>
      <c r="AE114" s="397">
        <f ca="1">SUM(Start:End!AE114)</f>
        <v>0</v>
      </c>
      <c r="AF114" s="397">
        <f ca="1">SUM(Start:End!AF114)</f>
        <v>0</v>
      </c>
      <c r="AG114" s="15"/>
      <c r="AH114" s="273">
        <f t="shared" si="80"/>
        <v>54423</v>
      </c>
      <c r="AI114" s="267"/>
      <c r="AJ114" s="267"/>
      <c r="AK114" s="397">
        <f ca="1">SUM(Start:End!AK114)</f>
        <v>0</v>
      </c>
      <c r="AL114" s="233"/>
    </row>
    <row r="115" spans="2:38" x14ac:dyDescent="0.3">
      <c r="B115" s="232"/>
      <c r="C115" s="250">
        <f t="shared" si="77"/>
        <v>2049</v>
      </c>
      <c r="D115" s="397">
        <f ca="1">SUM(Start:End!D115)</f>
        <v>0</v>
      </c>
      <c r="E115" s="397">
        <f ca="1">SUM(Start:End!E115)</f>
        <v>0</v>
      </c>
      <c r="F115" s="397">
        <f ca="1">SUM(Start:End!F115)</f>
        <v>0</v>
      </c>
      <c r="G115" s="397">
        <f ca="1">SUM(Start:End!G115)</f>
        <v>0</v>
      </c>
      <c r="H115" s="15"/>
      <c r="I115" s="271">
        <f ca="1">Assumptions!O$68</f>
        <v>4.5</v>
      </c>
      <c r="J115" s="271">
        <f ca="1">Assumptions!P$68</f>
        <v>80</v>
      </c>
      <c r="K115" s="271">
        <f t="shared" ca="1" si="70"/>
        <v>40</v>
      </c>
      <c r="L115" s="15"/>
      <c r="M115" s="35" t="str">
        <f t="shared" ca="1" si="73"/>
        <v>N/A</v>
      </c>
      <c r="N115" s="35" t="str">
        <f t="shared" ca="1" si="71"/>
        <v>N/A</v>
      </c>
      <c r="O115" s="35" t="str">
        <f t="shared" ca="1" si="72"/>
        <v>N/A</v>
      </c>
      <c r="P115" s="15"/>
      <c r="Q115" s="397">
        <f ca="1">SUM(Start:End!Q115)</f>
        <v>0</v>
      </c>
      <c r="R115" s="397">
        <f ca="1">SUM(Start:End!R115)</f>
        <v>0</v>
      </c>
      <c r="S115" s="397">
        <f ca="1">SUM(Start:End!S115)</f>
        <v>0</v>
      </c>
      <c r="T115" s="397">
        <f ca="1">SUM(Start:End!T115)</f>
        <v>0</v>
      </c>
      <c r="U115" s="15"/>
      <c r="V115" s="35" t="str">
        <f t="shared" ref="V115" ca="1" si="147">+IFERROR(W115/$G115,"N/A")</f>
        <v>N/A</v>
      </c>
      <c r="W115" s="397">
        <f ca="1">SUM(Start:End!W115)</f>
        <v>0</v>
      </c>
      <c r="X115" s="35" t="str">
        <f t="shared" ref="X115" ca="1" si="148">+IFERROR(Y115/$G115,"N/A")</f>
        <v>N/A</v>
      </c>
      <c r="Y115" s="397">
        <f ca="1">SUM(Start:End!Y115)</f>
        <v>0</v>
      </c>
      <c r="Z115" s="35" t="str">
        <f t="shared" ca="1" si="76"/>
        <v>N/A</v>
      </c>
      <c r="AA115" s="397">
        <f ca="1">SUM(Start:End!AA115)</f>
        <v>0</v>
      </c>
      <c r="AB115" s="397">
        <f ca="1">SUM(Start:End!AB115)</f>
        <v>0</v>
      </c>
      <c r="AC115" s="15"/>
      <c r="AD115" s="397">
        <f ca="1">SUM(Start:End!AD115)</f>
        <v>0</v>
      </c>
      <c r="AE115" s="397">
        <f ca="1">SUM(Start:End!AE115)</f>
        <v>0</v>
      </c>
      <c r="AF115" s="397">
        <f ca="1">SUM(Start:End!AF115)</f>
        <v>0</v>
      </c>
      <c r="AG115" s="15"/>
      <c r="AH115" s="273">
        <f t="shared" si="80"/>
        <v>54788</v>
      </c>
      <c r="AI115" s="267"/>
      <c r="AJ115" s="267"/>
      <c r="AK115" s="397">
        <f ca="1">SUM(Start:End!AK115)</f>
        <v>0</v>
      </c>
      <c r="AL115" s="233"/>
    </row>
    <row r="116" spans="2:38" x14ac:dyDescent="0.3">
      <c r="B116" s="232"/>
      <c r="C116" s="250">
        <f t="shared" si="77"/>
        <v>2050</v>
      </c>
      <c r="D116" s="397">
        <f ca="1">SUM(Start:End!D116)</f>
        <v>0</v>
      </c>
      <c r="E116" s="397">
        <f ca="1">SUM(Start:End!E116)</f>
        <v>0</v>
      </c>
      <c r="F116" s="397">
        <f ca="1">SUM(Start:End!F116)</f>
        <v>0</v>
      </c>
      <c r="G116" s="397">
        <f ca="1">SUM(Start:End!G116)</f>
        <v>0</v>
      </c>
      <c r="H116" s="15"/>
      <c r="I116" s="271">
        <f ca="1">Assumptions!O$68</f>
        <v>4.5</v>
      </c>
      <c r="J116" s="271">
        <f ca="1">Assumptions!P$68</f>
        <v>80</v>
      </c>
      <c r="K116" s="271">
        <f t="shared" ca="1" si="70"/>
        <v>40</v>
      </c>
      <c r="L116" s="15"/>
      <c r="M116" s="35" t="str">
        <f t="shared" ca="1" si="73"/>
        <v>N/A</v>
      </c>
      <c r="N116" s="35" t="str">
        <f t="shared" ca="1" si="71"/>
        <v>N/A</v>
      </c>
      <c r="O116" s="35" t="str">
        <f t="shared" ca="1" si="72"/>
        <v>N/A</v>
      </c>
      <c r="P116" s="15"/>
      <c r="Q116" s="397">
        <f ca="1">SUM(Start:End!Q116)</f>
        <v>0</v>
      </c>
      <c r="R116" s="397">
        <f ca="1">SUM(Start:End!R116)</f>
        <v>0</v>
      </c>
      <c r="S116" s="397">
        <f ca="1">SUM(Start:End!S116)</f>
        <v>0</v>
      </c>
      <c r="T116" s="397">
        <f ca="1">SUM(Start:End!T116)</f>
        <v>0</v>
      </c>
      <c r="U116" s="15"/>
      <c r="V116" s="35" t="str">
        <f t="shared" ref="V116" ca="1" si="149">+IFERROR(W116/$G116,"N/A")</f>
        <v>N/A</v>
      </c>
      <c r="W116" s="397">
        <f ca="1">SUM(Start:End!W116)</f>
        <v>0</v>
      </c>
      <c r="X116" s="35" t="str">
        <f t="shared" ref="X116" ca="1" si="150">+IFERROR(Y116/$G116,"N/A")</f>
        <v>N/A</v>
      </c>
      <c r="Y116" s="397">
        <f ca="1">SUM(Start:End!Y116)</f>
        <v>0</v>
      </c>
      <c r="Z116" s="35" t="str">
        <f t="shared" ca="1" si="76"/>
        <v>N/A</v>
      </c>
      <c r="AA116" s="397">
        <f ca="1">SUM(Start:End!AA116)</f>
        <v>0</v>
      </c>
      <c r="AB116" s="397">
        <f ca="1">SUM(Start:End!AB116)</f>
        <v>0</v>
      </c>
      <c r="AC116" s="15"/>
      <c r="AD116" s="397">
        <f ca="1">SUM(Start:End!AD116)</f>
        <v>0</v>
      </c>
      <c r="AE116" s="397">
        <f ca="1">SUM(Start:End!AE116)</f>
        <v>0</v>
      </c>
      <c r="AF116" s="397">
        <f ca="1">SUM(Start:End!AF116)</f>
        <v>0</v>
      </c>
      <c r="AG116" s="15"/>
      <c r="AH116" s="273">
        <f t="shared" si="80"/>
        <v>55153</v>
      </c>
      <c r="AI116" s="267"/>
      <c r="AJ116" s="267"/>
      <c r="AK116" s="397">
        <f ca="1">SUM(Start:End!AK116)</f>
        <v>0</v>
      </c>
      <c r="AL116" s="233"/>
    </row>
    <row r="117" spans="2:38" x14ac:dyDescent="0.3">
      <c r="B117" s="232"/>
      <c r="C117" s="250">
        <f t="shared" si="77"/>
        <v>2051</v>
      </c>
      <c r="D117" s="397">
        <f ca="1">SUM(Start:End!D117)</f>
        <v>0</v>
      </c>
      <c r="E117" s="397">
        <f ca="1">SUM(Start:End!E117)</f>
        <v>0</v>
      </c>
      <c r="F117" s="397">
        <f ca="1">SUM(Start:End!F117)</f>
        <v>0</v>
      </c>
      <c r="G117" s="397">
        <f ca="1">SUM(Start:End!G117)</f>
        <v>0</v>
      </c>
      <c r="H117" s="15"/>
      <c r="I117" s="271">
        <f ca="1">Assumptions!O$68</f>
        <v>4.5</v>
      </c>
      <c r="J117" s="271">
        <f ca="1">Assumptions!P$68</f>
        <v>80</v>
      </c>
      <c r="K117" s="271">
        <f t="shared" ca="1" si="70"/>
        <v>40</v>
      </c>
      <c r="L117" s="15"/>
      <c r="M117" s="35" t="str">
        <f t="shared" ca="1" si="73"/>
        <v>N/A</v>
      </c>
      <c r="N117" s="35" t="str">
        <f t="shared" ca="1" si="71"/>
        <v>N/A</v>
      </c>
      <c r="O117" s="35" t="str">
        <f t="shared" ca="1" si="72"/>
        <v>N/A</v>
      </c>
      <c r="P117" s="15"/>
      <c r="Q117" s="397">
        <f ca="1">SUM(Start:End!Q117)</f>
        <v>0</v>
      </c>
      <c r="R117" s="397">
        <f ca="1">SUM(Start:End!R117)</f>
        <v>0</v>
      </c>
      <c r="S117" s="397">
        <f ca="1">SUM(Start:End!S117)</f>
        <v>0</v>
      </c>
      <c r="T117" s="397">
        <f ca="1">SUM(Start:End!T117)</f>
        <v>0</v>
      </c>
      <c r="U117" s="15"/>
      <c r="V117" s="35" t="str">
        <f t="shared" ref="V117" ca="1" si="151">+IFERROR(W117/$G117,"N/A")</f>
        <v>N/A</v>
      </c>
      <c r="W117" s="397">
        <f ca="1">SUM(Start:End!W117)</f>
        <v>0</v>
      </c>
      <c r="X117" s="35" t="str">
        <f t="shared" ref="X117" ca="1" si="152">+IFERROR(Y117/$G117,"N/A")</f>
        <v>N/A</v>
      </c>
      <c r="Y117" s="397">
        <f ca="1">SUM(Start:End!Y117)</f>
        <v>0</v>
      </c>
      <c r="Z117" s="35" t="str">
        <f t="shared" ca="1" si="76"/>
        <v>N/A</v>
      </c>
      <c r="AA117" s="397">
        <f ca="1">SUM(Start:End!AA117)</f>
        <v>0</v>
      </c>
      <c r="AB117" s="397">
        <f ca="1">SUM(Start:End!AB117)</f>
        <v>0</v>
      </c>
      <c r="AC117" s="15"/>
      <c r="AD117" s="397">
        <f ca="1">SUM(Start:End!AD117)</f>
        <v>0</v>
      </c>
      <c r="AE117" s="397">
        <f ca="1">SUM(Start:End!AE117)</f>
        <v>0</v>
      </c>
      <c r="AF117" s="397">
        <f ca="1">SUM(Start:End!AF117)</f>
        <v>0</v>
      </c>
      <c r="AG117" s="15"/>
      <c r="AH117" s="273">
        <f t="shared" si="80"/>
        <v>55518</v>
      </c>
      <c r="AI117" s="267"/>
      <c r="AJ117" s="267"/>
      <c r="AK117" s="397">
        <f ca="1">SUM(Start:End!AK117)</f>
        <v>0</v>
      </c>
      <c r="AL117" s="233"/>
    </row>
    <row r="118" spans="2:38" x14ac:dyDescent="0.3">
      <c r="B118" s="232"/>
      <c r="C118" s="250">
        <f t="shared" si="77"/>
        <v>2052</v>
      </c>
      <c r="D118" s="397">
        <f ca="1">SUM(Start:End!D118)</f>
        <v>0</v>
      </c>
      <c r="E118" s="397">
        <f ca="1">SUM(Start:End!E118)</f>
        <v>0</v>
      </c>
      <c r="F118" s="397">
        <f ca="1">SUM(Start:End!F118)</f>
        <v>0</v>
      </c>
      <c r="G118" s="397">
        <f ca="1">SUM(Start:End!G118)</f>
        <v>0</v>
      </c>
      <c r="H118" s="15"/>
      <c r="I118" s="271">
        <f ca="1">Assumptions!O$68</f>
        <v>4.5</v>
      </c>
      <c r="J118" s="271">
        <f ca="1">Assumptions!P$68</f>
        <v>80</v>
      </c>
      <c r="K118" s="271">
        <f t="shared" ca="1" si="70"/>
        <v>40</v>
      </c>
      <c r="L118" s="15"/>
      <c r="M118" s="35" t="str">
        <f t="shared" ca="1" si="73"/>
        <v>N/A</v>
      </c>
      <c r="N118" s="35" t="str">
        <f t="shared" ca="1" si="71"/>
        <v>N/A</v>
      </c>
      <c r="O118" s="35" t="str">
        <f t="shared" ca="1" si="72"/>
        <v>N/A</v>
      </c>
      <c r="P118" s="15"/>
      <c r="Q118" s="397">
        <f ca="1">SUM(Start:End!Q118)</f>
        <v>0</v>
      </c>
      <c r="R118" s="397">
        <f ca="1">SUM(Start:End!R118)</f>
        <v>0</v>
      </c>
      <c r="S118" s="397">
        <f ca="1">SUM(Start:End!S118)</f>
        <v>0</v>
      </c>
      <c r="T118" s="397">
        <f ca="1">SUM(Start:End!T118)</f>
        <v>0</v>
      </c>
      <c r="U118" s="15"/>
      <c r="V118" s="35" t="str">
        <f t="shared" ref="V118" ca="1" si="153">+IFERROR(W118/$G118,"N/A")</f>
        <v>N/A</v>
      </c>
      <c r="W118" s="397">
        <f ca="1">SUM(Start:End!W118)</f>
        <v>0</v>
      </c>
      <c r="X118" s="35" t="str">
        <f t="shared" ref="X118" ca="1" si="154">+IFERROR(Y118/$G118,"N/A")</f>
        <v>N/A</v>
      </c>
      <c r="Y118" s="397">
        <f ca="1">SUM(Start:End!Y118)</f>
        <v>0</v>
      </c>
      <c r="Z118" s="35" t="str">
        <f t="shared" ca="1" si="76"/>
        <v>N/A</v>
      </c>
      <c r="AA118" s="397">
        <f ca="1">SUM(Start:End!AA118)</f>
        <v>0</v>
      </c>
      <c r="AB118" s="397">
        <f ca="1">SUM(Start:End!AB118)</f>
        <v>0</v>
      </c>
      <c r="AC118" s="15"/>
      <c r="AD118" s="397">
        <f ca="1">SUM(Start:End!AD118)</f>
        <v>0</v>
      </c>
      <c r="AE118" s="397">
        <f ca="1">SUM(Start:End!AE118)</f>
        <v>0</v>
      </c>
      <c r="AF118" s="397">
        <f ca="1">SUM(Start:End!AF118)</f>
        <v>0</v>
      </c>
      <c r="AG118" s="15"/>
      <c r="AH118" s="273">
        <f t="shared" si="80"/>
        <v>55884</v>
      </c>
      <c r="AI118" s="267"/>
      <c r="AJ118" s="267"/>
      <c r="AK118" s="397">
        <f ca="1">SUM(Start:End!AK118)</f>
        <v>0</v>
      </c>
      <c r="AL118" s="233"/>
    </row>
    <row r="119" spans="2:38" x14ac:dyDescent="0.3">
      <c r="B119" s="232"/>
      <c r="C119" s="250">
        <f t="shared" si="77"/>
        <v>2053</v>
      </c>
      <c r="D119" s="397">
        <f ca="1">SUM(Start:End!D119)</f>
        <v>0</v>
      </c>
      <c r="E119" s="397">
        <f ca="1">SUM(Start:End!E119)</f>
        <v>0</v>
      </c>
      <c r="F119" s="397">
        <f ca="1">SUM(Start:End!F119)</f>
        <v>0</v>
      </c>
      <c r="G119" s="397">
        <f ca="1">SUM(Start:End!G119)</f>
        <v>0</v>
      </c>
      <c r="H119" s="15"/>
      <c r="I119" s="271">
        <f ca="1">Assumptions!O$68</f>
        <v>4.5</v>
      </c>
      <c r="J119" s="271">
        <f ca="1">Assumptions!P$68</f>
        <v>80</v>
      </c>
      <c r="K119" s="271">
        <f t="shared" ca="1" si="70"/>
        <v>40</v>
      </c>
      <c r="L119" s="15"/>
      <c r="M119" s="35" t="str">
        <f t="shared" ca="1" si="73"/>
        <v>N/A</v>
      </c>
      <c r="N119" s="35" t="str">
        <f t="shared" ca="1" si="71"/>
        <v>N/A</v>
      </c>
      <c r="O119" s="35" t="str">
        <f t="shared" ca="1" si="72"/>
        <v>N/A</v>
      </c>
      <c r="P119" s="15"/>
      <c r="Q119" s="397">
        <f ca="1">SUM(Start:End!Q119)</f>
        <v>0</v>
      </c>
      <c r="R119" s="397">
        <f ca="1">SUM(Start:End!R119)</f>
        <v>0</v>
      </c>
      <c r="S119" s="397">
        <f ca="1">SUM(Start:End!S119)</f>
        <v>0</v>
      </c>
      <c r="T119" s="397">
        <f ca="1">SUM(Start:End!T119)</f>
        <v>0</v>
      </c>
      <c r="U119" s="15"/>
      <c r="V119" s="35" t="str">
        <f t="shared" ref="V119" ca="1" si="155">+IFERROR(W119/$G119,"N/A")</f>
        <v>N/A</v>
      </c>
      <c r="W119" s="397">
        <f ca="1">SUM(Start:End!W119)</f>
        <v>0</v>
      </c>
      <c r="X119" s="35" t="str">
        <f t="shared" ref="X119" ca="1" si="156">+IFERROR(Y119/$G119,"N/A")</f>
        <v>N/A</v>
      </c>
      <c r="Y119" s="397">
        <f ca="1">SUM(Start:End!Y119)</f>
        <v>0</v>
      </c>
      <c r="Z119" s="35" t="str">
        <f t="shared" ca="1" si="76"/>
        <v>N/A</v>
      </c>
      <c r="AA119" s="397">
        <f ca="1">SUM(Start:End!AA119)</f>
        <v>0</v>
      </c>
      <c r="AB119" s="397">
        <f ca="1">SUM(Start:End!AB119)</f>
        <v>0</v>
      </c>
      <c r="AC119" s="15"/>
      <c r="AD119" s="397">
        <f ca="1">SUM(Start:End!AD119)</f>
        <v>0</v>
      </c>
      <c r="AE119" s="397">
        <f ca="1">SUM(Start:End!AE119)</f>
        <v>0</v>
      </c>
      <c r="AF119" s="397">
        <f ca="1">SUM(Start:End!AF119)</f>
        <v>0</v>
      </c>
      <c r="AG119" s="15"/>
      <c r="AH119" s="273">
        <f t="shared" si="80"/>
        <v>56249</v>
      </c>
      <c r="AI119" s="267"/>
      <c r="AJ119" s="267"/>
      <c r="AK119" s="397">
        <f ca="1">SUM(Start:End!AK119)</f>
        <v>0</v>
      </c>
      <c r="AL119" s="233"/>
    </row>
    <row r="120" spans="2:38" x14ac:dyDescent="0.3">
      <c r="B120" s="232"/>
      <c r="C120" s="274" t="s">
        <v>302</v>
      </c>
      <c r="D120" s="39">
        <f ca="1">SUM(D79:D119)</f>
        <v>127699.11504424778</v>
      </c>
      <c r="E120" s="39">
        <f t="shared" ref="E120" ca="1" si="157">SUM(E79:E119)</f>
        <v>716.81415929203649</v>
      </c>
      <c r="F120" s="39">
        <f t="shared" ref="F120" ca="1" si="158">SUM(F79:F119)</f>
        <v>0</v>
      </c>
      <c r="G120" s="39">
        <f t="shared" ref="G120" ca="1" si="159">SUM(G79:G119)</f>
        <v>132000</v>
      </c>
      <c r="H120" s="15"/>
      <c r="I120" s="35"/>
      <c r="J120" s="35"/>
      <c r="K120" s="35"/>
      <c r="L120" s="15"/>
      <c r="M120" s="35"/>
      <c r="N120" s="35"/>
      <c r="O120" s="35"/>
      <c r="P120" s="15"/>
      <c r="Q120" s="39">
        <f ca="1">SUM(Q79:Q119)</f>
        <v>456141.23893805302</v>
      </c>
      <c r="R120" s="39">
        <f t="shared" ref="R120" ca="1" si="160">SUM(R79:R119)</f>
        <v>61330.619469026642</v>
      </c>
      <c r="S120" s="39">
        <f t="shared" ref="S120" ca="1" si="161">SUM(S79:S119)</f>
        <v>0</v>
      </c>
      <c r="T120" s="39">
        <f t="shared" ref="T120" ca="1" si="162">SUM(T79:T119)</f>
        <v>517471.85840707965</v>
      </c>
      <c r="U120" s="15"/>
      <c r="V120" s="275"/>
      <c r="W120" s="399">
        <f t="shared" ref="W120" ca="1" si="163">SUM(W79:W119)</f>
        <v>40920</v>
      </c>
      <c r="X120" s="275"/>
      <c r="Y120" s="399">
        <f t="shared" ref="Y120" ca="1" si="164">SUM(Y79:Y119)</f>
        <v>48840</v>
      </c>
      <c r="Z120" s="275"/>
      <c r="AA120" s="399">
        <f t="shared" ref="AA120" ca="1" si="165">SUM(AA79:AA119)</f>
        <v>76560</v>
      </c>
      <c r="AB120" s="399">
        <f t="shared" ref="AB120" ca="1" si="166">SUM(AB79:AB119)</f>
        <v>166320</v>
      </c>
      <c r="AC120" s="15"/>
      <c r="AD120" s="39">
        <f t="shared" ref="AD120" ca="1" si="167">SUM(AD79:AD119)</f>
        <v>351151.85840707965</v>
      </c>
      <c r="AE120" s="39">
        <f t="shared" ref="AE120" ca="1" si="168">SUM(AE79:AE119)</f>
        <v>71000</v>
      </c>
      <c r="AF120" s="39">
        <f t="shared" ref="AF120" ca="1" si="169">SUM(AF79:AF119)</f>
        <v>280151.85840707965</v>
      </c>
      <c r="AG120" s="15"/>
      <c r="AH120" s="277"/>
      <c r="AI120" s="278"/>
      <c r="AJ120" s="278"/>
      <c r="AK120" s="399">
        <f t="shared" ref="AK120" ca="1" si="170">SUM(AK79:AK119)</f>
        <v>262904.72067434184</v>
      </c>
      <c r="AL120" s="233"/>
    </row>
    <row r="121" spans="2:38" x14ac:dyDescent="0.3">
      <c r="B121" s="232"/>
      <c r="C121" s="283" t="s">
        <v>303</v>
      </c>
      <c r="D121" s="397">
        <f ca="1">SUM(Start:End!D121)</f>
        <v>0</v>
      </c>
      <c r="E121" s="397">
        <f ca="1">SUM(Start:End!E121)</f>
        <v>0</v>
      </c>
      <c r="F121" s="397">
        <f ca="1">SUM(Start:End!F121)</f>
        <v>0</v>
      </c>
      <c r="G121" s="397">
        <f ca="1">SUM(Start:End!G121)</f>
        <v>0</v>
      </c>
      <c r="H121" s="15"/>
      <c r="I121" s="271">
        <f ca="1">Assumptions!O$68</f>
        <v>4.5</v>
      </c>
      <c r="J121" s="271">
        <f ca="1">Assumptions!P$68</f>
        <v>80</v>
      </c>
      <c r="K121" s="271">
        <f ca="1">J121*NGL_Price_Diff_vs_Oil</f>
        <v>40</v>
      </c>
      <c r="L121" s="15"/>
      <c r="M121" s="35" t="str">
        <f t="shared" ref="M121" ca="1" si="171">+IFERROR(Q121/D121,"N/A")</f>
        <v>N/A</v>
      </c>
      <c r="N121" s="35" t="str">
        <f t="shared" ref="N121" ca="1" si="172">+IFERROR(R121/E121,"N/A")</f>
        <v>N/A</v>
      </c>
      <c r="O121" s="35" t="str">
        <f t="shared" ref="O121" ca="1" si="173">+IFERROR(S121/F121,"N/A")</f>
        <v>N/A</v>
      </c>
      <c r="P121" s="15"/>
      <c r="Q121" s="397">
        <f ca="1">SUM(Start:End!Q121)</f>
        <v>0</v>
      </c>
      <c r="R121" s="397">
        <f ca="1">SUM(Start:End!R121)</f>
        <v>0</v>
      </c>
      <c r="S121" s="397">
        <f ca="1">SUM(Start:End!S121)</f>
        <v>0</v>
      </c>
      <c r="T121" s="397">
        <f ca="1">SUM(Start:End!T121)</f>
        <v>0</v>
      </c>
      <c r="U121" s="15"/>
      <c r="V121" s="35" t="str">
        <f t="shared" ref="V121" ca="1" si="174">+IFERROR(W121/$G121,"N/A")</f>
        <v>N/A</v>
      </c>
      <c r="W121" s="397">
        <f ca="1">SUM(Start:End!W121)</f>
        <v>0</v>
      </c>
      <c r="X121" s="35" t="str">
        <f t="shared" ref="X121" ca="1" si="175">+IFERROR(Y121/$G121,"N/A")</f>
        <v>N/A</v>
      </c>
      <c r="Y121" s="397">
        <f ca="1">SUM(Start:End!Y121)</f>
        <v>0</v>
      </c>
      <c r="Z121" s="35" t="str">
        <f t="shared" ref="Z121" ca="1" si="176">+IFERROR(AA121/$G121,"N/A")</f>
        <v>N/A</v>
      </c>
      <c r="AA121" s="397">
        <f ca="1">SUM(Start:End!AA121)</f>
        <v>0</v>
      </c>
      <c r="AB121" s="397">
        <f ca="1">SUM(Start:End!AB121)</f>
        <v>0</v>
      </c>
      <c r="AC121" s="15"/>
      <c r="AD121" s="397">
        <f ca="1">SUM(Start:End!AD121)</f>
        <v>0</v>
      </c>
      <c r="AE121" s="397">
        <f ca="1">SUM(Start:End!AE121)</f>
        <v>0</v>
      </c>
      <c r="AF121" s="397">
        <f ca="1">SUM(Start:End!AF121)</f>
        <v>0</v>
      </c>
      <c r="AG121" s="15"/>
      <c r="AH121" s="266">
        <f>Remainder_Date</f>
        <v>56249</v>
      </c>
      <c r="AI121" s="267"/>
      <c r="AJ121" s="267"/>
      <c r="AK121" s="397">
        <f ca="1">SUM(Start:End!AK121)</f>
        <v>0</v>
      </c>
      <c r="AL121" s="233"/>
    </row>
    <row r="122" spans="2:38" x14ac:dyDescent="0.3">
      <c r="B122" s="232"/>
      <c r="C122" s="60" t="s">
        <v>26</v>
      </c>
      <c r="D122" s="39">
        <f ca="1">D121+D120</f>
        <v>127699.11504424778</v>
      </c>
      <c r="E122" s="39">
        <f t="shared" ref="E122" ca="1" si="177">E121+E120</f>
        <v>716.81415929203649</v>
      </c>
      <c r="F122" s="39">
        <f t="shared" ref="F122" ca="1" si="178">F121+F120</f>
        <v>0</v>
      </c>
      <c r="G122" s="39">
        <f t="shared" ref="G122" ca="1" si="179">G121+G120</f>
        <v>132000</v>
      </c>
      <c r="H122" s="15"/>
      <c r="I122" s="15"/>
      <c r="J122" s="15"/>
      <c r="K122" s="15"/>
      <c r="L122" s="15"/>
      <c r="M122" s="15"/>
      <c r="N122" s="15"/>
      <c r="O122" s="15"/>
      <c r="P122" s="15"/>
      <c r="Q122" s="39">
        <f ca="1">Q121+Q120</f>
        <v>456141.23893805302</v>
      </c>
      <c r="R122" s="39">
        <f t="shared" ref="R122" ca="1" si="180">R121+R120</f>
        <v>61330.619469026642</v>
      </c>
      <c r="S122" s="39">
        <f t="shared" ref="S122" ca="1" si="181">S121+S120</f>
        <v>0</v>
      </c>
      <c r="T122" s="39">
        <f t="shared" ref="T122" ca="1" si="182">T121+T120</f>
        <v>517471.85840707965</v>
      </c>
      <c r="U122" s="15"/>
      <c r="V122" s="9"/>
      <c r="W122" s="39">
        <f t="shared" ref="W122" ca="1" si="183">W121+W120</f>
        <v>40920</v>
      </c>
      <c r="X122" s="9"/>
      <c r="Y122" s="39">
        <f t="shared" ref="Y122" ca="1" si="184">Y121+Y120</f>
        <v>48840</v>
      </c>
      <c r="Z122" s="9"/>
      <c r="AA122" s="39">
        <f t="shared" ref="AA122" ca="1" si="185">AA121+AA120</f>
        <v>76560</v>
      </c>
      <c r="AB122" s="39">
        <f t="shared" ref="AB122" ca="1" si="186">AB121+AB120</f>
        <v>166320</v>
      </c>
      <c r="AC122" s="15"/>
      <c r="AD122" s="39">
        <f t="shared" ref="AD122" ca="1" si="187">AD121+AD120</f>
        <v>351151.85840707965</v>
      </c>
      <c r="AE122" s="39">
        <f t="shared" ref="AE122" ca="1" si="188">AE121+AE120</f>
        <v>71000</v>
      </c>
      <c r="AF122" s="39">
        <f t="shared" ref="AF122" ca="1" si="189">AF121+AF120</f>
        <v>280151.85840707965</v>
      </c>
      <c r="AG122" s="15"/>
      <c r="AH122" s="9"/>
      <c r="AI122" s="9"/>
      <c r="AJ122" s="9"/>
      <c r="AK122" s="39">
        <f t="shared" ref="AK122" ca="1" si="190">AK121+AK120</f>
        <v>262904.72067434184</v>
      </c>
      <c r="AL122" s="233"/>
    </row>
    <row r="123" spans="2:38" x14ac:dyDescent="0.3">
      <c r="B123" s="232"/>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233"/>
    </row>
    <row r="124" spans="2:38" x14ac:dyDescent="0.3">
      <c r="B124" s="285" t="s">
        <v>29</v>
      </c>
      <c r="C124" s="286"/>
      <c r="D124" s="287"/>
      <c r="E124" s="287"/>
      <c r="F124" s="287"/>
      <c r="G124" s="287"/>
      <c r="H124" s="287"/>
      <c r="I124" s="287"/>
      <c r="J124" s="287"/>
      <c r="K124" s="287"/>
      <c r="L124" s="287"/>
      <c r="M124" s="287"/>
      <c r="N124" s="287"/>
      <c r="O124" s="287"/>
      <c r="P124" s="287"/>
      <c r="Q124" s="286" t="str">
        <f>B124</f>
        <v>PUD</v>
      </c>
      <c r="R124" s="287"/>
      <c r="S124" s="287"/>
      <c r="T124" s="287"/>
      <c r="U124" s="287"/>
      <c r="V124" s="287"/>
      <c r="W124" s="287"/>
      <c r="X124" s="287"/>
      <c r="Y124" s="287"/>
      <c r="Z124" s="287"/>
      <c r="AA124" s="287"/>
      <c r="AB124" s="287"/>
      <c r="AC124" s="287"/>
      <c r="AD124" s="286" t="str">
        <f>Q124</f>
        <v>PUD</v>
      </c>
      <c r="AE124" s="287"/>
      <c r="AF124" s="287"/>
      <c r="AG124" s="287"/>
      <c r="AH124" s="287"/>
      <c r="AI124" s="287"/>
      <c r="AJ124" s="287"/>
      <c r="AK124" s="287"/>
      <c r="AL124" s="288"/>
    </row>
    <row r="125" spans="2:38" x14ac:dyDescent="0.3">
      <c r="B125" s="232"/>
      <c r="C125" s="292"/>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233"/>
    </row>
    <row r="126" spans="2:38" x14ac:dyDescent="0.3">
      <c r="B126" s="232"/>
      <c r="C126" s="37" t="s">
        <v>277</v>
      </c>
      <c r="D126" s="23"/>
      <c r="E126" s="23"/>
      <c r="F126" s="23"/>
      <c r="G126" s="23"/>
      <c r="H126" s="261"/>
      <c r="I126" s="37" t="s">
        <v>15</v>
      </c>
      <c r="J126" s="23"/>
      <c r="K126" s="23"/>
      <c r="L126" s="15"/>
      <c r="M126" s="37" t="s">
        <v>278</v>
      </c>
      <c r="N126" s="23"/>
      <c r="O126" s="23"/>
      <c r="P126" s="15"/>
      <c r="Q126" s="37" t="s">
        <v>279</v>
      </c>
      <c r="R126" s="23"/>
      <c r="S126" s="23"/>
      <c r="T126" s="23"/>
      <c r="U126" s="15"/>
      <c r="V126" s="37" t="s">
        <v>280</v>
      </c>
      <c r="W126" s="23"/>
      <c r="X126" s="23"/>
      <c r="Y126" s="23"/>
      <c r="Z126" s="23"/>
      <c r="AA126" s="23"/>
      <c r="AB126" s="4"/>
      <c r="AC126" s="15"/>
      <c r="AD126" s="37" t="s">
        <v>281</v>
      </c>
      <c r="AE126" s="23"/>
      <c r="AF126" s="23"/>
      <c r="AG126" s="15"/>
      <c r="AH126" s="37" t="s">
        <v>282</v>
      </c>
      <c r="AI126" s="23"/>
      <c r="AJ126" s="23"/>
      <c r="AK126" s="23"/>
      <c r="AL126" s="233"/>
    </row>
    <row r="127" spans="2:38" x14ac:dyDescent="0.3">
      <c r="B127" s="232"/>
      <c r="C127" s="250"/>
      <c r="D127" s="250" t="s">
        <v>10</v>
      </c>
      <c r="E127" s="250" t="s">
        <v>11</v>
      </c>
      <c r="F127" s="250" t="s">
        <v>245</v>
      </c>
      <c r="G127" s="250" t="s">
        <v>12</v>
      </c>
      <c r="H127" s="261"/>
      <c r="I127" s="262" t="s">
        <v>10</v>
      </c>
      <c r="J127" s="262" t="s">
        <v>11</v>
      </c>
      <c r="K127" s="262" t="s">
        <v>245</v>
      </c>
      <c r="L127" s="15"/>
      <c r="M127" s="262" t="s">
        <v>10</v>
      </c>
      <c r="N127" s="262" t="s">
        <v>11</v>
      </c>
      <c r="O127" s="262" t="s">
        <v>245</v>
      </c>
      <c r="P127" s="15"/>
      <c r="Q127" s="262" t="s">
        <v>10</v>
      </c>
      <c r="R127" s="262" t="s">
        <v>11</v>
      </c>
      <c r="S127" s="262" t="s">
        <v>245</v>
      </c>
      <c r="T127" s="262" t="s">
        <v>12</v>
      </c>
      <c r="U127" s="15"/>
      <c r="V127" s="262" t="s">
        <v>283</v>
      </c>
      <c r="W127" s="262" t="s">
        <v>283</v>
      </c>
      <c r="X127" s="262" t="s">
        <v>284</v>
      </c>
      <c r="Y127" s="262" t="s">
        <v>284</v>
      </c>
      <c r="Z127" s="262" t="s">
        <v>285</v>
      </c>
      <c r="AA127" s="262" t="s">
        <v>285</v>
      </c>
      <c r="AB127" s="262" t="s">
        <v>12</v>
      </c>
      <c r="AC127" s="15"/>
      <c r="AD127" s="262" t="s">
        <v>286</v>
      </c>
      <c r="AE127" s="262" t="s">
        <v>287</v>
      </c>
      <c r="AF127" s="262" t="s">
        <v>281</v>
      </c>
      <c r="AG127" s="15"/>
      <c r="AH127" s="262"/>
      <c r="AI127" s="262" t="s">
        <v>288</v>
      </c>
      <c r="AJ127" s="262" t="s">
        <v>288</v>
      </c>
      <c r="AK127" s="262" t="s">
        <v>289</v>
      </c>
      <c r="AL127" s="233"/>
    </row>
    <row r="128" spans="2:38" x14ac:dyDescent="0.3">
      <c r="B128" s="232"/>
      <c r="C128" s="13" t="s">
        <v>9</v>
      </c>
      <c r="D128" s="13" t="s">
        <v>307</v>
      </c>
      <c r="E128" s="13" t="s">
        <v>308</v>
      </c>
      <c r="F128" s="13" t="s">
        <v>308</v>
      </c>
      <c r="G128" s="13" t="s">
        <v>248</v>
      </c>
      <c r="H128" s="4"/>
      <c r="I128" s="13" t="s">
        <v>24</v>
      </c>
      <c r="J128" s="13" t="s">
        <v>25</v>
      </c>
      <c r="K128" s="13" t="s">
        <v>25</v>
      </c>
      <c r="L128" s="4"/>
      <c r="M128" s="13" t="s">
        <v>24</v>
      </c>
      <c r="N128" s="13" t="s">
        <v>25</v>
      </c>
      <c r="O128" s="13" t="s">
        <v>25</v>
      </c>
      <c r="P128" s="4"/>
      <c r="Q128" s="13" t="s">
        <v>293</v>
      </c>
      <c r="R128" s="13" t="s">
        <v>293</v>
      </c>
      <c r="S128" s="13" t="s">
        <v>293</v>
      </c>
      <c r="T128" s="13" t="s">
        <v>293</v>
      </c>
      <c r="U128" s="4"/>
      <c r="V128" s="13" t="s">
        <v>294</v>
      </c>
      <c r="W128" s="13" t="s">
        <v>293</v>
      </c>
      <c r="X128" s="13" t="s">
        <v>294</v>
      </c>
      <c r="Y128" s="13" t="s">
        <v>293</v>
      </c>
      <c r="Z128" s="13" t="s">
        <v>294</v>
      </c>
      <c r="AA128" s="13" t="s">
        <v>293</v>
      </c>
      <c r="AB128" s="13" t="s">
        <v>293</v>
      </c>
      <c r="AC128" s="4"/>
      <c r="AD128" s="13" t="s">
        <v>293</v>
      </c>
      <c r="AE128" s="13" t="s">
        <v>293</v>
      </c>
      <c r="AF128" s="13" t="s">
        <v>293</v>
      </c>
      <c r="AG128" s="4"/>
      <c r="AH128" s="13" t="s">
        <v>295</v>
      </c>
      <c r="AI128" s="13" t="s">
        <v>296</v>
      </c>
      <c r="AJ128" s="13" t="s">
        <v>297</v>
      </c>
      <c r="AK128" s="13" t="s">
        <v>293</v>
      </c>
      <c r="AL128" s="233"/>
    </row>
    <row r="129" spans="2:38" x14ac:dyDescent="0.3">
      <c r="B129" s="232"/>
      <c r="C129" s="250">
        <f>YEAR(FY_Date)</f>
        <v>2013</v>
      </c>
      <c r="D129" s="397">
        <f ca="1">SUM(Start:End!D129)</f>
        <v>73851.705993347307</v>
      </c>
      <c r="E129" s="397">
        <f ca="1">SUM(Start:End!E129)</f>
        <v>488.48822066965988</v>
      </c>
      <c r="F129" s="397">
        <f ca="1">SUM(Start:End!F129)</f>
        <v>0</v>
      </c>
      <c r="G129" s="397">
        <f ca="1">SUM(Start:End!G129)</f>
        <v>76782.635317365261</v>
      </c>
      <c r="H129" s="15"/>
      <c r="I129" s="264">
        <f ca="1">Assumptions!O$63</f>
        <v>3.7</v>
      </c>
      <c r="J129" s="264">
        <f ca="1">Assumptions!P$63</f>
        <v>101</v>
      </c>
      <c r="K129" s="264">
        <f t="shared" ref="K129:K169" ca="1" si="191">J129*NGL_Price_Diff_vs_Oil</f>
        <v>50.5</v>
      </c>
      <c r="L129" s="15"/>
      <c r="M129" s="51">
        <f ca="1">+IFERROR(Q129/D129,"N/A")</f>
        <v>3.4779999999999993</v>
      </c>
      <c r="N129" s="51">
        <f t="shared" ref="N129:N169" ca="1" si="192">+IFERROR(R129/E129,"N/A")</f>
        <v>93.93</v>
      </c>
      <c r="O129" s="51" t="str">
        <f t="shared" ref="O129:O169" ca="1" si="193">+IFERROR(S129/F129,"N/A")</f>
        <v>N/A</v>
      </c>
      <c r="P129" s="15"/>
      <c r="Q129" s="397">
        <f ca="1">SUM(Start:End!Q129)</f>
        <v>256856.23344486189</v>
      </c>
      <c r="R129" s="397">
        <f ca="1">SUM(Start:End!R129)</f>
        <v>45883.698567501153</v>
      </c>
      <c r="S129" s="397">
        <f ca="1">SUM(Start:End!S129)</f>
        <v>0</v>
      </c>
      <c r="T129" s="397">
        <f ca="1">SUM(Start:End!T129)</f>
        <v>302739.93201236305</v>
      </c>
      <c r="U129" s="15"/>
      <c r="V129" s="51">
        <f ca="1">+IFERROR(W129/$G129,"N/A")</f>
        <v>0.31</v>
      </c>
      <c r="W129" s="397">
        <f ca="1">SUM(Start:End!W129)</f>
        <v>23802.616948383231</v>
      </c>
      <c r="X129" s="51">
        <f ca="1">+IFERROR(Y129/$G129,"N/A")</f>
        <v>0.37</v>
      </c>
      <c r="Y129" s="397">
        <f ca="1">SUM(Start:End!Y129)</f>
        <v>28409.575067425147</v>
      </c>
      <c r="Z129" s="51">
        <f ca="1">+IFERROR(AA129/$G129,"N/A")</f>
        <v>0.57999999999999996</v>
      </c>
      <c r="AA129" s="397">
        <f ca="1">SUM(Start:End!AA129)</f>
        <v>44533.928484071846</v>
      </c>
      <c r="AB129" s="397">
        <f ca="1">SUM(Start:End!AB129)</f>
        <v>96746.120499880228</v>
      </c>
      <c r="AC129" s="15"/>
      <c r="AD129" s="397">
        <f ca="1">SUM(Start:End!AD129)</f>
        <v>205993.81151248282</v>
      </c>
      <c r="AE129" s="397">
        <f ca="1">SUM(Start:End!AE129)</f>
        <v>375624.98203592811</v>
      </c>
      <c r="AF129" s="397">
        <f ca="1">SUM(Start:End!AF129)</f>
        <v>-169631.1705234453</v>
      </c>
      <c r="AG129" s="15"/>
      <c r="AH129" s="266">
        <f>FY_Date</f>
        <v>41639</v>
      </c>
      <c r="AI129" s="267"/>
      <c r="AJ129" s="267"/>
      <c r="AK129" s="397">
        <f ca="1">SUM(Start:End!AK129)</f>
        <v>-42072.302185070293</v>
      </c>
      <c r="AL129" s="233"/>
    </row>
    <row r="130" spans="2:38" x14ac:dyDescent="0.3">
      <c r="B130" s="232"/>
      <c r="C130" s="270">
        <f>C129+1</f>
        <v>2014</v>
      </c>
      <c r="D130" s="397">
        <f ca="1">SUM(Start:End!D130)</f>
        <v>123978.80779654362</v>
      </c>
      <c r="E130" s="397">
        <f ca="1">SUM(Start:End!E130)</f>
        <v>1983.417621130314</v>
      </c>
      <c r="F130" s="397">
        <f ca="1">SUM(Start:End!F130)</f>
        <v>0</v>
      </c>
      <c r="G130" s="397">
        <f ca="1">SUM(Start:End!G130)</f>
        <v>135879.31352332552</v>
      </c>
      <c r="H130" s="15"/>
      <c r="I130" s="271">
        <f ca="1">Assumptions!O$64</f>
        <v>3.8</v>
      </c>
      <c r="J130" s="271">
        <f ca="1">Assumptions!P$64</f>
        <v>92</v>
      </c>
      <c r="K130" s="271">
        <f t="shared" ca="1" si="191"/>
        <v>46</v>
      </c>
      <c r="L130" s="15"/>
      <c r="M130" s="35">
        <f t="shared" ref="M130:M169" ca="1" si="194">+IFERROR(Q130/D130,"N/A")</f>
        <v>3.5720000000000001</v>
      </c>
      <c r="N130" s="35">
        <f t="shared" ca="1" si="192"/>
        <v>78.544905902433825</v>
      </c>
      <c r="O130" s="35" t="str">
        <f t="shared" ca="1" si="193"/>
        <v>N/A</v>
      </c>
      <c r="P130" s="15"/>
      <c r="Q130" s="397">
        <f ca="1">SUM(Start:End!Q130)</f>
        <v>442852.30144925381</v>
      </c>
      <c r="R130" s="397">
        <f ca="1">SUM(Start:End!R130)</f>
        <v>155787.35041690967</v>
      </c>
      <c r="S130" s="397">
        <f ca="1">SUM(Start:End!S130)</f>
        <v>0</v>
      </c>
      <c r="T130" s="397">
        <f ca="1">SUM(Start:End!T130)</f>
        <v>598639.65186616348</v>
      </c>
      <c r="U130" s="15"/>
      <c r="V130" s="35">
        <f t="shared" ref="V130" ca="1" si="195">+IFERROR(W130/$G130,"N/A")</f>
        <v>0.33766227424938206</v>
      </c>
      <c r="W130" s="397">
        <f ca="1">SUM(Start:End!W130)</f>
        <v>45881.318027730907</v>
      </c>
      <c r="X130" s="35">
        <f t="shared" ref="X130" ca="1" si="196">+IFERROR(Y130/$G130,"N/A")</f>
        <v>0.36481624236069538</v>
      </c>
      <c r="Y130" s="397">
        <f ca="1">SUM(Start:End!Y130)</f>
        <v>49570.980574130437</v>
      </c>
      <c r="Z130" s="35">
        <f t="shared" ref="Z130:Z169" ca="1" si="197">+IFERROR(AA130/$G130,"N/A")</f>
        <v>0.57187410964649554</v>
      </c>
      <c r="AA130" s="397">
        <f ca="1">SUM(Start:End!AA130)</f>
        <v>77705.861440528795</v>
      </c>
      <c r="AB130" s="397">
        <f ca="1">SUM(Start:End!AB130)</f>
        <v>173158.16004239014</v>
      </c>
      <c r="AC130" s="15"/>
      <c r="AD130" s="397">
        <f ca="1">SUM(Start:End!AD130)</f>
        <v>425481.49182377331</v>
      </c>
      <c r="AE130" s="397">
        <f ca="1">SUM(Start:End!AE130)</f>
        <v>526247.05701640202</v>
      </c>
      <c r="AF130" s="397">
        <f ca="1">SUM(Start:End!AF130)</f>
        <v>-100765.56519262864</v>
      </c>
      <c r="AG130" s="15"/>
      <c r="AH130" s="272">
        <f>EOMONTH(AH129,12)</f>
        <v>42004</v>
      </c>
      <c r="AI130" s="267"/>
      <c r="AJ130" s="267"/>
      <c r="AK130" s="397">
        <f ca="1">SUM(Start:End!AK130)</f>
        <v>-94562.081155520689</v>
      </c>
      <c r="AL130" s="233"/>
    </row>
    <row r="131" spans="2:38" x14ac:dyDescent="0.3">
      <c r="B131" s="232"/>
      <c r="C131" s="250">
        <f t="shared" ref="C131:C169" si="198">C130+1</f>
        <v>2015</v>
      </c>
      <c r="D131" s="397">
        <f ca="1">SUM(Start:End!D131)</f>
        <v>170858.26565893384</v>
      </c>
      <c r="E131" s="397">
        <f ca="1">SUM(Start:End!E131)</f>
        <v>2875.1824892475161</v>
      </c>
      <c r="F131" s="397">
        <f ca="1">SUM(Start:End!F131)</f>
        <v>0</v>
      </c>
      <c r="G131" s="397">
        <f ca="1">SUM(Start:End!G131)</f>
        <v>188109.36059441892</v>
      </c>
      <c r="H131" s="15"/>
      <c r="I131" s="271">
        <f ca="1">Assumptions!O$65</f>
        <v>4</v>
      </c>
      <c r="J131" s="271">
        <f ca="1">Assumptions!P$65</f>
        <v>88</v>
      </c>
      <c r="K131" s="271">
        <f t="shared" ca="1" si="191"/>
        <v>44</v>
      </c>
      <c r="L131" s="15"/>
      <c r="M131" s="35">
        <f t="shared" ca="1" si="194"/>
        <v>3.7599999999999993</v>
      </c>
      <c r="N131" s="35">
        <f t="shared" ca="1" si="192"/>
        <v>74.896661199190618</v>
      </c>
      <c r="O131" s="35" t="str">
        <f t="shared" ca="1" si="193"/>
        <v>N/A</v>
      </c>
      <c r="P131" s="15"/>
      <c r="Q131" s="397">
        <f ca="1">SUM(Start:End!Q131)</f>
        <v>642427.07887759118</v>
      </c>
      <c r="R131" s="397">
        <f ca="1">SUM(Start:End!R131)</f>
        <v>215341.56878301673</v>
      </c>
      <c r="S131" s="397">
        <f ca="1">SUM(Start:End!S131)</f>
        <v>0</v>
      </c>
      <c r="T131" s="397">
        <f ca="1">SUM(Start:End!T131)</f>
        <v>857768.64766060794</v>
      </c>
      <c r="U131" s="15"/>
      <c r="V131" s="35">
        <f t="shared" ref="V131" ca="1" si="199">+IFERROR(W131/$G131,"N/A")</f>
        <v>0.33997243856145076</v>
      </c>
      <c r="W131" s="397">
        <f ca="1">SUM(Start:End!W131)</f>
        <v>63951.998037519872</v>
      </c>
      <c r="X131" s="35">
        <f t="shared" ref="X131" ca="1" si="200">+IFERROR(Y131/$G131,"N/A")</f>
        <v>0.36438333030896847</v>
      </c>
      <c r="Y131" s="397">
        <f ca="1">SUM(Start:End!Y131)</f>
        <v>68543.915275685009</v>
      </c>
      <c r="Z131" s="35">
        <f t="shared" ca="1" si="197"/>
        <v>0.57119549075459919</v>
      </c>
      <c r="AA131" s="397">
        <f ca="1">SUM(Start:End!AA131)</f>
        <v>107447.21854026298</v>
      </c>
      <c r="AB131" s="397">
        <f ca="1">SUM(Start:End!AB131)</f>
        <v>239943.13185346784</v>
      </c>
      <c r="AC131" s="15"/>
      <c r="AD131" s="397">
        <f ca="1">SUM(Start:End!AD131)</f>
        <v>617825.51580714004</v>
      </c>
      <c r="AE131" s="397">
        <f ca="1">SUM(Start:End!AE131)</f>
        <v>606071.37354452594</v>
      </c>
      <c r="AF131" s="397">
        <f ca="1">SUM(Start:End!AF131)</f>
        <v>11754.142262614099</v>
      </c>
      <c r="AG131" s="15"/>
      <c r="AH131" s="273">
        <f t="shared" ref="AH131:AH169" si="201">EOMONTH(AH130,12)</f>
        <v>42369</v>
      </c>
      <c r="AI131" s="267"/>
      <c r="AJ131" s="267"/>
      <c r="AK131" s="397">
        <f ca="1">SUM(Start:End!AK131)</f>
        <v>10027.741596646156</v>
      </c>
      <c r="AL131" s="233"/>
    </row>
    <row r="132" spans="2:38" x14ac:dyDescent="0.3">
      <c r="B132" s="232"/>
      <c r="C132" s="250">
        <f t="shared" si="198"/>
        <v>2016</v>
      </c>
      <c r="D132" s="397">
        <f ca="1">SUM(Start:End!D132)</f>
        <v>147685.69017900614</v>
      </c>
      <c r="E132" s="397">
        <f ca="1">SUM(Start:End!E132)</f>
        <v>2827.7255395004968</v>
      </c>
      <c r="F132" s="397">
        <f ca="1">SUM(Start:End!F132)</f>
        <v>0</v>
      </c>
      <c r="G132" s="397">
        <f ca="1">SUM(Start:End!G132)</f>
        <v>164652.04341600914</v>
      </c>
      <c r="H132" s="15"/>
      <c r="I132" s="271">
        <f ca="1">Assumptions!O$66</f>
        <v>4.0999999999999996</v>
      </c>
      <c r="J132" s="271">
        <f ca="1">Assumptions!P$66</f>
        <v>84</v>
      </c>
      <c r="K132" s="271">
        <f t="shared" ca="1" si="191"/>
        <v>42</v>
      </c>
      <c r="L132" s="15"/>
      <c r="M132" s="35">
        <f t="shared" ca="1" si="194"/>
        <v>3.8539999999999996</v>
      </c>
      <c r="N132" s="35">
        <f t="shared" ca="1" si="192"/>
        <v>70.972396772037769</v>
      </c>
      <c r="O132" s="35" t="str">
        <f t="shared" ca="1" si="193"/>
        <v>N/A</v>
      </c>
      <c r="P132" s="15"/>
      <c r="Q132" s="397">
        <f ca="1">SUM(Start:End!Q132)</f>
        <v>569180.64994988963</v>
      </c>
      <c r="R132" s="397">
        <f ca="1">SUM(Start:End!R132)</f>
        <v>200690.4589518538</v>
      </c>
      <c r="S132" s="397">
        <f ca="1">SUM(Start:End!S132)</f>
        <v>0</v>
      </c>
      <c r="T132" s="397">
        <f ca="1">SUM(Start:End!T132)</f>
        <v>769871.10890174343</v>
      </c>
      <c r="U132" s="15"/>
      <c r="V132" s="35">
        <f t="shared" ref="V132" ca="1" si="202">+IFERROR(W132/$G132,"N/A")</f>
        <v>0.3463188982609739</v>
      </c>
      <c r="W132" s="397">
        <f ca="1">SUM(Start:End!W132)</f>
        <v>57022.114272250328</v>
      </c>
      <c r="X132" s="35">
        <f t="shared" ref="X132" ca="1" si="203">+IFERROR(Y132/$G132,"N/A")</f>
        <v>0.36319403876144946</v>
      </c>
      <c r="Y132" s="397">
        <f ca="1">SUM(Start:End!Y132)</f>
        <v>59800.640638585879</v>
      </c>
      <c r="Z132" s="35">
        <f t="shared" ca="1" si="197"/>
        <v>0.56933119589632608</v>
      </c>
      <c r="AA132" s="397">
        <f ca="1">SUM(Start:End!AA132)</f>
        <v>93741.544784810292</v>
      </c>
      <c r="AB132" s="397">
        <f ca="1">SUM(Start:End!AB132)</f>
        <v>210564.29969564651</v>
      </c>
      <c r="AC132" s="15"/>
      <c r="AD132" s="397">
        <f ca="1">SUM(Start:End!AD132)</f>
        <v>559306.80920609692</v>
      </c>
      <c r="AE132" s="397">
        <f ca="1">SUM(Start:End!AE132)</f>
        <v>315242.69929705805</v>
      </c>
      <c r="AF132" s="397">
        <f ca="1">SUM(Start:End!AF132)</f>
        <v>244064.10990903887</v>
      </c>
      <c r="AG132" s="15"/>
      <c r="AH132" s="273">
        <f t="shared" si="201"/>
        <v>42735</v>
      </c>
      <c r="AI132" s="267"/>
      <c r="AJ132" s="267"/>
      <c r="AK132" s="397">
        <f ca="1">SUM(Start:End!AK132)</f>
        <v>189288.14992911951</v>
      </c>
      <c r="AL132" s="233"/>
    </row>
    <row r="133" spans="2:38" x14ac:dyDescent="0.3">
      <c r="B133" s="232"/>
      <c r="C133" s="250">
        <f t="shared" si="198"/>
        <v>2017</v>
      </c>
      <c r="D133" s="397">
        <f ca="1">SUM(Start:End!D133)</f>
        <v>142694.58571500744</v>
      </c>
      <c r="E133" s="397">
        <f ca="1">SUM(Start:End!E133)</f>
        <v>2107.7690793898983</v>
      </c>
      <c r="F133" s="397">
        <f ca="1">SUM(Start:End!F133)</f>
        <v>0</v>
      </c>
      <c r="G133" s="397">
        <f ca="1">SUM(Start:End!G133)</f>
        <v>155341.20019134684</v>
      </c>
      <c r="H133" s="15"/>
      <c r="I133" s="271">
        <f ca="1">Assumptions!O$67</f>
        <v>4.2</v>
      </c>
      <c r="J133" s="271">
        <f ca="1">Assumptions!P$67</f>
        <v>82</v>
      </c>
      <c r="K133" s="271">
        <f t="shared" ca="1" si="191"/>
        <v>41</v>
      </c>
      <c r="L133" s="15"/>
      <c r="M133" s="35">
        <f t="shared" ca="1" si="194"/>
        <v>3.9479999999999995</v>
      </c>
      <c r="N133" s="35">
        <f t="shared" ca="1" si="192"/>
        <v>70.373481392743415</v>
      </c>
      <c r="O133" s="35" t="str">
        <f t="shared" ca="1" si="193"/>
        <v>N/A</v>
      </c>
      <c r="P133" s="15"/>
      <c r="Q133" s="397">
        <f ca="1">SUM(Start:End!Q133)</f>
        <v>563358.22440284933</v>
      </c>
      <c r="R133" s="397">
        <f ca="1">SUM(Start:End!R133)</f>
        <v>148331.04808864492</v>
      </c>
      <c r="S133" s="397">
        <f ca="1">SUM(Start:End!S133)</f>
        <v>0</v>
      </c>
      <c r="T133" s="397">
        <f ca="1">SUM(Start:End!T133)</f>
        <v>711689.27249149443</v>
      </c>
      <c r="U133" s="15"/>
      <c r="V133" s="35">
        <f t="shared" ref="V133" ca="1" si="204">+IFERROR(W133/$G133,"N/A")</f>
        <v>0.33420819604386393</v>
      </c>
      <c r="W133" s="397">
        <f ca="1">SUM(Start:End!W133)</f>
        <v>51916.302287238759</v>
      </c>
      <c r="X133" s="35">
        <f t="shared" ref="X133" ca="1" si="205">+IFERROR(Y133/$G133,"N/A")</f>
        <v>0.36546351756746948</v>
      </c>
      <c r="Y133" s="397">
        <f ca="1">SUM(Start:End!Y133)</f>
        <v>56771.541445082075</v>
      </c>
      <c r="Z133" s="35">
        <f t="shared" ca="1" si="197"/>
        <v>0.5728887572679251</v>
      </c>
      <c r="AA133" s="397">
        <f ca="1">SUM(Start:End!AA133)</f>
        <v>88993.227130128667</v>
      </c>
      <c r="AB133" s="397">
        <f ca="1">SUM(Start:End!AB133)</f>
        <v>197681.07086244947</v>
      </c>
      <c r="AC133" s="15"/>
      <c r="AD133" s="397">
        <f ca="1">SUM(Start:End!AD133)</f>
        <v>514008.20162904484</v>
      </c>
      <c r="AE133" s="397">
        <f ca="1">SUM(Start:End!AE133)</f>
        <v>232522.06052302837</v>
      </c>
      <c r="AF133" s="397">
        <f ca="1">SUM(Start:End!AF133)</f>
        <v>281486.14110601647</v>
      </c>
      <c r="AG133" s="15"/>
      <c r="AH133" s="273">
        <f t="shared" si="201"/>
        <v>43100</v>
      </c>
      <c r="AI133" s="267"/>
      <c r="AJ133" s="267"/>
      <c r="AK133" s="397">
        <f ca="1">SUM(Start:End!AK133)</f>
        <v>198464.95884180439</v>
      </c>
      <c r="AL133" s="233"/>
    </row>
    <row r="134" spans="2:38" x14ac:dyDescent="0.3">
      <c r="B134" s="232"/>
      <c r="C134" s="250">
        <f t="shared" si="198"/>
        <v>2018</v>
      </c>
      <c r="D134" s="397">
        <f ca="1">SUM(Start:End!D134)</f>
        <v>99797.553915696379</v>
      </c>
      <c r="E134" s="397">
        <f ca="1">SUM(Start:End!E134)</f>
        <v>1596.2504582056013</v>
      </c>
      <c r="F134" s="397">
        <f ca="1">SUM(Start:End!F134)</f>
        <v>0</v>
      </c>
      <c r="G134" s="397">
        <f ca="1">SUM(Start:End!G134)</f>
        <v>109375.05666492999</v>
      </c>
      <c r="H134" s="15"/>
      <c r="I134" s="271">
        <f ca="1">Assumptions!O$68</f>
        <v>4.5</v>
      </c>
      <c r="J134" s="271">
        <f ca="1">Assumptions!P$68</f>
        <v>80</v>
      </c>
      <c r="K134" s="271">
        <f t="shared" ca="1" si="191"/>
        <v>40</v>
      </c>
      <c r="L134" s="15"/>
      <c r="M134" s="35">
        <f t="shared" ca="1" si="194"/>
        <v>4.2299999999999995</v>
      </c>
      <c r="N134" s="35">
        <f t="shared" ca="1" si="192"/>
        <v>68.30076551384083</v>
      </c>
      <c r="O134" s="35" t="str">
        <f t="shared" ca="1" si="193"/>
        <v>N/A</v>
      </c>
      <c r="P134" s="15"/>
      <c r="Q134" s="397">
        <f ca="1">SUM(Start:End!Q134)</f>
        <v>422143.65306339564</v>
      </c>
      <c r="R134" s="397">
        <f ca="1">SUM(Start:End!R134)</f>
        <v>109025.12824726175</v>
      </c>
      <c r="S134" s="397">
        <f ca="1">SUM(Start:End!S134)</f>
        <v>0</v>
      </c>
      <c r="T134" s="397">
        <f ca="1">SUM(Start:End!T134)</f>
        <v>531168.78131065739</v>
      </c>
      <c r="U134" s="15"/>
      <c r="V134" s="35">
        <f t="shared" ref="V134" ca="1" si="206">+IFERROR(W134/$G134,"N/A")</f>
        <v>0.33765345969277955</v>
      </c>
      <c r="W134" s="397">
        <f ca="1">SUM(Start:End!W134)</f>
        <v>36930.866287007419</v>
      </c>
      <c r="X134" s="35">
        <f t="shared" ref="X134" ca="1" si="207">+IFERROR(Y134/$G134,"N/A")</f>
        <v>0.36481789415999122</v>
      </c>
      <c r="Y134" s="397">
        <f ca="1">SUM(Start:End!Y134)</f>
        <v>39901.97784612947</v>
      </c>
      <c r="Z134" s="35">
        <f t="shared" ca="1" si="197"/>
        <v>0.57187669895349968</v>
      </c>
      <c r="AA134" s="397">
        <f ca="1">SUM(Start:End!AA134)</f>
        <v>62549.046353392136</v>
      </c>
      <c r="AB134" s="397">
        <f ca="1">SUM(Start:End!AB134)</f>
        <v>139381.89048652904</v>
      </c>
      <c r="AC134" s="15"/>
      <c r="AD134" s="397">
        <f ca="1">SUM(Start:End!AD134)</f>
        <v>391786.89082412835</v>
      </c>
      <c r="AE134" s="397">
        <f ca="1">SUM(Start:End!AE134)</f>
        <v>0</v>
      </c>
      <c r="AF134" s="397">
        <f ca="1">SUM(Start:End!AF134)</f>
        <v>391786.89082412835</v>
      </c>
      <c r="AG134" s="15"/>
      <c r="AH134" s="273">
        <f t="shared" si="201"/>
        <v>43465</v>
      </c>
      <c r="AI134" s="267"/>
      <c r="AJ134" s="267"/>
      <c r="AK134" s="397">
        <f ca="1">SUM(Start:End!AK134)</f>
        <v>251121.58067582455</v>
      </c>
      <c r="AL134" s="233"/>
    </row>
    <row r="135" spans="2:38" x14ac:dyDescent="0.3">
      <c r="B135" s="232"/>
      <c r="C135" s="250">
        <f t="shared" si="198"/>
        <v>2019</v>
      </c>
      <c r="D135" s="397">
        <f ca="1">SUM(Start:End!D135)</f>
        <v>82685.596837269637</v>
      </c>
      <c r="E135" s="397">
        <f ca="1">SUM(Start:End!E135)</f>
        <v>1389.4498398697115</v>
      </c>
      <c r="F135" s="397">
        <f ca="1">SUM(Start:End!F135)</f>
        <v>0</v>
      </c>
      <c r="G135" s="397">
        <f ca="1">SUM(Start:End!G135)</f>
        <v>91022.2958764879</v>
      </c>
      <c r="H135" s="15"/>
      <c r="I135" s="271">
        <f ca="1">Assumptions!O$68</f>
        <v>4.5</v>
      </c>
      <c r="J135" s="271">
        <f ca="1">Assumptions!P$68</f>
        <v>80</v>
      </c>
      <c r="K135" s="271">
        <f t="shared" ca="1" si="191"/>
        <v>40</v>
      </c>
      <c r="L135" s="15"/>
      <c r="M135" s="35">
        <f t="shared" ca="1" si="194"/>
        <v>4.2300000000000004</v>
      </c>
      <c r="N135" s="35">
        <f t="shared" ca="1" si="192"/>
        <v>68.093680039768017</v>
      </c>
      <c r="O135" s="35" t="str">
        <f t="shared" ca="1" si="193"/>
        <v>N/A</v>
      </c>
      <c r="P135" s="15"/>
      <c r="Q135" s="397">
        <f ca="1">SUM(Start:End!Q135)</f>
        <v>349760.07462165056</v>
      </c>
      <c r="R135" s="397">
        <f ca="1">SUM(Start:End!R135)</f>
        <v>94612.75282739503</v>
      </c>
      <c r="S135" s="397">
        <f ca="1">SUM(Start:End!S135)</f>
        <v>0</v>
      </c>
      <c r="T135" s="397">
        <f ca="1">SUM(Start:End!T135)</f>
        <v>444372.82744904561</v>
      </c>
      <c r="U135" s="15"/>
      <c r="V135" s="35">
        <f t="shared" ref="V135" ca="1" si="208">+IFERROR(W135/$G135,"N/A")</f>
        <v>0.33990628639476428</v>
      </c>
      <c r="W135" s="397">
        <f ca="1">SUM(Start:End!W135)</f>
        <v>30939.050570502466</v>
      </c>
      <c r="X135" s="35">
        <f t="shared" ref="X135" ca="1" si="209">+IFERROR(Y135/$G135,"N/A")</f>
        <v>0.36439572686018207</v>
      </c>
      <c r="Y135" s="397">
        <f ca="1">SUM(Start:End!Y135)</f>
        <v>33168.135666395363</v>
      </c>
      <c r="Z135" s="35">
        <f t="shared" ca="1" si="197"/>
        <v>0.57121492318623135</v>
      </c>
      <c r="AA135" s="397">
        <f ca="1">SUM(Start:End!AA135)</f>
        <v>51993.293747322459</v>
      </c>
      <c r="AB135" s="397">
        <f ca="1">SUM(Start:End!AB135)</f>
        <v>116100.47998422031</v>
      </c>
      <c r="AC135" s="15"/>
      <c r="AD135" s="397">
        <f ca="1">SUM(Start:End!AD135)</f>
        <v>328272.34746482526</v>
      </c>
      <c r="AE135" s="397">
        <f ca="1">SUM(Start:End!AE135)</f>
        <v>0</v>
      </c>
      <c r="AF135" s="397">
        <f ca="1">SUM(Start:End!AF135)</f>
        <v>328272.34746482526</v>
      </c>
      <c r="AG135" s="15"/>
      <c r="AH135" s="273">
        <f t="shared" si="201"/>
        <v>43830</v>
      </c>
      <c r="AI135" s="267"/>
      <c r="AJ135" s="267"/>
      <c r="AK135" s="397">
        <f ca="1">SUM(Start:End!AK135)</f>
        <v>191282.72565388517</v>
      </c>
      <c r="AL135" s="233"/>
    </row>
    <row r="136" spans="2:38" x14ac:dyDescent="0.3">
      <c r="B136" s="232"/>
      <c r="C136" s="250">
        <f t="shared" si="198"/>
        <v>2020</v>
      </c>
      <c r="D136" s="397">
        <f ca="1">SUM(Start:End!D136)</f>
        <v>71916.888859448401</v>
      </c>
      <c r="E136" s="397">
        <f ca="1">SUM(Start:End!E136)</f>
        <v>1233.9677566354674</v>
      </c>
      <c r="F136" s="397">
        <f ca="1">SUM(Start:End!F136)</f>
        <v>0</v>
      </c>
      <c r="G136" s="397">
        <f ca="1">SUM(Start:End!G136)</f>
        <v>79320.695399261211</v>
      </c>
      <c r="H136" s="15"/>
      <c r="I136" s="271">
        <f ca="1">Assumptions!O$68</f>
        <v>4.5</v>
      </c>
      <c r="J136" s="271">
        <f ca="1">Assumptions!P$68</f>
        <v>80</v>
      </c>
      <c r="K136" s="271">
        <f t="shared" ca="1" si="191"/>
        <v>40</v>
      </c>
      <c r="L136" s="15"/>
      <c r="M136" s="35">
        <f t="shared" ca="1" si="194"/>
        <v>4.2300000000000004</v>
      </c>
      <c r="N136" s="35">
        <f t="shared" ca="1" si="192"/>
        <v>68.009165482149612</v>
      </c>
      <c r="O136" s="35" t="str">
        <f t="shared" ca="1" si="193"/>
        <v>N/A</v>
      </c>
      <c r="P136" s="15"/>
      <c r="Q136" s="397">
        <f ca="1">SUM(Start:End!Q136)</f>
        <v>304208.43987546675</v>
      </c>
      <c r="R136" s="397">
        <f ca="1">SUM(Start:End!R136)</f>
        <v>83921.11736065842</v>
      </c>
      <c r="S136" s="397">
        <f ca="1">SUM(Start:End!S136)</f>
        <v>0</v>
      </c>
      <c r="T136" s="397">
        <f ca="1">SUM(Start:End!T136)</f>
        <v>388129.55723612517</v>
      </c>
      <c r="U136" s="15"/>
      <c r="V136" s="35">
        <f t="shared" ref="V136" ca="1" si="210">+IFERROR(W136/$G136,"N/A")</f>
        <v>0.34088632735228025</v>
      </c>
      <c r="W136" s="397">
        <f ca="1">SUM(Start:End!W136)</f>
        <v>27039.340537683067</v>
      </c>
      <c r="X136" s="35">
        <f t="shared" ref="X136" ca="1" si="211">+IFERROR(Y136/$G136,"N/A")</f>
        <v>0.36421207258958394</v>
      </c>
      <c r="Y136" s="397">
        <f ca="1">SUM(Start:End!Y136)</f>
        <v>28889.554870611999</v>
      </c>
      <c r="Z136" s="35">
        <f t="shared" ca="1" si="197"/>
        <v>0.5709270327079965</v>
      </c>
      <c r="AA136" s="397">
        <f ca="1">SUM(Start:End!AA136)</f>
        <v>45286.329256635028</v>
      </c>
      <c r="AB136" s="397">
        <f ca="1">SUM(Start:End!AB136)</f>
        <v>101215.22466493009</v>
      </c>
      <c r="AC136" s="15"/>
      <c r="AD136" s="397">
        <f ca="1">SUM(Start:End!AD136)</f>
        <v>286914.33257119503</v>
      </c>
      <c r="AE136" s="397">
        <f ca="1">SUM(Start:End!AE136)</f>
        <v>0</v>
      </c>
      <c r="AF136" s="397">
        <f ca="1">SUM(Start:End!AF136)</f>
        <v>286914.33257119503</v>
      </c>
      <c r="AG136" s="15"/>
      <c r="AH136" s="273">
        <f t="shared" si="201"/>
        <v>44196</v>
      </c>
      <c r="AI136" s="267"/>
      <c r="AJ136" s="267"/>
      <c r="AK136" s="397">
        <f ca="1">SUM(Start:End!AK136)</f>
        <v>151985.09847975348</v>
      </c>
      <c r="AL136" s="233"/>
    </row>
    <row r="137" spans="2:38" x14ac:dyDescent="0.3">
      <c r="B137" s="232"/>
      <c r="C137" s="250">
        <f t="shared" si="198"/>
        <v>2021</v>
      </c>
      <c r="D137" s="397">
        <f ca="1">SUM(Start:End!D137)</f>
        <v>64249.045529282273</v>
      </c>
      <c r="E137" s="397">
        <f ca="1">SUM(Start:End!E137)</f>
        <v>1107.4214824722847</v>
      </c>
      <c r="F137" s="397">
        <f ca="1">SUM(Start:End!F137)</f>
        <v>0</v>
      </c>
      <c r="G137" s="397">
        <f ca="1">SUM(Start:End!G137)</f>
        <v>70893.57442411597</v>
      </c>
      <c r="H137" s="15"/>
      <c r="I137" s="271">
        <f ca="1">Assumptions!O$68</f>
        <v>4.5</v>
      </c>
      <c r="J137" s="271">
        <f ca="1">Assumptions!P$68</f>
        <v>80</v>
      </c>
      <c r="K137" s="271">
        <f t="shared" ca="1" si="191"/>
        <v>40</v>
      </c>
      <c r="L137" s="15"/>
      <c r="M137" s="35">
        <f t="shared" ca="1" si="194"/>
        <v>4.2299999999999995</v>
      </c>
      <c r="N137" s="35">
        <f t="shared" ca="1" si="192"/>
        <v>67.990989996082234</v>
      </c>
      <c r="O137" s="35" t="str">
        <f t="shared" ca="1" si="193"/>
        <v>N/A</v>
      </c>
      <c r="P137" s="15"/>
      <c r="Q137" s="397">
        <f ca="1">SUM(Start:End!Q137)</f>
        <v>271773.46258886397</v>
      </c>
      <c r="R137" s="397">
        <f ca="1">SUM(Start:End!R137)</f>
        <v>75294.682936219659</v>
      </c>
      <c r="S137" s="397">
        <f ca="1">SUM(Start:End!S137)</f>
        <v>0</v>
      </c>
      <c r="T137" s="397">
        <f ca="1">SUM(Start:End!T137)</f>
        <v>347068.14552508359</v>
      </c>
      <c r="U137" s="15"/>
      <c r="V137" s="35">
        <f t="shared" ref="V137" ca="1" si="212">+IFERROR(W137/$G137,"N/A")</f>
        <v>0.34110200727544121</v>
      </c>
      <c r="W137" s="397">
        <f ca="1">SUM(Start:End!W137)</f>
        <v>24181.940538996838</v>
      </c>
      <c r="X137" s="35">
        <f t="shared" ref="X137" ca="1" si="213">+IFERROR(Y137/$G137,"N/A")</f>
        <v>0.36417165536143964</v>
      </c>
      <c r="Y137" s="397">
        <f ca="1">SUM(Start:End!Y137)</f>
        <v>25817.430352519732</v>
      </c>
      <c r="Z137" s="35">
        <f t="shared" ca="1" si="197"/>
        <v>0.57086367597198651</v>
      </c>
      <c r="AA137" s="397">
        <f ca="1">SUM(Start:End!AA137)</f>
        <v>40470.566498544445</v>
      </c>
      <c r="AB137" s="397">
        <f ca="1">SUM(Start:End!AB137)</f>
        <v>90469.937390061008</v>
      </c>
      <c r="AC137" s="15"/>
      <c r="AD137" s="397">
        <f ca="1">SUM(Start:End!AD137)</f>
        <v>256598.20813502261</v>
      </c>
      <c r="AE137" s="397">
        <f ca="1">SUM(Start:End!AE137)</f>
        <v>0</v>
      </c>
      <c r="AF137" s="397">
        <f ca="1">SUM(Start:End!AF137)</f>
        <v>256598.20813502261</v>
      </c>
      <c r="AG137" s="15"/>
      <c r="AH137" s="273">
        <f t="shared" si="201"/>
        <v>44561</v>
      </c>
      <c r="AI137" s="267"/>
      <c r="AJ137" s="267"/>
      <c r="AK137" s="397">
        <f ca="1">SUM(Start:End!AK137)</f>
        <v>123569.04770347159</v>
      </c>
      <c r="AL137" s="233"/>
    </row>
    <row r="138" spans="2:38" x14ac:dyDescent="0.3">
      <c r="B138" s="232"/>
      <c r="C138" s="250">
        <f t="shared" si="198"/>
        <v>2022</v>
      </c>
      <c r="D138" s="397">
        <f ca="1">SUM(Start:End!D138)</f>
        <v>58416.435535083328</v>
      </c>
      <c r="E138" s="397">
        <f ca="1">SUM(Start:End!E138)</f>
        <v>1000.5970353968075</v>
      </c>
      <c r="F138" s="397">
        <f ca="1">SUM(Start:End!F138)</f>
        <v>0</v>
      </c>
      <c r="G138" s="397">
        <f ca="1">SUM(Start:End!G138)</f>
        <v>64420.017747464175</v>
      </c>
      <c r="H138" s="15"/>
      <c r="I138" s="271">
        <f ca="1">Assumptions!O$68</f>
        <v>4.5</v>
      </c>
      <c r="J138" s="271">
        <f ca="1">Assumptions!P$68</f>
        <v>80</v>
      </c>
      <c r="K138" s="271">
        <f t="shared" ca="1" si="191"/>
        <v>40</v>
      </c>
      <c r="L138" s="15"/>
      <c r="M138" s="35">
        <f t="shared" ca="1" si="194"/>
        <v>4.2299999999999995</v>
      </c>
      <c r="N138" s="35">
        <f t="shared" ca="1" si="192"/>
        <v>68.016083600314388</v>
      </c>
      <c r="O138" s="35" t="str">
        <f t="shared" ca="1" si="193"/>
        <v>N/A</v>
      </c>
      <c r="P138" s="15"/>
      <c r="Q138" s="397">
        <f ca="1">SUM(Start:End!Q138)</f>
        <v>247101.52231340247</v>
      </c>
      <c r="R138" s="397">
        <f ca="1">SUM(Start:End!R138)</f>
        <v>68056.691609775997</v>
      </c>
      <c r="S138" s="397">
        <f ca="1">SUM(Start:End!S138)</f>
        <v>0</v>
      </c>
      <c r="T138" s="397">
        <f ca="1">SUM(Start:End!T138)</f>
        <v>315158.2139231785</v>
      </c>
      <c r="U138" s="15"/>
      <c r="V138" s="35">
        <f t="shared" ref="V138" ca="1" si="214">+IFERROR(W138/$G138,"N/A")</f>
        <v>0.34080469844867289</v>
      </c>
      <c r="W138" s="397">
        <f ca="1">SUM(Start:End!W138)</f>
        <v>21954.644722482684</v>
      </c>
      <c r="X138" s="35">
        <f t="shared" ref="X138" ca="1" si="215">+IFERROR(Y138/$G138,"N/A")</f>
        <v>0.36422736939594363</v>
      </c>
      <c r="Y138" s="397">
        <f ca="1">SUM(Start:End!Y138)</f>
        <v>23463.533600598879</v>
      </c>
      <c r="Z138" s="35">
        <f t="shared" ca="1" si="197"/>
        <v>0.57095101148553329</v>
      </c>
      <c r="AA138" s="397">
        <f ca="1">SUM(Start:End!AA138)</f>
        <v>36780.674292830678</v>
      </c>
      <c r="AB138" s="397">
        <f ca="1">SUM(Start:End!AB138)</f>
        <v>82198.852615912241</v>
      </c>
      <c r="AC138" s="15"/>
      <c r="AD138" s="397">
        <f ca="1">SUM(Start:End!AD138)</f>
        <v>232959.36130726623</v>
      </c>
      <c r="AE138" s="397">
        <f ca="1">SUM(Start:End!AE138)</f>
        <v>0</v>
      </c>
      <c r="AF138" s="397">
        <f ca="1">SUM(Start:End!AF138)</f>
        <v>232959.36130726623</v>
      </c>
      <c r="AG138" s="15"/>
      <c r="AH138" s="273">
        <f t="shared" si="201"/>
        <v>44926</v>
      </c>
      <c r="AI138" s="267"/>
      <c r="AJ138" s="267"/>
      <c r="AK138" s="397">
        <f ca="1">SUM(Start:End!AK138)</f>
        <v>101986.70534753019</v>
      </c>
      <c r="AL138" s="233"/>
    </row>
    <row r="139" spans="2:38" x14ac:dyDescent="0.3">
      <c r="B139" s="232"/>
      <c r="C139" s="250">
        <f t="shared" si="198"/>
        <v>2023</v>
      </c>
      <c r="D139" s="397">
        <f ca="1">SUM(Start:End!D139)</f>
        <v>53786.409337879028</v>
      </c>
      <c r="E139" s="397">
        <f ca="1">SUM(Start:End!E139)</f>
        <v>908.5515110633155</v>
      </c>
      <c r="F139" s="397">
        <f ca="1">SUM(Start:End!F139)</f>
        <v>0</v>
      </c>
      <c r="G139" s="397">
        <f ca="1">SUM(Start:End!G139)</f>
        <v>59237.718404258914</v>
      </c>
      <c r="H139" s="15"/>
      <c r="I139" s="271">
        <f ca="1">Assumptions!O$68</f>
        <v>4.5</v>
      </c>
      <c r="J139" s="271">
        <f ca="1">Assumptions!P$68</f>
        <v>80</v>
      </c>
      <c r="K139" s="271">
        <f t="shared" ca="1" si="191"/>
        <v>40</v>
      </c>
      <c r="L139" s="15"/>
      <c r="M139" s="35">
        <f t="shared" ca="1" si="194"/>
        <v>4.2299999999999995</v>
      </c>
      <c r="N139" s="35">
        <f t="shared" ca="1" si="192"/>
        <v>68.07239504709689</v>
      </c>
      <c r="O139" s="35" t="str">
        <f t="shared" ca="1" si="193"/>
        <v>N/A</v>
      </c>
      <c r="P139" s="15"/>
      <c r="Q139" s="397">
        <f ca="1">SUM(Start:End!Q139)</f>
        <v>227516.51149922825</v>
      </c>
      <c r="R139" s="397">
        <f ca="1">SUM(Start:End!R139)</f>
        <v>61847.277381738837</v>
      </c>
      <c r="S139" s="397">
        <f ca="1">SUM(Start:End!S139)</f>
        <v>0</v>
      </c>
      <c r="T139" s="397">
        <f ca="1">SUM(Start:End!T139)</f>
        <v>289363.78888096707</v>
      </c>
      <c r="U139" s="15"/>
      <c r="V139" s="35">
        <f t="shared" ref="V139" ca="1" si="216">+IFERROR(W139/$G139,"N/A")</f>
        <v>0.34014963011410498</v>
      </c>
      <c r="W139" s="397">
        <f ca="1">SUM(Start:End!W139)</f>
        <v>20149.68800401218</v>
      </c>
      <c r="X139" s="35">
        <f t="shared" ref="X139" ca="1" si="217">+IFERROR(Y139/$G139,"N/A")</f>
        <v>0.36435012558919699</v>
      </c>
      <c r="Y139" s="397">
        <f ca="1">SUM(Start:End!Y139)</f>
        <v>21583.270140209221</v>
      </c>
      <c r="Z139" s="35">
        <f t="shared" ca="1" si="197"/>
        <v>0.57114344011279528</v>
      </c>
      <c r="AA139" s="397">
        <f ca="1">SUM(Start:End!AA139)</f>
        <v>33833.234273841481</v>
      </c>
      <c r="AB139" s="397">
        <f ca="1">SUM(Start:End!AB139)</f>
        <v>75566.192418062885</v>
      </c>
      <c r="AC139" s="15"/>
      <c r="AD139" s="397">
        <f ca="1">SUM(Start:End!AD139)</f>
        <v>213797.59646290421</v>
      </c>
      <c r="AE139" s="397">
        <f ca="1">SUM(Start:End!AE139)</f>
        <v>0</v>
      </c>
      <c r="AF139" s="397">
        <f ca="1">SUM(Start:End!AF139)</f>
        <v>213797.59646290421</v>
      </c>
      <c r="AG139" s="15"/>
      <c r="AH139" s="273">
        <f t="shared" si="201"/>
        <v>45291</v>
      </c>
      <c r="AI139" s="267"/>
      <c r="AJ139" s="267"/>
      <c r="AK139" s="397">
        <f ca="1">SUM(Start:End!AK139)</f>
        <v>85089.021348908893</v>
      </c>
      <c r="AL139" s="233"/>
    </row>
    <row r="140" spans="2:38" x14ac:dyDescent="0.3">
      <c r="B140" s="232"/>
      <c r="C140" s="250">
        <f t="shared" si="198"/>
        <v>2024</v>
      </c>
      <c r="D140" s="397">
        <f ca="1">SUM(Start:End!D140)</f>
        <v>49997.756343951907</v>
      </c>
      <c r="E140" s="397">
        <f ca="1">SUM(Start:End!E140)</f>
        <v>828.21325146520155</v>
      </c>
      <c r="F140" s="397">
        <f ca="1">SUM(Start:End!F140)</f>
        <v>0</v>
      </c>
      <c r="G140" s="397">
        <f ca="1">SUM(Start:End!G140)</f>
        <v>54967.035852743116</v>
      </c>
      <c r="H140" s="15"/>
      <c r="I140" s="271">
        <f ca="1">Assumptions!O$68</f>
        <v>4.5</v>
      </c>
      <c r="J140" s="271">
        <f ca="1">Assumptions!P$68</f>
        <v>80</v>
      </c>
      <c r="K140" s="271">
        <f t="shared" ca="1" si="191"/>
        <v>40</v>
      </c>
      <c r="L140" s="15"/>
      <c r="M140" s="35">
        <f t="shared" ca="1" si="194"/>
        <v>4.2299999999999995</v>
      </c>
      <c r="N140" s="35">
        <f t="shared" ca="1" si="192"/>
        <v>68.152744805663076</v>
      </c>
      <c r="O140" s="35" t="str">
        <f t="shared" ca="1" si="193"/>
        <v>N/A</v>
      </c>
      <c r="P140" s="15"/>
      <c r="Q140" s="397">
        <f ca="1">SUM(Start:End!Q140)</f>
        <v>211490.50933491654</v>
      </c>
      <c r="R140" s="397">
        <f ca="1">SUM(Start:End!R140)</f>
        <v>56445.006371776341</v>
      </c>
      <c r="S140" s="397">
        <f ca="1">SUM(Start:End!S140)</f>
        <v>0</v>
      </c>
      <c r="T140" s="397">
        <f ca="1">SUM(Start:End!T140)</f>
        <v>267935.51570669288</v>
      </c>
      <c r="U140" s="15"/>
      <c r="V140" s="35">
        <f t="shared" ref="V140" ca="1" si="218">+IFERROR(W140/$G140,"N/A")</f>
        <v>0.33924290429502041</v>
      </c>
      <c r="W140" s="397">
        <f ca="1">SUM(Start:End!W140)</f>
        <v>18647.176883173088</v>
      </c>
      <c r="X140" s="35">
        <f t="shared" ref="X140" ca="1" si="219">+IFERROR(Y140/$G140,"N/A")</f>
        <v>0.36452004100717955</v>
      </c>
      <c r="Y140" s="397">
        <f ca="1">SUM(Start:End!Y140)</f>
        <v>20036.58616308503</v>
      </c>
      <c r="Z140" s="35">
        <f t="shared" ca="1" si="197"/>
        <v>0.57140979401125458</v>
      </c>
      <c r="AA140" s="397">
        <f ca="1">SUM(Start:End!AA140)</f>
        <v>31408.702634025187</v>
      </c>
      <c r="AB140" s="397">
        <f ca="1">SUM(Start:End!AB140)</f>
        <v>70092.465680283305</v>
      </c>
      <c r="AC140" s="15"/>
      <c r="AD140" s="397">
        <f ca="1">SUM(Start:End!AD140)</f>
        <v>197843.05002640956</v>
      </c>
      <c r="AE140" s="397">
        <f ca="1">SUM(Start:End!AE140)</f>
        <v>0</v>
      </c>
      <c r="AF140" s="397">
        <f ca="1">SUM(Start:End!AF140)</f>
        <v>197843.05002640956</v>
      </c>
      <c r="AG140" s="15"/>
      <c r="AH140" s="273">
        <f t="shared" si="201"/>
        <v>45657</v>
      </c>
      <c r="AI140" s="267"/>
      <c r="AJ140" s="267"/>
      <c r="AK140" s="397">
        <f ca="1">SUM(Start:End!AK140)</f>
        <v>71581.175100948647</v>
      </c>
      <c r="AL140" s="233"/>
    </row>
    <row r="141" spans="2:38" x14ac:dyDescent="0.3">
      <c r="B141" s="232"/>
      <c r="C141" s="250">
        <f t="shared" si="198"/>
        <v>2025</v>
      </c>
      <c r="D141" s="397">
        <f ca="1">SUM(Start:End!D141)</f>
        <v>46825.768480400147</v>
      </c>
      <c r="E141" s="397">
        <f ca="1">SUM(Start:End!E141)</f>
        <v>757.48173228770656</v>
      </c>
      <c r="F141" s="397">
        <f ca="1">SUM(Start:End!F141)</f>
        <v>0</v>
      </c>
      <c r="G141" s="397">
        <f ca="1">SUM(Start:End!G141)</f>
        <v>51370.658874126384</v>
      </c>
      <c r="H141" s="15"/>
      <c r="I141" s="271">
        <f ca="1">Assumptions!O$68</f>
        <v>4.5</v>
      </c>
      <c r="J141" s="271">
        <f ca="1">Assumptions!P$68</f>
        <v>80</v>
      </c>
      <c r="K141" s="271">
        <f t="shared" ca="1" si="191"/>
        <v>40</v>
      </c>
      <c r="L141" s="15"/>
      <c r="M141" s="35">
        <f t="shared" ca="1" si="194"/>
        <v>4.2299999999999995</v>
      </c>
      <c r="N141" s="35">
        <f t="shared" ca="1" si="192"/>
        <v>68.252454277085477</v>
      </c>
      <c r="O141" s="35" t="str">
        <f t="shared" ca="1" si="193"/>
        <v>N/A</v>
      </c>
      <c r="P141" s="15"/>
      <c r="Q141" s="397">
        <f ca="1">SUM(Start:End!Q141)</f>
        <v>198073.0006720926</v>
      </c>
      <c r="R141" s="397">
        <f ca="1">SUM(Start:End!R141)</f>
        <v>51699.987298694192</v>
      </c>
      <c r="S141" s="397">
        <f ca="1">SUM(Start:End!S141)</f>
        <v>0</v>
      </c>
      <c r="T141" s="397">
        <f ca="1">SUM(Start:End!T141)</f>
        <v>249772.98797078675</v>
      </c>
      <c r="U141" s="15"/>
      <c r="V141" s="35">
        <f t="shared" ref="V141" ca="1" si="220">+IFERROR(W141/$G141,"N/A")</f>
        <v>0.33816113757631955</v>
      </c>
      <c r="W141" s="397">
        <f ca="1">SUM(Start:End!W141)</f>
        <v>17371.560442919632</v>
      </c>
      <c r="X141" s="35">
        <f t="shared" ref="X141" ca="1" si="221">+IFERROR(Y141/$G141,"N/A")</f>
        <v>0.36472275812441507</v>
      </c>
      <c r="Y141" s="397">
        <f ca="1">SUM(Start:End!Y141)</f>
        <v>18736.048391239834</v>
      </c>
      <c r="Z141" s="35">
        <f t="shared" ca="1" si="197"/>
        <v>0.57172756678962366</v>
      </c>
      <c r="AA141" s="397">
        <f ca="1">SUM(Start:End!AA141)</f>
        <v>29370.021802484065</v>
      </c>
      <c r="AB141" s="397">
        <f ca="1">SUM(Start:End!AB141)</f>
        <v>65477.630636643531</v>
      </c>
      <c r="AC141" s="15"/>
      <c r="AD141" s="397">
        <f ca="1">SUM(Start:End!AD141)</f>
        <v>184295.35733414325</v>
      </c>
      <c r="AE141" s="397">
        <f ca="1">SUM(Start:End!AE141)</f>
        <v>0</v>
      </c>
      <c r="AF141" s="397">
        <f ca="1">SUM(Start:End!AF141)</f>
        <v>184295.35733414325</v>
      </c>
      <c r="AG141" s="15"/>
      <c r="AH141" s="273">
        <f t="shared" si="201"/>
        <v>46022</v>
      </c>
      <c r="AI141" s="267"/>
      <c r="AJ141" s="267"/>
      <c r="AK141" s="397">
        <f ca="1">SUM(Start:End!AK141)</f>
        <v>60617.739171007379</v>
      </c>
      <c r="AL141" s="233"/>
    </row>
    <row r="142" spans="2:38" x14ac:dyDescent="0.3">
      <c r="B142" s="232"/>
      <c r="C142" s="250">
        <f t="shared" si="198"/>
        <v>2026</v>
      </c>
      <c r="D142" s="397">
        <f ca="1">SUM(Start:End!D142)</f>
        <v>44121.868396308615</v>
      </c>
      <c r="E142" s="397">
        <f ca="1">SUM(Start:End!E142)</f>
        <v>694.82141232787285</v>
      </c>
      <c r="F142" s="397">
        <f ca="1">SUM(Start:End!F142)</f>
        <v>0</v>
      </c>
      <c r="G142" s="397">
        <f ca="1">SUM(Start:End!G142)</f>
        <v>48290.796870275852</v>
      </c>
      <c r="H142" s="15"/>
      <c r="I142" s="271">
        <f ca="1">Assumptions!O$68</f>
        <v>4.5</v>
      </c>
      <c r="J142" s="271">
        <f ca="1">Assumptions!P$68</f>
        <v>80</v>
      </c>
      <c r="K142" s="271">
        <f t="shared" ca="1" si="191"/>
        <v>40</v>
      </c>
      <c r="L142" s="15"/>
      <c r="M142" s="35">
        <f t="shared" ca="1" si="194"/>
        <v>4.2299999999999995</v>
      </c>
      <c r="N142" s="35">
        <f t="shared" ca="1" si="192"/>
        <v>68.368251192606564</v>
      </c>
      <c r="O142" s="35" t="str">
        <f t="shared" ca="1" si="193"/>
        <v>N/A</v>
      </c>
      <c r="P142" s="15"/>
      <c r="Q142" s="397">
        <f ca="1">SUM(Start:End!Q142)</f>
        <v>186635.50331638544</v>
      </c>
      <c r="R142" s="397">
        <f ca="1">SUM(Start:End!R142)</f>
        <v>47503.724852033673</v>
      </c>
      <c r="S142" s="397">
        <f ca="1">SUM(Start:End!S142)</f>
        <v>0</v>
      </c>
      <c r="T142" s="397">
        <f ca="1">SUM(Start:End!T142)</f>
        <v>234139.2281684191</v>
      </c>
      <c r="U142" s="15"/>
      <c r="V142" s="35">
        <f t="shared" ref="V142" ca="1" si="222">+IFERROR(W142/$G142,"N/A")</f>
        <v>0.33696146382185321</v>
      </c>
      <c r="W142" s="397">
        <f ca="1">SUM(Start:End!W142)</f>
        <v>16272.137602531919</v>
      </c>
      <c r="X142" s="35">
        <f t="shared" ref="X142" ca="1" si="223">+IFERROR(Y142/$G142,"N/A")</f>
        <v>0.36494757036990594</v>
      </c>
      <c r="Y142" s="397">
        <f ca="1">SUM(Start:End!Y142)</f>
        <v>17623.60898903383</v>
      </c>
      <c r="Z142" s="35">
        <f t="shared" ca="1" si="197"/>
        <v>0.5720799751744472</v>
      </c>
      <c r="AA142" s="397">
        <f ca="1">SUM(Start:End!AA142)</f>
        <v>27626.19787470168</v>
      </c>
      <c r="AB142" s="397">
        <f ca="1">SUM(Start:End!AB142)</f>
        <v>61521.944466267436</v>
      </c>
      <c r="AC142" s="15"/>
      <c r="AD142" s="397">
        <f ca="1">SUM(Start:End!AD142)</f>
        <v>172617.28370215168</v>
      </c>
      <c r="AE142" s="397">
        <f ca="1">SUM(Start:End!AE142)</f>
        <v>0</v>
      </c>
      <c r="AF142" s="397">
        <f ca="1">SUM(Start:End!AF142)</f>
        <v>172617.28370215168</v>
      </c>
      <c r="AG142" s="15"/>
      <c r="AH142" s="273">
        <f t="shared" si="201"/>
        <v>46387</v>
      </c>
      <c r="AI142" s="267"/>
      <c r="AJ142" s="267"/>
      <c r="AK142" s="397">
        <f ca="1">SUM(Start:End!AK142)</f>
        <v>51615.118999608094</v>
      </c>
      <c r="AL142" s="233"/>
    </row>
    <row r="143" spans="2:38" x14ac:dyDescent="0.3">
      <c r="B143" s="232"/>
      <c r="C143" s="250">
        <f t="shared" si="198"/>
        <v>2027</v>
      </c>
      <c r="D143" s="397">
        <f ca="1">SUM(Start:End!D143)</f>
        <v>41783.192297007525</v>
      </c>
      <c r="E143" s="397">
        <f ca="1">SUM(Start:End!E143)</f>
        <v>639.05439870736245</v>
      </c>
      <c r="F143" s="397">
        <f ca="1">SUM(Start:End!F143)</f>
        <v>0</v>
      </c>
      <c r="G143" s="397">
        <f ca="1">SUM(Start:End!G143)</f>
        <v>45617.518689251694</v>
      </c>
      <c r="H143" s="15"/>
      <c r="I143" s="271">
        <f ca="1">Assumptions!O$68</f>
        <v>4.5</v>
      </c>
      <c r="J143" s="271">
        <f ca="1">Assumptions!P$68</f>
        <v>80</v>
      </c>
      <c r="K143" s="271">
        <f t="shared" ca="1" si="191"/>
        <v>40</v>
      </c>
      <c r="L143" s="15"/>
      <c r="M143" s="35">
        <f t="shared" ca="1" si="194"/>
        <v>4.2299999999999995</v>
      </c>
      <c r="N143" s="35">
        <f t="shared" ca="1" si="192"/>
        <v>68.497702151376174</v>
      </c>
      <c r="O143" s="35" t="str">
        <f t="shared" ca="1" si="193"/>
        <v>N/A</v>
      </c>
      <c r="P143" s="15"/>
      <c r="Q143" s="397">
        <f ca="1">SUM(Start:End!Q143)</f>
        <v>176742.90341634181</v>
      </c>
      <c r="R143" s="397">
        <f ca="1">SUM(Start:End!R143)</f>
        <v>43773.757861183709</v>
      </c>
      <c r="S143" s="397">
        <f ca="1">SUM(Start:End!S143)</f>
        <v>0</v>
      </c>
      <c r="T143" s="397">
        <f ca="1">SUM(Start:End!T143)</f>
        <v>220516.66127752553</v>
      </c>
      <c r="U143" s="15"/>
      <c r="V143" s="35">
        <f t="shared" ref="V143" ca="1" si="224">+IFERROR(W143/$G143,"N/A")</f>
        <v>0.33568731375886657</v>
      </c>
      <c r="W143" s="397">
        <f ca="1">SUM(Start:End!W143)</f>
        <v>15313.222309139792</v>
      </c>
      <c r="X143" s="35">
        <f t="shared" ref="X143" ca="1" si="225">+IFERROR(Y143/$G143,"N/A")</f>
        <v>0.36518633906488324</v>
      </c>
      <c r="Y143" s="397">
        <f ca="1">SUM(Start:End!Y143)</f>
        <v>16658.894647351717</v>
      </c>
      <c r="Z143" s="35">
        <f t="shared" ca="1" si="197"/>
        <v>0.57245426123684395</v>
      </c>
      <c r="AA143" s="397">
        <f ca="1">SUM(Start:End!AA143)</f>
        <v>26113.942960713499</v>
      </c>
      <c r="AB143" s="397">
        <f ca="1">SUM(Start:End!AB143)</f>
        <v>58086.059917205006</v>
      </c>
      <c r="AC143" s="15"/>
      <c r="AD143" s="397">
        <f ca="1">SUM(Start:End!AD143)</f>
        <v>162430.60136032052</v>
      </c>
      <c r="AE143" s="397">
        <f ca="1">SUM(Start:End!AE143)</f>
        <v>0</v>
      </c>
      <c r="AF143" s="397">
        <f ca="1">SUM(Start:End!AF143)</f>
        <v>162430.60136032052</v>
      </c>
      <c r="AG143" s="15"/>
      <c r="AH143" s="273">
        <f t="shared" si="201"/>
        <v>46752</v>
      </c>
      <c r="AI143" s="267"/>
      <c r="AJ143" s="267"/>
      <c r="AK143" s="397">
        <f ca="1">SUM(Start:End!AK143)</f>
        <v>44153.773115248681</v>
      </c>
      <c r="AL143" s="233"/>
    </row>
    <row r="144" spans="2:38" x14ac:dyDescent="0.3">
      <c r="B144" s="232"/>
      <c r="C144" s="250">
        <f t="shared" si="198"/>
        <v>2028</v>
      </c>
      <c r="D144" s="397">
        <f ca="1">SUM(Start:End!D144)</f>
        <v>39735.901107569254</v>
      </c>
      <c r="E144" s="397">
        <f ca="1">SUM(Start:End!E144)</f>
        <v>589.2445316007645</v>
      </c>
      <c r="F144" s="397">
        <f ca="1">SUM(Start:End!F144)</f>
        <v>0</v>
      </c>
      <c r="G144" s="397">
        <f ca="1">SUM(Start:End!G144)</f>
        <v>43271.368297173838</v>
      </c>
      <c r="H144" s="15"/>
      <c r="I144" s="271">
        <f ca="1">Assumptions!O$68</f>
        <v>4.5</v>
      </c>
      <c r="J144" s="271">
        <f ca="1">Assumptions!P$68</f>
        <v>80</v>
      </c>
      <c r="K144" s="271">
        <f t="shared" ca="1" si="191"/>
        <v>40</v>
      </c>
      <c r="L144" s="15"/>
      <c r="M144" s="35">
        <f t="shared" ca="1" si="194"/>
        <v>4.2299999999999995</v>
      </c>
      <c r="N144" s="35">
        <f t="shared" ca="1" si="192"/>
        <v>68.638893565702716</v>
      </c>
      <c r="O144" s="35" t="str">
        <f t="shared" ca="1" si="193"/>
        <v>N/A</v>
      </c>
      <c r="P144" s="15"/>
      <c r="Q144" s="397">
        <f ca="1">SUM(Start:End!Q144)</f>
        <v>168082.86168501791</v>
      </c>
      <c r="R144" s="397">
        <f ca="1">SUM(Start:End!R144)</f>
        <v>40445.092688717225</v>
      </c>
      <c r="S144" s="397">
        <f ca="1">SUM(Start:End!S144)</f>
        <v>0</v>
      </c>
      <c r="T144" s="397">
        <f ca="1">SUM(Start:End!T144)</f>
        <v>208527.95437373512</v>
      </c>
      <c r="U144" s="15"/>
      <c r="V144" s="35">
        <f t="shared" ref="V144" ca="1" si="226">+IFERROR(W144/$G144,"N/A")</f>
        <v>0.33437205952633275</v>
      </c>
      <c r="W144" s="397">
        <f ca="1">SUM(Start:End!W144)</f>
        <v>14468.736536048478</v>
      </c>
      <c r="X144" s="35">
        <f t="shared" ref="X144" ca="1" si="227">+IFERROR(Y144/$G144,"N/A")</f>
        <v>0.36543281045454762</v>
      </c>
      <c r="Y144" s="397">
        <f ca="1">SUM(Start:End!Y144)</f>
        <v>15812.777729050049</v>
      </c>
      <c r="Z144" s="35">
        <f t="shared" ca="1" si="197"/>
        <v>0.57284062179361517</v>
      </c>
      <c r="AA144" s="397">
        <f ca="1">SUM(Start:End!AA144)</f>
        <v>24787.597521213589</v>
      </c>
      <c r="AB144" s="397">
        <f ca="1">SUM(Start:End!AB144)</f>
        <v>55069.111786312118</v>
      </c>
      <c r="AC144" s="15"/>
      <c r="AD144" s="397">
        <f ca="1">SUM(Start:End!AD144)</f>
        <v>153458.84258742305</v>
      </c>
      <c r="AE144" s="397">
        <f ca="1">SUM(Start:End!AE144)</f>
        <v>0</v>
      </c>
      <c r="AF144" s="397">
        <f ca="1">SUM(Start:End!AF144)</f>
        <v>153458.84258742305</v>
      </c>
      <c r="AG144" s="15"/>
      <c r="AH144" s="273">
        <f t="shared" si="201"/>
        <v>47118</v>
      </c>
      <c r="AI144" s="267"/>
      <c r="AJ144" s="267"/>
      <c r="AK144" s="397">
        <f ca="1">SUM(Start:End!AK144)</f>
        <v>37922.69583209978</v>
      </c>
      <c r="AL144" s="233"/>
    </row>
    <row r="145" spans="2:38" x14ac:dyDescent="0.3">
      <c r="B145" s="232"/>
      <c r="C145" s="250">
        <f t="shared" si="198"/>
        <v>2029</v>
      </c>
      <c r="D145" s="397">
        <f ca="1">SUM(Start:End!D145)</f>
        <v>37924.094564698156</v>
      </c>
      <c r="E145" s="397">
        <f ca="1">SUM(Start:End!E145)</f>
        <v>544.61908202287452</v>
      </c>
      <c r="F145" s="397">
        <f ca="1">SUM(Start:End!F145)</f>
        <v>0</v>
      </c>
      <c r="G145" s="397">
        <f ca="1">SUM(Start:End!G145)</f>
        <v>41191.809056835402</v>
      </c>
      <c r="H145" s="15"/>
      <c r="I145" s="271">
        <f ca="1">Assumptions!O$68</f>
        <v>4.5</v>
      </c>
      <c r="J145" s="271">
        <f ca="1">Assumptions!P$68</f>
        <v>80</v>
      </c>
      <c r="K145" s="271">
        <f t="shared" ca="1" si="191"/>
        <v>40</v>
      </c>
      <c r="L145" s="15"/>
      <c r="M145" s="35">
        <f t="shared" ca="1" si="194"/>
        <v>4.2299999999999986</v>
      </c>
      <c r="N145" s="35">
        <f t="shared" ca="1" si="192"/>
        <v>68.790151728078143</v>
      </c>
      <c r="O145" s="35" t="str">
        <f t="shared" ca="1" si="193"/>
        <v>N/A</v>
      </c>
      <c r="P145" s="15"/>
      <c r="Q145" s="397">
        <f ca="1">SUM(Start:End!Q145)</f>
        <v>160418.92000867316</v>
      </c>
      <c r="R145" s="397">
        <f ca="1">SUM(Start:End!R145)</f>
        <v>37464.429286360173</v>
      </c>
      <c r="S145" s="397">
        <f ca="1">SUM(Start:End!S145)</f>
        <v>0</v>
      </c>
      <c r="T145" s="397">
        <f ca="1">SUM(Start:End!T145)</f>
        <v>197883.34929503335</v>
      </c>
      <c r="U145" s="15"/>
      <c r="V145" s="35">
        <f t="shared" ref="V145" ca="1" si="228">+IFERROR(W145/$G145,"N/A")</f>
        <v>0.33304222973607484</v>
      </c>
      <c r="W145" s="397">
        <f ca="1">SUM(Start:End!W145)</f>
        <v>13718.611935151104</v>
      </c>
      <c r="X145" s="35">
        <f t="shared" ref="X145" ca="1" si="229">+IFERROR(Y145/$G145,"N/A")</f>
        <v>0.36568201322334676</v>
      </c>
      <c r="Y145" s="397">
        <f ca="1">SUM(Start:End!Y145)</f>
        <v>15063.103664215258</v>
      </c>
      <c r="Z145" s="35">
        <f t="shared" ca="1" si="197"/>
        <v>0.57323126397173274</v>
      </c>
      <c r="AA145" s="397">
        <f ca="1">SUM(Start:End!AA145)</f>
        <v>23612.432770932024</v>
      </c>
      <c r="AB145" s="397">
        <f ca="1">SUM(Start:End!AB145)</f>
        <v>52394.148370298382</v>
      </c>
      <c r="AC145" s="15"/>
      <c r="AD145" s="397">
        <f ca="1">SUM(Start:End!AD145)</f>
        <v>145489.20092473496</v>
      </c>
      <c r="AE145" s="397">
        <f ca="1">SUM(Start:End!AE145)</f>
        <v>0</v>
      </c>
      <c r="AF145" s="397">
        <f ca="1">SUM(Start:End!AF145)</f>
        <v>145489.20092473496</v>
      </c>
      <c r="AG145" s="15"/>
      <c r="AH145" s="273">
        <f t="shared" si="201"/>
        <v>47483</v>
      </c>
      <c r="AI145" s="267"/>
      <c r="AJ145" s="267"/>
      <c r="AK145" s="397">
        <f ca="1">SUM(Start:End!AK145)</f>
        <v>32684.764322695908</v>
      </c>
      <c r="AL145" s="233"/>
    </row>
    <row r="146" spans="2:38" x14ac:dyDescent="0.3">
      <c r="B146" s="232"/>
      <c r="C146" s="250">
        <f t="shared" si="198"/>
        <v>2030</v>
      </c>
      <c r="D146" s="397">
        <f ca="1">SUM(Start:End!D146)</f>
        <v>36295.349043152804</v>
      </c>
      <c r="E146" s="397">
        <f ca="1">SUM(Start:End!E146)</f>
        <v>504.46861499154085</v>
      </c>
      <c r="F146" s="397">
        <f ca="1">SUM(Start:End!F146)</f>
        <v>0</v>
      </c>
      <c r="G146" s="397">
        <f ca="1">SUM(Start:End!G146)</f>
        <v>39322.16073310205</v>
      </c>
      <c r="H146" s="15"/>
      <c r="I146" s="271">
        <f ca="1">Assumptions!O$68</f>
        <v>4.5</v>
      </c>
      <c r="J146" s="271">
        <f ca="1">Assumptions!P$68</f>
        <v>80</v>
      </c>
      <c r="K146" s="271">
        <f t="shared" ca="1" si="191"/>
        <v>40</v>
      </c>
      <c r="L146" s="15"/>
      <c r="M146" s="35">
        <f t="shared" ca="1" si="194"/>
        <v>4.2299999999999995</v>
      </c>
      <c r="N146" s="35">
        <f t="shared" ca="1" si="192"/>
        <v>68.949299415636347</v>
      </c>
      <c r="O146" s="35" t="str">
        <f t="shared" ca="1" si="193"/>
        <v>N/A</v>
      </c>
      <c r="P146" s="15"/>
      <c r="Q146" s="397">
        <f ca="1">SUM(Start:End!Q146)</f>
        <v>153529.32645253633</v>
      </c>
      <c r="R146" s="397">
        <f ca="1">SUM(Start:End!R146)</f>
        <v>34782.757580843121</v>
      </c>
      <c r="S146" s="397">
        <f ca="1">SUM(Start:End!S146)</f>
        <v>0</v>
      </c>
      <c r="T146" s="397">
        <f ca="1">SUM(Start:End!T146)</f>
        <v>188312.08403337945</v>
      </c>
      <c r="U146" s="15"/>
      <c r="V146" s="35">
        <f t="shared" ref="V146" ca="1" si="230">+IFERROR(W146/$G146,"N/A")</f>
        <v>0.33172403547650942</v>
      </c>
      <c r="W146" s="397">
        <f ca="1">SUM(Start:End!W146)</f>
        <v>13044.10584204055</v>
      </c>
      <c r="X146" s="35">
        <f t="shared" ref="X146" ca="1" si="231">+IFERROR(Y146/$G146,"N/A")</f>
        <v>0.36592903555786283</v>
      </c>
      <c r="Y146" s="397">
        <f ca="1">SUM(Start:End!Y146)</f>
        <v>14389.120353115297</v>
      </c>
      <c r="Z146" s="35">
        <f t="shared" ca="1" si="197"/>
        <v>0.57361848817178496</v>
      </c>
      <c r="AA146" s="397">
        <f ca="1">SUM(Start:End!AA146)</f>
        <v>22555.918391369923</v>
      </c>
      <c r="AB146" s="397">
        <f ca="1">SUM(Start:End!AB146)</f>
        <v>49989.14458652577</v>
      </c>
      <c r="AC146" s="15"/>
      <c r="AD146" s="397">
        <f ca="1">SUM(Start:End!AD146)</f>
        <v>138322.93944685365</v>
      </c>
      <c r="AE146" s="397">
        <f ca="1">SUM(Start:End!AE146)</f>
        <v>0</v>
      </c>
      <c r="AF146" s="397">
        <f ca="1">SUM(Start:End!AF146)</f>
        <v>138322.93944685365</v>
      </c>
      <c r="AG146" s="15"/>
      <c r="AH146" s="273">
        <f t="shared" si="201"/>
        <v>47848</v>
      </c>
      <c r="AI146" s="267"/>
      <c r="AJ146" s="267"/>
      <c r="AK146" s="397">
        <f ca="1">SUM(Start:End!AK146)</f>
        <v>28249.848520508516</v>
      </c>
      <c r="AL146" s="233"/>
    </row>
    <row r="147" spans="2:38" x14ac:dyDescent="0.3">
      <c r="B147" s="232"/>
      <c r="C147" s="250">
        <f t="shared" si="198"/>
        <v>2031</v>
      </c>
      <c r="D147" s="397">
        <f ca="1">SUM(Start:End!D147)</f>
        <v>34802.153166808996</v>
      </c>
      <c r="E147" s="397">
        <f ca="1">SUM(Start:End!E147)</f>
        <v>468.15245550507888</v>
      </c>
      <c r="F147" s="397">
        <f ca="1">SUM(Start:End!F147)</f>
        <v>0</v>
      </c>
      <c r="G147" s="397">
        <f ca="1">SUM(Start:End!G147)</f>
        <v>37611.067899839472</v>
      </c>
      <c r="H147" s="15"/>
      <c r="I147" s="271">
        <f ca="1">Assumptions!O$68</f>
        <v>4.5</v>
      </c>
      <c r="J147" s="271">
        <f ca="1">Assumptions!P$68</f>
        <v>80</v>
      </c>
      <c r="K147" s="271">
        <f t="shared" ca="1" si="191"/>
        <v>40</v>
      </c>
      <c r="L147" s="15"/>
      <c r="M147" s="35">
        <f t="shared" ca="1" si="194"/>
        <v>4.2300000000000004</v>
      </c>
      <c r="N147" s="35">
        <f t="shared" ca="1" si="192"/>
        <v>69.11382322580188</v>
      </c>
      <c r="O147" s="35" t="str">
        <f t="shared" ca="1" si="193"/>
        <v>N/A</v>
      </c>
      <c r="P147" s="15"/>
      <c r="Q147" s="397">
        <f ca="1">SUM(Start:End!Q147)</f>
        <v>147213.10789560206</v>
      </c>
      <c r="R147" s="397">
        <f ca="1">SUM(Start:End!R147)</f>
        <v>32355.806052503103</v>
      </c>
      <c r="S147" s="397">
        <f ca="1">SUM(Start:End!S147)</f>
        <v>0</v>
      </c>
      <c r="T147" s="397">
        <f ca="1">SUM(Start:End!T147)</f>
        <v>179568.91394810515</v>
      </c>
      <c r="U147" s="15"/>
      <c r="V147" s="35">
        <f t="shared" ref="V147" ca="1" si="232">+IFERROR(W147/$G147,"N/A")</f>
        <v>0.33044112162272071</v>
      </c>
      <c r="W147" s="397">
        <f ca="1">SUM(Start:End!W147)</f>
        <v>12428.243462251261</v>
      </c>
      <c r="X147" s="35">
        <f t="shared" ref="X147" ca="1" si="233">+IFERROR(Y147/$G147,"N/A")</f>
        <v>0.36616944653890487</v>
      </c>
      <c r="Y147" s="397">
        <f ca="1">SUM(Start:End!Y147)</f>
        <v>13772.023916621391</v>
      </c>
      <c r="Z147" s="35">
        <f t="shared" ca="1" si="197"/>
        <v>0.57399534862855361</v>
      </c>
      <c r="AA147" s="397">
        <f ca="1">SUM(Start:End!AA147)</f>
        <v>21588.578031460558</v>
      </c>
      <c r="AB147" s="397">
        <f ca="1">SUM(Start:End!AB147)</f>
        <v>47788.845410333211</v>
      </c>
      <c r="AC147" s="15"/>
      <c r="AD147" s="397">
        <f ca="1">SUM(Start:End!AD147)</f>
        <v>131780.06853777193</v>
      </c>
      <c r="AE147" s="397">
        <f ca="1">SUM(Start:End!AE147)</f>
        <v>0</v>
      </c>
      <c r="AF147" s="397">
        <f ca="1">SUM(Start:End!AF147)</f>
        <v>131780.06853777193</v>
      </c>
      <c r="AG147" s="15"/>
      <c r="AH147" s="273">
        <f t="shared" si="201"/>
        <v>48213</v>
      </c>
      <c r="AI147" s="267"/>
      <c r="AJ147" s="267"/>
      <c r="AK147" s="397">
        <f ca="1">SUM(Start:End!AK147)</f>
        <v>24466.900620069639</v>
      </c>
      <c r="AL147" s="233"/>
    </row>
    <row r="148" spans="2:38" x14ac:dyDescent="0.3">
      <c r="B148" s="232"/>
      <c r="C148" s="250">
        <f t="shared" si="198"/>
        <v>2032</v>
      </c>
      <c r="D148" s="397">
        <f ca="1">SUM(Start:End!D148)</f>
        <v>33405.015524665185</v>
      </c>
      <c r="E148" s="397">
        <f ca="1">SUM(Start:End!E148)</f>
        <v>435.11561754942034</v>
      </c>
      <c r="F148" s="397">
        <f ca="1">SUM(Start:End!F148)</f>
        <v>0</v>
      </c>
      <c r="G148" s="397">
        <f ca="1">SUM(Start:End!G148)</f>
        <v>36015.709229961707</v>
      </c>
      <c r="H148" s="15"/>
      <c r="I148" s="271">
        <f ca="1">Assumptions!O$68</f>
        <v>4.5</v>
      </c>
      <c r="J148" s="271">
        <f ca="1">Assumptions!P$68</f>
        <v>80</v>
      </c>
      <c r="K148" s="271">
        <f t="shared" ca="1" si="191"/>
        <v>40</v>
      </c>
      <c r="L148" s="15"/>
      <c r="M148" s="35">
        <f t="shared" ca="1" si="194"/>
        <v>4.2299999999999995</v>
      </c>
      <c r="N148" s="35">
        <f t="shared" ca="1" si="192"/>
        <v>69.281215742355357</v>
      </c>
      <c r="O148" s="35" t="str">
        <f t="shared" ca="1" si="193"/>
        <v>N/A</v>
      </c>
      <c r="P148" s="15"/>
      <c r="Q148" s="397">
        <f ca="1">SUM(Start:End!Q148)</f>
        <v>141303.2156693337</v>
      </c>
      <c r="R148" s="397">
        <f ca="1">SUM(Start:End!R148)</f>
        <v>30145.338972309575</v>
      </c>
      <c r="S148" s="397">
        <f ca="1">SUM(Start:End!S148)</f>
        <v>0</v>
      </c>
      <c r="T148" s="397">
        <f ca="1">SUM(Start:End!T148)</f>
        <v>171448.55464164331</v>
      </c>
      <c r="U148" s="15"/>
      <c r="V148" s="35">
        <f t="shared" ref="V148" ca="1" si="234">+IFERROR(W148/$G148,"N/A")</f>
        <v>0.32921192687204676</v>
      </c>
      <c r="W148" s="397">
        <f ca="1">SUM(Start:End!W148)</f>
        <v>11856.801033259053</v>
      </c>
      <c r="X148" s="35">
        <f t="shared" ref="X148" ca="1" si="235">+IFERROR(Y148/$G148,"N/A")</f>
        <v>0.36639979085627938</v>
      </c>
      <c r="Y148" s="397">
        <f ca="1">SUM(Start:End!Y148)</f>
        <v>13196.14832939854</v>
      </c>
      <c r="Z148" s="35">
        <f t="shared" ca="1" si="197"/>
        <v>0.5743564289098434</v>
      </c>
      <c r="AA148" s="397">
        <f ca="1">SUM(Start:End!AA148)</f>
        <v>20685.85413797609</v>
      </c>
      <c r="AB148" s="397">
        <f ca="1">SUM(Start:End!AB148)</f>
        <v>45738.80350063368</v>
      </c>
      <c r="AC148" s="15"/>
      <c r="AD148" s="397">
        <f ca="1">SUM(Start:End!AD148)</f>
        <v>125709.75114100962</v>
      </c>
      <c r="AE148" s="397">
        <f ca="1">SUM(Start:End!AE148)</f>
        <v>0</v>
      </c>
      <c r="AF148" s="397">
        <f ca="1">SUM(Start:End!AF148)</f>
        <v>125709.75114100962</v>
      </c>
      <c r="AG148" s="15"/>
      <c r="AH148" s="273">
        <f t="shared" si="201"/>
        <v>48579</v>
      </c>
      <c r="AI148" s="267"/>
      <c r="AJ148" s="267"/>
      <c r="AK148" s="397">
        <f ca="1">SUM(Start:End!AK148)</f>
        <v>21218.052045964723</v>
      </c>
      <c r="AL148" s="233"/>
    </row>
    <row r="149" spans="2:38" x14ac:dyDescent="0.3">
      <c r="B149" s="232"/>
      <c r="C149" s="250">
        <f t="shared" si="198"/>
        <v>2033</v>
      </c>
      <c r="D149" s="397">
        <f ca="1">SUM(Start:End!D149)</f>
        <v>32078.924029754737</v>
      </c>
      <c r="E149" s="397">
        <f ca="1">SUM(Start:End!E149)</f>
        <v>404.92826505246444</v>
      </c>
      <c r="F149" s="397">
        <f ca="1">SUM(Start:End!F149)</f>
        <v>0</v>
      </c>
      <c r="G149" s="397">
        <f ca="1">SUM(Start:End!G149)</f>
        <v>34508.493620069523</v>
      </c>
      <c r="H149" s="15"/>
      <c r="I149" s="271">
        <f ca="1">Assumptions!O$68</f>
        <v>4.5</v>
      </c>
      <c r="J149" s="271">
        <f ca="1">Assumptions!P$68</f>
        <v>80</v>
      </c>
      <c r="K149" s="271">
        <f t="shared" ca="1" si="191"/>
        <v>40</v>
      </c>
      <c r="L149" s="15"/>
      <c r="M149" s="35">
        <f t="shared" ca="1" si="194"/>
        <v>4.2300000000000004</v>
      </c>
      <c r="N149" s="35">
        <f t="shared" ca="1" si="192"/>
        <v>69.449649903370315</v>
      </c>
      <c r="O149" s="35" t="str">
        <f t="shared" ca="1" si="193"/>
        <v>N/A</v>
      </c>
      <c r="P149" s="15"/>
      <c r="Q149" s="397">
        <f ca="1">SUM(Start:End!Q149)</f>
        <v>135693.84864586254</v>
      </c>
      <c r="R149" s="397">
        <f ca="1">SUM(Start:End!R149)</f>
        <v>28122.126243872794</v>
      </c>
      <c r="S149" s="397">
        <f ca="1">SUM(Start:End!S149)</f>
        <v>0</v>
      </c>
      <c r="T149" s="397">
        <f ca="1">SUM(Start:End!T149)</f>
        <v>163815.97488973531</v>
      </c>
      <c r="U149" s="15"/>
      <c r="V149" s="35">
        <f t="shared" ref="V149" ca="1" si="236">+IFERROR(W149/$G149,"N/A")</f>
        <v>0.32804593563631124</v>
      </c>
      <c r="W149" s="397">
        <f ca="1">SUM(Start:End!W149)</f>
        <v>11320.371076995383</v>
      </c>
      <c r="X149" s="35">
        <f t="shared" ref="X149" ca="1" si="237">+IFERROR(Y149/$G149,"N/A")</f>
        <v>0.36661829118351624</v>
      </c>
      <c r="Y149" s="397">
        <f ca="1">SUM(Start:End!Y149)</f>
        <v>12651.444962307161</v>
      </c>
      <c r="Z149" s="35">
        <f t="shared" ca="1" si="197"/>
        <v>0.57469894293632273</v>
      </c>
      <c r="AA149" s="397">
        <f ca="1">SUM(Start:End!AA149)</f>
        <v>19831.994805778791</v>
      </c>
      <c r="AB149" s="397">
        <f ca="1">SUM(Start:End!AB149)</f>
        <v>43803.810845081338</v>
      </c>
      <c r="AC149" s="15"/>
      <c r="AD149" s="397">
        <f ca="1">SUM(Start:End!AD149)</f>
        <v>120012.16404465398</v>
      </c>
      <c r="AE149" s="397">
        <f ca="1">SUM(Start:End!AE149)</f>
        <v>0</v>
      </c>
      <c r="AF149" s="397">
        <f ca="1">SUM(Start:End!AF149)</f>
        <v>120012.16404465398</v>
      </c>
      <c r="AG149" s="15"/>
      <c r="AH149" s="273">
        <f t="shared" si="201"/>
        <v>48944</v>
      </c>
      <c r="AI149" s="267"/>
      <c r="AJ149" s="267"/>
      <c r="AK149" s="397">
        <f ca="1">SUM(Start:End!AK149)</f>
        <v>18414.889853488989</v>
      </c>
      <c r="AL149" s="233"/>
    </row>
    <row r="150" spans="2:38" x14ac:dyDescent="0.3">
      <c r="B150" s="232"/>
      <c r="C150" s="250">
        <f t="shared" si="198"/>
        <v>2034</v>
      </c>
      <c r="D150" s="397">
        <f ca="1">SUM(Start:End!D150)</f>
        <v>30808.753713234903</v>
      </c>
      <c r="E150" s="397">
        <f ca="1">SUM(Start:End!E150)</f>
        <v>377.2523992583258</v>
      </c>
      <c r="F150" s="397">
        <f ca="1">SUM(Start:End!F150)</f>
        <v>0</v>
      </c>
      <c r="G150" s="397">
        <f ca="1">SUM(Start:End!G150)</f>
        <v>33072.268108784861</v>
      </c>
      <c r="H150" s="15"/>
      <c r="I150" s="271">
        <f ca="1">Assumptions!O$68</f>
        <v>4.5</v>
      </c>
      <c r="J150" s="271">
        <f ca="1">Assumptions!P$68</f>
        <v>80</v>
      </c>
      <c r="K150" s="271">
        <f t="shared" ca="1" si="191"/>
        <v>40</v>
      </c>
      <c r="L150" s="15"/>
      <c r="M150" s="35">
        <f t="shared" ca="1" si="194"/>
        <v>4.2299999999999995</v>
      </c>
      <c r="N150" s="35">
        <f t="shared" ca="1" si="192"/>
        <v>69.61783556055758</v>
      </c>
      <c r="O150" s="35" t="str">
        <f t="shared" ca="1" si="193"/>
        <v>N/A</v>
      </c>
      <c r="P150" s="15"/>
      <c r="Q150" s="397">
        <f ca="1">SUM(Start:End!Q150)</f>
        <v>130321.02820698361</v>
      </c>
      <c r="R150" s="397">
        <f ca="1">SUM(Start:End!R150)</f>
        <v>26263.495496391937</v>
      </c>
      <c r="S150" s="397">
        <f ca="1">SUM(Start:End!S150)</f>
        <v>0</v>
      </c>
      <c r="T150" s="397">
        <f ca="1">SUM(Start:End!T150)</f>
        <v>156584.52370337557</v>
      </c>
      <c r="U150" s="15"/>
      <c r="V150" s="35">
        <f t="shared" ref="V150" ca="1" si="238">+IFERROR(W150/$G150,"N/A")</f>
        <v>0.32694665293148045</v>
      </c>
      <c r="W150" s="397">
        <f ca="1">SUM(Start:End!W150)</f>
        <v>10812.867363019754</v>
      </c>
      <c r="X150" s="35">
        <f t="shared" ref="X150" ca="1" si="239">+IFERROR(Y150/$G150,"N/A")</f>
        <v>0.3668242906999532</v>
      </c>
      <c r="Y150" s="397">
        <f ca="1">SUM(Start:End!Y150)</f>
        <v>12131.71129084369</v>
      </c>
      <c r="Z150" s="35">
        <f t="shared" ca="1" si="197"/>
        <v>0.57502186109722397</v>
      </c>
      <c r="AA150" s="397">
        <f ca="1">SUM(Start:End!AA150)</f>
        <v>19017.27715861984</v>
      </c>
      <c r="AB150" s="397">
        <f ca="1">SUM(Start:End!AB150)</f>
        <v>41961.855812483285</v>
      </c>
      <c r="AC150" s="15"/>
      <c r="AD150" s="397">
        <f ca="1">SUM(Start:End!AD150)</f>
        <v>114622.66789089228</v>
      </c>
      <c r="AE150" s="397">
        <f ca="1">SUM(Start:End!AE150)</f>
        <v>0</v>
      </c>
      <c r="AF150" s="397">
        <f ca="1">SUM(Start:End!AF150)</f>
        <v>114622.66789089228</v>
      </c>
      <c r="AG150" s="15"/>
      <c r="AH150" s="273">
        <f t="shared" si="201"/>
        <v>49309</v>
      </c>
      <c r="AI150" s="267"/>
      <c r="AJ150" s="267"/>
      <c r="AK150" s="397">
        <f ca="1">SUM(Start:End!AK150)</f>
        <v>15989.01411919651</v>
      </c>
      <c r="AL150" s="233"/>
    </row>
    <row r="151" spans="2:38" x14ac:dyDescent="0.3">
      <c r="B151" s="232"/>
      <c r="C151" s="250">
        <f t="shared" si="198"/>
        <v>2035</v>
      </c>
      <c r="D151" s="397">
        <f ca="1">SUM(Start:End!D151)</f>
        <v>29588.909947021079</v>
      </c>
      <c r="E151" s="397">
        <f ca="1">SUM(Start:End!E151)</f>
        <v>351.83685489283567</v>
      </c>
      <c r="F151" s="397">
        <f ca="1">SUM(Start:End!F151)</f>
        <v>0</v>
      </c>
      <c r="G151" s="397">
        <f ca="1">SUM(Start:End!G151)</f>
        <v>31699.931076378096</v>
      </c>
      <c r="H151" s="15"/>
      <c r="I151" s="271">
        <f ca="1">Assumptions!O$68</f>
        <v>4.5</v>
      </c>
      <c r="J151" s="271">
        <f ca="1">Assumptions!P$68</f>
        <v>80</v>
      </c>
      <c r="K151" s="271">
        <f t="shared" ca="1" si="191"/>
        <v>40</v>
      </c>
      <c r="L151" s="15"/>
      <c r="M151" s="35">
        <f t="shared" ca="1" si="194"/>
        <v>4.2299999999999995</v>
      </c>
      <c r="N151" s="35">
        <f t="shared" ca="1" si="192"/>
        <v>69.785148869411927</v>
      </c>
      <c r="O151" s="35" t="str">
        <f t="shared" ca="1" si="193"/>
        <v>N/A</v>
      </c>
      <c r="P151" s="15"/>
      <c r="Q151" s="397">
        <f ca="1">SUM(Start:End!Q151)</f>
        <v>125161.08907589916</v>
      </c>
      <c r="R151" s="397">
        <f ca="1">SUM(Start:End!R151)</f>
        <v>24552.987296442217</v>
      </c>
      <c r="S151" s="397">
        <f ca="1">SUM(Start:End!S151)</f>
        <v>0</v>
      </c>
      <c r="T151" s="397">
        <f ca="1">SUM(Start:End!T151)</f>
        <v>149714.0763723414</v>
      </c>
      <c r="U151" s="15"/>
      <c r="V151" s="35">
        <f t="shared" ref="V151" ca="1" si="240">+IFERROR(W151/$G151,"N/A")</f>
        <v>0.32591226880435331</v>
      </c>
      <c r="W151" s="397">
        <f ca="1">SUM(Start:End!W151)</f>
        <v>10331.396458044012</v>
      </c>
      <c r="X151" s="35">
        <f t="shared" ref="X151" ca="1" si="241">+IFERROR(Y151/$G151,"N/A")</f>
        <v>0.3670181285808386</v>
      </c>
      <c r="Y151" s="397">
        <f ca="1">SUM(Start:End!Y151)</f>
        <v>11634.449379793858</v>
      </c>
      <c r="Z151" s="35">
        <f t="shared" ca="1" si="197"/>
        <v>0.57532571507266606</v>
      </c>
      <c r="AA151" s="397">
        <f ca="1">SUM(Start:End!AA151)</f>
        <v>18237.785514271458</v>
      </c>
      <c r="AB151" s="397">
        <f ca="1">SUM(Start:End!AB151)</f>
        <v>40203.631352109333</v>
      </c>
      <c r="AC151" s="15"/>
      <c r="AD151" s="397">
        <f ca="1">SUM(Start:End!AD151)</f>
        <v>109510.44502023206</v>
      </c>
      <c r="AE151" s="397">
        <f ca="1">SUM(Start:End!AE151)</f>
        <v>0</v>
      </c>
      <c r="AF151" s="397">
        <f ca="1">SUM(Start:End!AF151)</f>
        <v>109510.44502023206</v>
      </c>
      <c r="AG151" s="15"/>
      <c r="AH151" s="273">
        <f t="shared" si="201"/>
        <v>49674</v>
      </c>
      <c r="AI151" s="267"/>
      <c r="AJ151" s="267"/>
      <c r="AK151" s="397">
        <f ca="1">SUM(Start:End!AK151)</f>
        <v>13887.178956567155</v>
      </c>
      <c r="AL151" s="233"/>
    </row>
    <row r="152" spans="2:38" x14ac:dyDescent="0.3">
      <c r="B152" s="232"/>
      <c r="C152" s="250">
        <f t="shared" si="198"/>
        <v>2036</v>
      </c>
      <c r="D152" s="397">
        <f ca="1">SUM(Start:End!D152)</f>
        <v>28417.381805724464</v>
      </c>
      <c r="E152" s="397">
        <f ca="1">SUM(Start:End!E152)</f>
        <v>328.47558688473725</v>
      </c>
      <c r="F152" s="397">
        <f ca="1">SUM(Start:End!F152)</f>
        <v>0</v>
      </c>
      <c r="G152" s="397">
        <f ca="1">SUM(Start:End!G152)</f>
        <v>30388.235327032889</v>
      </c>
      <c r="H152" s="15"/>
      <c r="I152" s="271">
        <f ca="1">Assumptions!O$68</f>
        <v>4.5</v>
      </c>
      <c r="J152" s="271">
        <f ca="1">Assumptions!P$68</f>
        <v>80</v>
      </c>
      <c r="K152" s="271">
        <f t="shared" ca="1" si="191"/>
        <v>40</v>
      </c>
      <c r="L152" s="15"/>
      <c r="M152" s="35">
        <f t="shared" ca="1" si="194"/>
        <v>4.2299999999999995</v>
      </c>
      <c r="N152" s="35">
        <f t="shared" ca="1" si="192"/>
        <v>69.951245525777679</v>
      </c>
      <c r="O152" s="35" t="str">
        <f t="shared" ca="1" si="193"/>
        <v>N/A</v>
      </c>
      <c r="P152" s="15"/>
      <c r="Q152" s="397">
        <f ca="1">SUM(Start:End!Q152)</f>
        <v>120205.52503821447</v>
      </c>
      <c r="R152" s="397">
        <f ca="1">SUM(Start:End!R152)</f>
        <v>22977.276427398174</v>
      </c>
      <c r="S152" s="397">
        <f ca="1">SUM(Start:End!S152)</f>
        <v>0</v>
      </c>
      <c r="T152" s="397">
        <f ca="1">SUM(Start:End!T152)</f>
        <v>143182.80146561266</v>
      </c>
      <c r="U152" s="15"/>
      <c r="V152" s="35">
        <f t="shared" ref="V152" ca="1" si="242">+IFERROR(W152/$G152,"N/A")</f>
        <v>0.32493920384137182</v>
      </c>
      <c r="W152" s="397">
        <f ca="1">SUM(Start:End!W152)</f>
        <v>9874.3289933103169</v>
      </c>
      <c r="X152" s="35">
        <f t="shared" ref="X152" ca="1" si="243">+IFERROR(Y152/$G152,"N/A")</f>
        <v>0.36720047558853297</v>
      </c>
      <c r="Y152" s="397">
        <f ca="1">SUM(Start:End!Y152)</f>
        <v>11158.574464382737</v>
      </c>
      <c r="Z152" s="35">
        <f t="shared" ca="1" si="197"/>
        <v>0.57561155632797067</v>
      </c>
      <c r="AA152" s="397">
        <f ca="1">SUM(Start:End!AA152)</f>
        <v>17491.819430654021</v>
      </c>
      <c r="AB152" s="397">
        <f ca="1">SUM(Start:End!AB152)</f>
        <v>38524.722888347067</v>
      </c>
      <c r="AC152" s="15"/>
      <c r="AD152" s="397">
        <f ca="1">SUM(Start:End!AD152)</f>
        <v>104658.07857726557</v>
      </c>
      <c r="AE152" s="397">
        <f ca="1">SUM(Start:End!AE152)</f>
        <v>0</v>
      </c>
      <c r="AF152" s="397">
        <f ca="1">SUM(Start:End!AF152)</f>
        <v>104658.07857726557</v>
      </c>
      <c r="AG152" s="15"/>
      <c r="AH152" s="273">
        <f t="shared" si="201"/>
        <v>50040</v>
      </c>
      <c r="AI152" s="267"/>
      <c r="AJ152" s="267"/>
      <c r="AK152" s="397">
        <f ca="1">SUM(Start:End!AK152)</f>
        <v>12065.312094488405</v>
      </c>
      <c r="AL152" s="233"/>
    </row>
    <row r="153" spans="2:38" x14ac:dyDescent="0.3">
      <c r="B153" s="232"/>
      <c r="C153" s="250">
        <f t="shared" si="198"/>
        <v>2037</v>
      </c>
      <c r="D153" s="397">
        <f ca="1">SUM(Start:End!D153)</f>
        <v>27292.255036874267</v>
      </c>
      <c r="E153" s="397">
        <f ca="1">SUM(Start:End!E153)</f>
        <v>306.98246399181539</v>
      </c>
      <c r="F153" s="397">
        <f ca="1">SUM(Start:End!F153)</f>
        <v>0</v>
      </c>
      <c r="G153" s="397">
        <f ca="1">SUM(Start:End!G153)</f>
        <v>29134.149820825158</v>
      </c>
      <c r="H153" s="15"/>
      <c r="I153" s="271">
        <f ca="1">Assumptions!O$68</f>
        <v>4.5</v>
      </c>
      <c r="J153" s="271">
        <f ca="1">Assumptions!P$68</f>
        <v>80</v>
      </c>
      <c r="K153" s="271">
        <f t="shared" ca="1" si="191"/>
        <v>40</v>
      </c>
      <c r="L153" s="15"/>
      <c r="M153" s="35">
        <f t="shared" ca="1" si="194"/>
        <v>4.2299999999999986</v>
      </c>
      <c r="N153" s="35">
        <f t="shared" ca="1" si="192"/>
        <v>70.115792700202192</v>
      </c>
      <c r="O153" s="35" t="str">
        <f t="shared" ca="1" si="193"/>
        <v>N/A</v>
      </c>
      <c r="P153" s="15"/>
      <c r="Q153" s="397">
        <f ca="1">SUM(Start:End!Q153)</f>
        <v>115446.23880597812</v>
      </c>
      <c r="R153" s="397">
        <f ca="1">SUM(Start:End!R153)</f>
        <v>21524.318807847412</v>
      </c>
      <c r="S153" s="397">
        <f ca="1">SUM(Start:End!S153)</f>
        <v>0</v>
      </c>
      <c r="T153" s="397">
        <f ca="1">SUM(Start:End!T153)</f>
        <v>136970.55761382554</v>
      </c>
      <c r="U153" s="15"/>
      <c r="V153" s="35">
        <f t="shared" ref="V153" ca="1" si="244">+IFERROR(W153/$G153,"N/A")</f>
        <v>0.32402403846516425</v>
      </c>
      <c r="W153" s="397">
        <f ca="1">SUM(Start:End!W153)</f>
        <v>9440.1648821929084</v>
      </c>
      <c r="X153" s="35">
        <f t="shared" ref="X153" ca="1" si="245">+IFERROR(Y153/$G153,"N/A")</f>
        <v>0.3673719725329771</v>
      </c>
      <c r="Y153" s="397">
        <f ca="1">SUM(Start:End!Y153)</f>
        <v>10703.070087747819</v>
      </c>
      <c r="Z153" s="35">
        <f t="shared" ca="1" si="197"/>
        <v>0.57588038937601804</v>
      </c>
      <c r="AA153" s="397">
        <f ca="1">SUM(Start:End!AA153)</f>
        <v>16777.785542956037</v>
      </c>
      <c r="AB153" s="397">
        <f ca="1">SUM(Start:End!AB153)</f>
        <v>36921.020512896765</v>
      </c>
      <c r="AC153" s="15"/>
      <c r="AD153" s="397">
        <f ca="1">SUM(Start:End!AD153)</f>
        <v>100049.53710092878</v>
      </c>
      <c r="AE153" s="397">
        <f ca="1">SUM(Start:End!AE153)</f>
        <v>0</v>
      </c>
      <c r="AF153" s="397">
        <f ca="1">SUM(Start:End!AF153)</f>
        <v>100049.53710092878</v>
      </c>
      <c r="AG153" s="15"/>
      <c r="AH153" s="273">
        <f t="shared" si="201"/>
        <v>50405</v>
      </c>
      <c r="AI153" s="267"/>
      <c r="AJ153" s="267"/>
      <c r="AK153" s="397">
        <f ca="1">SUM(Start:End!AK153)</f>
        <v>10485.477231638111</v>
      </c>
      <c r="AL153" s="233"/>
    </row>
    <row r="154" spans="2:38" x14ac:dyDescent="0.3">
      <c r="B154" s="232"/>
      <c r="C154" s="250">
        <f t="shared" si="198"/>
        <v>2038</v>
      </c>
      <c r="D154" s="397">
        <f ca="1">SUM(Start:End!D154)</f>
        <v>26211.690660868477</v>
      </c>
      <c r="E154" s="397">
        <f ca="1">SUM(Start:End!E154)</f>
        <v>287.18919981228612</v>
      </c>
      <c r="F154" s="397">
        <f ca="1">SUM(Start:End!F154)</f>
        <v>0</v>
      </c>
      <c r="G154" s="397">
        <f ca="1">SUM(Start:End!G154)</f>
        <v>27934.825859742192</v>
      </c>
      <c r="H154" s="15"/>
      <c r="I154" s="271">
        <f ca="1">Assumptions!O$68</f>
        <v>4.5</v>
      </c>
      <c r="J154" s="271">
        <f ca="1">Assumptions!P$68</f>
        <v>80</v>
      </c>
      <c r="K154" s="271">
        <f t="shared" ca="1" si="191"/>
        <v>40</v>
      </c>
      <c r="L154" s="15"/>
      <c r="M154" s="35">
        <f t="shared" ca="1" si="194"/>
        <v>4.2299999999999995</v>
      </c>
      <c r="N154" s="35">
        <f t="shared" ca="1" si="192"/>
        <v>70.27847014232097</v>
      </c>
      <c r="O154" s="35" t="str">
        <f t="shared" ca="1" si="193"/>
        <v>N/A</v>
      </c>
      <c r="P154" s="15"/>
      <c r="Q154" s="397">
        <f ca="1">SUM(Start:End!Q154)</f>
        <v>110875.45149547365</v>
      </c>
      <c r="R154" s="397">
        <f ca="1">SUM(Start:End!R154)</f>
        <v>20183.217604204801</v>
      </c>
      <c r="S154" s="397">
        <f ca="1">SUM(Start:End!S154)</f>
        <v>0</v>
      </c>
      <c r="T154" s="397">
        <f ca="1">SUM(Start:End!T154)</f>
        <v>131058.66909967845</v>
      </c>
      <c r="U154" s="15"/>
      <c r="V154" s="35">
        <f t="shared" ref="V154" ca="1" si="246">+IFERROR(W154/$G154,"N/A")</f>
        <v>0.32316351839133295</v>
      </c>
      <c r="W154" s="397">
        <f ca="1">SUM(Start:End!W154)</f>
        <v>9027.5166104834789</v>
      </c>
      <c r="X154" s="35">
        <f t="shared" ref="X154" ca="1" si="247">+IFERROR(Y154/$G154,"N/A")</f>
        <v>0.36753322924911991</v>
      </c>
      <c r="Y154" s="397">
        <f ca="1">SUM(Start:End!Y154)</f>
        <v>10266.97675674287</v>
      </c>
      <c r="Z154" s="35">
        <f t="shared" ca="1" si="197"/>
        <v>0.57613317017429611</v>
      </c>
      <c r="AA154" s="397">
        <f ca="1">SUM(Start:End!AA154)</f>
        <v>16094.179780840175</v>
      </c>
      <c r="AB154" s="397">
        <f ca="1">SUM(Start:End!AB154)</f>
        <v>35388.673148066526</v>
      </c>
      <c r="AC154" s="15"/>
      <c r="AD154" s="397">
        <f ca="1">SUM(Start:End!AD154)</f>
        <v>95669.995951611912</v>
      </c>
      <c r="AE154" s="397">
        <f ca="1">SUM(Start:End!AE154)</f>
        <v>0</v>
      </c>
      <c r="AF154" s="397">
        <f ca="1">SUM(Start:End!AF154)</f>
        <v>95669.995951611912</v>
      </c>
      <c r="AG154" s="15"/>
      <c r="AH154" s="273">
        <f t="shared" si="201"/>
        <v>50770</v>
      </c>
      <c r="AI154" s="267"/>
      <c r="AJ154" s="267"/>
      <c r="AK154" s="397">
        <f ca="1">SUM(Start:End!AK154)</f>
        <v>9114.9898283030798</v>
      </c>
      <c r="AL154" s="233"/>
    </row>
    <row r="155" spans="2:38" x14ac:dyDescent="0.3">
      <c r="B155" s="232"/>
      <c r="C155" s="250">
        <f t="shared" si="198"/>
        <v>2039</v>
      </c>
      <c r="D155" s="397">
        <f ca="1">SUM(Start:End!D155)</f>
        <v>25173.922939635064</v>
      </c>
      <c r="E155" s="397">
        <f ca="1">SUM(Start:End!E155)</f>
        <v>268.94360465341265</v>
      </c>
      <c r="F155" s="397">
        <f ca="1">SUM(Start:End!F155)</f>
        <v>0</v>
      </c>
      <c r="G155" s="397">
        <f ca="1">SUM(Start:End!G155)</f>
        <v>26787.584567555543</v>
      </c>
      <c r="H155" s="15"/>
      <c r="I155" s="271">
        <f ca="1">Assumptions!O$68</f>
        <v>4.5</v>
      </c>
      <c r="J155" s="271">
        <f ca="1">Assumptions!P$68</f>
        <v>80</v>
      </c>
      <c r="K155" s="271">
        <f t="shared" ca="1" si="191"/>
        <v>40</v>
      </c>
      <c r="L155" s="15"/>
      <c r="M155" s="35">
        <f t="shared" ca="1" si="194"/>
        <v>4.2299999999999995</v>
      </c>
      <c r="N155" s="35">
        <f t="shared" ca="1" si="192"/>
        <v>70.438972642538957</v>
      </c>
      <c r="O155" s="35" t="str">
        <f t="shared" ca="1" si="193"/>
        <v>N/A</v>
      </c>
      <c r="P155" s="15"/>
      <c r="Q155" s="397">
        <f ca="1">SUM(Start:End!Q155)</f>
        <v>106485.69403465631</v>
      </c>
      <c r="R155" s="397">
        <f ca="1">SUM(Start:End!R155)</f>
        <v>18944.111210567546</v>
      </c>
      <c r="S155" s="397">
        <f ca="1">SUM(Start:End!S155)</f>
        <v>0</v>
      </c>
      <c r="T155" s="397">
        <f ca="1">SUM(Start:End!T155)</f>
        <v>125429.80524522386</v>
      </c>
      <c r="U155" s="15"/>
      <c r="V155" s="35">
        <f t="shared" ref="V155" ca="1" si="248">+IFERROR(W155/$G155,"N/A")</f>
        <v>0.3223545493149052</v>
      </c>
      <c r="W155" s="397">
        <f ca="1">SUM(Start:End!W155)</f>
        <v>8635.0997505092764</v>
      </c>
      <c r="X155" s="35">
        <f t="shared" ref="X155" ca="1" si="249">+IFERROR(Y155/$G155,"N/A")</f>
        <v>0.36768482559264859</v>
      </c>
      <c r="Y155" s="397">
        <f ca="1">SUM(Start:End!Y155)</f>
        <v>9849.3883597699842</v>
      </c>
      <c r="Z155" s="35">
        <f t="shared" ca="1" si="197"/>
        <v>0.57637080768577331</v>
      </c>
      <c r="AA155" s="397">
        <f ca="1">SUM(Start:End!AA155)</f>
        <v>15439.581753152945</v>
      </c>
      <c r="AB155" s="397">
        <f ca="1">SUM(Start:End!AB155)</f>
        <v>33924.069863432203</v>
      </c>
      <c r="AC155" s="15"/>
      <c r="AD155" s="397">
        <f ca="1">SUM(Start:End!AD155)</f>
        <v>91505.735381791659</v>
      </c>
      <c r="AE155" s="397">
        <f ca="1">SUM(Start:End!AE155)</f>
        <v>0</v>
      </c>
      <c r="AF155" s="397">
        <f ca="1">SUM(Start:End!AF155)</f>
        <v>91505.735381791659</v>
      </c>
      <c r="AG155" s="15"/>
      <c r="AH155" s="273">
        <f t="shared" si="201"/>
        <v>51135</v>
      </c>
      <c r="AI155" s="267"/>
      <c r="AJ155" s="267"/>
      <c r="AK155" s="397">
        <f ca="1">SUM(Start:End!AK155)</f>
        <v>7925.6714133929809</v>
      </c>
      <c r="AL155" s="233"/>
    </row>
    <row r="156" spans="2:38" x14ac:dyDescent="0.3">
      <c r="B156" s="232"/>
      <c r="C156" s="250">
        <f t="shared" si="198"/>
        <v>2040</v>
      </c>
      <c r="D156" s="397">
        <f ca="1">SUM(Start:End!D156)</f>
        <v>24177.256248867059</v>
      </c>
      <c r="E156" s="397">
        <f ca="1">SUM(Start:End!E156)</f>
        <v>252.10800361738893</v>
      </c>
      <c r="F156" s="397">
        <f ca="1">SUM(Start:End!F156)</f>
        <v>0</v>
      </c>
      <c r="G156" s="397">
        <f ca="1">SUM(Start:End!G156)</f>
        <v>25689.904270571395</v>
      </c>
      <c r="H156" s="15"/>
      <c r="I156" s="271">
        <f ca="1">Assumptions!O$68</f>
        <v>4.5</v>
      </c>
      <c r="J156" s="271">
        <f ca="1">Assumptions!P$68</f>
        <v>80</v>
      </c>
      <c r="K156" s="271">
        <f t="shared" ca="1" si="191"/>
        <v>40</v>
      </c>
      <c r="L156" s="15"/>
      <c r="M156" s="35">
        <f t="shared" ca="1" si="194"/>
        <v>4.2300000000000004</v>
      </c>
      <c r="N156" s="35">
        <f t="shared" ca="1" si="192"/>
        <v>70.597012136366814</v>
      </c>
      <c r="O156" s="35" t="str">
        <f t="shared" ca="1" si="193"/>
        <v>N/A</v>
      </c>
      <c r="P156" s="15"/>
      <c r="Q156" s="397">
        <f ca="1">SUM(Start:End!Q156)</f>
        <v>102269.79393270766</v>
      </c>
      <c r="R156" s="397">
        <f ca="1">SUM(Start:End!R156)</f>
        <v>17798.071791052014</v>
      </c>
      <c r="S156" s="397">
        <f ca="1">SUM(Start:End!S156)</f>
        <v>0</v>
      </c>
      <c r="T156" s="397">
        <f ca="1">SUM(Start:End!T156)</f>
        <v>120067.86572375968</v>
      </c>
      <c r="U156" s="15"/>
      <c r="V156" s="35">
        <f t="shared" ref="V156" ca="1" si="250">+IFERROR(W156/$G156,"N/A")</f>
        <v>0.32159419194300204</v>
      </c>
      <c r="W156" s="397">
        <f ca="1">SUM(Start:End!W156)</f>
        <v>8261.7240049874854</v>
      </c>
      <c r="X156" s="35">
        <f t="shared" ref="X156" ca="1" si="251">+IFERROR(Y156/$G156,"N/A")</f>
        <v>0.36782731237083871</v>
      </c>
      <c r="Y156" s="397">
        <f ca="1">SUM(Start:End!Y156)</f>
        <v>9449.4484429084077</v>
      </c>
      <c r="Z156" s="35">
        <f t="shared" ca="1" si="197"/>
        <v>0.5765941653380714</v>
      </c>
      <c r="AA156" s="397">
        <f ca="1">SUM(Start:End!AA156)</f>
        <v>14812.64891050507</v>
      </c>
      <c r="AB156" s="397">
        <f ca="1">SUM(Start:End!AB156)</f>
        <v>32523.821358400961</v>
      </c>
      <c r="AC156" s="15"/>
      <c r="AD156" s="397">
        <f ca="1">SUM(Start:End!AD156)</f>
        <v>87544.044365358728</v>
      </c>
      <c r="AE156" s="397">
        <f ca="1">SUM(Start:End!AE156)</f>
        <v>0</v>
      </c>
      <c r="AF156" s="397">
        <f ca="1">SUM(Start:End!AF156)</f>
        <v>87544.044365358728</v>
      </c>
      <c r="AG156" s="15"/>
      <c r="AH156" s="273">
        <f t="shared" si="201"/>
        <v>51501</v>
      </c>
      <c r="AI156" s="267"/>
      <c r="AJ156" s="267"/>
      <c r="AK156" s="397">
        <f ca="1">SUM(Start:End!AK156)</f>
        <v>6893.2125296884133</v>
      </c>
      <c r="AL156" s="233"/>
    </row>
    <row r="157" spans="2:38" x14ac:dyDescent="0.3">
      <c r="B157" s="232"/>
      <c r="C157" s="250">
        <f t="shared" si="198"/>
        <v>2041</v>
      </c>
      <c r="D157" s="397">
        <f ca="1">SUM(Start:End!D157)</f>
        <v>23220.06236983752</v>
      </c>
      <c r="E157" s="397">
        <f ca="1">SUM(Start:End!E157)</f>
        <v>236.55781358507949</v>
      </c>
      <c r="F157" s="397">
        <f ca="1">SUM(Start:End!F157)</f>
        <v>0</v>
      </c>
      <c r="G157" s="397">
        <f ca="1">SUM(Start:End!G157)</f>
        <v>24639.409251347995</v>
      </c>
      <c r="H157" s="15"/>
      <c r="I157" s="271">
        <f ca="1">Assumptions!O$68</f>
        <v>4.5</v>
      </c>
      <c r="J157" s="271">
        <f ca="1">Assumptions!P$68</f>
        <v>80</v>
      </c>
      <c r="K157" s="271">
        <f t="shared" ca="1" si="191"/>
        <v>40</v>
      </c>
      <c r="L157" s="15"/>
      <c r="M157" s="35">
        <f t="shared" ca="1" si="194"/>
        <v>4.2299999999999995</v>
      </c>
      <c r="N157" s="35">
        <f t="shared" ca="1" si="192"/>
        <v>70.752319556913704</v>
      </c>
      <c r="O157" s="35" t="str">
        <f t="shared" ca="1" si="193"/>
        <v>N/A</v>
      </c>
      <c r="P157" s="15"/>
      <c r="Q157" s="397">
        <f ca="1">SUM(Start:End!Q157)</f>
        <v>98220.863824412692</v>
      </c>
      <c r="R157" s="397">
        <f ca="1">SUM(Start:End!R157)</f>
        <v>16737.014020456365</v>
      </c>
      <c r="S157" s="397">
        <f ca="1">SUM(Start:End!S157)</f>
        <v>0</v>
      </c>
      <c r="T157" s="397">
        <f ca="1">SUM(Start:End!T157)</f>
        <v>114957.87784486907</v>
      </c>
      <c r="U157" s="15"/>
      <c r="V157" s="35">
        <f t="shared" ref="V157" ca="1" si="252">+IFERROR(W157/$G157,"N/A")</f>
        <v>0.32087965666160001</v>
      </c>
      <c r="W157" s="397">
        <f ca="1">SUM(Start:End!W157)</f>
        <v>7906.2851809171962</v>
      </c>
      <c r="X157" s="35">
        <f t="shared" ref="X157" ca="1" si="253">+IFERROR(Y157/$G157,"N/A")</f>
        <v>0.36796121234197365</v>
      </c>
      <c r="Y157" s="397">
        <f ca="1">SUM(Start:End!Y157)</f>
        <v>9066.3468995160492</v>
      </c>
      <c r="Z157" s="35">
        <f t="shared" ca="1" si="197"/>
        <v>0.57680406259012085</v>
      </c>
      <c r="AA157" s="397">
        <f ca="1">SUM(Start:End!AA157)</f>
        <v>14212.111355998133</v>
      </c>
      <c r="AB157" s="397">
        <f ca="1">SUM(Start:End!AB157)</f>
        <v>31184.743436431381</v>
      </c>
      <c r="AC157" s="15"/>
      <c r="AD157" s="397">
        <f ca="1">SUM(Start:End!AD157)</f>
        <v>83773.134408437676</v>
      </c>
      <c r="AE157" s="397">
        <f ca="1">SUM(Start:End!AE157)</f>
        <v>0</v>
      </c>
      <c r="AF157" s="397">
        <f ca="1">SUM(Start:End!AF157)</f>
        <v>83773.134408437676</v>
      </c>
      <c r="AG157" s="15"/>
      <c r="AH157" s="273">
        <f t="shared" si="201"/>
        <v>51866</v>
      </c>
      <c r="AI157" s="267"/>
      <c r="AJ157" s="267"/>
      <c r="AK157" s="397">
        <f ca="1">SUM(Start:End!AK157)</f>
        <v>5996.6284705528187</v>
      </c>
      <c r="AL157" s="233"/>
    </row>
    <row r="158" spans="2:38" x14ac:dyDescent="0.3">
      <c r="B158" s="232"/>
      <c r="C158" s="250">
        <f t="shared" si="198"/>
        <v>2042</v>
      </c>
      <c r="D158" s="397">
        <f ca="1">SUM(Start:End!D158)</f>
        <v>22300.776679924529</v>
      </c>
      <c r="E158" s="397">
        <f ca="1">SUM(Start:End!E158)</f>
        <v>222.18025342564704</v>
      </c>
      <c r="F158" s="397">
        <f ca="1">SUM(Start:End!F158)</f>
        <v>0</v>
      </c>
      <c r="G158" s="397">
        <f ca="1">SUM(Start:End!G158)</f>
        <v>23633.858200478411</v>
      </c>
      <c r="H158" s="15"/>
      <c r="I158" s="271">
        <f ca="1">Assumptions!O$68</f>
        <v>4.5</v>
      </c>
      <c r="J158" s="271">
        <f ca="1">Assumptions!P$68</f>
        <v>80</v>
      </c>
      <c r="K158" s="271">
        <f t="shared" ca="1" si="191"/>
        <v>40</v>
      </c>
      <c r="L158" s="15"/>
      <c r="M158" s="35">
        <f t="shared" ca="1" si="194"/>
        <v>4.2299999999999995</v>
      </c>
      <c r="N158" s="35">
        <f t="shared" ca="1" si="192"/>
        <v>70.904646262337238</v>
      </c>
      <c r="O158" s="35" t="str">
        <f t="shared" ca="1" si="193"/>
        <v>N/A</v>
      </c>
      <c r="P158" s="15"/>
      <c r="Q158" s="397">
        <f ca="1">SUM(Start:End!Q158)</f>
        <v>94332.285356080742</v>
      </c>
      <c r="R158" s="397">
        <f ca="1">SUM(Start:End!R158)</f>
        <v>15753.612275621945</v>
      </c>
      <c r="S158" s="397">
        <f ca="1">SUM(Start:End!S158)</f>
        <v>0</v>
      </c>
      <c r="T158" s="397">
        <f ca="1">SUM(Start:End!T158)</f>
        <v>110085.8976317027</v>
      </c>
      <c r="U158" s="15"/>
      <c r="V158" s="35">
        <f t="shared" ref="V158" ca="1" si="254">+IFERROR(W158/$G158,"N/A")</f>
        <v>0.32020829860502853</v>
      </c>
      <c r="W158" s="397">
        <f ca="1">SUM(Start:End!W158)</f>
        <v>7567.7575238476938</v>
      </c>
      <c r="X158" s="35">
        <f t="shared" ref="X158" ca="1" si="255">+IFERROR(Y158/$G158,"N/A")</f>
        <v>0.36808702113929398</v>
      </c>
      <c r="Y158" s="397">
        <f ca="1">SUM(Start:End!Y158)</f>
        <v>8699.3164630425727</v>
      </c>
      <c r="Z158" s="35">
        <f t="shared" ca="1" si="197"/>
        <v>0.5770012763805149</v>
      </c>
      <c r="AA158" s="397">
        <f ca="1">SUM(Start:End!AA158)</f>
        <v>13636.766347472141</v>
      </c>
      <c r="AB158" s="397">
        <f ca="1">SUM(Start:End!AB158)</f>
        <v>29903.840334362409</v>
      </c>
      <c r="AC158" s="15"/>
      <c r="AD158" s="397">
        <f ca="1">SUM(Start:End!AD158)</f>
        <v>80182.057297340274</v>
      </c>
      <c r="AE158" s="397">
        <f ca="1">SUM(Start:End!AE158)</f>
        <v>0</v>
      </c>
      <c r="AF158" s="397">
        <f ca="1">SUM(Start:End!AF158)</f>
        <v>80182.057297340274</v>
      </c>
      <c r="AG158" s="15"/>
      <c r="AH158" s="273">
        <f t="shared" si="201"/>
        <v>52231</v>
      </c>
      <c r="AI158" s="267"/>
      <c r="AJ158" s="267"/>
      <c r="AK158" s="397">
        <f ca="1">SUM(Start:End!AK158)</f>
        <v>5217.7934979018901</v>
      </c>
      <c r="AL158" s="233"/>
    </row>
    <row r="159" spans="2:38" x14ac:dyDescent="0.3">
      <c r="B159" s="232"/>
      <c r="C159" s="250">
        <f t="shared" si="198"/>
        <v>2043</v>
      </c>
      <c r="D159" s="397">
        <f ca="1">SUM(Start:End!D159)</f>
        <v>21417.897261473649</v>
      </c>
      <c r="E159" s="397">
        <f ca="1">SUM(Start:End!E159)</f>
        <v>208.87319996864886</v>
      </c>
      <c r="F159" s="397">
        <f ca="1">SUM(Start:End!F159)</f>
        <v>0</v>
      </c>
      <c r="G159" s="397">
        <f ca="1">SUM(Start:End!G159)</f>
        <v>22671.13646128554</v>
      </c>
      <c r="H159" s="15"/>
      <c r="I159" s="271">
        <f ca="1">Assumptions!O$68</f>
        <v>4.5</v>
      </c>
      <c r="J159" s="271">
        <f ca="1">Assumptions!P$68</f>
        <v>80</v>
      </c>
      <c r="K159" s="271">
        <f t="shared" ca="1" si="191"/>
        <v>40</v>
      </c>
      <c r="L159" s="15"/>
      <c r="M159" s="35">
        <f t="shared" ca="1" si="194"/>
        <v>4.2299999999999995</v>
      </c>
      <c r="N159" s="35">
        <f t="shared" ca="1" si="192"/>
        <v>71.053765435553814</v>
      </c>
      <c r="O159" s="35" t="str">
        <f t="shared" ca="1" si="193"/>
        <v>N/A</v>
      </c>
      <c r="P159" s="15"/>
      <c r="Q159" s="397">
        <f ca="1">SUM(Start:End!Q159)</f>
        <v>90597.705416033525</v>
      </c>
      <c r="R159" s="397">
        <f ca="1">SUM(Start:End!R159)</f>
        <v>14841.227356345902</v>
      </c>
      <c r="S159" s="397">
        <f ca="1">SUM(Start:End!S159)</f>
        <v>0</v>
      </c>
      <c r="T159" s="397">
        <f ca="1">SUM(Start:End!T159)</f>
        <v>105438.93277237943</v>
      </c>
      <c r="U159" s="15"/>
      <c r="V159" s="35">
        <f t="shared" ref="V159" ca="1" si="256">+IFERROR(W159/$G159,"N/A")</f>
        <v>0.31957761133414025</v>
      </c>
      <c r="W159" s="397">
        <f ca="1">SUM(Start:End!W159)</f>
        <v>7245.1876365279659</v>
      </c>
      <c r="X159" s="35">
        <f t="shared" ref="X159" ca="1" si="257">+IFERROR(Y159/$G159,"N/A")</f>
        <v>0.36820520845567317</v>
      </c>
      <c r="Y159" s="397">
        <f ca="1">SUM(Start:End!Y159)</f>
        <v>8347.6305266546551</v>
      </c>
      <c r="Z159" s="35">
        <f t="shared" ca="1" si="197"/>
        <v>0.57718654298456884</v>
      </c>
      <c r="AA159" s="397">
        <f ca="1">SUM(Start:End!AA159)</f>
        <v>13085.474879620811</v>
      </c>
      <c r="AB159" s="397">
        <f ca="1">SUM(Start:End!AB159)</f>
        <v>28678.293042803431</v>
      </c>
      <c r="AC159" s="15"/>
      <c r="AD159" s="397">
        <f ca="1">SUM(Start:End!AD159)</f>
        <v>76760.639729575996</v>
      </c>
      <c r="AE159" s="397">
        <f ca="1">SUM(Start:End!AE159)</f>
        <v>0</v>
      </c>
      <c r="AF159" s="397">
        <f ca="1">SUM(Start:End!AF159)</f>
        <v>76760.639729575996</v>
      </c>
      <c r="AG159" s="15"/>
      <c r="AH159" s="273">
        <f t="shared" si="201"/>
        <v>52596</v>
      </c>
      <c r="AI159" s="267"/>
      <c r="AJ159" s="267"/>
      <c r="AK159" s="397">
        <f ca="1">SUM(Start:End!AK159)</f>
        <v>4541.0427716391923</v>
      </c>
      <c r="AL159" s="233"/>
    </row>
    <row r="160" spans="2:38" x14ac:dyDescent="0.3">
      <c r="B160" s="232"/>
      <c r="C160" s="250">
        <f t="shared" si="198"/>
        <v>2044</v>
      </c>
      <c r="D160" s="397">
        <f ca="1">SUM(Start:End!D160)</f>
        <v>20569.981823733979</v>
      </c>
      <c r="E160" s="397">
        <f ca="1">SUM(Start:End!E160)</f>
        <v>196.54414332417608</v>
      </c>
      <c r="F160" s="397">
        <f ca="1">SUM(Start:End!F160)</f>
        <v>0</v>
      </c>
      <c r="G160" s="397">
        <f ca="1">SUM(Start:End!G160)</f>
        <v>21749.246683679037</v>
      </c>
      <c r="H160" s="15"/>
      <c r="I160" s="271">
        <f ca="1">Assumptions!O$68</f>
        <v>4.5</v>
      </c>
      <c r="J160" s="271">
        <f ca="1">Assumptions!P$68</f>
        <v>80</v>
      </c>
      <c r="K160" s="271">
        <f t="shared" ca="1" si="191"/>
        <v>40</v>
      </c>
      <c r="L160" s="15"/>
      <c r="M160" s="35">
        <f t="shared" ca="1" si="194"/>
        <v>4.2300000000000004</v>
      </c>
      <c r="N160" s="35">
        <f t="shared" ca="1" si="192"/>
        <v>71.199472940020996</v>
      </c>
      <c r="O160" s="35" t="str">
        <f t="shared" ca="1" si="193"/>
        <v>N/A</v>
      </c>
      <c r="P160" s="15"/>
      <c r="Q160" s="397">
        <f ca="1">SUM(Start:End!Q160)</f>
        <v>87011.023114394731</v>
      </c>
      <c r="R160" s="397">
        <f ca="1">SUM(Start:End!R160)</f>
        <v>13993.839414129283</v>
      </c>
      <c r="S160" s="397">
        <f ca="1">SUM(Start:End!S160)</f>
        <v>0</v>
      </c>
      <c r="T160" s="397">
        <f ca="1">SUM(Start:End!T160)</f>
        <v>101004.86252852401</v>
      </c>
      <c r="U160" s="15"/>
      <c r="V160" s="35">
        <f t="shared" ref="V160" ca="1" si="258">+IFERROR(W160/$G160,"N/A")</f>
        <v>0.3189852215581862</v>
      </c>
      <c r="W160" s="397">
        <f ca="1">SUM(Start:End!W160)</f>
        <v>6937.6882721170041</v>
      </c>
      <c r="X160" s="35">
        <f t="shared" ref="X160" ca="1" si="259">+IFERROR(Y160/$G160,"N/A")</f>
        <v>0.36831621903270911</v>
      </c>
      <c r="Y160" s="397">
        <f ca="1">SUM(Start:End!Y160)</f>
        <v>8010.6003053423501</v>
      </c>
      <c r="Z160" s="35">
        <f t="shared" ca="1" si="197"/>
        <v>0.57736055956478705</v>
      </c>
      <c r="AA160" s="397">
        <f ca="1">SUM(Start:End!AA160)</f>
        <v>12557.157235401519</v>
      </c>
      <c r="AB160" s="397">
        <f ca="1">SUM(Start:End!AB160)</f>
        <v>27505.445812860875</v>
      </c>
      <c r="AC160" s="15"/>
      <c r="AD160" s="397">
        <f ca="1">SUM(Start:End!AD160)</f>
        <v>73499.416715663145</v>
      </c>
      <c r="AE160" s="397">
        <f ca="1">SUM(Start:End!AE160)</f>
        <v>0</v>
      </c>
      <c r="AF160" s="397">
        <f ca="1">SUM(Start:End!AF160)</f>
        <v>73499.416715663145</v>
      </c>
      <c r="AG160" s="15"/>
      <c r="AH160" s="273">
        <f t="shared" si="201"/>
        <v>52962</v>
      </c>
      <c r="AI160" s="267"/>
      <c r="AJ160" s="267"/>
      <c r="AK160" s="397">
        <f ca="1">SUM(Start:End!AK160)</f>
        <v>3952.8307046683544</v>
      </c>
      <c r="AL160" s="233"/>
    </row>
    <row r="161" spans="2:38" x14ac:dyDescent="0.3">
      <c r="B161" s="232"/>
      <c r="C161" s="250">
        <f t="shared" si="198"/>
        <v>2045</v>
      </c>
      <c r="D161" s="397">
        <f ca="1">SUM(Start:End!D161)</f>
        <v>19755.645725027665</v>
      </c>
      <c r="E161" s="397">
        <f ca="1">SUM(Start:End!E161)</f>
        <v>185.10925191244587</v>
      </c>
      <c r="F161" s="397">
        <f ca="1">SUM(Start:End!F161)</f>
        <v>0</v>
      </c>
      <c r="G161" s="397">
        <f ca="1">SUM(Start:End!G161)</f>
        <v>20866.301236502342</v>
      </c>
      <c r="H161" s="15"/>
      <c r="I161" s="271">
        <f ca="1">Assumptions!O$68</f>
        <v>4.5</v>
      </c>
      <c r="J161" s="271">
        <f ca="1">Assumptions!P$68</f>
        <v>80</v>
      </c>
      <c r="K161" s="271">
        <f t="shared" ca="1" si="191"/>
        <v>40</v>
      </c>
      <c r="L161" s="15"/>
      <c r="M161" s="35">
        <f t="shared" ca="1" si="194"/>
        <v>4.2299999999999995</v>
      </c>
      <c r="N161" s="35">
        <f t="shared" ca="1" si="192"/>
        <v>71.341587962668385</v>
      </c>
      <c r="O161" s="35" t="str">
        <f t="shared" ca="1" si="193"/>
        <v>N/A</v>
      </c>
      <c r="P161" s="15"/>
      <c r="Q161" s="397">
        <f ca="1">SUM(Start:End!Q161)</f>
        <v>83566.381416867021</v>
      </c>
      <c r="R161" s="397">
        <f ca="1">SUM(Start:End!R161)</f>
        <v>13205.987978015497</v>
      </c>
      <c r="S161" s="397">
        <f ca="1">SUM(Start:End!S161)</f>
        <v>0</v>
      </c>
      <c r="T161" s="397">
        <f ca="1">SUM(Start:End!T161)</f>
        <v>96772.369394882509</v>
      </c>
      <c r="U161" s="15"/>
      <c r="V161" s="35">
        <f t="shared" ref="V161" ca="1" si="260">+IFERROR(W161/$G161,"N/A")</f>
        <v>0.31842888340225711</v>
      </c>
      <c r="W161" s="397">
        <f ca="1">SUM(Start:End!W161)</f>
        <v>6644.4330034745781</v>
      </c>
      <c r="X161" s="35">
        <f t="shared" ref="X161" ca="1" si="261">+IFERROR(Y161/$G161,"N/A")</f>
        <v>0.36842047373497372</v>
      </c>
      <c r="Y161" s="397">
        <f ca="1">SUM(Start:End!Y161)</f>
        <v>7687.572586648861</v>
      </c>
      <c r="Z161" s="35">
        <f t="shared" ca="1" si="197"/>
        <v>0.57752398585482367</v>
      </c>
      <c r="AA161" s="397">
        <f ca="1">SUM(Start:End!AA161)</f>
        <v>12050.789460152268</v>
      </c>
      <c r="AB161" s="397">
        <f ca="1">SUM(Start:End!AB161)</f>
        <v>26382.795050275705</v>
      </c>
      <c r="AC161" s="15"/>
      <c r="AD161" s="397">
        <f ca="1">SUM(Start:End!AD161)</f>
        <v>70389.574344606794</v>
      </c>
      <c r="AE161" s="397">
        <f ca="1">SUM(Start:End!AE161)</f>
        <v>0</v>
      </c>
      <c r="AF161" s="397">
        <f ca="1">SUM(Start:End!AF161)</f>
        <v>70389.574344606794</v>
      </c>
      <c r="AG161" s="15"/>
      <c r="AH161" s="273">
        <f t="shared" si="201"/>
        <v>53327</v>
      </c>
      <c r="AI161" s="267"/>
      <c r="AJ161" s="267"/>
      <c r="AK161" s="397">
        <f ca="1">SUM(Start:End!AK161)</f>
        <v>3441.4382044353574</v>
      </c>
      <c r="AL161" s="233"/>
    </row>
    <row r="162" spans="2:38" x14ac:dyDescent="0.3">
      <c r="B162" s="232"/>
      <c r="C162" s="250">
        <f t="shared" si="198"/>
        <v>2046</v>
      </c>
      <c r="D162" s="397">
        <f ca="1">SUM(Start:End!D162)</f>
        <v>18973.559052486075</v>
      </c>
      <c r="E162" s="397">
        <f ca="1">SUM(Start:End!E162)</f>
        <v>174.49252344853369</v>
      </c>
      <c r="F162" s="397">
        <f ca="1">SUM(Start:End!F162)</f>
        <v>0</v>
      </c>
      <c r="G162" s="397">
        <f ca="1">SUM(Start:End!G162)</f>
        <v>20020.514193177278</v>
      </c>
      <c r="H162" s="15"/>
      <c r="I162" s="271">
        <f ca="1">Assumptions!O$68</f>
        <v>4.5</v>
      </c>
      <c r="J162" s="271">
        <f ca="1">Assumptions!P$68</f>
        <v>80</v>
      </c>
      <c r="K162" s="271">
        <f t="shared" ca="1" si="191"/>
        <v>40</v>
      </c>
      <c r="L162" s="15"/>
      <c r="M162" s="35">
        <f t="shared" ca="1" si="194"/>
        <v>4.2300000000000004</v>
      </c>
      <c r="N162" s="35">
        <f t="shared" ca="1" si="192"/>
        <v>71.479953239407934</v>
      </c>
      <c r="O162" s="35" t="str">
        <f t="shared" ca="1" si="193"/>
        <v>N/A</v>
      </c>
      <c r="P162" s="15"/>
      <c r="Q162" s="397">
        <f ca="1">SUM(Start:End!Q162)</f>
        <v>80258.154792016096</v>
      </c>
      <c r="R162" s="397">
        <f ca="1">SUM(Start:End!R162)</f>
        <v>12472.717416727481</v>
      </c>
      <c r="S162" s="397">
        <f ca="1">SUM(Start:End!S162)</f>
        <v>0</v>
      </c>
      <c r="T162" s="397">
        <f ca="1">SUM(Start:End!T162)</f>
        <v>92730.872208743589</v>
      </c>
      <c r="U162" s="15"/>
      <c r="V162" s="35">
        <f t="shared" ref="V162" ca="1" si="262">+IFERROR(W162/$G162,"N/A")</f>
        <v>0.31790647316125931</v>
      </c>
      <c r="W162" s="397">
        <f ca="1">SUM(Start:End!W162)</f>
        <v>6364.6510580279237</v>
      </c>
      <c r="X162" s="35">
        <f t="shared" ref="X162" ca="1" si="263">+IFERROR(Y162/$G162,"N/A")</f>
        <v>0.36851837053308989</v>
      </c>
      <c r="Y162" s="397">
        <f ca="1">SUM(Start:End!Y162)</f>
        <v>7377.9272677042891</v>
      </c>
      <c r="Z162" s="35">
        <f t="shared" ca="1" si="197"/>
        <v>0.57767744570051915</v>
      </c>
      <c r="AA162" s="397">
        <f ca="1">SUM(Start:End!AA162)</f>
        <v>11565.39950072564</v>
      </c>
      <c r="AB162" s="397">
        <f ca="1">SUM(Start:End!AB162)</f>
        <v>25307.977826457853</v>
      </c>
      <c r="AC162" s="15"/>
      <c r="AD162" s="397">
        <f ca="1">SUM(Start:End!AD162)</f>
        <v>67422.894382285725</v>
      </c>
      <c r="AE162" s="397">
        <f ca="1">SUM(Start:End!AE162)</f>
        <v>0</v>
      </c>
      <c r="AF162" s="397">
        <f ca="1">SUM(Start:End!AF162)</f>
        <v>67422.894382285725</v>
      </c>
      <c r="AG162" s="15"/>
      <c r="AH162" s="273">
        <f t="shared" si="201"/>
        <v>53692</v>
      </c>
      <c r="AI162" s="267"/>
      <c r="AJ162" s="267"/>
      <c r="AK162" s="397">
        <f ca="1">SUM(Start:End!AK162)</f>
        <v>2996.7212247144412</v>
      </c>
      <c r="AL162" s="233"/>
    </row>
    <row r="163" spans="2:38" x14ac:dyDescent="0.3">
      <c r="B163" s="232"/>
      <c r="C163" s="250">
        <f t="shared" si="198"/>
        <v>2047</v>
      </c>
      <c r="D163" s="397">
        <f ca="1">SUM(Start:End!D163)</f>
        <v>18222.444349749701</v>
      </c>
      <c r="E163" s="397">
        <f ca="1">SUM(Start:End!E163)</f>
        <v>164.62502318296055</v>
      </c>
      <c r="F163" s="397">
        <f ca="1">SUM(Start:End!F163)</f>
        <v>0</v>
      </c>
      <c r="G163" s="397">
        <f ca="1">SUM(Start:End!G163)</f>
        <v>19210.194488847465</v>
      </c>
      <c r="H163" s="15"/>
      <c r="I163" s="271">
        <f ca="1">Assumptions!O$68</f>
        <v>4.5</v>
      </c>
      <c r="J163" s="271">
        <f ca="1">Assumptions!P$68</f>
        <v>80</v>
      </c>
      <c r="K163" s="271">
        <f t="shared" ca="1" si="191"/>
        <v>40</v>
      </c>
      <c r="L163" s="15"/>
      <c r="M163" s="35">
        <f t="shared" ca="1" si="194"/>
        <v>4.2299999999999986</v>
      </c>
      <c r="N163" s="35">
        <f t="shared" ca="1" si="192"/>
        <v>71.614435046430103</v>
      </c>
      <c r="O163" s="35" t="str">
        <f t="shared" ca="1" si="193"/>
        <v>N/A</v>
      </c>
      <c r="P163" s="15"/>
      <c r="Q163" s="397">
        <f ca="1">SUM(Start:End!Q163)</f>
        <v>77080.939599441219</v>
      </c>
      <c r="R163" s="397">
        <f ca="1">SUM(Start:End!R163)</f>
        <v>11789.528029753177</v>
      </c>
      <c r="S163" s="397">
        <f ca="1">SUM(Start:End!S163)</f>
        <v>0</v>
      </c>
      <c r="T163" s="397">
        <f ca="1">SUM(Start:End!T163)</f>
        <v>88870.467629194405</v>
      </c>
      <c r="U163" s="15"/>
      <c r="V163" s="35">
        <f t="shared" ref="V163" ca="1" si="264">+IFERROR(W163/$G163,"N/A")</f>
        <v>0.31741598386270253</v>
      </c>
      <c r="W163" s="397">
        <f ca="1">SUM(Start:End!W163)</f>
        <v>6097.6227838713839</v>
      </c>
      <c r="X163" s="35">
        <f t="shared" ref="X163" ca="1" si="265">+IFERROR(Y163/$G163,"N/A")</f>
        <v>0.36861028552263364</v>
      </c>
      <c r="Y163" s="397">
        <f ca="1">SUM(Start:End!Y163)</f>
        <v>7081.0752754793866</v>
      </c>
      <c r="Z163" s="35">
        <f t="shared" ca="1" si="197"/>
        <v>0.57782152865710146</v>
      </c>
      <c r="AA163" s="397">
        <f ca="1">SUM(Start:End!AA163)</f>
        <v>11100.063945346068</v>
      </c>
      <c r="AB163" s="397">
        <f ca="1">SUM(Start:End!AB163)</f>
        <v>24278.76200469684</v>
      </c>
      <c r="AC163" s="15"/>
      <c r="AD163" s="397">
        <f ca="1">SUM(Start:End!AD163)</f>
        <v>64591.705624497568</v>
      </c>
      <c r="AE163" s="397">
        <f ca="1">SUM(Start:End!AE163)</f>
        <v>0</v>
      </c>
      <c r="AF163" s="397">
        <f ca="1">SUM(Start:End!AF163)</f>
        <v>64591.705624497568</v>
      </c>
      <c r="AG163" s="15"/>
      <c r="AH163" s="273">
        <f t="shared" si="201"/>
        <v>54057</v>
      </c>
      <c r="AI163" s="267"/>
      <c r="AJ163" s="267"/>
      <c r="AK163" s="397">
        <f ca="1">SUM(Start:End!AK163)</f>
        <v>2609.8949023557711</v>
      </c>
      <c r="AL163" s="233"/>
    </row>
    <row r="164" spans="2:38" x14ac:dyDescent="0.3">
      <c r="B164" s="232"/>
      <c r="C164" s="250">
        <f t="shared" si="198"/>
        <v>2048</v>
      </c>
      <c r="D164" s="397">
        <f ca="1">SUM(Start:End!D164)</f>
        <v>17501.074525890097</v>
      </c>
      <c r="E164" s="397">
        <f ca="1">SUM(Start:End!E164)</f>
        <v>155.4441980139045</v>
      </c>
      <c r="F164" s="397">
        <f ca="1">SUM(Start:End!F164)</f>
        <v>0</v>
      </c>
      <c r="G164" s="397">
        <f ca="1">SUM(Start:End!G164)</f>
        <v>18433.739713973522</v>
      </c>
      <c r="H164" s="15"/>
      <c r="I164" s="271">
        <f ca="1">Assumptions!O$68</f>
        <v>4.5</v>
      </c>
      <c r="J164" s="271">
        <f ca="1">Assumptions!P$68</f>
        <v>80</v>
      </c>
      <c r="K164" s="271">
        <f t="shared" ca="1" si="191"/>
        <v>40</v>
      </c>
      <c r="L164" s="15"/>
      <c r="M164" s="35">
        <f t="shared" ca="1" si="194"/>
        <v>4.2299999999999995</v>
      </c>
      <c r="N164" s="35">
        <f t="shared" ca="1" si="192"/>
        <v>71.74492293166027</v>
      </c>
      <c r="O164" s="35" t="str">
        <f t="shared" ca="1" si="193"/>
        <v>N/A</v>
      </c>
      <c r="P164" s="15"/>
      <c r="Q164" s="397">
        <f ca="1">SUM(Start:End!Q164)</f>
        <v>74029.545244515102</v>
      </c>
      <c r="R164" s="397">
        <f ca="1">SUM(Start:End!R164)</f>
        <v>11152.332006681318</v>
      </c>
      <c r="S164" s="397">
        <f ca="1">SUM(Start:End!S164)</f>
        <v>0</v>
      </c>
      <c r="T164" s="397">
        <f ca="1">SUM(Start:End!T164)</f>
        <v>85181.87725119642</v>
      </c>
      <c r="U164" s="15"/>
      <c r="V164" s="35">
        <f t="shared" ref="V164" ca="1" si="266">+IFERROR(W164/$G164,"N/A")</f>
        <v>0.31695551988284887</v>
      </c>
      <c r="W164" s="397">
        <f ca="1">SUM(Start:End!W164)</f>
        <v>5842.6755544275957</v>
      </c>
      <c r="X164" s="35">
        <f t="shared" ref="X164" ca="1" si="267">+IFERROR(Y164/$G164,"N/A")</f>
        <v>0.36869657393303956</v>
      </c>
      <c r="Y164" s="397">
        <f ca="1">SUM(Start:End!Y164)</f>
        <v>6796.4566773154465</v>
      </c>
      <c r="Z164" s="35">
        <f t="shared" ca="1" si="197"/>
        <v>0.57795679157071067</v>
      </c>
      <c r="AA164" s="397">
        <f ca="1">SUM(Start:End!AA164)</f>
        <v>10653.905061737727</v>
      </c>
      <c r="AB164" s="397">
        <f ca="1">SUM(Start:End!AB164)</f>
        <v>23293.037293480767</v>
      </c>
      <c r="AC164" s="15"/>
      <c r="AD164" s="397">
        <f ca="1">SUM(Start:End!AD164)</f>
        <v>61888.839957715645</v>
      </c>
      <c r="AE164" s="397">
        <f ca="1">SUM(Start:End!AE164)</f>
        <v>0</v>
      </c>
      <c r="AF164" s="397">
        <f ca="1">SUM(Start:End!AF164)</f>
        <v>61888.839957715645</v>
      </c>
      <c r="AG164" s="15"/>
      <c r="AH164" s="273">
        <f t="shared" si="201"/>
        <v>54423</v>
      </c>
      <c r="AI164" s="267"/>
      <c r="AJ164" s="267"/>
      <c r="AK164" s="397">
        <f ca="1">SUM(Start:End!AK164)</f>
        <v>2273.3480090148064</v>
      </c>
      <c r="AL164" s="233"/>
    </row>
    <row r="165" spans="2:38" x14ac:dyDescent="0.3">
      <c r="B165" s="232"/>
      <c r="C165" s="250">
        <f t="shared" si="198"/>
        <v>2049</v>
      </c>
      <c r="D165" s="397">
        <f ca="1">SUM(Start:End!D165)</f>
        <v>16808.271493727494</v>
      </c>
      <c r="E165" s="397">
        <f ca="1">SUM(Start:End!E165)</f>
        <v>146.89326262960779</v>
      </c>
      <c r="F165" s="397">
        <f ca="1">SUM(Start:End!F165)</f>
        <v>0</v>
      </c>
      <c r="G165" s="397">
        <f ca="1">SUM(Start:End!G165)</f>
        <v>17689.631069505143</v>
      </c>
      <c r="H165" s="15"/>
      <c r="I165" s="271">
        <f ca="1">Assumptions!O$68</f>
        <v>4.5</v>
      </c>
      <c r="J165" s="271">
        <f ca="1">Assumptions!P$68</f>
        <v>80</v>
      </c>
      <c r="K165" s="271">
        <f t="shared" ca="1" si="191"/>
        <v>40</v>
      </c>
      <c r="L165" s="15"/>
      <c r="M165" s="35">
        <f t="shared" ca="1" si="194"/>
        <v>4.2299999999999995</v>
      </c>
      <c r="N165" s="35">
        <f t="shared" ca="1" si="192"/>
        <v>71.871329274410229</v>
      </c>
      <c r="O165" s="35" t="str">
        <f t="shared" ca="1" si="193"/>
        <v>N/A</v>
      </c>
      <c r="P165" s="15"/>
      <c r="Q165" s="397">
        <f ca="1">SUM(Start:End!Q165)</f>
        <v>71098.988418467299</v>
      </c>
      <c r="R165" s="397">
        <f ca="1">SUM(Start:End!R165)</f>
        <v>10557.414046644961</v>
      </c>
      <c r="S165" s="397">
        <f ca="1">SUM(Start:End!S165)</f>
        <v>0</v>
      </c>
      <c r="T165" s="397">
        <f ca="1">SUM(Start:End!T165)</f>
        <v>81656.40246511226</v>
      </c>
      <c r="U165" s="15"/>
      <c r="V165" s="35">
        <f t="shared" ref="V165" ca="1" si="268">+IFERROR(W165/$G165,"N/A")</f>
        <v>0.31652329143173313</v>
      </c>
      <c r="W165" s="397">
        <f ca="1">SUM(Start:End!W165)</f>
        <v>5599.1802503328172</v>
      </c>
      <c r="X165" s="35">
        <f t="shared" ref="X165" ca="1" si="269">+IFERROR(Y165/$G165,"N/A")</f>
        <v>0.36877757116107646</v>
      </c>
      <c r="Y165" s="397">
        <f ca="1">SUM(Start:End!Y165)</f>
        <v>6523.539180547622</v>
      </c>
      <c r="Z165" s="35">
        <f t="shared" ca="1" si="197"/>
        <v>0.5780837601984441</v>
      </c>
      <c r="AA165" s="397">
        <f ca="1">SUM(Start:End!AA165)</f>
        <v>10226.088445182757</v>
      </c>
      <c r="AB165" s="397">
        <f ca="1">SUM(Start:End!AB165)</f>
        <v>22348.807876063198</v>
      </c>
      <c r="AC165" s="15"/>
      <c r="AD165" s="397">
        <f ca="1">SUM(Start:End!AD165)</f>
        <v>59307.594589049062</v>
      </c>
      <c r="AE165" s="397">
        <f ca="1">SUM(Start:End!AE165)</f>
        <v>0</v>
      </c>
      <c r="AF165" s="397">
        <f ca="1">SUM(Start:End!AF165)</f>
        <v>59307.594589049062</v>
      </c>
      <c r="AG165" s="15"/>
      <c r="AH165" s="273">
        <f t="shared" si="201"/>
        <v>54788</v>
      </c>
      <c r="AI165" s="267"/>
      <c r="AJ165" s="267"/>
      <c r="AK165" s="397">
        <f ca="1">SUM(Start:End!AK165)</f>
        <v>1980.4833982198018</v>
      </c>
      <c r="AL165" s="233"/>
    </row>
    <row r="166" spans="2:38" x14ac:dyDescent="0.3">
      <c r="B166" s="232"/>
      <c r="C166" s="250">
        <f t="shared" si="198"/>
        <v>2050</v>
      </c>
      <c r="D166" s="397">
        <f ca="1">SUM(Start:End!D166)</f>
        <v>16142.903070127701</v>
      </c>
      <c r="E166" s="397">
        <f ca="1">SUM(Start:End!E166)</f>
        <v>138.92063463981887</v>
      </c>
      <c r="F166" s="397">
        <f ca="1">SUM(Start:End!F166)</f>
        <v>0</v>
      </c>
      <c r="G166" s="397">
        <f ca="1">SUM(Start:End!G166)</f>
        <v>16976.426877966613</v>
      </c>
      <c r="H166" s="15"/>
      <c r="I166" s="271">
        <f ca="1">Assumptions!O$68</f>
        <v>4.5</v>
      </c>
      <c r="J166" s="271">
        <f ca="1">Assumptions!P$68</f>
        <v>80</v>
      </c>
      <c r="K166" s="271">
        <f t="shared" ca="1" si="191"/>
        <v>40</v>
      </c>
      <c r="L166" s="15"/>
      <c r="M166" s="35">
        <f t="shared" ca="1" si="194"/>
        <v>4.2299999999999986</v>
      </c>
      <c r="N166" s="35">
        <f t="shared" ca="1" si="192"/>
        <v>71.993588421440649</v>
      </c>
      <c r="O166" s="35" t="str">
        <f t="shared" ca="1" si="193"/>
        <v>N/A</v>
      </c>
      <c r="P166" s="15"/>
      <c r="Q166" s="397">
        <f ca="1">SUM(Start:End!Q166)</f>
        <v>68284.479986640159</v>
      </c>
      <c r="R166" s="397">
        <f ca="1">SUM(Start:End!R166)</f>
        <v>10001.394993504451</v>
      </c>
      <c r="S166" s="397">
        <f ca="1">SUM(Start:End!S166)</f>
        <v>0</v>
      </c>
      <c r="T166" s="397">
        <f ca="1">SUM(Start:End!T166)</f>
        <v>78285.87498014461</v>
      </c>
      <c r="U166" s="15"/>
      <c r="V166" s="35">
        <f t="shared" ref="V166" ca="1" si="270">+IFERROR(W166/$G166,"N/A")</f>
        <v>0.31611760988658882</v>
      </c>
      <c r="W166" s="397">
        <f ca="1">SUM(Start:End!W166)</f>
        <v>5366.5474890772512</v>
      </c>
      <c r="X166" s="35">
        <f t="shared" ref="X166" ca="1" si="271">+IFERROR(Y166/$G166,"N/A")</f>
        <v>0.36885359364533826</v>
      </c>
      <c r="Y166" s="397">
        <f ca="1">SUM(Start:End!Y166)</f>
        <v>6261.8160611952953</v>
      </c>
      <c r="Z166" s="35">
        <f t="shared" ca="1" si="197"/>
        <v>0.57820293057917882</v>
      </c>
      <c r="AA166" s="397">
        <f ca="1">SUM(Start:End!AA166)</f>
        <v>9815.8197716034356</v>
      </c>
      <c r="AB166" s="397">
        <f ca="1">SUM(Start:End!AB166)</f>
        <v>21444.183321875982</v>
      </c>
      <c r="AC166" s="15"/>
      <c r="AD166" s="397">
        <f ca="1">SUM(Start:End!AD166)</f>
        <v>56841.691658268639</v>
      </c>
      <c r="AE166" s="397">
        <f ca="1">SUM(Start:End!AE166)</f>
        <v>0</v>
      </c>
      <c r="AF166" s="397">
        <f ca="1">SUM(Start:End!AF166)</f>
        <v>56841.691658268639</v>
      </c>
      <c r="AG166" s="15"/>
      <c r="AH166" s="273">
        <f t="shared" si="201"/>
        <v>55153</v>
      </c>
      <c r="AI166" s="267"/>
      <c r="AJ166" s="267"/>
      <c r="AK166" s="397">
        <f ca="1">SUM(Start:End!AK166)</f>
        <v>1725.5804242575095</v>
      </c>
      <c r="AL166" s="233"/>
    </row>
    <row r="167" spans="2:38" x14ac:dyDescent="0.3">
      <c r="B167" s="232"/>
      <c r="C167" s="250">
        <f t="shared" si="198"/>
        <v>2051</v>
      </c>
      <c r="D167" s="397">
        <f ca="1">SUM(Start:End!D167)</f>
        <v>15503.8828380341</v>
      </c>
      <c r="E167" s="397">
        <f ca="1">SUM(Start:End!E167)</f>
        <v>131.47944373404906</v>
      </c>
      <c r="F167" s="397">
        <f ca="1">SUM(Start:End!F167)</f>
        <v>0</v>
      </c>
      <c r="G167" s="397">
        <f ca="1">SUM(Start:End!G167)</f>
        <v>16292.759500438395</v>
      </c>
      <c r="H167" s="15"/>
      <c r="I167" s="271">
        <f ca="1">Assumptions!O$68</f>
        <v>4.5</v>
      </c>
      <c r="J167" s="271">
        <f ca="1">Assumptions!P$68</f>
        <v>80</v>
      </c>
      <c r="K167" s="271">
        <f t="shared" ca="1" si="191"/>
        <v>40</v>
      </c>
      <c r="L167" s="15"/>
      <c r="M167" s="35">
        <f t="shared" ca="1" si="194"/>
        <v>4.2299999999999995</v>
      </c>
      <c r="N167" s="35">
        <f t="shared" ca="1" si="192"/>
        <v>72.111655960935977</v>
      </c>
      <c r="O167" s="35" t="str">
        <f t="shared" ca="1" si="193"/>
        <v>N/A</v>
      </c>
      <c r="P167" s="15"/>
      <c r="Q167" s="397">
        <f ca="1">SUM(Start:End!Q167)</f>
        <v>65581.424404884237</v>
      </c>
      <c r="R167" s="397">
        <f ca="1">SUM(Start:End!R167)</f>
        <v>9481.2004124849846</v>
      </c>
      <c r="S167" s="397">
        <f ca="1">SUM(Start:End!S167)</f>
        <v>0</v>
      </c>
      <c r="T167" s="397">
        <f ca="1">SUM(Start:End!T167)</f>
        <v>75062.624817369215</v>
      </c>
      <c r="U167" s="15"/>
      <c r="V167" s="35">
        <f t="shared" ref="V167" ca="1" si="272">+IFERROR(W167/$G167,"N/A")</f>
        <v>0.31573688215396084</v>
      </c>
      <c r="W167" s="397">
        <f ca="1">SUM(Start:End!W167)</f>
        <v>5144.2250863527433</v>
      </c>
      <c r="X167" s="35">
        <f t="shared" ref="X167" ca="1" si="273">+IFERROR(Y167/$G167,"N/A")</f>
        <v>0.36892493992275244</v>
      </c>
      <c r="Y167" s="397">
        <f ca="1">SUM(Start:End!Y167)</f>
        <v>6010.8053198750886</v>
      </c>
      <c r="Z167" s="35">
        <f t="shared" ca="1" si="197"/>
        <v>0.57831477068972004</v>
      </c>
      <c r="AA167" s="397">
        <f ca="1">SUM(Start:End!AA167)</f>
        <v>9422.3434743987873</v>
      </c>
      <c r="AB167" s="397">
        <f ca="1">SUM(Start:End!AB167)</f>
        <v>20577.373880626616</v>
      </c>
      <c r="AC167" s="15"/>
      <c r="AD167" s="397">
        <f ca="1">SUM(Start:End!AD167)</f>
        <v>54485.25093674261</v>
      </c>
      <c r="AE167" s="397">
        <f ca="1">SUM(Start:End!AE167)</f>
        <v>0</v>
      </c>
      <c r="AF167" s="397">
        <f ca="1">SUM(Start:End!AF167)</f>
        <v>54485.25093674261</v>
      </c>
      <c r="AG167" s="15"/>
      <c r="AH167" s="273">
        <f t="shared" si="201"/>
        <v>55518</v>
      </c>
      <c r="AI167" s="267"/>
      <c r="AJ167" s="267"/>
      <c r="AK167" s="397">
        <f ca="1">SUM(Start:End!AK167)</f>
        <v>1503.6767377214478</v>
      </c>
      <c r="AL167" s="233"/>
    </row>
    <row r="168" spans="2:38" x14ac:dyDescent="0.3">
      <c r="B168" s="232"/>
      <c r="C168" s="250">
        <f t="shared" si="198"/>
        <v>2052</v>
      </c>
      <c r="D168" s="397">
        <f ca="1">SUM(Start:End!D168)</f>
        <v>14890.166617811443</v>
      </c>
      <c r="E168" s="397">
        <f ca="1">SUM(Start:End!E168)</f>
        <v>124.52706740521656</v>
      </c>
      <c r="F168" s="397">
        <f ca="1">SUM(Start:End!F168)</f>
        <v>0</v>
      </c>
      <c r="G168" s="397">
        <f ca="1">SUM(Start:End!G168)</f>
        <v>15637.32902224274</v>
      </c>
      <c r="H168" s="15"/>
      <c r="I168" s="271">
        <f ca="1">Assumptions!O$68</f>
        <v>4.5</v>
      </c>
      <c r="J168" s="271">
        <f ca="1">Assumptions!P$68</f>
        <v>80</v>
      </c>
      <c r="K168" s="271">
        <f t="shared" ca="1" si="191"/>
        <v>40</v>
      </c>
      <c r="L168" s="15"/>
      <c r="M168" s="35">
        <f t="shared" ca="1" si="194"/>
        <v>4.2299999999999995</v>
      </c>
      <c r="N168" s="35">
        <f t="shared" ca="1" si="192"/>
        <v>72.225507443178614</v>
      </c>
      <c r="O168" s="35" t="str">
        <f t="shared" ca="1" si="193"/>
        <v>N/A</v>
      </c>
      <c r="P168" s="15"/>
      <c r="Q168" s="397">
        <f ca="1">SUM(Start:End!Q168)</f>
        <v>62985.404793342401</v>
      </c>
      <c r="R168" s="397">
        <f ca="1">SUM(Start:End!R168)</f>
        <v>8994.0306337526727</v>
      </c>
      <c r="S168" s="397">
        <f ca="1">SUM(Start:End!S168)</f>
        <v>0</v>
      </c>
      <c r="T168" s="397">
        <f ca="1">SUM(Start:End!T168)</f>
        <v>71979.435427095072</v>
      </c>
      <c r="U168" s="15"/>
      <c r="V168" s="35">
        <f t="shared" ref="V168" ca="1" si="274">+IFERROR(W168/$G168,"N/A")</f>
        <v>0.31537960651563318</v>
      </c>
      <c r="W168" s="397">
        <f ca="1">SUM(Start:End!W168)</f>
        <v>4931.694673990406</v>
      </c>
      <c r="X168" s="35">
        <f t="shared" ref="X168" ca="1" si="275">+IFERROR(Y168/$G168,"N/A")</f>
        <v>0.36899189140703109</v>
      </c>
      <c r="Y168" s="397">
        <f ca="1">SUM(Start:End!Y168)</f>
        <v>5770.0476124714087</v>
      </c>
      <c r="Z168" s="35">
        <f t="shared" ca="1" si="197"/>
        <v>0.57841972166507571</v>
      </c>
      <c r="AA168" s="397">
        <f ca="1">SUM(Start:End!AA168)</f>
        <v>9044.9395006308569</v>
      </c>
      <c r="AB168" s="397">
        <f ca="1">SUM(Start:End!AB168)</f>
        <v>19746.681787092672</v>
      </c>
      <c r="AC168" s="15"/>
      <c r="AD168" s="397">
        <f ca="1">SUM(Start:End!AD168)</f>
        <v>52232.753640002404</v>
      </c>
      <c r="AE168" s="397">
        <f ca="1">SUM(Start:End!AE168)</f>
        <v>0</v>
      </c>
      <c r="AF168" s="397">
        <f ca="1">SUM(Start:End!AF168)</f>
        <v>52232.753640002404</v>
      </c>
      <c r="AG168" s="15"/>
      <c r="AH168" s="273">
        <f t="shared" si="201"/>
        <v>55884</v>
      </c>
      <c r="AI168" s="267"/>
      <c r="AJ168" s="267"/>
      <c r="AK168" s="397">
        <f ca="1">SUM(Start:End!AK168)</f>
        <v>1310.4660142846096</v>
      </c>
      <c r="AL168" s="233"/>
    </row>
    <row r="169" spans="2:38" x14ac:dyDescent="0.3">
      <c r="B169" s="232"/>
      <c r="C169" s="250">
        <f t="shared" si="198"/>
        <v>2053</v>
      </c>
      <c r="D169" s="397">
        <f ca="1">SUM(Start:End!D169)</f>
        <v>14300.75215642203</v>
      </c>
      <c r="E169" s="397">
        <f ca="1">SUM(Start:End!E169)</f>
        <v>118.02473205109801</v>
      </c>
      <c r="F169" s="397">
        <f ca="1">SUM(Start:End!F169)</f>
        <v>0</v>
      </c>
      <c r="G169" s="397">
        <f ca="1">SUM(Start:End!G169)</f>
        <v>15008.900548728618</v>
      </c>
      <c r="H169" s="15"/>
      <c r="I169" s="271">
        <f ca="1">Assumptions!O$68</f>
        <v>4.5</v>
      </c>
      <c r="J169" s="271">
        <f ca="1">Assumptions!P$68</f>
        <v>80</v>
      </c>
      <c r="K169" s="271">
        <f t="shared" ca="1" si="191"/>
        <v>40</v>
      </c>
      <c r="L169" s="15"/>
      <c r="M169" s="35">
        <f t="shared" ca="1" si="194"/>
        <v>4.2299999999999995</v>
      </c>
      <c r="N169" s="35">
        <f t="shared" ca="1" si="192"/>
        <v>72.335137332314517</v>
      </c>
      <c r="O169" s="35" t="str">
        <f t="shared" ca="1" si="193"/>
        <v>N/A</v>
      </c>
      <c r="P169" s="15"/>
      <c r="Q169" s="397">
        <f ca="1">SUM(Start:End!Q169)</f>
        <v>60492.181621665179</v>
      </c>
      <c r="R169" s="397">
        <f ca="1">SUM(Start:End!R169)</f>
        <v>8537.3352015257969</v>
      </c>
      <c r="S169" s="397">
        <f ca="1">SUM(Start:End!S169)</f>
        <v>0</v>
      </c>
      <c r="T169" s="397">
        <f ca="1">SUM(Start:End!T169)</f>
        <v>69029.516823190977</v>
      </c>
      <c r="U169" s="15"/>
      <c r="V169" s="35">
        <f t="shared" ref="V169" ca="1" si="276">+IFERROR(W169/$G169,"N/A")</f>
        <v>0.31504436744982317</v>
      </c>
      <c r="W169" s="397">
        <f ca="1">SUM(Start:End!W169)</f>
        <v>4728.4695794915115</v>
      </c>
      <c r="X169" s="35">
        <f t="shared" ref="X169" ca="1" si="277">+IFERROR(Y169/$G169,"N/A")</f>
        <v>0.36905471335914958</v>
      </c>
      <c r="Y169" s="397">
        <f ca="1">SUM(Start:End!Y169)</f>
        <v>5539.1054898470229</v>
      </c>
      <c r="Z169" s="35">
        <f t="shared" ca="1" si="197"/>
        <v>0.57851819931974791</v>
      </c>
      <c r="AA169" s="397">
        <f ca="1">SUM(Start:End!AA169)</f>
        <v>8682.9221192196565</v>
      </c>
      <c r="AB169" s="397">
        <f ca="1">SUM(Start:End!AB169)</f>
        <v>18950.497188558194</v>
      </c>
      <c r="AC169" s="15"/>
      <c r="AD169" s="397">
        <f ca="1">SUM(Start:End!AD169)</f>
        <v>50079.019634632787</v>
      </c>
      <c r="AE169" s="397">
        <f ca="1">SUM(Start:End!AE169)</f>
        <v>0</v>
      </c>
      <c r="AF169" s="397">
        <f ca="1">SUM(Start:End!AF169)</f>
        <v>50079.019634632787</v>
      </c>
      <c r="AG169" s="15"/>
      <c r="AH169" s="273">
        <f t="shared" si="201"/>
        <v>56249</v>
      </c>
      <c r="AI169" s="267"/>
      <c r="AJ169" s="267"/>
      <c r="AK169" s="397">
        <f ca="1">SUM(Start:End!AK169)</f>
        <v>1142.2100412701002</v>
      </c>
      <c r="AL169" s="233"/>
    </row>
    <row r="170" spans="2:38" x14ac:dyDescent="0.3">
      <c r="B170" s="232"/>
      <c r="C170" s="274" t="s">
        <v>302</v>
      </c>
      <c r="D170" s="39">
        <f ca="1">SUM(D129:D169)</f>
        <v>1918168.5966282852</v>
      </c>
      <c r="E170" s="39">
        <f t="shared" ref="E170" ca="1" si="278">SUM(E129:E169)</f>
        <v>27761.380055523354</v>
      </c>
      <c r="F170" s="39">
        <f t="shared" ref="F170" ca="1" si="279">SUM(F129:F169)</f>
        <v>0</v>
      </c>
      <c r="G170" s="39">
        <f t="shared" ref="G170" ca="1" si="280">SUM(G129:G169)</f>
        <v>2084736.8769614259</v>
      </c>
      <c r="H170" s="15"/>
      <c r="I170" s="35"/>
      <c r="J170" s="35"/>
      <c r="K170" s="35"/>
      <c r="L170" s="15"/>
      <c r="M170" s="35"/>
      <c r="N170" s="35"/>
      <c r="O170" s="35"/>
      <c r="P170" s="15"/>
      <c r="Q170" s="39">
        <f ca="1">SUM(Q129:Q169)</f>
        <v>7800665.5477618901</v>
      </c>
      <c r="R170" s="39">
        <f t="shared" ref="R170" ca="1" si="281">SUM(R129:R169)</f>
        <v>1971290.9147988183</v>
      </c>
      <c r="S170" s="39">
        <f t="shared" ref="S170" ca="1" si="282">SUM(S129:S169)</f>
        <v>0</v>
      </c>
      <c r="T170" s="39">
        <f t="shared" ref="T170" ca="1" si="283">SUM(T129:T169)</f>
        <v>9771956.4625607058</v>
      </c>
      <c r="U170" s="15"/>
      <c r="V170" s="275"/>
      <c r="W170" s="399">
        <f t="shared" ref="W170" ca="1" si="284">SUM(W129:W169)</f>
        <v>694970.36351232126</v>
      </c>
      <c r="X170" s="275"/>
      <c r="Y170" s="399">
        <f t="shared" ref="Y170" ca="1" si="285">SUM(Y129:Y169)</f>
        <v>762226.17107062042</v>
      </c>
      <c r="Z170" s="275"/>
      <c r="AA170" s="399">
        <f t="shared" ref="AA170" ca="1" si="286">SUM(AA129:AA169)</f>
        <v>1194841.0249215129</v>
      </c>
      <c r="AB170" s="399">
        <f t="shared" ref="AB170" ca="1" si="287">SUM(AB129:AB169)</f>
        <v>2652037.5595044559</v>
      </c>
      <c r="AC170" s="15"/>
      <c r="AD170" s="39">
        <f t="shared" ref="AD170" ca="1" si="288">SUM(AD129:AD169)</f>
        <v>7119918.9030562509</v>
      </c>
      <c r="AE170" s="39">
        <f t="shared" ref="AE170" ca="1" si="289">SUM(AE129:AE169)</f>
        <v>2055708.1724169427</v>
      </c>
      <c r="AF170" s="39">
        <f t="shared" ref="AF170" ca="1" si="290">SUM(AF129:AF169)</f>
        <v>5064210.7306393106</v>
      </c>
      <c r="AG170" s="15"/>
      <c r="AH170" s="277"/>
      <c r="AI170" s="278"/>
      <c r="AJ170" s="278"/>
      <c r="AK170" s="399">
        <f t="shared" ref="AK170" ca="1" si="291">SUM(AK129:AK169)</f>
        <v>1672158.5743923041</v>
      </c>
      <c r="AL170" s="233"/>
    </row>
    <row r="171" spans="2:38" x14ac:dyDescent="0.3">
      <c r="B171" s="232"/>
      <c r="C171" s="283" t="s">
        <v>303</v>
      </c>
      <c r="D171" s="397">
        <f ca="1">SUM(Start:End!D171)</f>
        <v>24562.606995279784</v>
      </c>
      <c r="E171" s="397">
        <f ca="1">SUM(Start:End!E171)</f>
        <v>914.20179668775472</v>
      </c>
      <c r="F171" s="397">
        <f ca="1">SUM(Start:End!F171)</f>
        <v>0</v>
      </c>
      <c r="G171" s="397">
        <f ca="1">SUM(Start:End!G171)</f>
        <v>30047.817775405594</v>
      </c>
      <c r="H171" s="15"/>
      <c r="I171" s="271">
        <f ca="1">Assumptions!O$68</f>
        <v>4.5</v>
      </c>
      <c r="J171" s="271">
        <f ca="1">Assumptions!P$68</f>
        <v>80</v>
      </c>
      <c r="K171" s="271">
        <f ca="1">J171*NGL_Price_Diff_vs_Oil</f>
        <v>40</v>
      </c>
      <c r="L171" s="15"/>
      <c r="M171" s="35">
        <f t="shared" ref="M171" ca="1" si="292">+IFERROR(Q171/D171,"N/A")</f>
        <v>4.2299999999999995</v>
      </c>
      <c r="N171" s="35">
        <f t="shared" ref="N171" ca="1" si="293">+IFERROR(R171/E171,"N/A")</f>
        <v>65.848243944353143</v>
      </c>
      <c r="O171" s="35" t="str">
        <f t="shared" ref="O171" ca="1" si="294">+IFERROR(S171/F171,"N/A")</f>
        <v>N/A</v>
      </c>
      <c r="P171" s="15"/>
      <c r="Q171" s="397">
        <f ca="1">SUM(Start:End!Q171)</f>
        <v>103899.82759003347</v>
      </c>
      <c r="R171" s="397">
        <f ca="1">SUM(Start:End!R171)</f>
        <v>60198.582922661204</v>
      </c>
      <c r="S171" s="397">
        <f ca="1">SUM(Start:End!S171)</f>
        <v>0</v>
      </c>
      <c r="T171" s="397">
        <f ca="1">SUM(Start:End!T171)</f>
        <v>164098.41051269468</v>
      </c>
      <c r="U171" s="15"/>
      <c r="V171" s="35">
        <f t="shared" ref="V171" ca="1" si="295">+IFERROR(W171/$G171,"N/A")</f>
        <v>0.39083060632183697</v>
      </c>
      <c r="W171" s="397">
        <f ca="1">SUM(Start:End!W171)</f>
        <v>11743.60683980984</v>
      </c>
      <c r="X171" s="35">
        <f t="shared" ref="X171" ca="1" si="296">+IFERROR(Y171/$G171,"N/A")</f>
        <v>0.35485279014903109</v>
      </c>
      <c r="Y171" s="397">
        <f ca="1">SUM(Start:End!Y171)</f>
        <v>10662.551975492328</v>
      </c>
      <c r="Z171" s="35">
        <f t="shared" ref="Z171" ca="1" si="297">+IFERROR(AA171/$G171,"N/A")</f>
        <v>0.5562557250984812</v>
      </c>
      <c r="AA171" s="397">
        <f ca="1">SUM(Start:End!AA171)</f>
        <v>16714.270664285272</v>
      </c>
      <c r="AB171" s="397">
        <f ca="1">SUM(Start:End!AB171)</f>
        <v>39120.429479587445</v>
      </c>
      <c r="AC171" s="15"/>
      <c r="AD171" s="397">
        <f ca="1">SUM(Start:End!AD171)</f>
        <v>124977.98103310724</v>
      </c>
      <c r="AE171" s="397">
        <f ca="1">SUM(Start:End!AE171)</f>
        <v>0</v>
      </c>
      <c r="AF171" s="397">
        <f ca="1">SUM(Start:End!AF171)</f>
        <v>124977.98103310724</v>
      </c>
      <c r="AG171" s="15"/>
      <c r="AH171" s="266">
        <f>Remainder_Date</f>
        <v>56249</v>
      </c>
      <c r="AI171" s="267"/>
      <c r="AJ171" s="267"/>
      <c r="AK171" s="397">
        <f ca="1">SUM(Start:End!AK171)</f>
        <v>2850.5171609820786</v>
      </c>
      <c r="AL171" s="233"/>
    </row>
    <row r="172" spans="2:38" x14ac:dyDescent="0.3">
      <c r="B172" s="232"/>
      <c r="C172" s="60" t="s">
        <v>26</v>
      </c>
      <c r="D172" s="39">
        <f ca="1">D171+D170</f>
        <v>1942731.2036235649</v>
      </c>
      <c r="E172" s="39">
        <f t="shared" ref="E172" ca="1" si="298">E171+E170</f>
        <v>28675.581852211108</v>
      </c>
      <c r="F172" s="39">
        <f t="shared" ref="F172" ca="1" si="299">F171+F170</f>
        <v>0</v>
      </c>
      <c r="G172" s="39">
        <f t="shared" ref="G172" ca="1" si="300">G171+G170</f>
        <v>2114784.6947368314</v>
      </c>
      <c r="H172" s="15"/>
      <c r="I172" s="15"/>
      <c r="J172" s="15"/>
      <c r="K172" s="15"/>
      <c r="L172" s="15"/>
      <c r="M172" s="15"/>
      <c r="N172" s="15"/>
      <c r="O172" s="15"/>
      <c r="P172" s="15"/>
      <c r="Q172" s="39">
        <f ca="1">Q171+Q170</f>
        <v>7904565.3753519235</v>
      </c>
      <c r="R172" s="39">
        <f t="shared" ref="R172" ca="1" si="301">R171+R170</f>
        <v>2031489.4977214795</v>
      </c>
      <c r="S172" s="39">
        <f t="shared" ref="S172" ca="1" si="302">S171+S170</f>
        <v>0</v>
      </c>
      <c r="T172" s="39">
        <f t="shared" ref="T172" ca="1" si="303">T171+T170</f>
        <v>9936054.8730734009</v>
      </c>
      <c r="U172" s="15"/>
      <c r="V172" s="9"/>
      <c r="W172" s="39">
        <f t="shared" ref="W172" ca="1" si="304">W171+W170</f>
        <v>706713.97035213106</v>
      </c>
      <c r="X172" s="9"/>
      <c r="Y172" s="39">
        <f t="shared" ref="Y172" ca="1" si="305">Y171+Y170</f>
        <v>772888.72304611269</v>
      </c>
      <c r="Z172" s="9"/>
      <c r="AA172" s="39">
        <f t="shared" ref="AA172" ca="1" si="306">AA171+AA170</f>
        <v>1211555.2955857981</v>
      </c>
      <c r="AB172" s="39">
        <f t="shared" ref="AB172" ca="1" si="307">AB171+AB170</f>
        <v>2691157.9889840432</v>
      </c>
      <c r="AC172" s="15"/>
      <c r="AD172" s="39">
        <f t="shared" ref="AD172" ca="1" si="308">AD171+AD170</f>
        <v>7244896.8840893582</v>
      </c>
      <c r="AE172" s="39">
        <f t="shared" ref="AE172" ca="1" si="309">AE171+AE170</f>
        <v>2055708.1724169427</v>
      </c>
      <c r="AF172" s="39">
        <f t="shared" ref="AF172" ca="1" si="310">AF171+AF170</f>
        <v>5189188.7116724178</v>
      </c>
      <c r="AG172" s="15"/>
      <c r="AH172" s="9"/>
      <c r="AI172" s="9"/>
      <c r="AJ172" s="9"/>
      <c r="AK172" s="39">
        <f t="shared" ref="AK172" ca="1" si="311">AK171+AK170</f>
        <v>1675009.0915532862</v>
      </c>
      <c r="AL172" s="233"/>
    </row>
    <row r="173" spans="2:38" x14ac:dyDescent="0.3">
      <c r="B173" s="232"/>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233"/>
    </row>
    <row r="174" spans="2:38" x14ac:dyDescent="0.3">
      <c r="B174" s="285" t="s">
        <v>30</v>
      </c>
      <c r="C174" s="286"/>
      <c r="D174" s="287"/>
      <c r="E174" s="287"/>
      <c r="F174" s="287"/>
      <c r="G174" s="287"/>
      <c r="H174" s="287"/>
      <c r="I174" s="287"/>
      <c r="J174" s="287"/>
      <c r="K174" s="287"/>
      <c r="L174" s="287"/>
      <c r="M174" s="287"/>
      <c r="N174" s="287"/>
      <c r="O174" s="287"/>
      <c r="P174" s="287"/>
      <c r="Q174" s="286" t="str">
        <f>B174</f>
        <v>PROB</v>
      </c>
      <c r="R174" s="287"/>
      <c r="S174" s="287"/>
      <c r="T174" s="287"/>
      <c r="U174" s="287"/>
      <c r="V174" s="287"/>
      <c r="W174" s="287"/>
      <c r="X174" s="287"/>
      <c r="Y174" s="287"/>
      <c r="Z174" s="287"/>
      <c r="AA174" s="287"/>
      <c r="AB174" s="287"/>
      <c r="AC174" s="287"/>
      <c r="AD174" s="286" t="str">
        <f>Q174</f>
        <v>PROB</v>
      </c>
      <c r="AE174" s="287"/>
      <c r="AF174" s="287"/>
      <c r="AG174" s="287"/>
      <c r="AH174" s="287"/>
      <c r="AI174" s="287"/>
      <c r="AJ174" s="287"/>
      <c r="AK174" s="287"/>
      <c r="AL174" s="288"/>
    </row>
    <row r="175" spans="2:38" x14ac:dyDescent="0.3">
      <c r="B175" s="232"/>
      <c r="C175" s="292"/>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233"/>
    </row>
    <row r="176" spans="2:38" x14ac:dyDescent="0.3">
      <c r="B176" s="232"/>
      <c r="C176" s="37" t="s">
        <v>277</v>
      </c>
      <c r="D176" s="23"/>
      <c r="E176" s="23"/>
      <c r="F176" s="23"/>
      <c r="G176" s="23"/>
      <c r="H176" s="261"/>
      <c r="I176" s="37" t="s">
        <v>15</v>
      </c>
      <c r="J176" s="23"/>
      <c r="K176" s="23"/>
      <c r="L176" s="15"/>
      <c r="M176" s="37" t="s">
        <v>278</v>
      </c>
      <c r="N176" s="23"/>
      <c r="O176" s="23"/>
      <c r="P176" s="15"/>
      <c r="Q176" s="37" t="s">
        <v>279</v>
      </c>
      <c r="R176" s="23"/>
      <c r="S176" s="23"/>
      <c r="T176" s="23"/>
      <c r="U176" s="15"/>
      <c r="V176" s="37" t="s">
        <v>280</v>
      </c>
      <c r="W176" s="23"/>
      <c r="X176" s="23"/>
      <c r="Y176" s="23"/>
      <c r="Z176" s="23"/>
      <c r="AA176" s="23"/>
      <c r="AB176" s="4"/>
      <c r="AC176" s="15"/>
      <c r="AD176" s="37" t="s">
        <v>281</v>
      </c>
      <c r="AE176" s="23"/>
      <c r="AF176" s="23"/>
      <c r="AG176" s="15"/>
      <c r="AH176" s="37" t="s">
        <v>282</v>
      </c>
      <c r="AI176" s="23"/>
      <c r="AJ176" s="23"/>
      <c r="AK176" s="23"/>
      <c r="AL176" s="233"/>
    </row>
    <row r="177" spans="2:38" x14ac:dyDescent="0.3">
      <c r="B177" s="232"/>
      <c r="C177" s="250"/>
      <c r="D177" s="250" t="s">
        <v>10</v>
      </c>
      <c r="E177" s="250" t="s">
        <v>11</v>
      </c>
      <c r="F177" s="250" t="s">
        <v>245</v>
      </c>
      <c r="G177" s="250" t="s">
        <v>12</v>
      </c>
      <c r="H177" s="261"/>
      <c r="I177" s="262" t="s">
        <v>10</v>
      </c>
      <c r="J177" s="262" t="s">
        <v>11</v>
      </c>
      <c r="K177" s="262" t="s">
        <v>245</v>
      </c>
      <c r="L177" s="15"/>
      <c r="M177" s="262" t="s">
        <v>10</v>
      </c>
      <c r="N177" s="262" t="s">
        <v>11</v>
      </c>
      <c r="O177" s="262" t="s">
        <v>245</v>
      </c>
      <c r="P177" s="15"/>
      <c r="Q177" s="262" t="s">
        <v>10</v>
      </c>
      <c r="R177" s="262" t="s">
        <v>11</v>
      </c>
      <c r="S177" s="262" t="s">
        <v>245</v>
      </c>
      <c r="T177" s="262" t="s">
        <v>12</v>
      </c>
      <c r="U177" s="15"/>
      <c r="V177" s="262" t="s">
        <v>283</v>
      </c>
      <c r="W177" s="262" t="s">
        <v>283</v>
      </c>
      <c r="X177" s="262" t="s">
        <v>284</v>
      </c>
      <c r="Y177" s="262" t="s">
        <v>284</v>
      </c>
      <c r="Z177" s="262" t="s">
        <v>285</v>
      </c>
      <c r="AA177" s="262" t="s">
        <v>285</v>
      </c>
      <c r="AB177" s="262" t="s">
        <v>12</v>
      </c>
      <c r="AC177" s="15"/>
      <c r="AD177" s="262" t="s">
        <v>286</v>
      </c>
      <c r="AE177" s="262" t="s">
        <v>287</v>
      </c>
      <c r="AF177" s="262" t="s">
        <v>281</v>
      </c>
      <c r="AG177" s="15"/>
      <c r="AH177" s="262"/>
      <c r="AI177" s="262" t="s">
        <v>288</v>
      </c>
      <c r="AJ177" s="262" t="s">
        <v>288</v>
      </c>
      <c r="AK177" s="262" t="s">
        <v>289</v>
      </c>
      <c r="AL177" s="233"/>
    </row>
    <row r="178" spans="2:38" x14ac:dyDescent="0.3">
      <c r="B178" s="232"/>
      <c r="C178" s="13" t="s">
        <v>9</v>
      </c>
      <c r="D178" s="13" t="s">
        <v>307</v>
      </c>
      <c r="E178" s="13" t="s">
        <v>308</v>
      </c>
      <c r="F178" s="13" t="s">
        <v>308</v>
      </c>
      <c r="G178" s="13" t="s">
        <v>248</v>
      </c>
      <c r="H178" s="4"/>
      <c r="I178" s="13" t="s">
        <v>24</v>
      </c>
      <c r="J178" s="13" t="s">
        <v>25</v>
      </c>
      <c r="K178" s="13" t="s">
        <v>25</v>
      </c>
      <c r="L178" s="4"/>
      <c r="M178" s="13" t="s">
        <v>24</v>
      </c>
      <c r="N178" s="13" t="s">
        <v>25</v>
      </c>
      <c r="O178" s="13" t="s">
        <v>25</v>
      </c>
      <c r="P178" s="4"/>
      <c r="Q178" s="13" t="s">
        <v>293</v>
      </c>
      <c r="R178" s="13" t="s">
        <v>293</v>
      </c>
      <c r="S178" s="13" t="s">
        <v>293</v>
      </c>
      <c r="T178" s="13" t="s">
        <v>293</v>
      </c>
      <c r="U178" s="4"/>
      <c r="V178" s="13" t="s">
        <v>294</v>
      </c>
      <c r="W178" s="13" t="s">
        <v>293</v>
      </c>
      <c r="X178" s="13" t="s">
        <v>294</v>
      </c>
      <c r="Y178" s="13" t="s">
        <v>293</v>
      </c>
      <c r="Z178" s="13" t="s">
        <v>294</v>
      </c>
      <c r="AA178" s="13" t="s">
        <v>293</v>
      </c>
      <c r="AB178" s="13" t="s">
        <v>293</v>
      </c>
      <c r="AC178" s="4"/>
      <c r="AD178" s="13" t="s">
        <v>293</v>
      </c>
      <c r="AE178" s="13" t="s">
        <v>293</v>
      </c>
      <c r="AF178" s="13" t="s">
        <v>293</v>
      </c>
      <c r="AG178" s="4"/>
      <c r="AH178" s="13" t="s">
        <v>295</v>
      </c>
      <c r="AI178" s="13" t="s">
        <v>296</v>
      </c>
      <c r="AJ178" s="13" t="s">
        <v>297</v>
      </c>
      <c r="AK178" s="13" t="s">
        <v>293</v>
      </c>
      <c r="AL178" s="233"/>
    </row>
    <row r="179" spans="2:38" x14ac:dyDescent="0.3">
      <c r="B179" s="232"/>
      <c r="C179" s="250">
        <f>YEAR(FY_Date)</f>
        <v>2013</v>
      </c>
      <c r="D179" s="397">
        <f ca="1">SUM(Start:End!D179)</f>
        <v>0</v>
      </c>
      <c r="E179" s="397">
        <f ca="1">SUM(Start:End!E179)</f>
        <v>0</v>
      </c>
      <c r="F179" s="397">
        <f ca="1">SUM(Start:End!F179)</f>
        <v>0</v>
      </c>
      <c r="G179" s="397">
        <f ca="1">SUM(Start:End!G179)</f>
        <v>0</v>
      </c>
      <c r="H179" s="15"/>
      <c r="I179" s="264">
        <f ca="1">Assumptions!O$63</f>
        <v>3.7</v>
      </c>
      <c r="J179" s="264">
        <f ca="1">Assumptions!P$63</f>
        <v>101</v>
      </c>
      <c r="K179" s="264">
        <f t="shared" ref="K179:K219" ca="1" si="312">J179*NGL_Price_Diff_vs_Oil</f>
        <v>50.5</v>
      </c>
      <c r="L179" s="15"/>
      <c r="M179" s="51" t="str">
        <f ca="1">+IFERROR(Q179/D179,"N/A")</f>
        <v>N/A</v>
      </c>
      <c r="N179" s="51" t="str">
        <f t="shared" ref="N179:N219" ca="1" si="313">+IFERROR(R179/E179,"N/A")</f>
        <v>N/A</v>
      </c>
      <c r="O179" s="51" t="str">
        <f t="shared" ref="O179:O219" ca="1" si="314">+IFERROR(S179/F179,"N/A")</f>
        <v>N/A</v>
      </c>
      <c r="P179" s="15"/>
      <c r="Q179" s="397">
        <f ca="1">SUM(Start:End!Q179)</f>
        <v>0</v>
      </c>
      <c r="R179" s="397">
        <f ca="1">SUM(Start:End!R179)</f>
        <v>0</v>
      </c>
      <c r="S179" s="397">
        <f ca="1">SUM(Start:End!S179)</f>
        <v>0</v>
      </c>
      <c r="T179" s="397">
        <f ca="1">SUM(Start:End!T179)</f>
        <v>0</v>
      </c>
      <c r="U179" s="15"/>
      <c r="V179" s="51" t="str">
        <f ca="1">+IFERROR(W179/$G179,"N/A")</f>
        <v>N/A</v>
      </c>
      <c r="W179" s="397">
        <f ca="1">SUM(Start:End!W179)</f>
        <v>0</v>
      </c>
      <c r="X179" s="51" t="str">
        <f ca="1">+IFERROR(Y179/$G179,"N/A")</f>
        <v>N/A</v>
      </c>
      <c r="Y179" s="397">
        <f ca="1">SUM(Start:End!Y179)</f>
        <v>0</v>
      </c>
      <c r="Z179" s="51" t="str">
        <f ca="1">+IFERROR(AA179/$G179,"N/A")</f>
        <v>N/A</v>
      </c>
      <c r="AA179" s="397">
        <f ca="1">SUM(Start:End!AA179)</f>
        <v>0</v>
      </c>
      <c r="AB179" s="397">
        <f ca="1">SUM(Start:End!AB179)</f>
        <v>0</v>
      </c>
      <c r="AC179" s="15"/>
      <c r="AD179" s="397">
        <f ca="1">SUM(Start:End!AD179)</f>
        <v>0</v>
      </c>
      <c r="AE179" s="397">
        <f ca="1">SUM(Start:End!AE179)</f>
        <v>0</v>
      </c>
      <c r="AF179" s="397">
        <f ca="1">SUM(Start:End!AF179)</f>
        <v>0</v>
      </c>
      <c r="AG179" s="15"/>
      <c r="AH179" s="266">
        <f>FY_Date</f>
        <v>41639</v>
      </c>
      <c r="AI179" s="267"/>
      <c r="AJ179" s="267"/>
      <c r="AK179" s="397">
        <f ca="1">SUM(Start:End!AK179)</f>
        <v>0</v>
      </c>
      <c r="AL179" s="233"/>
    </row>
    <row r="180" spans="2:38" x14ac:dyDescent="0.3">
      <c r="B180" s="232"/>
      <c r="C180" s="270">
        <f>C179+1</f>
        <v>2014</v>
      </c>
      <c r="D180" s="397">
        <f ca="1">SUM(Start:End!D180)</f>
        <v>0</v>
      </c>
      <c r="E180" s="397">
        <f ca="1">SUM(Start:End!E180)</f>
        <v>0</v>
      </c>
      <c r="F180" s="397">
        <f ca="1">SUM(Start:End!F180)</f>
        <v>0</v>
      </c>
      <c r="G180" s="397">
        <f ca="1">SUM(Start:End!G180)</f>
        <v>0</v>
      </c>
      <c r="H180" s="15"/>
      <c r="I180" s="271">
        <f ca="1">Assumptions!O$64</f>
        <v>3.8</v>
      </c>
      <c r="J180" s="271">
        <f ca="1">Assumptions!P$64</f>
        <v>92</v>
      </c>
      <c r="K180" s="271">
        <f t="shared" ca="1" si="312"/>
        <v>46</v>
      </c>
      <c r="L180" s="15"/>
      <c r="M180" s="35" t="str">
        <f t="shared" ref="M180:M219" ca="1" si="315">+IFERROR(Q180/D180,"N/A")</f>
        <v>N/A</v>
      </c>
      <c r="N180" s="35" t="str">
        <f t="shared" ca="1" si="313"/>
        <v>N/A</v>
      </c>
      <c r="O180" s="35" t="str">
        <f t="shared" ca="1" si="314"/>
        <v>N/A</v>
      </c>
      <c r="P180" s="15"/>
      <c r="Q180" s="397">
        <f ca="1">SUM(Start:End!Q180)</f>
        <v>0</v>
      </c>
      <c r="R180" s="397">
        <f ca="1">SUM(Start:End!R180)</f>
        <v>0</v>
      </c>
      <c r="S180" s="397">
        <f ca="1">SUM(Start:End!S180)</f>
        <v>0</v>
      </c>
      <c r="T180" s="397">
        <f ca="1">SUM(Start:End!T180)</f>
        <v>0</v>
      </c>
      <c r="U180" s="15"/>
      <c r="V180" s="35" t="str">
        <f t="shared" ref="V180" ca="1" si="316">+IFERROR(W180/$G180,"N/A")</f>
        <v>N/A</v>
      </c>
      <c r="W180" s="397">
        <f ca="1">SUM(Start:End!W180)</f>
        <v>0</v>
      </c>
      <c r="X180" s="35" t="str">
        <f t="shared" ref="X180" ca="1" si="317">+IFERROR(Y180/$G180,"N/A")</f>
        <v>N/A</v>
      </c>
      <c r="Y180" s="397">
        <f ca="1">SUM(Start:End!Y180)</f>
        <v>0</v>
      </c>
      <c r="Z180" s="35" t="str">
        <f t="shared" ref="Z180:Z219" ca="1" si="318">+IFERROR(AA180/$G180,"N/A")</f>
        <v>N/A</v>
      </c>
      <c r="AA180" s="397">
        <f ca="1">SUM(Start:End!AA180)</f>
        <v>0</v>
      </c>
      <c r="AB180" s="397">
        <f ca="1">SUM(Start:End!AB180)</f>
        <v>0</v>
      </c>
      <c r="AC180" s="15"/>
      <c r="AD180" s="397">
        <f ca="1">SUM(Start:End!AD180)</f>
        <v>0</v>
      </c>
      <c r="AE180" s="397">
        <f ca="1">SUM(Start:End!AE180)</f>
        <v>0</v>
      </c>
      <c r="AF180" s="397">
        <f ca="1">SUM(Start:End!AF180)</f>
        <v>0</v>
      </c>
      <c r="AG180" s="15"/>
      <c r="AH180" s="272">
        <f>EOMONTH(AH179,12)</f>
        <v>42004</v>
      </c>
      <c r="AI180" s="267"/>
      <c r="AJ180" s="267"/>
      <c r="AK180" s="397">
        <f ca="1">SUM(Start:End!AK180)</f>
        <v>0</v>
      </c>
      <c r="AL180" s="233"/>
    </row>
    <row r="181" spans="2:38" x14ac:dyDescent="0.3">
      <c r="B181" s="232"/>
      <c r="C181" s="250">
        <f t="shared" ref="C181:C219" si="319">C180+1</f>
        <v>2015</v>
      </c>
      <c r="D181" s="397">
        <f ca="1">SUM(Start:End!D181)</f>
        <v>1504.5554071196293</v>
      </c>
      <c r="E181" s="397">
        <f ca="1">SUM(Start:End!E181)</f>
        <v>9.951802518806943</v>
      </c>
      <c r="F181" s="397">
        <f ca="1">SUM(Start:End!F181)</f>
        <v>0</v>
      </c>
      <c r="G181" s="397">
        <f ca="1">SUM(Start:End!G181)</f>
        <v>1564.2662222324709</v>
      </c>
      <c r="H181" s="15"/>
      <c r="I181" s="271">
        <f ca="1">Assumptions!O$65</f>
        <v>4</v>
      </c>
      <c r="J181" s="271">
        <f ca="1">Assumptions!P$65</f>
        <v>88</v>
      </c>
      <c r="K181" s="271">
        <f t="shared" ca="1" si="312"/>
        <v>44</v>
      </c>
      <c r="L181" s="15"/>
      <c r="M181" s="35">
        <f t="shared" ca="1" si="315"/>
        <v>3.76</v>
      </c>
      <c r="N181" s="35">
        <f t="shared" ca="1" si="313"/>
        <v>81.84</v>
      </c>
      <c r="O181" s="35" t="str">
        <f t="shared" ca="1" si="314"/>
        <v>N/A</v>
      </c>
      <c r="P181" s="15"/>
      <c r="Q181" s="397">
        <f ca="1">SUM(Start:End!Q181)</f>
        <v>5657.1283307698059</v>
      </c>
      <c r="R181" s="397">
        <f ca="1">SUM(Start:End!R181)</f>
        <v>814.45551813916029</v>
      </c>
      <c r="S181" s="397">
        <f ca="1">SUM(Start:End!S181)</f>
        <v>0</v>
      </c>
      <c r="T181" s="397">
        <f ca="1">SUM(Start:End!T181)</f>
        <v>6471.5838489089665</v>
      </c>
      <c r="U181" s="15"/>
      <c r="V181" s="35">
        <f t="shared" ref="V181" ca="1" si="320">+IFERROR(W181/$G181,"N/A")</f>
        <v>0.31</v>
      </c>
      <c r="W181" s="397">
        <f ca="1">SUM(Start:End!W181)</f>
        <v>484.922528892066</v>
      </c>
      <c r="X181" s="35">
        <f t="shared" ref="X181" ca="1" si="321">+IFERROR(Y181/$G181,"N/A")</f>
        <v>0.37</v>
      </c>
      <c r="Y181" s="397">
        <f ca="1">SUM(Start:End!Y181)</f>
        <v>578.77850222601421</v>
      </c>
      <c r="Z181" s="35">
        <f t="shared" ca="1" si="318"/>
        <v>0.57999999999999996</v>
      </c>
      <c r="AA181" s="397">
        <f ca="1">SUM(Start:End!AA181)</f>
        <v>907.27440889483307</v>
      </c>
      <c r="AB181" s="397">
        <f ca="1">SUM(Start:End!AB181)</f>
        <v>1970.9754400129132</v>
      </c>
      <c r="AC181" s="15"/>
      <c r="AD181" s="397">
        <f ca="1">SUM(Start:End!AD181)</f>
        <v>4500.6084088960533</v>
      </c>
      <c r="AE181" s="397">
        <f ca="1">SUM(Start:End!AE181)</f>
        <v>7606.5842509080603</v>
      </c>
      <c r="AF181" s="397">
        <f ca="1">SUM(Start:End!AF181)</f>
        <v>-3105.975842012007</v>
      </c>
      <c r="AG181" s="15"/>
      <c r="AH181" s="273">
        <f t="shared" ref="AH181:AH219" si="322">EOMONTH(AH180,12)</f>
        <v>42369</v>
      </c>
      <c r="AI181" s="267"/>
      <c r="AJ181" s="267"/>
      <c r="AK181" s="397">
        <f ca="1">SUM(Start:End!AK181)</f>
        <v>-2649.7827279312742</v>
      </c>
      <c r="AL181" s="233"/>
    </row>
    <row r="182" spans="2:38" x14ac:dyDescent="0.3">
      <c r="B182" s="232"/>
      <c r="C182" s="250">
        <f t="shared" si="319"/>
        <v>2016</v>
      </c>
      <c r="D182" s="397">
        <f ca="1">SUM(Start:End!D182)</f>
        <v>37119.12770499786</v>
      </c>
      <c r="E182" s="397">
        <f ca="1">SUM(Start:End!E182)</f>
        <v>381.66112821626069</v>
      </c>
      <c r="F182" s="397">
        <f ca="1">SUM(Start:End!F182)</f>
        <v>0</v>
      </c>
      <c r="G182" s="397">
        <f ca="1">SUM(Start:End!G182)</f>
        <v>39409.094474295423</v>
      </c>
      <c r="H182" s="15"/>
      <c r="I182" s="271">
        <f ca="1">Assumptions!O$66</f>
        <v>4.0999999999999996</v>
      </c>
      <c r="J182" s="271">
        <f ca="1">Assumptions!P$66</f>
        <v>84</v>
      </c>
      <c r="K182" s="271">
        <f t="shared" ca="1" si="312"/>
        <v>42</v>
      </c>
      <c r="L182" s="15"/>
      <c r="M182" s="35">
        <f t="shared" ca="1" si="315"/>
        <v>3.8539999999999996</v>
      </c>
      <c r="N182" s="35">
        <f t="shared" ca="1" si="313"/>
        <v>74.22483348029715</v>
      </c>
      <c r="O182" s="35" t="str">
        <f t="shared" ca="1" si="314"/>
        <v>N/A</v>
      </c>
      <c r="P182" s="15"/>
      <c r="Q182" s="397">
        <f ca="1">SUM(Start:End!Q182)</f>
        <v>143057.11817506174</v>
      </c>
      <c r="R182" s="397">
        <f ca="1">SUM(Start:End!R182)</f>
        <v>28328.733687754288</v>
      </c>
      <c r="S182" s="397">
        <f ca="1">SUM(Start:End!S182)</f>
        <v>0</v>
      </c>
      <c r="T182" s="397">
        <f ca="1">SUM(Start:End!T182)</f>
        <v>171385.85186281602</v>
      </c>
      <c r="U182" s="15"/>
      <c r="V182" s="35">
        <f t="shared" ref="V182" ca="1" si="323">+IFERROR(W182/$G182,"N/A")</f>
        <v>0.3211611668985922</v>
      </c>
      <c r="W182" s="397">
        <f ca="1">SUM(Start:End!W182)</f>
        <v>12656.670767781579</v>
      </c>
      <c r="X182" s="35">
        <f t="shared" ref="X182" ca="1" si="324">+IFERROR(Y182/$G182,"N/A")</f>
        <v>0.36790845887606571</v>
      </c>
      <c r="Y182" s="397">
        <f ca="1">SUM(Start:End!Y182)</f>
        <v>14498.939213739306</v>
      </c>
      <c r="Z182" s="35">
        <f t="shared" ca="1" si="318"/>
        <v>0.57672136796788676</v>
      </c>
      <c r="AA182" s="397">
        <f ca="1">SUM(Start:End!AA182)</f>
        <v>22728.066875591343</v>
      </c>
      <c r="AB182" s="397">
        <f ca="1">SUM(Start:End!AB182)</f>
        <v>49883.676857112237</v>
      </c>
      <c r="AC182" s="15"/>
      <c r="AD182" s="397">
        <f ca="1">SUM(Start:End!AD182)</f>
        <v>121502.1750057038</v>
      </c>
      <c r="AE182" s="397">
        <f ca="1">SUM(Start:End!AE182)</f>
        <v>191632.47826086954</v>
      </c>
      <c r="AF182" s="397">
        <f ca="1">SUM(Start:End!AF182)</f>
        <v>-70130.303255165738</v>
      </c>
      <c r="AG182" s="15"/>
      <c r="AH182" s="273">
        <f t="shared" si="322"/>
        <v>42735</v>
      </c>
      <c r="AI182" s="267"/>
      <c r="AJ182" s="267"/>
      <c r="AK182" s="397">
        <f ca="1">SUM(Start:End!AK182)</f>
        <v>-54390.772006936524</v>
      </c>
      <c r="AL182" s="233"/>
    </row>
    <row r="183" spans="2:38" x14ac:dyDescent="0.3">
      <c r="B183" s="232"/>
      <c r="C183" s="250">
        <f t="shared" si="319"/>
        <v>2017</v>
      </c>
      <c r="D183" s="397">
        <f ca="1">SUM(Start:End!D183)</f>
        <v>63909.088690222743</v>
      </c>
      <c r="E183" s="397">
        <f ca="1">SUM(Start:End!E183)</f>
        <v>1072.4757707915078</v>
      </c>
      <c r="F183" s="397">
        <f ca="1">SUM(Start:End!F183)</f>
        <v>0</v>
      </c>
      <c r="G183" s="397">
        <f ca="1">SUM(Start:End!G183)</f>
        <v>70343.943314971795</v>
      </c>
      <c r="H183" s="15"/>
      <c r="I183" s="271">
        <f ca="1">Assumptions!O$67</f>
        <v>4.2</v>
      </c>
      <c r="J183" s="271">
        <f ca="1">Assumptions!P$67</f>
        <v>82</v>
      </c>
      <c r="K183" s="271">
        <f t="shared" ca="1" si="312"/>
        <v>41</v>
      </c>
      <c r="L183" s="15"/>
      <c r="M183" s="35">
        <f t="shared" ca="1" si="315"/>
        <v>3.9480000000000004</v>
      </c>
      <c r="N183" s="35">
        <f t="shared" ca="1" si="313"/>
        <v>69.801708348559515</v>
      </c>
      <c r="O183" s="35" t="str">
        <f t="shared" ca="1" si="314"/>
        <v>N/A</v>
      </c>
      <c r="P183" s="15"/>
      <c r="Q183" s="397">
        <f ca="1">SUM(Start:End!Q183)</f>
        <v>252313.08214899941</v>
      </c>
      <c r="R183" s="397">
        <f ca="1">SUM(Start:End!R183)</f>
        <v>74860.640963685393</v>
      </c>
      <c r="S183" s="397">
        <f ca="1">SUM(Start:End!S183)</f>
        <v>0</v>
      </c>
      <c r="T183" s="397">
        <f ca="1">SUM(Start:End!T183)</f>
        <v>327173.72311268479</v>
      </c>
      <c r="U183" s="15"/>
      <c r="V183" s="35">
        <f t="shared" ref="V183" ca="1" si="325">+IFERROR(W183/$G183,"N/A")</f>
        <v>0.33984323964787166</v>
      </c>
      <c r="W183" s="397">
        <f ca="1">SUM(Start:End!W183)</f>
        <v>23905.913585766259</v>
      </c>
      <c r="X183" s="35">
        <f t="shared" ref="X183" ca="1" si="326">+IFERROR(Y183/$G183,"N/A")</f>
        <v>0.36440754147285248</v>
      </c>
      <c r="Y183" s="397">
        <f ca="1">SUM(Start:End!Y183)</f>
        <v>25633.863440914567</v>
      </c>
      <c r="Z183" s="35">
        <f t="shared" ca="1" si="318"/>
        <v>0.57123344338987669</v>
      </c>
      <c r="AA183" s="397">
        <f ca="1">SUM(Start:End!AA183)</f>
        <v>40182.812961433636</v>
      </c>
      <c r="AB183" s="397">
        <f ca="1">SUM(Start:End!AB183)</f>
        <v>89722.589988114458</v>
      </c>
      <c r="AC183" s="15"/>
      <c r="AD183" s="397">
        <f ca="1">SUM(Start:End!AD183)</f>
        <v>237451.13312457033</v>
      </c>
      <c r="AE183" s="397">
        <f ca="1">SUM(Start:End!AE183)</f>
        <v>271604.35453411192</v>
      </c>
      <c r="AF183" s="397">
        <f ca="1">SUM(Start:End!AF183)</f>
        <v>-34153.221409541584</v>
      </c>
      <c r="AG183" s="15"/>
      <c r="AH183" s="273">
        <f t="shared" si="322"/>
        <v>43100</v>
      </c>
      <c r="AI183" s="267"/>
      <c r="AJ183" s="267"/>
      <c r="AK183" s="397">
        <f ca="1">SUM(Start:End!AK183)</f>
        <v>-24080.111563314284</v>
      </c>
      <c r="AL183" s="233"/>
    </row>
    <row r="184" spans="2:38" x14ac:dyDescent="0.3">
      <c r="B184" s="232"/>
      <c r="C184" s="250">
        <f t="shared" si="319"/>
        <v>2018</v>
      </c>
      <c r="D184" s="397">
        <f ca="1">SUM(Start:End!D184)</f>
        <v>108486.16660583645</v>
      </c>
      <c r="E184" s="397">
        <f ca="1">SUM(Start:End!E184)</f>
        <v>1634.3458295438809</v>
      </c>
      <c r="F184" s="397">
        <f ca="1">SUM(Start:End!F184)</f>
        <v>0</v>
      </c>
      <c r="G184" s="397">
        <f ca="1">SUM(Start:End!G184)</f>
        <v>118292.24158309975</v>
      </c>
      <c r="H184" s="15"/>
      <c r="I184" s="271">
        <f ca="1">Assumptions!O$68</f>
        <v>4.5</v>
      </c>
      <c r="J184" s="271">
        <f ca="1">Assumptions!P$68</f>
        <v>80</v>
      </c>
      <c r="K184" s="271">
        <f t="shared" ca="1" si="312"/>
        <v>40</v>
      </c>
      <c r="L184" s="15"/>
      <c r="M184" s="35">
        <f t="shared" ca="1" si="315"/>
        <v>4.2299999999999995</v>
      </c>
      <c r="N184" s="35">
        <f t="shared" ca="1" si="313"/>
        <v>68.56622499785685</v>
      </c>
      <c r="O184" s="35" t="str">
        <f t="shared" ca="1" si="314"/>
        <v>N/A</v>
      </c>
      <c r="P184" s="15"/>
      <c r="Q184" s="397">
        <f ca="1">SUM(Start:End!Q184)</f>
        <v>458896.48474268813</v>
      </c>
      <c r="R184" s="397">
        <f ca="1">SUM(Start:End!R184)</f>
        <v>112060.92387281475</v>
      </c>
      <c r="S184" s="397">
        <f ca="1">SUM(Start:End!S184)</f>
        <v>0</v>
      </c>
      <c r="T184" s="397">
        <f ca="1">SUM(Start:End!T184)</f>
        <v>570957.40861550288</v>
      </c>
      <c r="U184" s="15"/>
      <c r="V184" s="35">
        <f t="shared" ref="V184" ca="1" si="327">+IFERROR(W184/$G184,"N/A")</f>
        <v>0.3350396798490623</v>
      </c>
      <c r="W184" s="397">
        <f ca="1">SUM(Start:End!W184)</f>
        <v>39632.594748629672</v>
      </c>
      <c r="X184" s="35">
        <f t="shared" ref="X184" ca="1" si="328">+IFERROR(Y184/$G184,"N/A")</f>
        <v>0.36530770208793595</v>
      </c>
      <c r="Y184" s="397">
        <f ca="1">SUM(Start:End!Y184)</f>
        <v>43213.066947553154</v>
      </c>
      <c r="Z184" s="35">
        <f t="shared" ca="1" si="318"/>
        <v>0.5726445059756835</v>
      </c>
      <c r="AA184" s="397">
        <f ca="1">SUM(Start:End!AA184)</f>
        <v>67739.402242110358</v>
      </c>
      <c r="AB184" s="397">
        <f ca="1">SUM(Start:End!AB184)</f>
        <v>150585.06393829317</v>
      </c>
      <c r="AC184" s="15"/>
      <c r="AD184" s="397">
        <f ca="1">SUM(Start:End!AD184)</f>
        <v>420372.34467720968</v>
      </c>
      <c r="AE184" s="397">
        <f ca="1">SUM(Start:End!AE184)</f>
        <v>417569.75605311117</v>
      </c>
      <c r="AF184" s="397">
        <f ca="1">SUM(Start:End!AF184)</f>
        <v>2802.5886240985274</v>
      </c>
      <c r="AG184" s="15"/>
      <c r="AH184" s="273">
        <f t="shared" si="322"/>
        <v>43465</v>
      </c>
      <c r="AI184" s="267"/>
      <c r="AJ184" s="267"/>
      <c r="AK184" s="397">
        <f ca="1">SUM(Start:End!AK184)</f>
        <v>1796.3604749185833</v>
      </c>
      <c r="AL184" s="233"/>
    </row>
    <row r="185" spans="2:38" x14ac:dyDescent="0.3">
      <c r="B185" s="232"/>
      <c r="C185" s="250">
        <f t="shared" si="319"/>
        <v>2019</v>
      </c>
      <c r="D185" s="397">
        <f ca="1">SUM(Start:End!D185)</f>
        <v>134251.67203802339</v>
      </c>
      <c r="E185" s="397">
        <f ca="1">SUM(Start:End!E185)</f>
        <v>1989.392931461985</v>
      </c>
      <c r="F185" s="397">
        <f ca="1">SUM(Start:End!F185)</f>
        <v>0</v>
      </c>
      <c r="G185" s="397">
        <f ca="1">SUM(Start:End!G185)</f>
        <v>146188.02962679529</v>
      </c>
      <c r="H185" s="15"/>
      <c r="I185" s="271">
        <f ca="1">Assumptions!O$68</f>
        <v>4.5</v>
      </c>
      <c r="J185" s="271">
        <f ca="1">Assumptions!P$68</f>
        <v>80</v>
      </c>
      <c r="K185" s="271">
        <f t="shared" ca="1" si="312"/>
        <v>40</v>
      </c>
      <c r="L185" s="15"/>
      <c r="M185" s="35">
        <f t="shared" ca="1" si="315"/>
        <v>4.2300000000000004</v>
      </c>
      <c r="N185" s="35">
        <f t="shared" ca="1" si="313"/>
        <v>68.642223392712467</v>
      </c>
      <c r="O185" s="35" t="str">
        <f t="shared" ca="1" si="314"/>
        <v>N/A</v>
      </c>
      <c r="P185" s="15"/>
      <c r="Q185" s="397">
        <f ca="1">SUM(Start:End!Q185)</f>
        <v>567884.57272083894</v>
      </c>
      <c r="R185" s="397">
        <f ca="1">SUM(Start:End!R185)</f>
        <v>136556.35401729669</v>
      </c>
      <c r="S185" s="397">
        <f ca="1">SUM(Start:End!S185)</f>
        <v>0</v>
      </c>
      <c r="T185" s="397">
        <f ca="1">SUM(Start:End!T185)</f>
        <v>704440.92673813552</v>
      </c>
      <c r="U185" s="15"/>
      <c r="V185" s="35">
        <f t="shared" ref="V185" ca="1" si="329">+IFERROR(W185/$G185,"N/A")</f>
        <v>0.33434192768448717</v>
      </c>
      <c r="W185" s="397">
        <f ca="1">SUM(Start:End!W185)</f>
        <v>48876.787629819664</v>
      </c>
      <c r="X185" s="35">
        <f t="shared" ref="X185" ca="1" si="330">+IFERROR(Y185/$G185,"N/A")</f>
        <v>0.36543845699553507</v>
      </c>
      <c r="Y185" s="397">
        <f ca="1">SUM(Start:End!Y185)</f>
        <v>53422.727978033639</v>
      </c>
      <c r="Z185" s="35">
        <f t="shared" ca="1" si="318"/>
        <v>0.57284947312813606</v>
      </c>
      <c r="AA185" s="397">
        <f ca="1">SUM(Start:End!AA185)</f>
        <v>83743.735749350031</v>
      </c>
      <c r="AB185" s="397">
        <f ca="1">SUM(Start:End!AB185)</f>
        <v>186043.25135720335</v>
      </c>
      <c r="AC185" s="15"/>
      <c r="AD185" s="397">
        <f ca="1">SUM(Start:End!AD185)</f>
        <v>518397.67538093228</v>
      </c>
      <c r="AE185" s="397">
        <f ca="1">SUM(Start:End!AE185)</f>
        <v>417569.75605311117</v>
      </c>
      <c r="AF185" s="397">
        <f ca="1">SUM(Start:End!AF185)</f>
        <v>100827.91932782109</v>
      </c>
      <c r="AG185" s="15"/>
      <c r="AH185" s="273">
        <f t="shared" si="322"/>
        <v>43830</v>
      </c>
      <c r="AI185" s="267"/>
      <c r="AJ185" s="267"/>
      <c r="AK185" s="397">
        <f ca="1">SUM(Start:End!AK185)</f>
        <v>58751.945998443407</v>
      </c>
      <c r="AL185" s="233"/>
    </row>
    <row r="186" spans="2:38" x14ac:dyDescent="0.3">
      <c r="B186" s="232"/>
      <c r="C186" s="250">
        <f t="shared" si="319"/>
        <v>2020</v>
      </c>
      <c r="D186" s="397">
        <f ca="1">SUM(Start:End!D186)</f>
        <v>154339.86406914756</v>
      </c>
      <c r="E186" s="397">
        <f ca="1">SUM(Start:End!E186)</f>
        <v>1756.247278034132</v>
      </c>
      <c r="F186" s="397">
        <f ca="1">SUM(Start:End!F186)</f>
        <v>0</v>
      </c>
      <c r="G186" s="397">
        <f ca="1">SUM(Start:End!G186)</f>
        <v>164877.34773735236</v>
      </c>
      <c r="H186" s="15"/>
      <c r="I186" s="271">
        <f ca="1">Assumptions!O$68</f>
        <v>4.5</v>
      </c>
      <c r="J186" s="271">
        <f ca="1">Assumptions!P$68</f>
        <v>80</v>
      </c>
      <c r="K186" s="271">
        <f t="shared" ca="1" si="312"/>
        <v>40</v>
      </c>
      <c r="L186" s="15"/>
      <c r="M186" s="35">
        <f t="shared" ca="1" si="315"/>
        <v>4.2299999999999995</v>
      </c>
      <c r="N186" s="35">
        <f t="shared" ca="1" si="313"/>
        <v>70.045320802183269</v>
      </c>
      <c r="O186" s="35" t="str">
        <f t="shared" ca="1" si="314"/>
        <v>N/A</v>
      </c>
      <c r="P186" s="15"/>
      <c r="Q186" s="397">
        <f ca="1">SUM(Start:End!Q186)</f>
        <v>652857.62501249404</v>
      </c>
      <c r="R186" s="397">
        <f ca="1">SUM(Start:End!R186)</f>
        <v>123016.90399786193</v>
      </c>
      <c r="S186" s="397">
        <f ca="1">SUM(Start:End!S186)</f>
        <v>0</v>
      </c>
      <c r="T186" s="397">
        <f ca="1">SUM(Start:End!T186)</f>
        <v>775874.52901035594</v>
      </c>
      <c r="U186" s="15"/>
      <c r="V186" s="35">
        <f t="shared" ref="V186" ca="1" si="331">+IFERROR(W186/$G186,"N/A")</f>
        <v>0.32441027395362937</v>
      </c>
      <c r="W186" s="397">
        <f ca="1">SUM(Start:End!W186)</f>
        <v>53487.90554822229</v>
      </c>
      <c r="X186" s="35">
        <f t="shared" ref="X186" ca="1" si="332">+IFERROR(Y186/$G186,"N/A")</f>
        <v>0.36729959413249369</v>
      </c>
      <c r="Y186" s="397">
        <f ca="1">SUM(Start:End!Y186)</f>
        <v>60559.382905571554</v>
      </c>
      <c r="Z186" s="35">
        <f t="shared" ca="1" si="318"/>
        <v>0.57576693134282797</v>
      </c>
      <c r="AA186" s="397">
        <f ca="1">SUM(Start:End!AA186)</f>
        <v>94930.924554679732</v>
      </c>
      <c r="AB186" s="397">
        <f ca="1">SUM(Start:End!AB186)</f>
        <v>208978.21300847357</v>
      </c>
      <c r="AC186" s="15"/>
      <c r="AD186" s="397">
        <f ca="1">SUM(Start:End!AD186)</f>
        <v>566896.31600188231</v>
      </c>
      <c r="AE186" s="397">
        <f ca="1">SUM(Start:End!AE186)</f>
        <v>388886.88648789376</v>
      </c>
      <c r="AF186" s="397">
        <f ca="1">SUM(Start:End!AF186)</f>
        <v>178009.42951398858</v>
      </c>
      <c r="AG186" s="15"/>
      <c r="AH186" s="273">
        <f t="shared" si="322"/>
        <v>44196</v>
      </c>
      <c r="AI186" s="267"/>
      <c r="AJ186" s="267"/>
      <c r="AK186" s="397">
        <f ca="1">SUM(Start:End!AK186)</f>
        <v>94295.675062851384</v>
      </c>
      <c r="AL186" s="233"/>
    </row>
    <row r="187" spans="2:38" x14ac:dyDescent="0.3">
      <c r="B187" s="232"/>
      <c r="C187" s="250">
        <f t="shared" si="319"/>
        <v>2021</v>
      </c>
      <c r="D187" s="397">
        <f ca="1">SUM(Start:End!D187)</f>
        <v>171228.97718032548</v>
      </c>
      <c r="E187" s="397">
        <f ca="1">SUM(Start:End!E187)</f>
        <v>1701.9096147245759</v>
      </c>
      <c r="F187" s="397">
        <f ca="1">SUM(Start:End!F187)</f>
        <v>0</v>
      </c>
      <c r="G187" s="397">
        <f ca="1">SUM(Start:End!G187)</f>
        <v>181440.43486867295</v>
      </c>
      <c r="H187" s="15"/>
      <c r="I187" s="271">
        <f ca="1">Assumptions!O$68</f>
        <v>4.5</v>
      </c>
      <c r="J187" s="271">
        <f ca="1">Assumptions!P$68</f>
        <v>80</v>
      </c>
      <c r="K187" s="271">
        <f t="shared" ca="1" si="312"/>
        <v>40</v>
      </c>
      <c r="L187" s="15"/>
      <c r="M187" s="35">
        <f t="shared" ca="1" si="315"/>
        <v>4.2299999999999995</v>
      </c>
      <c r="N187" s="35">
        <f t="shared" ca="1" si="313"/>
        <v>70.92098126444985</v>
      </c>
      <c r="O187" s="35" t="str">
        <f t="shared" ca="1" si="314"/>
        <v>N/A</v>
      </c>
      <c r="P187" s="15"/>
      <c r="Q187" s="397">
        <f ca="1">SUM(Start:End!Q187)</f>
        <v>724298.57347277668</v>
      </c>
      <c r="R187" s="397">
        <f ca="1">SUM(Start:End!R187)</f>
        <v>120701.09989966871</v>
      </c>
      <c r="S187" s="397">
        <f ca="1">SUM(Start:End!S187)</f>
        <v>0</v>
      </c>
      <c r="T187" s="397">
        <f ca="1">SUM(Start:End!T187)</f>
        <v>844999.6733724454</v>
      </c>
      <c r="U187" s="15"/>
      <c r="V187" s="35">
        <f t="shared" ref="V187" ca="1" si="333">+IFERROR(W187/$G187,"N/A")</f>
        <v>0.32013796016081747</v>
      </c>
      <c r="W187" s="397">
        <f ca="1">SUM(Start:End!W187)</f>
        <v>58085.970709548616</v>
      </c>
      <c r="X187" s="35">
        <f t="shared" ref="X187" ca="1" si="334">+IFERROR(Y187/$G187,"N/A")</f>
        <v>0.36810020217582873</v>
      </c>
      <c r="Y187" s="397">
        <f ca="1">SUM(Start:End!Y187)</f>
        <v>66788.260758028802</v>
      </c>
      <c r="Z187" s="35">
        <f t="shared" ca="1" si="318"/>
        <v>0.57702193854589379</v>
      </c>
      <c r="AA187" s="397">
        <f ca="1">SUM(Start:End!AA187)</f>
        <v>104695.11145853164</v>
      </c>
      <c r="AB187" s="397">
        <f ca="1">SUM(Start:End!AB187)</f>
        <v>229569.34292610906</v>
      </c>
      <c r="AC187" s="15"/>
      <c r="AD187" s="397">
        <f ca="1">SUM(Start:End!AD187)</f>
        <v>615430.3304463363</v>
      </c>
      <c r="AE187" s="397">
        <f ca="1">SUM(Start:End!AE187)</f>
        <v>386218.7125748503</v>
      </c>
      <c r="AF187" s="397">
        <f ca="1">SUM(Start:End!AF187)</f>
        <v>229211.61787148603</v>
      </c>
      <c r="AG187" s="15"/>
      <c r="AH187" s="273">
        <f t="shared" si="322"/>
        <v>44561</v>
      </c>
      <c r="AI187" s="267"/>
      <c r="AJ187" s="267"/>
      <c r="AK187" s="397">
        <f ca="1">SUM(Start:End!AK187)</f>
        <v>110380.58897140733</v>
      </c>
      <c r="AL187" s="233"/>
    </row>
    <row r="188" spans="2:38" x14ac:dyDescent="0.3">
      <c r="B188" s="232"/>
      <c r="C188" s="250">
        <f t="shared" si="319"/>
        <v>2022</v>
      </c>
      <c r="D188" s="397">
        <f ca="1">SUM(Start:End!D188)</f>
        <v>185985.53118976025</v>
      </c>
      <c r="E188" s="397">
        <f ca="1">SUM(Start:End!E188)</f>
        <v>1736.3954893574287</v>
      </c>
      <c r="F188" s="397">
        <f ca="1">SUM(Start:End!F188)</f>
        <v>0</v>
      </c>
      <c r="G188" s="397">
        <f ca="1">SUM(Start:End!G188)</f>
        <v>196403.90412590484</v>
      </c>
      <c r="H188" s="15"/>
      <c r="I188" s="271">
        <f ca="1">Assumptions!O$68</f>
        <v>4.5</v>
      </c>
      <c r="J188" s="271">
        <f ca="1">Assumptions!P$68</f>
        <v>80</v>
      </c>
      <c r="K188" s="271">
        <f t="shared" ca="1" si="312"/>
        <v>40</v>
      </c>
      <c r="L188" s="15"/>
      <c r="M188" s="35">
        <f t="shared" ca="1" si="315"/>
        <v>4.2300000000000004</v>
      </c>
      <c r="N188" s="35">
        <f t="shared" ca="1" si="313"/>
        <v>71.368132266224691</v>
      </c>
      <c r="O188" s="35" t="str">
        <f t="shared" ca="1" si="314"/>
        <v>N/A</v>
      </c>
      <c r="P188" s="15"/>
      <c r="Q188" s="397">
        <f ca="1">SUM(Start:End!Q188)</f>
        <v>786718.79693268589</v>
      </c>
      <c r="R188" s="397">
        <f ca="1">SUM(Start:End!R188)</f>
        <v>123923.30295093692</v>
      </c>
      <c r="S188" s="397">
        <f ca="1">SUM(Start:End!S188)</f>
        <v>0</v>
      </c>
      <c r="T188" s="397">
        <f ca="1">SUM(Start:End!T188)</f>
        <v>910642.09988362272</v>
      </c>
      <c r="U188" s="15"/>
      <c r="V188" s="35">
        <f t="shared" ref="V188" ca="1" si="335">+IFERROR(W188/$G188,"N/A")</f>
        <v>0.31832722276264208</v>
      </c>
      <c r="W188" s="397">
        <f ca="1">SUM(Start:End!W188)</f>
        <v>62520.70934013951</v>
      </c>
      <c r="X188" s="35">
        <f t="shared" ref="X188" ca="1" si="336">+IFERROR(Y188/$G188,"N/A")</f>
        <v>0.36843952437818805</v>
      </c>
      <c r="Y188" s="397">
        <f ca="1">SUM(Start:End!Y188)</f>
        <v>72362.961022167627</v>
      </c>
      <c r="Z188" s="35">
        <f t="shared" ca="1" si="318"/>
        <v>0.57755384902526774</v>
      </c>
      <c r="AA188" s="397">
        <f ca="1">SUM(Start:End!AA188)</f>
        <v>113433.830791506</v>
      </c>
      <c r="AB188" s="397">
        <f ca="1">SUM(Start:End!AB188)</f>
        <v>248317.50115381318</v>
      </c>
      <c r="AC188" s="15"/>
      <c r="AD188" s="397">
        <f ca="1">SUM(Start:End!AD188)</f>
        <v>662324.59872980963</v>
      </c>
      <c r="AE188" s="397">
        <f ca="1">SUM(Start:End!AE188)</f>
        <v>386218.7125748503</v>
      </c>
      <c r="AF188" s="397">
        <f ca="1">SUM(Start:End!AF188)</f>
        <v>276105.88615495927</v>
      </c>
      <c r="AG188" s="15"/>
      <c r="AH188" s="273">
        <f t="shared" si="322"/>
        <v>44926</v>
      </c>
      <c r="AI188" s="267"/>
      <c r="AJ188" s="267"/>
      <c r="AK188" s="397">
        <f ca="1">SUM(Start:End!AK188)</f>
        <v>120875.71625363242</v>
      </c>
      <c r="AL188" s="233"/>
    </row>
    <row r="189" spans="2:38" x14ac:dyDescent="0.3">
      <c r="B189" s="232"/>
      <c r="C189" s="250">
        <f t="shared" si="319"/>
        <v>2023</v>
      </c>
      <c r="D189" s="397">
        <f ca="1">SUM(Start:End!D189)</f>
        <v>199191.16660846223</v>
      </c>
      <c r="E189" s="397">
        <f ca="1">SUM(Start:End!E189)</f>
        <v>1773.1230708710789</v>
      </c>
      <c r="F189" s="397">
        <f ca="1">SUM(Start:End!F189)</f>
        <v>0</v>
      </c>
      <c r="G189" s="397">
        <f ca="1">SUM(Start:End!G189)</f>
        <v>209829.90503368867</v>
      </c>
      <c r="H189" s="15"/>
      <c r="I189" s="271">
        <f ca="1">Assumptions!O$68</f>
        <v>4.5</v>
      </c>
      <c r="J189" s="271">
        <f ca="1">Assumptions!P$68</f>
        <v>80</v>
      </c>
      <c r="K189" s="271">
        <f t="shared" ca="1" si="312"/>
        <v>40</v>
      </c>
      <c r="L189" s="15"/>
      <c r="M189" s="35">
        <f t="shared" ca="1" si="315"/>
        <v>4.2299999999999995</v>
      </c>
      <c r="N189" s="35">
        <f t="shared" ca="1" si="313"/>
        <v>71.727839567728054</v>
      </c>
      <c r="O189" s="35" t="str">
        <f t="shared" ca="1" si="314"/>
        <v>N/A</v>
      </c>
      <c r="P189" s="15"/>
      <c r="Q189" s="397">
        <f ca="1">SUM(Start:End!Q189)</f>
        <v>842578.63475379511</v>
      </c>
      <c r="R189" s="397">
        <f ca="1">SUM(Start:End!R189)</f>
        <v>127182.28716127806</v>
      </c>
      <c r="S189" s="397">
        <f ca="1">SUM(Start:End!S189)</f>
        <v>0</v>
      </c>
      <c r="T189" s="397">
        <f ca="1">SUM(Start:End!T189)</f>
        <v>969760.92191507306</v>
      </c>
      <c r="U189" s="15"/>
      <c r="V189" s="35">
        <f t="shared" ref="V189" ca="1" si="337">+IFERROR(W189/$G189,"N/A")</f>
        <v>0.31701496364286957</v>
      </c>
      <c r="W189" s="397">
        <f ca="1">SUM(Start:End!W189)</f>
        <v>66519.219715441592</v>
      </c>
      <c r="X189" s="35">
        <f t="shared" ref="X189" ca="1" si="338">+IFERROR(Y189/$G189,"N/A")</f>
        <v>0.36868543450023888</v>
      </c>
      <c r="Y189" s="397">
        <f ca="1">SUM(Start:End!Y189)</f>
        <v>77361.229708489365</v>
      </c>
      <c r="Z189" s="35">
        <f t="shared" ca="1" si="318"/>
        <v>0.57793932975713114</v>
      </c>
      <c r="AA189" s="397">
        <f ca="1">SUM(Start:End!AA189)</f>
        <v>121268.95467817251</v>
      </c>
      <c r="AB189" s="397">
        <f ca="1">SUM(Start:End!AB189)</f>
        <v>265149.40410210344</v>
      </c>
      <c r="AC189" s="15"/>
      <c r="AD189" s="397">
        <f ca="1">SUM(Start:End!AD189)</f>
        <v>704611.51781296975</v>
      </c>
      <c r="AE189" s="397">
        <f ca="1">SUM(Start:End!AE189)</f>
        <v>386218.7125748503</v>
      </c>
      <c r="AF189" s="397">
        <f ca="1">SUM(Start:End!AF189)</f>
        <v>318392.80523811938</v>
      </c>
      <c r="AG189" s="15"/>
      <c r="AH189" s="273">
        <f t="shared" si="322"/>
        <v>45291</v>
      </c>
      <c r="AI189" s="267"/>
      <c r="AJ189" s="267"/>
      <c r="AK189" s="397">
        <f ca="1">SUM(Start:End!AK189)</f>
        <v>126716.72951639563</v>
      </c>
      <c r="AL189" s="233"/>
    </row>
    <row r="190" spans="2:38" x14ac:dyDescent="0.3">
      <c r="B190" s="232"/>
      <c r="C190" s="250">
        <f t="shared" si="319"/>
        <v>2024</v>
      </c>
      <c r="D190" s="397">
        <f ca="1">SUM(Start:End!D190)</f>
        <v>211205.51012248616</v>
      </c>
      <c r="E190" s="397">
        <f ca="1">SUM(Start:End!E190)</f>
        <v>1807.0329546708404</v>
      </c>
      <c r="F190" s="397">
        <f ca="1">SUM(Start:End!F190)</f>
        <v>0</v>
      </c>
      <c r="G190" s="397">
        <f ca="1">SUM(Start:End!G190)</f>
        <v>222047.70785051121</v>
      </c>
      <c r="H190" s="15"/>
      <c r="I190" s="271">
        <f ca="1">Assumptions!O$68</f>
        <v>4.5</v>
      </c>
      <c r="J190" s="271">
        <f ca="1">Assumptions!P$68</f>
        <v>80</v>
      </c>
      <c r="K190" s="271">
        <f t="shared" ca="1" si="312"/>
        <v>40</v>
      </c>
      <c r="L190" s="15"/>
      <c r="M190" s="35">
        <f t="shared" ca="1" si="315"/>
        <v>4.2299999999999995</v>
      </c>
      <c r="N190" s="35">
        <f t="shared" ca="1" si="313"/>
        <v>72.040185604056163</v>
      </c>
      <c r="O190" s="35" t="str">
        <f t="shared" ca="1" si="314"/>
        <v>N/A</v>
      </c>
      <c r="P190" s="15"/>
      <c r="Q190" s="397">
        <f ca="1">SUM(Start:End!Q190)</f>
        <v>893399.30781811639</v>
      </c>
      <c r="R190" s="397">
        <f ca="1">SUM(Start:End!R190)</f>
        <v>130178.98944713335</v>
      </c>
      <c r="S190" s="397">
        <f ca="1">SUM(Start:End!S190)</f>
        <v>0</v>
      </c>
      <c r="T190" s="397">
        <f ca="1">SUM(Start:End!T190)</f>
        <v>1023578.2972652499</v>
      </c>
      <c r="U190" s="15"/>
      <c r="V190" s="35">
        <f t="shared" ref="V190" ca="1" si="339">+IFERROR(W190/$G190,"N/A")</f>
        <v>0.31596607932737658</v>
      </c>
      <c r="W190" s="397">
        <f ca="1">SUM(Start:End!W190)</f>
        <v>70159.543673156761</v>
      </c>
      <c r="X190" s="35">
        <f t="shared" ref="X190" ca="1" si="340">+IFERROR(Y190/$G190,"N/A")</f>
        <v>0.36888198963645674</v>
      </c>
      <c r="Y190" s="397">
        <f ca="1">SUM(Start:End!Y190)</f>
        <v>81909.400266111246</v>
      </c>
      <c r="Z190" s="35">
        <f t="shared" ca="1" si="318"/>
        <v>0.57824744321390498</v>
      </c>
      <c r="AA190" s="397">
        <f ca="1">SUM(Start:End!AA190)</f>
        <v>128398.51933606625</v>
      </c>
      <c r="AB190" s="397">
        <f ca="1">SUM(Start:End!AB190)</f>
        <v>280467.46327533427</v>
      </c>
      <c r="AC190" s="15"/>
      <c r="AD190" s="397">
        <f ca="1">SUM(Start:End!AD190)</f>
        <v>743110.83398991555</v>
      </c>
      <c r="AE190" s="397">
        <f ca="1">SUM(Start:End!AE190)</f>
        <v>386218.7125748503</v>
      </c>
      <c r="AF190" s="397">
        <f ca="1">SUM(Start:End!AF190)</f>
        <v>356892.12141506519</v>
      </c>
      <c r="AG190" s="15"/>
      <c r="AH190" s="273">
        <f t="shared" si="322"/>
        <v>45657</v>
      </c>
      <c r="AI190" s="267"/>
      <c r="AJ190" s="267"/>
      <c r="AK190" s="397">
        <f ca="1">SUM(Start:End!AK190)</f>
        <v>129126.38291691639</v>
      </c>
      <c r="AL190" s="233"/>
    </row>
    <row r="191" spans="2:38" x14ac:dyDescent="0.3">
      <c r="B191" s="232"/>
      <c r="C191" s="250">
        <f t="shared" si="319"/>
        <v>2025</v>
      </c>
      <c r="D191" s="397">
        <f ca="1">SUM(Start:End!D191)</f>
        <v>222269.39298329654</v>
      </c>
      <c r="E191" s="397">
        <f ca="1">SUM(Start:End!E191)</f>
        <v>1839.2119024024062</v>
      </c>
      <c r="F191" s="397">
        <f ca="1">SUM(Start:End!F191)</f>
        <v>0</v>
      </c>
      <c r="G191" s="397">
        <f ca="1">SUM(Start:End!G191)</f>
        <v>233304.66439771099</v>
      </c>
      <c r="H191" s="15"/>
      <c r="I191" s="271">
        <f ca="1">Assumptions!O$68</f>
        <v>4.5</v>
      </c>
      <c r="J191" s="271">
        <f ca="1">Assumptions!P$68</f>
        <v>80</v>
      </c>
      <c r="K191" s="271">
        <f t="shared" ca="1" si="312"/>
        <v>40</v>
      </c>
      <c r="L191" s="15"/>
      <c r="M191" s="35">
        <f t="shared" ca="1" si="315"/>
        <v>4.2300000000000004</v>
      </c>
      <c r="N191" s="35">
        <f t="shared" ca="1" si="313"/>
        <v>72.313325736242561</v>
      </c>
      <c r="O191" s="35" t="str">
        <f t="shared" ca="1" si="314"/>
        <v>N/A</v>
      </c>
      <c r="P191" s="15"/>
      <c r="Q191" s="397">
        <f ca="1">SUM(Start:End!Q191)</f>
        <v>940199.53231934435</v>
      </c>
      <c r="R191" s="397">
        <f ca="1">SUM(Start:End!R191)</f>
        <v>132999.52939639956</v>
      </c>
      <c r="S191" s="397">
        <f ca="1">SUM(Start:End!S191)</f>
        <v>0</v>
      </c>
      <c r="T191" s="397">
        <f ca="1">SUM(Start:End!T191)</f>
        <v>1073199.0617157437</v>
      </c>
      <c r="U191" s="15"/>
      <c r="V191" s="35">
        <f t="shared" ref="V191" ca="1" si="341">+IFERROR(W191/$G191,"N/A")</f>
        <v>0.31511039425048104</v>
      </c>
      <c r="W191" s="397">
        <f ca="1">SUM(Start:End!W191)</f>
        <v>73516.724778838878</v>
      </c>
      <c r="X191" s="35">
        <f t="shared" ref="X191" ca="1" si="342">+IFERROR(Y191/$G191,"N/A")</f>
        <v>0.36904234030083843</v>
      </c>
      <c r="Y191" s="397">
        <f ca="1">SUM(Start:End!Y191)</f>
        <v>86099.299352432965</v>
      </c>
      <c r="Z191" s="35">
        <f t="shared" ca="1" si="318"/>
        <v>0.57849880371482776</v>
      </c>
      <c r="AA191" s="397">
        <f ca="1">SUM(Start:End!AA191)</f>
        <v>134966.46925516517</v>
      </c>
      <c r="AB191" s="397">
        <f ca="1">SUM(Start:End!AB191)</f>
        <v>294582.49338643707</v>
      </c>
      <c r="AC191" s="15"/>
      <c r="AD191" s="397">
        <f ca="1">SUM(Start:End!AD191)</f>
        <v>778616.56832930679</v>
      </c>
      <c r="AE191" s="397">
        <f ca="1">SUM(Start:End!AE191)</f>
        <v>386218.7125748503</v>
      </c>
      <c r="AF191" s="397">
        <f ca="1">SUM(Start:End!AF191)</f>
        <v>392397.85575445648</v>
      </c>
      <c r="AG191" s="15"/>
      <c r="AH191" s="273">
        <f t="shared" si="322"/>
        <v>46022</v>
      </c>
      <c r="AI191" s="267"/>
      <c r="AJ191" s="267"/>
      <c r="AK191" s="397">
        <f ca="1">SUM(Start:End!AK191)</f>
        <v>129066.0340849481</v>
      </c>
      <c r="AL191" s="233"/>
    </row>
    <row r="192" spans="2:38" x14ac:dyDescent="0.3">
      <c r="B192" s="232"/>
      <c r="C192" s="250">
        <f t="shared" si="319"/>
        <v>2026</v>
      </c>
      <c r="D192" s="397">
        <f ca="1">SUM(Start:End!D192)</f>
        <v>232553.36663704755</v>
      </c>
      <c r="E192" s="397">
        <f ca="1">SUM(Start:End!E192)</f>
        <v>1870.332434038417</v>
      </c>
      <c r="F192" s="397">
        <f ca="1">SUM(Start:End!F192)</f>
        <v>0</v>
      </c>
      <c r="G192" s="397">
        <f ca="1">SUM(Start:End!G192)</f>
        <v>243775.36124127803</v>
      </c>
      <c r="H192" s="15"/>
      <c r="I192" s="271">
        <f ca="1">Assumptions!O$68</f>
        <v>4.5</v>
      </c>
      <c r="J192" s="271">
        <f ca="1">Assumptions!P$68</f>
        <v>80</v>
      </c>
      <c r="K192" s="271">
        <f t="shared" ca="1" si="312"/>
        <v>40</v>
      </c>
      <c r="L192" s="15"/>
      <c r="M192" s="35">
        <f t="shared" ca="1" si="315"/>
        <v>4.2299999999999995</v>
      </c>
      <c r="N192" s="35">
        <f t="shared" ca="1" si="313"/>
        <v>72.553241388939867</v>
      </c>
      <c r="O192" s="35" t="str">
        <f t="shared" ca="1" si="314"/>
        <v>N/A</v>
      </c>
      <c r="P192" s="15"/>
      <c r="Q192" s="397">
        <f ca="1">SUM(Start:End!Q192)</f>
        <v>983700.74087471096</v>
      </c>
      <c r="R192" s="397">
        <f ca="1">SUM(Start:End!R192)</f>
        <v>135698.68056435272</v>
      </c>
      <c r="S192" s="397">
        <f ca="1">SUM(Start:End!S192)</f>
        <v>0</v>
      </c>
      <c r="T192" s="397">
        <f ca="1">SUM(Start:End!T192)</f>
        <v>1119399.4214390637</v>
      </c>
      <c r="U192" s="15"/>
      <c r="V192" s="35">
        <f t="shared" ref="V192" ca="1" si="343">+IFERROR(W192/$G192,"N/A")</f>
        <v>0.31440180225158831</v>
      </c>
      <c r="W192" s="397">
        <f ca="1">SUM(Start:End!W192)</f>
        <v>76643.412918789807</v>
      </c>
      <c r="X192" s="35">
        <f t="shared" ref="X192" ca="1" si="344">+IFERROR(Y192/$G192,"N/A")</f>
        <v>0.36917512653360779</v>
      </c>
      <c r="Y192" s="397">
        <f ca="1">SUM(Start:End!Y192)</f>
        <v>89995.799832024772</v>
      </c>
      <c r="Z192" s="35">
        <f t="shared" ca="1" si="318"/>
        <v>0.57870695510673664</v>
      </c>
      <c r="AA192" s="397">
        <f ca="1">SUM(Start:End!AA192)</f>
        <v>141074.49703398481</v>
      </c>
      <c r="AB192" s="397">
        <f ca="1">SUM(Start:End!AB192)</f>
        <v>307713.70978479937</v>
      </c>
      <c r="AC192" s="15"/>
      <c r="AD192" s="397">
        <f ca="1">SUM(Start:End!AD192)</f>
        <v>811685.71165426436</v>
      </c>
      <c r="AE192" s="397">
        <f ca="1">SUM(Start:End!AE192)</f>
        <v>386218.7125748503</v>
      </c>
      <c r="AF192" s="397">
        <f ca="1">SUM(Start:End!AF192)</f>
        <v>425466.99907941406</v>
      </c>
      <c r="AG192" s="15"/>
      <c r="AH192" s="273">
        <f t="shared" si="322"/>
        <v>46387</v>
      </c>
      <c r="AI192" s="267"/>
      <c r="AJ192" s="267"/>
      <c r="AK192" s="397">
        <f ca="1">SUM(Start:End!AK192)</f>
        <v>127220.92085392008</v>
      </c>
      <c r="AL192" s="233"/>
    </row>
    <row r="193" spans="2:38" x14ac:dyDescent="0.3">
      <c r="B193" s="232"/>
      <c r="C193" s="250">
        <f t="shared" si="319"/>
        <v>2027</v>
      </c>
      <c r="D193" s="397">
        <f ca="1">SUM(Start:End!D193)</f>
        <v>242183.3463387074</v>
      </c>
      <c r="E193" s="397">
        <f ca="1">SUM(Start:End!E193)</f>
        <v>1900.8173841739751</v>
      </c>
      <c r="F193" s="397">
        <f ca="1">SUM(Start:End!F193)</f>
        <v>0</v>
      </c>
      <c r="G193" s="397">
        <f ca="1">SUM(Start:End!G193)</f>
        <v>253588.25064375123</v>
      </c>
      <c r="H193" s="15"/>
      <c r="I193" s="271">
        <f ca="1">Assumptions!O$68</f>
        <v>4.5</v>
      </c>
      <c r="J193" s="271">
        <f ca="1">Assumptions!P$68</f>
        <v>80</v>
      </c>
      <c r="K193" s="271">
        <f t="shared" ca="1" si="312"/>
        <v>40</v>
      </c>
      <c r="L193" s="15"/>
      <c r="M193" s="35">
        <f t="shared" ca="1" si="315"/>
        <v>4.2299999999999995</v>
      </c>
      <c r="N193" s="35">
        <f t="shared" ca="1" si="313"/>
        <v>72.764573419215736</v>
      </c>
      <c r="O193" s="35" t="str">
        <f t="shared" ca="1" si="314"/>
        <v>N/A</v>
      </c>
      <c r="P193" s="15"/>
      <c r="Q193" s="397">
        <f ca="1">SUM(Start:End!Q193)</f>
        <v>1024435.5550127322</v>
      </c>
      <c r="R193" s="397">
        <f ca="1">SUM(Start:End!R193)</f>
        <v>138312.16610724881</v>
      </c>
      <c r="S193" s="397">
        <f ca="1">SUM(Start:End!S193)</f>
        <v>0</v>
      </c>
      <c r="T193" s="397">
        <f ca="1">SUM(Start:End!T193)</f>
        <v>1162747.721119981</v>
      </c>
      <c r="U193" s="15"/>
      <c r="V193" s="35">
        <f t="shared" ref="V193" ca="1" si="345">+IFERROR(W193/$G193,"N/A")</f>
        <v>0.3138083224997319</v>
      </c>
      <c r="W193" s="397">
        <f ca="1">SUM(Start:End!W193)</f>
        <v>79578.103540157128</v>
      </c>
      <c r="X193" s="35">
        <f t="shared" ref="X193" ca="1" si="346">+IFERROR(Y193/$G193,"N/A")</f>
        <v>0.3692863413661166</v>
      </c>
      <c r="Y193" s="397">
        <f ca="1">SUM(Start:End!Y193)</f>
        <v>93646.677293664659</v>
      </c>
      <c r="Z193" s="35">
        <f t="shared" ca="1" si="318"/>
        <v>0.57888129187120996</v>
      </c>
      <c r="AA193" s="397">
        <f ca="1">SUM(Start:End!AA193)</f>
        <v>146797.4941360149</v>
      </c>
      <c r="AB193" s="397">
        <f ca="1">SUM(Start:End!AB193)</f>
        <v>320022.27496983664</v>
      </c>
      <c r="AC193" s="15"/>
      <c r="AD193" s="397">
        <f ca="1">SUM(Start:End!AD193)</f>
        <v>842725.44615014421</v>
      </c>
      <c r="AE193" s="397">
        <f ca="1">SUM(Start:End!AE193)</f>
        <v>386218.7125748503</v>
      </c>
      <c r="AF193" s="397">
        <f ca="1">SUM(Start:End!AF193)</f>
        <v>456506.73357529385</v>
      </c>
      <c r="AG193" s="15"/>
      <c r="AH193" s="273">
        <f t="shared" si="322"/>
        <v>46752</v>
      </c>
      <c r="AI193" s="267"/>
      <c r="AJ193" s="267"/>
      <c r="AK193" s="397">
        <f ca="1">SUM(Start:End!AK193)</f>
        <v>124092.96383231114</v>
      </c>
      <c r="AL193" s="233"/>
    </row>
    <row r="194" spans="2:38" x14ac:dyDescent="0.3">
      <c r="B194" s="232"/>
      <c r="C194" s="250">
        <f t="shared" si="319"/>
        <v>2028</v>
      </c>
      <c r="D194" s="397">
        <f ca="1">SUM(Start:End!D194)</f>
        <v>251255.34890966766</v>
      </c>
      <c r="E194" s="397">
        <f ca="1">SUM(Start:End!E194)</f>
        <v>1930.932828312466</v>
      </c>
      <c r="F194" s="397">
        <f ca="1">SUM(Start:End!F194)</f>
        <v>0</v>
      </c>
      <c r="G194" s="397">
        <f ca="1">SUM(Start:End!G194)</f>
        <v>262840.94587954244</v>
      </c>
      <c r="H194" s="15"/>
      <c r="I194" s="271">
        <f ca="1">Assumptions!O$68</f>
        <v>4.5</v>
      </c>
      <c r="J194" s="271">
        <f ca="1">Assumptions!P$68</f>
        <v>80</v>
      </c>
      <c r="K194" s="271">
        <f t="shared" ca="1" si="312"/>
        <v>40</v>
      </c>
      <c r="L194" s="15"/>
      <c r="M194" s="35">
        <f t="shared" ca="1" si="315"/>
        <v>4.2299999999999995</v>
      </c>
      <c r="N194" s="35">
        <f t="shared" ca="1" si="313"/>
        <v>72.951072048316377</v>
      </c>
      <c r="O194" s="35" t="str">
        <f t="shared" ca="1" si="314"/>
        <v>N/A</v>
      </c>
      <c r="P194" s="15"/>
      <c r="Q194" s="397">
        <f ca="1">SUM(Start:End!Q194)</f>
        <v>1062810.1258878941</v>
      </c>
      <c r="R194" s="397">
        <f ca="1">SUM(Start:End!R194)</f>
        <v>140863.61987868202</v>
      </c>
      <c r="S194" s="397">
        <f ca="1">SUM(Start:End!S194)</f>
        <v>0</v>
      </c>
      <c r="T194" s="397">
        <f ca="1">SUM(Start:End!T194)</f>
        <v>1203673.7457665761</v>
      </c>
      <c r="U194" s="15"/>
      <c r="V194" s="35">
        <f t="shared" ref="V194" ca="1" si="347">+IFERROR(W194/$G194,"N/A")</f>
        <v>0.3133068335438618</v>
      </c>
      <c r="W194" s="397">
        <f ca="1">SUM(Start:End!W194)</f>
        <v>82349.864479192998</v>
      </c>
      <c r="X194" s="35">
        <f t="shared" ref="X194" ca="1" si="348">+IFERROR(Y194/$G194,"N/A")</f>
        <v>0.36938031763077878</v>
      </c>
      <c r="Y194" s="397">
        <f ca="1">SUM(Start:End!Y194)</f>
        <v>97088.272075359724</v>
      </c>
      <c r="Z194" s="35">
        <f t="shared" ca="1" si="318"/>
        <v>0.57902860601581552</v>
      </c>
      <c r="AA194" s="397">
        <f ca="1">SUM(Start:End!AA194)</f>
        <v>152192.42649650987</v>
      </c>
      <c r="AB194" s="397">
        <f ca="1">SUM(Start:End!AB194)</f>
        <v>331630.56305106258</v>
      </c>
      <c r="AC194" s="15"/>
      <c r="AD194" s="397">
        <f ca="1">SUM(Start:End!AD194)</f>
        <v>872043.18271551351</v>
      </c>
      <c r="AE194" s="397">
        <f ca="1">SUM(Start:End!AE194)</f>
        <v>386218.7125748503</v>
      </c>
      <c r="AF194" s="397">
        <f ca="1">SUM(Start:End!AF194)</f>
        <v>485824.47014066327</v>
      </c>
      <c r="AG194" s="15"/>
      <c r="AH194" s="273">
        <f t="shared" si="322"/>
        <v>47118</v>
      </c>
      <c r="AI194" s="267"/>
      <c r="AJ194" s="267"/>
      <c r="AK194" s="397">
        <f ca="1">SUM(Start:End!AK194)</f>
        <v>120056.77417017979</v>
      </c>
      <c r="AL194" s="233"/>
    </row>
    <row r="195" spans="2:38" x14ac:dyDescent="0.3">
      <c r="B195" s="232"/>
      <c r="C195" s="250">
        <f t="shared" si="319"/>
        <v>2029</v>
      </c>
      <c r="D195" s="397">
        <f ca="1">SUM(Start:End!D195)</f>
        <v>259844.51408489002</v>
      </c>
      <c r="E195" s="397">
        <f ca="1">SUM(Start:End!E195)</f>
        <v>1960.8436538389542</v>
      </c>
      <c r="F195" s="397">
        <f ca="1">SUM(Start:End!F195)</f>
        <v>0</v>
      </c>
      <c r="G195" s="397">
        <f ca="1">SUM(Start:End!G195)</f>
        <v>271609.57600792375</v>
      </c>
      <c r="H195" s="15"/>
      <c r="I195" s="271">
        <f ca="1">Assumptions!O$68</f>
        <v>4.5</v>
      </c>
      <c r="J195" s="271">
        <f ca="1">Assumptions!P$68</f>
        <v>80</v>
      </c>
      <c r="K195" s="271">
        <f t="shared" ca="1" si="312"/>
        <v>40</v>
      </c>
      <c r="L195" s="15"/>
      <c r="M195" s="35">
        <f t="shared" ca="1" si="315"/>
        <v>4.2299999999999986</v>
      </c>
      <c r="N195" s="35">
        <f t="shared" ca="1" si="313"/>
        <v>73.115856673193122</v>
      </c>
      <c r="O195" s="35" t="str">
        <f t="shared" ca="1" si="314"/>
        <v>N/A</v>
      </c>
      <c r="P195" s="15"/>
      <c r="Q195" s="397">
        <f ca="1">SUM(Start:End!Q195)</f>
        <v>1099142.2945790845</v>
      </c>
      <c r="R195" s="397">
        <f ca="1">SUM(Start:End!R195)</f>
        <v>143368.76355262927</v>
      </c>
      <c r="S195" s="397">
        <f ca="1">SUM(Start:End!S195)</f>
        <v>0</v>
      </c>
      <c r="T195" s="397">
        <f ca="1">SUM(Start:End!T195)</f>
        <v>1242511.0581317139</v>
      </c>
      <c r="U195" s="15"/>
      <c r="V195" s="35">
        <f t="shared" ref="V195" ca="1" si="349">+IFERROR(W195/$G195,"N/A")</f>
        <v>0.31288006830384552</v>
      </c>
      <c r="W195" s="397">
        <f ca="1">SUM(Start:End!W195)</f>
        <v>84981.22269333771</v>
      </c>
      <c r="X195" s="35">
        <f t="shared" ref="X195" ca="1" si="350">+IFERROR(Y195/$G195,"N/A")</f>
        <v>0.36946029108318479</v>
      </c>
      <c r="Y195" s="397">
        <f ca="1">SUM(Start:End!Y195)</f>
        <v>100348.95301286792</v>
      </c>
      <c r="Z195" s="35">
        <f t="shared" ca="1" si="318"/>
        <v>0.57915396980607348</v>
      </c>
      <c r="AA195" s="397">
        <f ca="1">SUM(Start:End!AA195)</f>
        <v>157303.76418233349</v>
      </c>
      <c r="AB195" s="397">
        <f ca="1">SUM(Start:End!AB195)</f>
        <v>342633.93988853908</v>
      </c>
      <c r="AC195" s="15"/>
      <c r="AD195" s="397">
        <f ca="1">SUM(Start:End!AD195)</f>
        <v>899877.11824317463</v>
      </c>
      <c r="AE195" s="397">
        <f ca="1">SUM(Start:End!AE195)</f>
        <v>386218.7125748503</v>
      </c>
      <c r="AF195" s="397">
        <f ca="1">SUM(Start:End!AF195)</f>
        <v>513658.40566832427</v>
      </c>
      <c r="AG195" s="15"/>
      <c r="AH195" s="273">
        <f t="shared" si="322"/>
        <v>47483</v>
      </c>
      <c r="AI195" s="267"/>
      <c r="AJ195" s="267"/>
      <c r="AK195" s="397">
        <f ca="1">SUM(Start:End!AK195)</f>
        <v>115395.53331058678</v>
      </c>
      <c r="AL195" s="233"/>
    </row>
    <row r="196" spans="2:38" x14ac:dyDescent="0.3">
      <c r="B196" s="232"/>
      <c r="C196" s="250">
        <f t="shared" si="319"/>
        <v>2030</v>
      </c>
      <c r="D196" s="397">
        <f ca="1">SUM(Start:End!D196)</f>
        <v>268010.90842114476</v>
      </c>
      <c r="E196" s="397">
        <f ca="1">SUM(Start:End!E196)</f>
        <v>1990.6482594385679</v>
      </c>
      <c r="F196" s="397">
        <f ca="1">SUM(Start:End!F196)</f>
        <v>0</v>
      </c>
      <c r="G196" s="397">
        <f ca="1">SUM(Start:End!G196)</f>
        <v>279954.79797777615</v>
      </c>
      <c r="H196" s="15"/>
      <c r="I196" s="271">
        <f ca="1">Assumptions!O$68</f>
        <v>4.5</v>
      </c>
      <c r="J196" s="271">
        <f ca="1">Assumptions!P$68</f>
        <v>80</v>
      </c>
      <c r="K196" s="271">
        <f t="shared" ca="1" si="312"/>
        <v>40</v>
      </c>
      <c r="L196" s="15"/>
      <c r="M196" s="35">
        <f t="shared" ca="1" si="315"/>
        <v>4.2299999999999995</v>
      </c>
      <c r="N196" s="35">
        <f t="shared" ca="1" si="313"/>
        <v>73.261574940251293</v>
      </c>
      <c r="O196" s="35" t="str">
        <f t="shared" ca="1" si="314"/>
        <v>N/A</v>
      </c>
      <c r="P196" s="15"/>
      <c r="Q196" s="397">
        <f ca="1">SUM(Start:End!Q196)</f>
        <v>1133686.1426214422</v>
      </c>
      <c r="R196" s="397">
        <f ca="1">SUM(Start:End!R196)</f>
        <v>145838.02663853945</v>
      </c>
      <c r="S196" s="397">
        <f ca="1">SUM(Start:End!S196)</f>
        <v>0</v>
      </c>
      <c r="T196" s="397">
        <f ca="1">SUM(Start:End!T196)</f>
        <v>1279524.1692599817</v>
      </c>
      <c r="U196" s="15"/>
      <c r="V196" s="35">
        <f t="shared" ref="V196" ca="1" si="351">+IFERROR(W196/$G196,"N/A")</f>
        <v>0.31251479425563944</v>
      </c>
      <c r="W196" s="397">
        <f ca="1">SUM(Start:End!W196)</f>
        <v>87490.016090903824</v>
      </c>
      <c r="X196" s="35">
        <f t="shared" ref="X196" ca="1" si="352">+IFERROR(Y196/$G196,"N/A")</f>
        <v>0.36952874142536413</v>
      </c>
      <c r="Y196" s="397">
        <f ca="1">SUM(Start:End!Y196)</f>
        <v>103451.3441527197</v>
      </c>
      <c r="Z196" s="35">
        <f t="shared" ca="1" si="318"/>
        <v>0.57926127034246266</v>
      </c>
      <c r="AA196" s="397">
        <f ca="1">SUM(Start:End!AA196)</f>
        <v>162166.9719150741</v>
      </c>
      <c r="AB196" s="397">
        <f ca="1">SUM(Start:End!AB196)</f>
        <v>353108.33215869759</v>
      </c>
      <c r="AC196" s="15"/>
      <c r="AD196" s="397">
        <f ca="1">SUM(Start:End!AD196)</f>
        <v>926415.83710128395</v>
      </c>
      <c r="AE196" s="397">
        <f ca="1">SUM(Start:End!AE196)</f>
        <v>386218.7125748503</v>
      </c>
      <c r="AF196" s="397">
        <f ca="1">SUM(Start:End!AF196)</f>
        <v>540197.12452643365</v>
      </c>
      <c r="AG196" s="15"/>
      <c r="AH196" s="273">
        <f t="shared" si="322"/>
        <v>47848</v>
      </c>
      <c r="AI196" s="267"/>
      <c r="AJ196" s="267"/>
      <c r="AK196" s="397">
        <f ca="1">SUM(Start:End!AK196)</f>
        <v>110325.06249586606</v>
      </c>
      <c r="AL196" s="233"/>
    </row>
    <row r="197" spans="2:38" x14ac:dyDescent="0.3">
      <c r="B197" s="232"/>
      <c r="C197" s="250">
        <f t="shared" si="319"/>
        <v>2031</v>
      </c>
      <c r="D197" s="397">
        <f ca="1">SUM(Start:End!D197)</f>
        <v>249462.11353117588</v>
      </c>
      <c r="E197" s="397">
        <f ca="1">SUM(Start:End!E197)</f>
        <v>1846.1678105498083</v>
      </c>
      <c r="F197" s="397">
        <f ca="1">SUM(Start:End!F197)</f>
        <v>0</v>
      </c>
      <c r="G197" s="397">
        <f ca="1">SUM(Start:End!G197)</f>
        <v>260539.12039447477</v>
      </c>
      <c r="H197" s="15"/>
      <c r="I197" s="271">
        <f ca="1">Assumptions!O$68</f>
        <v>4.5</v>
      </c>
      <c r="J197" s="271">
        <f ca="1">Assumptions!P$68</f>
        <v>80</v>
      </c>
      <c r="K197" s="271">
        <f t="shared" ca="1" si="312"/>
        <v>40</v>
      </c>
      <c r="L197" s="15"/>
      <c r="M197" s="35">
        <f t="shared" ca="1" si="315"/>
        <v>4.2299999999999995</v>
      </c>
      <c r="N197" s="35">
        <f t="shared" ca="1" si="313"/>
        <v>73.295233972954165</v>
      </c>
      <c r="O197" s="35" t="str">
        <f t="shared" ca="1" si="314"/>
        <v>N/A</v>
      </c>
      <c r="P197" s="15"/>
      <c r="Q197" s="397">
        <f ca="1">SUM(Start:End!Q197)</f>
        <v>1055224.740236874</v>
      </c>
      <c r="R197" s="397">
        <f ca="1">SUM(Start:End!R197)</f>
        <v>135315.30162758473</v>
      </c>
      <c r="S197" s="397">
        <f ca="1">SUM(Start:End!S197)</f>
        <v>0</v>
      </c>
      <c r="T197" s="397">
        <f ca="1">SUM(Start:End!T197)</f>
        <v>1190540.0418644587</v>
      </c>
      <c r="U197" s="15"/>
      <c r="V197" s="35">
        <f t="shared" ref="V197" ca="1" si="353">+IFERROR(W197/$G197,"N/A")</f>
        <v>0.3124319796775798</v>
      </c>
      <c r="W197" s="397">
        <f ca="1">SUM(Start:End!W197)</f>
        <v>81400.75316830106</v>
      </c>
      <c r="X197" s="35">
        <f t="shared" ref="X197" ca="1" si="354">+IFERROR(Y197/$G197,"N/A")</f>
        <v>0.36954426042057731</v>
      </c>
      <c r="Y197" s="397">
        <f ca="1">SUM(Start:End!Y197)</f>
        <v>96280.736556803924</v>
      </c>
      <c r="Z197" s="35">
        <f t="shared" ca="1" si="318"/>
        <v>0.57928559741604002</v>
      </c>
      <c r="AA197" s="397">
        <f ca="1">SUM(Start:End!AA197)</f>
        <v>150926.56000796289</v>
      </c>
      <c r="AB197" s="397">
        <f ca="1">SUM(Start:End!AB197)</f>
        <v>328608.04973306792</v>
      </c>
      <c r="AC197" s="15"/>
      <c r="AD197" s="397">
        <f ca="1">SUM(Start:End!AD197)</f>
        <v>861931.99213139073</v>
      </c>
      <c r="AE197" s="397">
        <f ca="1">SUM(Start:End!AE197)</f>
        <v>253045.08748579674</v>
      </c>
      <c r="AF197" s="397">
        <f ca="1">SUM(Start:End!AF197)</f>
        <v>608886.90464559395</v>
      </c>
      <c r="AG197" s="15"/>
      <c r="AH197" s="273">
        <f t="shared" si="322"/>
        <v>48213</v>
      </c>
      <c r="AI197" s="267"/>
      <c r="AJ197" s="267"/>
      <c r="AK197" s="397">
        <f ca="1">SUM(Start:End!AK197)</f>
        <v>113048.77551004988</v>
      </c>
      <c r="AL197" s="233"/>
    </row>
    <row r="198" spans="2:38" x14ac:dyDescent="0.3">
      <c r="B198" s="232"/>
      <c r="C198" s="250">
        <f t="shared" si="319"/>
        <v>2032</v>
      </c>
      <c r="D198" s="397">
        <f ca="1">SUM(Start:End!D198)</f>
        <v>230440.8585754364</v>
      </c>
      <c r="E198" s="397">
        <f ca="1">SUM(Start:End!E198)</f>
        <v>1700.7413416097741</v>
      </c>
      <c r="F198" s="397">
        <f ca="1">SUM(Start:End!F198)</f>
        <v>0</v>
      </c>
      <c r="G198" s="397">
        <f ca="1">SUM(Start:End!G198)</f>
        <v>240645.30662509505</v>
      </c>
      <c r="H198" s="15"/>
      <c r="I198" s="271">
        <f ca="1">Assumptions!O$68</f>
        <v>4.5</v>
      </c>
      <c r="J198" s="271">
        <f ca="1">Assumptions!P$68</f>
        <v>80</v>
      </c>
      <c r="K198" s="271">
        <f t="shared" ca="1" si="312"/>
        <v>40</v>
      </c>
      <c r="L198" s="15"/>
      <c r="M198" s="35">
        <f t="shared" ca="1" si="315"/>
        <v>4.2299999999999986</v>
      </c>
      <c r="N198" s="35">
        <f t="shared" ca="1" si="313"/>
        <v>73.320691180558072</v>
      </c>
      <c r="O198" s="35" t="str">
        <f t="shared" ca="1" si="314"/>
        <v>N/A</v>
      </c>
      <c r="P198" s="15"/>
      <c r="Q198" s="397">
        <f ca="1">SUM(Start:End!Q198)</f>
        <v>974764.83177409577</v>
      </c>
      <c r="R198" s="397">
        <f ca="1">SUM(Start:End!R198)</f>
        <v>124699.53068617826</v>
      </c>
      <c r="S198" s="397">
        <f ca="1">SUM(Start:End!S198)</f>
        <v>0</v>
      </c>
      <c r="T198" s="397">
        <f ca="1">SUM(Start:End!T198)</f>
        <v>1099464.3624602742</v>
      </c>
      <c r="U198" s="15"/>
      <c r="V198" s="35">
        <f t="shared" ref="V198" ca="1" si="355">+IFERROR(W198/$G198,"N/A")</f>
        <v>0.3123697252583485</v>
      </c>
      <c r="W198" s="397">
        <f ca="1">SUM(Start:End!W198)</f>
        <v>75170.308315191971</v>
      </c>
      <c r="X198" s="35">
        <f t="shared" ref="X198" ca="1" si="356">+IFERROR(Y198/$G198,"N/A")</f>
        <v>0.36955592655541358</v>
      </c>
      <c r="Y198" s="397">
        <f ca="1">SUM(Start:End!Y198)</f>
        <v>88931.899261048602</v>
      </c>
      <c r="Z198" s="35">
        <f t="shared" ca="1" si="318"/>
        <v>0.57930388487064821</v>
      </c>
      <c r="AA198" s="397">
        <f ca="1">SUM(Start:End!AA198)</f>
        <v>139406.76100380591</v>
      </c>
      <c r="AB198" s="397">
        <f ca="1">SUM(Start:End!AB198)</f>
        <v>303508.96858004649</v>
      </c>
      <c r="AC198" s="15"/>
      <c r="AD198" s="397">
        <f ca="1">SUM(Start:End!AD198)</f>
        <v>795955.39388022758</v>
      </c>
      <c r="AE198" s="397">
        <f ca="1">SUM(Start:End!AE198)</f>
        <v>178143.71257485033</v>
      </c>
      <c r="AF198" s="397">
        <f ca="1">SUM(Start:End!AF198)</f>
        <v>617811.68130537728</v>
      </c>
      <c r="AG198" s="15"/>
      <c r="AH198" s="273">
        <f t="shared" si="322"/>
        <v>48579</v>
      </c>
      <c r="AI198" s="267"/>
      <c r="AJ198" s="267"/>
      <c r="AK198" s="397">
        <f ca="1">SUM(Start:End!AK198)</f>
        <v>104277.99187859554</v>
      </c>
      <c r="AL198" s="233"/>
    </row>
    <row r="199" spans="2:38" x14ac:dyDescent="0.3">
      <c r="B199" s="232"/>
      <c r="C199" s="250">
        <f t="shared" si="319"/>
        <v>2033</v>
      </c>
      <c r="D199" s="397">
        <f ca="1">SUM(Start:End!D199)</f>
        <v>222702.07408347516</v>
      </c>
      <c r="E199" s="397">
        <f ca="1">SUM(Start:End!E199)</f>
        <v>1631.9033174387237</v>
      </c>
      <c r="F199" s="397">
        <f ca="1">SUM(Start:End!F199)</f>
        <v>0</v>
      </c>
      <c r="G199" s="397">
        <f ca="1">SUM(Start:End!G199)</f>
        <v>232493.49398810748</v>
      </c>
      <c r="H199" s="15"/>
      <c r="I199" s="271">
        <f ca="1">Assumptions!O$68</f>
        <v>4.5</v>
      </c>
      <c r="J199" s="271">
        <f ca="1">Assumptions!P$68</f>
        <v>80</v>
      </c>
      <c r="K199" s="271">
        <f t="shared" ca="1" si="312"/>
        <v>40</v>
      </c>
      <c r="L199" s="15"/>
      <c r="M199" s="35">
        <f t="shared" ca="1" si="315"/>
        <v>4.2299999999999995</v>
      </c>
      <c r="N199" s="35">
        <f t="shared" ca="1" si="313"/>
        <v>73.387646756412664</v>
      </c>
      <c r="O199" s="35" t="str">
        <f t="shared" ca="1" si="314"/>
        <v>N/A</v>
      </c>
      <c r="P199" s="15"/>
      <c r="Q199" s="397">
        <f ca="1">SUM(Start:End!Q199)</f>
        <v>942029.77337309974</v>
      </c>
      <c r="R199" s="397">
        <f ca="1">SUM(Start:End!R199)</f>
        <v>119761.54420081101</v>
      </c>
      <c r="S199" s="397">
        <f ca="1">SUM(Start:End!S199)</f>
        <v>0</v>
      </c>
      <c r="T199" s="397">
        <f ca="1">SUM(Start:End!T199)</f>
        <v>1061791.3175739108</v>
      </c>
      <c r="U199" s="15"/>
      <c r="V199" s="35">
        <f t="shared" ref="V199" ca="1" si="357">+IFERROR(W199/$G199,"N/A")</f>
        <v>0.31220753246238153</v>
      </c>
      <c r="W199" s="397">
        <f ca="1">SUM(Start:End!W199)</f>
        <v>72586.220071584568</v>
      </c>
      <c r="X199" s="35">
        <f t="shared" ref="X199" ca="1" si="358">+IFERROR(Y199/$G199,"N/A")</f>
        <v>0.36958632059089863</v>
      </c>
      <c r="Y199" s="397">
        <f ca="1">SUM(Start:End!Y199)</f>
        <v>85926.415004386858</v>
      </c>
      <c r="Z199" s="35">
        <f t="shared" ca="1" si="318"/>
        <v>0.5793515295749222</v>
      </c>
      <c r="AA199" s="397">
        <f ca="1">SUM(Start:End!AA199)</f>
        <v>134695.46135822806</v>
      </c>
      <c r="AB199" s="397">
        <f ca="1">SUM(Start:End!AB199)</f>
        <v>293208.09643419948</v>
      </c>
      <c r="AC199" s="15"/>
      <c r="AD199" s="397">
        <f ca="1">SUM(Start:End!AD199)</f>
        <v>768583.22113971133</v>
      </c>
      <c r="AE199" s="397">
        <f ca="1">SUM(Start:End!AE199)</f>
        <v>178143.71257485033</v>
      </c>
      <c r="AF199" s="397">
        <f ca="1">SUM(Start:End!AF199)</f>
        <v>590439.50856486103</v>
      </c>
      <c r="AG199" s="15"/>
      <c r="AH199" s="273">
        <f t="shared" si="322"/>
        <v>48944</v>
      </c>
      <c r="AI199" s="267"/>
      <c r="AJ199" s="267"/>
      <c r="AK199" s="397">
        <f ca="1">SUM(Start:End!AK199)</f>
        <v>90598.137296520334</v>
      </c>
      <c r="AL199" s="233"/>
    </row>
    <row r="200" spans="2:38" x14ac:dyDescent="0.3">
      <c r="B200" s="232"/>
      <c r="C200" s="250">
        <f t="shared" si="319"/>
        <v>2034</v>
      </c>
      <c r="D200" s="397">
        <f ca="1">SUM(Start:End!D200)</f>
        <v>218207.57701385184</v>
      </c>
      <c r="E200" s="397">
        <f ca="1">SUM(Start:End!E200)</f>
        <v>1586.2894857595197</v>
      </c>
      <c r="F200" s="397">
        <f ca="1">SUM(Start:End!F200)</f>
        <v>0</v>
      </c>
      <c r="G200" s="397">
        <f ca="1">SUM(Start:End!G200)</f>
        <v>227725.31392840896</v>
      </c>
      <c r="H200" s="15"/>
      <c r="I200" s="271">
        <f ca="1">Assumptions!O$68</f>
        <v>4.5</v>
      </c>
      <c r="J200" s="271">
        <f ca="1">Assumptions!P$68</f>
        <v>80</v>
      </c>
      <c r="K200" s="271">
        <f t="shared" ca="1" si="312"/>
        <v>40</v>
      </c>
      <c r="L200" s="15"/>
      <c r="M200" s="35">
        <f t="shared" ca="1" si="315"/>
        <v>4.2300000000000004</v>
      </c>
      <c r="N200" s="35">
        <f t="shared" ca="1" si="313"/>
        <v>73.46268284048098</v>
      </c>
      <c r="O200" s="35" t="str">
        <f t="shared" ca="1" si="314"/>
        <v>N/A</v>
      </c>
      <c r="P200" s="15"/>
      <c r="Q200" s="397">
        <f ca="1">SUM(Start:End!Q200)</f>
        <v>923018.05076859333</v>
      </c>
      <c r="R200" s="397">
        <f ca="1">SUM(Start:End!R200)</f>
        <v>116533.08138554126</v>
      </c>
      <c r="S200" s="397">
        <f ca="1">SUM(Start:End!S200)</f>
        <v>0</v>
      </c>
      <c r="T200" s="397">
        <f ca="1">SUM(Start:End!T200)</f>
        <v>1039551.1321541345</v>
      </c>
      <c r="U200" s="15"/>
      <c r="V200" s="35">
        <f t="shared" ref="V200" ca="1" si="359">+IFERROR(W200/$G200,"N/A")</f>
        <v>0.31202837898771918</v>
      </c>
      <c r="W200" s="397">
        <f ca="1">SUM(Start:End!W200)</f>
        <v>71056.760559550909</v>
      </c>
      <c r="X200" s="35">
        <f t="shared" ref="X200" ca="1" si="360">+IFERROR(Y200/$G200,"N/A")</f>
        <v>0.36961989296403464</v>
      </c>
      <c r="Y200" s="397">
        <f ca="1">SUM(Start:End!Y200)</f>
        <v>84171.806159419706</v>
      </c>
      <c r="Z200" s="35">
        <f t="shared" ca="1" si="318"/>
        <v>0.57940415653821642</v>
      </c>
      <c r="AA200" s="397">
        <f ca="1">SUM(Start:End!AA200)</f>
        <v>131944.99343909035</v>
      </c>
      <c r="AB200" s="397">
        <f ca="1">SUM(Start:End!AB200)</f>
        <v>287173.56015806092</v>
      </c>
      <c r="AC200" s="15"/>
      <c r="AD200" s="397">
        <f ca="1">SUM(Start:End!AD200)</f>
        <v>752377.57199607359</v>
      </c>
      <c r="AE200" s="397">
        <f ca="1">SUM(Start:End!AE200)</f>
        <v>178143.71257485033</v>
      </c>
      <c r="AF200" s="397">
        <f ca="1">SUM(Start:End!AF200)</f>
        <v>574233.85942122317</v>
      </c>
      <c r="AG200" s="15"/>
      <c r="AH200" s="273">
        <f t="shared" si="322"/>
        <v>49309</v>
      </c>
      <c r="AI200" s="267"/>
      <c r="AJ200" s="267"/>
      <c r="AK200" s="397">
        <f ca="1">SUM(Start:End!AK200)</f>
        <v>80101.374841024633</v>
      </c>
      <c r="AL200" s="233"/>
    </row>
    <row r="201" spans="2:38" x14ac:dyDescent="0.3">
      <c r="B201" s="232"/>
      <c r="C201" s="250">
        <f t="shared" si="319"/>
        <v>2035</v>
      </c>
      <c r="D201" s="397">
        <f ca="1">SUM(Start:End!D201)</f>
        <v>199979.83800854124</v>
      </c>
      <c r="E201" s="397">
        <f ca="1">SUM(Start:End!E201)</f>
        <v>1451.4263701602142</v>
      </c>
      <c r="F201" s="397">
        <f ca="1">SUM(Start:End!F201)</f>
        <v>0</v>
      </c>
      <c r="G201" s="397">
        <f ca="1">SUM(Start:End!G201)</f>
        <v>208688.39622950251</v>
      </c>
      <c r="H201" s="15"/>
      <c r="I201" s="271">
        <f ca="1">Assumptions!O$68</f>
        <v>4.5</v>
      </c>
      <c r="J201" s="271">
        <f ca="1">Assumptions!P$68</f>
        <v>80</v>
      </c>
      <c r="K201" s="271">
        <f t="shared" ca="1" si="312"/>
        <v>40</v>
      </c>
      <c r="L201" s="15"/>
      <c r="M201" s="35">
        <f t="shared" ca="1" si="315"/>
        <v>4.2299999999999995</v>
      </c>
      <c r="N201" s="35">
        <f t="shared" ca="1" si="313"/>
        <v>73.478030586337894</v>
      </c>
      <c r="O201" s="35" t="str">
        <f t="shared" ca="1" si="314"/>
        <v>N/A</v>
      </c>
      <c r="P201" s="15"/>
      <c r="Q201" s="397">
        <f ca="1">SUM(Start:End!Q201)</f>
        <v>845914.71477612935</v>
      </c>
      <c r="R201" s="397">
        <f ca="1">SUM(Start:End!R201)</f>
        <v>106647.95122044961</v>
      </c>
      <c r="S201" s="397">
        <f ca="1">SUM(Start:End!S201)</f>
        <v>0</v>
      </c>
      <c r="T201" s="397">
        <f ca="1">SUM(Start:End!T201)</f>
        <v>952562.66599657887</v>
      </c>
      <c r="U201" s="15"/>
      <c r="V201" s="35">
        <f t="shared" ref="V201" ca="1" si="361">+IFERROR(W201/$G201,"N/A")</f>
        <v>0.31199207011544872</v>
      </c>
      <c r="W201" s="397">
        <f ca="1">SUM(Start:End!W201)</f>
        <v>65109.124748715491</v>
      </c>
      <c r="X201" s="35">
        <f t="shared" ref="X201" ca="1" si="362">+IFERROR(Y201/$G201,"N/A")</f>
        <v>0.36962669704645784</v>
      </c>
      <c r="Y201" s="397">
        <f ca="1">SUM(Start:End!Y201)</f>
        <v>77136.802610233484</v>
      </c>
      <c r="Z201" s="35">
        <f t="shared" ca="1" si="318"/>
        <v>0.57941482239715014</v>
      </c>
      <c r="AA201" s="397">
        <f ca="1">SUM(Start:End!AA201)</f>
        <v>120917.15003766329</v>
      </c>
      <c r="AB201" s="397">
        <f ca="1">SUM(Start:End!AB201)</f>
        <v>263163.07739661227</v>
      </c>
      <c r="AC201" s="15"/>
      <c r="AD201" s="397">
        <f ca="1">SUM(Start:End!AD201)</f>
        <v>689399.58859996672</v>
      </c>
      <c r="AE201" s="397">
        <f ca="1">SUM(Start:End!AE201)</f>
        <v>98115.927066232296</v>
      </c>
      <c r="AF201" s="397">
        <f ca="1">SUM(Start:End!AF201)</f>
        <v>591283.66153373441</v>
      </c>
      <c r="AG201" s="15"/>
      <c r="AH201" s="273">
        <f t="shared" si="322"/>
        <v>49674</v>
      </c>
      <c r="AI201" s="267"/>
      <c r="AJ201" s="267"/>
      <c r="AK201" s="397">
        <f ca="1">SUM(Start:End!AK201)</f>
        <v>74981.541900375087</v>
      </c>
      <c r="AL201" s="233"/>
    </row>
    <row r="202" spans="2:38" x14ac:dyDescent="0.3">
      <c r="B202" s="232"/>
      <c r="C202" s="250">
        <f t="shared" si="319"/>
        <v>2036</v>
      </c>
      <c r="D202" s="397">
        <f ca="1">SUM(Start:End!D202)</f>
        <v>172149.08507524553</v>
      </c>
      <c r="E202" s="397">
        <f ca="1">SUM(Start:End!E202)</f>
        <v>1254.4742941480604</v>
      </c>
      <c r="F202" s="397">
        <f ca="1">SUM(Start:End!F202)</f>
        <v>0</v>
      </c>
      <c r="G202" s="397">
        <f ca="1">SUM(Start:End!G202)</f>
        <v>179675.93084013389</v>
      </c>
      <c r="H202" s="15"/>
      <c r="I202" s="271">
        <f ca="1">Assumptions!O$68</f>
        <v>4.5</v>
      </c>
      <c r="J202" s="271">
        <f ca="1">Assumptions!P$68</f>
        <v>80</v>
      </c>
      <c r="K202" s="271">
        <f t="shared" ca="1" si="312"/>
        <v>40</v>
      </c>
      <c r="L202" s="15"/>
      <c r="M202" s="35">
        <f t="shared" ca="1" si="315"/>
        <v>4.2299999999999995</v>
      </c>
      <c r="N202" s="35">
        <f t="shared" ca="1" si="313"/>
        <v>73.439953506308242</v>
      </c>
      <c r="O202" s="35" t="str">
        <f t="shared" ca="1" si="314"/>
        <v>N/A</v>
      </c>
      <c r="P202" s="15"/>
      <c r="Q202" s="397">
        <f ca="1">SUM(Start:End!Q202)</f>
        <v>728190.62986828852</v>
      </c>
      <c r="R202" s="397">
        <f ca="1">SUM(Start:End!R202)</f>
        <v>92128.5338370924</v>
      </c>
      <c r="S202" s="397">
        <f ca="1">SUM(Start:End!S202)</f>
        <v>0</v>
      </c>
      <c r="T202" s="397">
        <f ca="1">SUM(Start:End!T202)</f>
        <v>820319.1637053811</v>
      </c>
      <c r="U202" s="15"/>
      <c r="V202" s="35">
        <f t="shared" ref="V202" ca="1" si="363">+IFERROR(W202/$G202,"N/A")</f>
        <v>0.31208235863347572</v>
      </c>
      <c r="W202" s="397">
        <f ca="1">SUM(Start:End!W202)</f>
        <v>56073.688286254248</v>
      </c>
      <c r="X202" s="35">
        <f t="shared" ref="X202" ca="1" si="364">+IFERROR(Y202/$G202,"N/A")</f>
        <v>0.3696097774761129</v>
      </c>
      <c r="Y202" s="397">
        <f ca="1">SUM(Start:End!Y202)</f>
        <v>66409.980815635339</v>
      </c>
      <c r="Z202" s="35">
        <f t="shared" ca="1" si="318"/>
        <v>0.57938829982742013</v>
      </c>
      <c r="AA202" s="397">
        <f ca="1">SUM(Start:End!AA202)</f>
        <v>104102.1320893743</v>
      </c>
      <c r="AB202" s="397">
        <f ca="1">SUM(Start:End!AB202)</f>
        <v>226585.80119126389</v>
      </c>
      <c r="AC202" s="15"/>
      <c r="AD202" s="397">
        <f ca="1">SUM(Start:End!AD202)</f>
        <v>593733.36251411715</v>
      </c>
      <c r="AE202" s="397">
        <f ca="1">SUM(Start:End!AE202)</f>
        <v>0</v>
      </c>
      <c r="AF202" s="397">
        <f ca="1">SUM(Start:End!AF202)</f>
        <v>593733.36251411715</v>
      </c>
      <c r="AG202" s="15"/>
      <c r="AH202" s="273">
        <f t="shared" si="322"/>
        <v>50040</v>
      </c>
      <c r="AI202" s="267"/>
      <c r="AJ202" s="267"/>
      <c r="AK202" s="397">
        <f ca="1">SUM(Start:End!AK202)</f>
        <v>68447.447316302627</v>
      </c>
      <c r="AL202" s="233"/>
    </row>
    <row r="203" spans="2:38" x14ac:dyDescent="0.3">
      <c r="B203" s="232"/>
      <c r="C203" s="250">
        <f t="shared" si="319"/>
        <v>2037</v>
      </c>
      <c r="D203" s="397">
        <f ca="1">SUM(Start:End!D203)</f>
        <v>157095.34320684083</v>
      </c>
      <c r="E203" s="397">
        <f ca="1">SUM(Start:End!E203)</f>
        <v>1143.3217876726023</v>
      </c>
      <c r="F203" s="397">
        <f ca="1">SUM(Start:End!F203)</f>
        <v>0</v>
      </c>
      <c r="G203" s="397">
        <f ca="1">SUM(Start:End!G203)</f>
        <v>163955.27393287644</v>
      </c>
      <c r="H203" s="15"/>
      <c r="I203" s="271">
        <f ca="1">Assumptions!O$68</f>
        <v>4.5</v>
      </c>
      <c r="J203" s="271">
        <f ca="1">Assumptions!P$68</f>
        <v>80</v>
      </c>
      <c r="K203" s="271">
        <f t="shared" ca="1" si="312"/>
        <v>40</v>
      </c>
      <c r="L203" s="15"/>
      <c r="M203" s="35">
        <f t="shared" ca="1" si="315"/>
        <v>4.2299999999999995</v>
      </c>
      <c r="N203" s="35">
        <f t="shared" ca="1" si="313"/>
        <v>73.451956942955292</v>
      </c>
      <c r="O203" s="35" t="str">
        <f t="shared" ca="1" si="314"/>
        <v>N/A</v>
      </c>
      <c r="P203" s="15"/>
      <c r="Q203" s="397">
        <f ca="1">SUM(Start:End!Q203)</f>
        <v>664513.30176493665</v>
      </c>
      <c r="R203" s="397">
        <f ca="1">SUM(Start:End!R203)</f>
        <v>83979.222720070655</v>
      </c>
      <c r="S203" s="397">
        <f ca="1">SUM(Start:End!S203)</f>
        <v>0</v>
      </c>
      <c r="T203" s="397">
        <f ca="1">SUM(Start:End!T203)</f>
        <v>748492.52448500716</v>
      </c>
      <c r="U203" s="15"/>
      <c r="V203" s="35">
        <f t="shared" ref="V203" ca="1" si="365">+IFERROR(W203/$G203,"N/A")</f>
        <v>0.31205382080828536</v>
      </c>
      <c r="W203" s="397">
        <f ca="1">SUM(Start:End!W203)</f>
        <v>51162.86967242317</v>
      </c>
      <c r="X203" s="35">
        <f t="shared" ref="X203" ca="1" si="366">+IFERROR(Y203/$G203,"N/A")</f>
        <v>0.36961512530716994</v>
      </c>
      <c r="Y203" s="397">
        <f ca="1">SUM(Start:End!Y203)</f>
        <v>60600.349119471502</v>
      </c>
      <c r="Z203" s="35">
        <f t="shared" ca="1" si="318"/>
        <v>0.57939668291394208</v>
      </c>
      <c r="AA203" s="397">
        <f ca="1">SUM(Start:End!AA203)</f>
        <v>94995.141862955323</v>
      </c>
      <c r="AB203" s="397">
        <f ca="1">SUM(Start:End!AB203)</f>
        <v>206758.36065484997</v>
      </c>
      <c r="AC203" s="15"/>
      <c r="AD203" s="397">
        <f ca="1">SUM(Start:End!AD203)</f>
        <v>541734.16383015725</v>
      </c>
      <c r="AE203" s="397">
        <f ca="1">SUM(Start:End!AE203)</f>
        <v>0</v>
      </c>
      <c r="AF203" s="397">
        <f ca="1">SUM(Start:End!AF203)</f>
        <v>541734.16383015725</v>
      </c>
      <c r="AG203" s="15"/>
      <c r="AH203" s="273">
        <f t="shared" si="322"/>
        <v>50405</v>
      </c>
      <c r="AI203" s="267"/>
      <c r="AJ203" s="267"/>
      <c r="AK203" s="397">
        <f ca="1">SUM(Start:End!AK203)</f>
        <v>56775.287572908652</v>
      </c>
      <c r="AL203" s="233"/>
    </row>
    <row r="204" spans="2:38" x14ac:dyDescent="0.3">
      <c r="B204" s="232"/>
      <c r="C204" s="250">
        <f t="shared" si="319"/>
        <v>2038</v>
      </c>
      <c r="D204" s="397">
        <f ca="1">SUM(Start:End!D204)</f>
        <v>145894.07319741399</v>
      </c>
      <c r="E204" s="397">
        <f ca="1">SUM(Start:End!E204)</f>
        <v>1058.8092858118303</v>
      </c>
      <c r="F204" s="397">
        <f ca="1">SUM(Start:End!F204)</f>
        <v>0</v>
      </c>
      <c r="G204" s="397">
        <f ca="1">SUM(Start:End!G204)</f>
        <v>152246.92891228499</v>
      </c>
      <c r="H204" s="15"/>
      <c r="I204" s="271">
        <f ca="1">Assumptions!O$68</f>
        <v>4.5</v>
      </c>
      <c r="J204" s="271">
        <f ca="1">Assumptions!P$68</f>
        <v>80</v>
      </c>
      <c r="K204" s="271">
        <f t="shared" ca="1" si="312"/>
        <v>40</v>
      </c>
      <c r="L204" s="15"/>
      <c r="M204" s="35">
        <f t="shared" ca="1" si="315"/>
        <v>4.2299999999999995</v>
      </c>
      <c r="N204" s="35">
        <f t="shared" ca="1" si="313"/>
        <v>73.478657065473428</v>
      </c>
      <c r="O204" s="35" t="str">
        <f t="shared" ca="1" si="314"/>
        <v>N/A</v>
      </c>
      <c r="P204" s="15"/>
      <c r="Q204" s="397">
        <f ca="1">SUM(Start:End!Q204)</f>
        <v>617131.92962506111</v>
      </c>
      <c r="R204" s="397">
        <f ca="1">SUM(Start:End!R204)</f>
        <v>77799.884409906314</v>
      </c>
      <c r="S204" s="397">
        <f ca="1">SUM(Start:End!S204)</f>
        <v>0</v>
      </c>
      <c r="T204" s="397">
        <f ca="1">SUM(Start:End!T204)</f>
        <v>694931.81403496745</v>
      </c>
      <c r="U204" s="15"/>
      <c r="V204" s="35">
        <f t="shared" ref="V204" ca="1" si="367">+IFERROR(W204/$G204,"N/A")</f>
        <v>0.31199059041829952</v>
      </c>
      <c r="W204" s="397">
        <f ca="1">SUM(Start:End!W204)</f>
        <v>47499.609240716665</v>
      </c>
      <c r="X204" s="35">
        <f t="shared" ref="X204" ca="1" si="368">+IFERROR(Y204/$G204,"N/A")</f>
        <v>0.36962697433354319</v>
      </c>
      <c r="Y204" s="397">
        <f ca="1">SUM(Start:End!Y204)</f>
        <v>56274.571685421935</v>
      </c>
      <c r="Z204" s="35">
        <f t="shared" ca="1" si="318"/>
        <v>0.57941525706339192</v>
      </c>
      <c r="AA204" s="397">
        <f ca="1">SUM(Start:End!AA204)</f>
        <v>88214.193452823558</v>
      </c>
      <c r="AB204" s="397">
        <f ca="1">SUM(Start:End!AB204)</f>
        <v>191988.37437896215</v>
      </c>
      <c r="AC204" s="15"/>
      <c r="AD204" s="397">
        <f ca="1">SUM(Start:End!AD204)</f>
        <v>502943.43965600524</v>
      </c>
      <c r="AE204" s="397">
        <f ca="1">SUM(Start:End!AE204)</f>
        <v>0</v>
      </c>
      <c r="AF204" s="397">
        <f ca="1">SUM(Start:End!AF204)</f>
        <v>502943.43965600524</v>
      </c>
      <c r="AG204" s="15"/>
      <c r="AH204" s="273">
        <f t="shared" si="322"/>
        <v>50770</v>
      </c>
      <c r="AI204" s="267"/>
      <c r="AJ204" s="267"/>
      <c r="AK204" s="397">
        <f ca="1">SUM(Start:End!AK204)</f>
        <v>47918.098993073203</v>
      </c>
      <c r="AL204" s="233"/>
    </row>
    <row r="205" spans="2:38" x14ac:dyDescent="0.3">
      <c r="B205" s="232"/>
      <c r="C205" s="250">
        <f t="shared" si="319"/>
        <v>2039</v>
      </c>
      <c r="D205" s="397">
        <f ca="1">SUM(Start:End!D205)</f>
        <v>136838.68133356323</v>
      </c>
      <c r="E205" s="397">
        <f ca="1">SUM(Start:End!E205)</f>
        <v>989.53281107291787</v>
      </c>
      <c r="F205" s="397">
        <f ca="1">SUM(Start:End!F205)</f>
        <v>0</v>
      </c>
      <c r="G205" s="397">
        <f ca="1">SUM(Start:End!G205)</f>
        <v>142775.87820000073</v>
      </c>
      <c r="H205" s="15"/>
      <c r="I205" s="271">
        <f ca="1">Assumptions!O$68</f>
        <v>4.5</v>
      </c>
      <c r="J205" s="271">
        <f ca="1">Assumptions!P$68</f>
        <v>80</v>
      </c>
      <c r="K205" s="271">
        <f t="shared" ca="1" si="312"/>
        <v>40</v>
      </c>
      <c r="L205" s="15"/>
      <c r="M205" s="35">
        <f t="shared" ca="1" si="315"/>
        <v>4.2299999999999986</v>
      </c>
      <c r="N205" s="35">
        <f t="shared" ca="1" si="313"/>
        <v>73.512739063101407</v>
      </c>
      <c r="O205" s="35" t="str">
        <f t="shared" ca="1" si="314"/>
        <v>N/A</v>
      </c>
      <c r="P205" s="15"/>
      <c r="Q205" s="397">
        <f ca="1">SUM(Start:End!Q205)</f>
        <v>578827.62204097235</v>
      </c>
      <c r="R205" s="397">
        <f ca="1">SUM(Start:End!R205)</f>
        <v>72743.267334780627</v>
      </c>
      <c r="S205" s="397">
        <f ca="1">SUM(Start:End!S205)</f>
        <v>0</v>
      </c>
      <c r="T205" s="397">
        <f ca="1">SUM(Start:End!T205)</f>
        <v>651570.889375753</v>
      </c>
      <c r="U205" s="15"/>
      <c r="V205" s="35">
        <f t="shared" ref="V205" ca="1" si="369">+IFERROR(W205/$G205,"N/A")</f>
        <v>0.31191037277134032</v>
      </c>
      <c r="W205" s="397">
        <f ca="1">SUM(Start:End!W205)</f>
        <v>44533.277392117714</v>
      </c>
      <c r="X205" s="35">
        <f t="shared" ref="X205" ca="1" si="370">+IFERROR(Y205/$G205,"N/A")</f>
        <v>0.36964200667819003</v>
      </c>
      <c r="Y205" s="397">
        <f ca="1">SUM(Start:End!Y205)</f>
        <v>52775.962123089113</v>
      </c>
      <c r="Z205" s="35">
        <f t="shared" ca="1" si="318"/>
        <v>0.57943882127932478</v>
      </c>
      <c r="AA205" s="397">
        <f ca="1">SUM(Start:End!AA205)</f>
        <v>82729.886571328869</v>
      </c>
      <c r="AB205" s="397">
        <f ca="1">SUM(Start:End!AB205)</f>
        <v>180039.12608653569</v>
      </c>
      <c r="AC205" s="15"/>
      <c r="AD205" s="397">
        <f ca="1">SUM(Start:End!AD205)</f>
        <v>471531.76328921731</v>
      </c>
      <c r="AE205" s="397">
        <f ca="1">SUM(Start:End!AE205)</f>
        <v>0</v>
      </c>
      <c r="AF205" s="397">
        <f ca="1">SUM(Start:End!AF205)</f>
        <v>471531.76328921731</v>
      </c>
      <c r="AG205" s="15"/>
      <c r="AH205" s="273">
        <f t="shared" si="322"/>
        <v>51135</v>
      </c>
      <c r="AI205" s="267"/>
      <c r="AJ205" s="267"/>
      <c r="AK205" s="397">
        <f ca="1">SUM(Start:End!AK205)</f>
        <v>40841.219418818924</v>
      </c>
      <c r="AL205" s="233"/>
    </row>
    <row r="206" spans="2:38" x14ac:dyDescent="0.3">
      <c r="B206" s="232"/>
      <c r="C206" s="250">
        <f t="shared" si="319"/>
        <v>2040</v>
      </c>
      <c r="D206" s="397">
        <f ca="1">SUM(Start:End!D206)</f>
        <v>129188.79257215967</v>
      </c>
      <c r="E206" s="397">
        <f ca="1">SUM(Start:End!E206)</f>
        <v>930.49096880534842</v>
      </c>
      <c r="F206" s="397">
        <f ca="1">SUM(Start:End!F206)</f>
        <v>0</v>
      </c>
      <c r="G206" s="397">
        <f ca="1">SUM(Start:End!G206)</f>
        <v>134771.73838499174</v>
      </c>
      <c r="H206" s="15"/>
      <c r="I206" s="271">
        <f ca="1">Assumptions!O$68</f>
        <v>4.5</v>
      </c>
      <c r="J206" s="271">
        <f ca="1">Assumptions!P$68</f>
        <v>80</v>
      </c>
      <c r="K206" s="271">
        <f t="shared" ca="1" si="312"/>
        <v>40</v>
      </c>
      <c r="L206" s="15"/>
      <c r="M206" s="35">
        <f t="shared" ca="1" si="315"/>
        <v>4.2299999999999995</v>
      </c>
      <c r="N206" s="35">
        <f t="shared" ca="1" si="313"/>
        <v>73.55079624130633</v>
      </c>
      <c r="O206" s="35" t="str">
        <f t="shared" ca="1" si="314"/>
        <v>N/A</v>
      </c>
      <c r="P206" s="15"/>
      <c r="Q206" s="397">
        <f ca="1">SUM(Start:End!Q206)</f>
        <v>546468.59258023533</v>
      </c>
      <c r="R206" s="397">
        <f ca="1">SUM(Start:End!R206)</f>
        <v>68438.3516509779</v>
      </c>
      <c r="S206" s="397">
        <f ca="1">SUM(Start:End!S206)</f>
        <v>0</v>
      </c>
      <c r="T206" s="397">
        <f ca="1">SUM(Start:End!T206)</f>
        <v>614906.94423121319</v>
      </c>
      <c r="U206" s="15"/>
      <c r="V206" s="35">
        <f t="shared" ref="V206" ca="1" si="371">+IFERROR(W206/$G206,"N/A")</f>
        <v>0.31182144741952122</v>
      </c>
      <c r="W206" s="397">
        <f ca="1">SUM(Start:End!W206)</f>
        <v>42024.718534453175</v>
      </c>
      <c r="X206" s="35">
        <f t="shared" ref="X206" ca="1" si="372">+IFERROR(Y206/$G206,"N/A")</f>
        <v>0.3696586707987054</v>
      </c>
      <c r="Y206" s="397">
        <f ca="1">SUM(Start:End!Y206)</f>
        <v>49819.54167262691</v>
      </c>
      <c r="Z206" s="35">
        <f t="shared" ca="1" si="318"/>
        <v>0.57946494341418675</v>
      </c>
      <c r="AA206" s="397">
        <f ca="1">SUM(Start:End!AA206)</f>
        <v>78095.497757090823</v>
      </c>
      <c r="AB206" s="397">
        <f ca="1">SUM(Start:End!AB206)</f>
        <v>169939.75796417089</v>
      </c>
      <c r="AC206" s="15"/>
      <c r="AD206" s="397">
        <f ca="1">SUM(Start:End!AD206)</f>
        <v>444967.1862670423</v>
      </c>
      <c r="AE206" s="397">
        <f ca="1">SUM(Start:End!AE206)</f>
        <v>0</v>
      </c>
      <c r="AF206" s="397">
        <f ca="1">SUM(Start:End!AF206)</f>
        <v>444967.1862670423</v>
      </c>
      <c r="AG206" s="15"/>
      <c r="AH206" s="273">
        <f t="shared" si="322"/>
        <v>51501</v>
      </c>
      <c r="AI206" s="267"/>
      <c r="AJ206" s="267"/>
      <c r="AK206" s="397">
        <f ca="1">SUM(Start:End!AK206)</f>
        <v>35036.688171216018</v>
      </c>
      <c r="AL206" s="233"/>
    </row>
    <row r="207" spans="2:38" x14ac:dyDescent="0.3">
      <c r="B207" s="232"/>
      <c r="C207" s="250">
        <f t="shared" si="319"/>
        <v>2041</v>
      </c>
      <c r="D207" s="397">
        <f ca="1">SUM(Start:End!D207)</f>
        <v>122537.14899927075</v>
      </c>
      <c r="E207" s="397">
        <f ca="1">SUM(Start:End!E207)</f>
        <v>878.89617236074537</v>
      </c>
      <c r="F207" s="397">
        <f ca="1">SUM(Start:End!F207)</f>
        <v>0</v>
      </c>
      <c r="G207" s="397">
        <f ca="1">SUM(Start:End!G207)</f>
        <v>127810.52603343521</v>
      </c>
      <c r="H207" s="15"/>
      <c r="I207" s="271">
        <f ca="1">Assumptions!O$68</f>
        <v>4.5</v>
      </c>
      <c r="J207" s="271">
        <f ca="1">Assumptions!P$68</f>
        <v>80</v>
      </c>
      <c r="K207" s="271">
        <f t="shared" ca="1" si="312"/>
        <v>40</v>
      </c>
      <c r="L207" s="15"/>
      <c r="M207" s="35">
        <f t="shared" ca="1" si="315"/>
        <v>4.2299999999999995</v>
      </c>
      <c r="N207" s="35">
        <f t="shared" ca="1" si="313"/>
        <v>73.590850059779143</v>
      </c>
      <c r="O207" s="35" t="str">
        <f t="shared" ca="1" si="314"/>
        <v>N/A</v>
      </c>
      <c r="P207" s="15"/>
      <c r="Q207" s="397">
        <f ca="1">SUM(Start:End!Q207)</f>
        <v>518332.1402669152</v>
      </c>
      <c r="R207" s="397">
        <f ca="1">SUM(Start:End!R207)</f>
        <v>64678.716438313422</v>
      </c>
      <c r="S207" s="397">
        <f ca="1">SUM(Start:End!S207)</f>
        <v>0</v>
      </c>
      <c r="T207" s="397">
        <f ca="1">SUM(Start:End!T207)</f>
        <v>583010.85670522857</v>
      </c>
      <c r="U207" s="15"/>
      <c r="V207" s="35">
        <f t="shared" ref="V207" ca="1" si="373">+IFERROR(W207/$G207,"N/A")</f>
        <v>0.31172858745247145</v>
      </c>
      <c r="W207" s="397">
        <f ca="1">SUM(Start:End!W207)</f>
        <v>39842.194741960084</v>
      </c>
      <c r="X207" s="35">
        <f t="shared" ref="X207" ca="1" si="374">+IFERROR(Y207/$G207,"N/A")</f>
        <v>0.3696760722444159</v>
      </c>
      <c r="Y207" s="397">
        <f ca="1">SUM(Start:End!Y207)</f>
        <v>47248.493255532994</v>
      </c>
      <c r="Z207" s="35">
        <f t="shared" ca="1" si="318"/>
        <v>0.57949222135611134</v>
      </c>
      <c r="AA207" s="397">
        <f ca="1">SUM(Start:End!AA207)</f>
        <v>74065.205643808469</v>
      </c>
      <c r="AB207" s="397">
        <f ca="1">SUM(Start:End!AB207)</f>
        <v>161155.89364130155</v>
      </c>
      <c r="AC207" s="15"/>
      <c r="AD207" s="397">
        <f ca="1">SUM(Start:End!AD207)</f>
        <v>421854.96306392702</v>
      </c>
      <c r="AE207" s="397">
        <f ca="1">SUM(Start:End!AE207)</f>
        <v>0</v>
      </c>
      <c r="AF207" s="397">
        <f ca="1">SUM(Start:End!AF207)</f>
        <v>421854.96306392702</v>
      </c>
      <c r="AG207" s="15"/>
      <c r="AH207" s="273">
        <f t="shared" si="322"/>
        <v>51866</v>
      </c>
      <c r="AI207" s="267"/>
      <c r="AJ207" s="267"/>
      <c r="AK207" s="397">
        <f ca="1">SUM(Start:End!AK207)</f>
        <v>30197.121067710217</v>
      </c>
      <c r="AL207" s="233"/>
    </row>
    <row r="208" spans="2:38" x14ac:dyDescent="0.3">
      <c r="B208" s="232"/>
      <c r="C208" s="250">
        <f t="shared" si="319"/>
        <v>2042</v>
      </c>
      <c r="D208" s="397">
        <f ca="1">SUM(Start:End!D208)</f>
        <v>116630.14046351161</v>
      </c>
      <c r="E208" s="397">
        <f ca="1">SUM(Start:End!E208)</f>
        <v>832.98651018792248</v>
      </c>
      <c r="F208" s="397">
        <f ca="1">SUM(Start:End!F208)</f>
        <v>0</v>
      </c>
      <c r="G208" s="397">
        <f ca="1">SUM(Start:End!G208)</f>
        <v>121628.05952463915</v>
      </c>
      <c r="H208" s="15"/>
      <c r="I208" s="271">
        <f ca="1">Assumptions!O$68</f>
        <v>4.5</v>
      </c>
      <c r="J208" s="271">
        <f ca="1">Assumptions!P$68</f>
        <v>80</v>
      </c>
      <c r="K208" s="271">
        <f t="shared" ca="1" si="312"/>
        <v>40</v>
      </c>
      <c r="L208" s="15"/>
      <c r="M208" s="35">
        <f t="shared" ca="1" si="315"/>
        <v>4.2299999999999995</v>
      </c>
      <c r="N208" s="35">
        <f t="shared" ca="1" si="313"/>
        <v>73.631628725117011</v>
      </c>
      <c r="O208" s="35" t="str">
        <f t="shared" ca="1" si="314"/>
        <v>N/A</v>
      </c>
      <c r="P208" s="15"/>
      <c r="Q208" s="397">
        <f ca="1">SUM(Start:End!Q208)</f>
        <v>493345.49416065402</v>
      </c>
      <c r="R208" s="397">
        <f ca="1">SUM(Start:End!R208)</f>
        <v>61334.153451188009</v>
      </c>
      <c r="S208" s="397">
        <f ca="1">SUM(Start:End!S208)</f>
        <v>0</v>
      </c>
      <c r="T208" s="397">
        <f ca="1">SUM(Start:End!T208)</f>
        <v>554679.64761184214</v>
      </c>
      <c r="U208" s="15"/>
      <c r="V208" s="35">
        <f t="shared" ref="V208" ca="1" si="375">+IFERROR(W208/$G208,"N/A")</f>
        <v>0.3116348078331001</v>
      </c>
      <c r="W208" s="397">
        <f ca="1">SUM(Start:End!W208)</f>
        <v>37903.536957073782</v>
      </c>
      <c r="X208" s="35">
        <f t="shared" ref="X208" ca="1" si="376">+IFERROR(Y208/$G208,"N/A")</f>
        <v>0.36969364602789961</v>
      </c>
      <c r="Y208" s="397">
        <f ca="1">SUM(Start:End!Y208)</f>
        <v>44965.120784962251</v>
      </c>
      <c r="Z208" s="35">
        <f t="shared" ca="1" si="318"/>
        <v>0.57951976944914008</v>
      </c>
      <c r="AA208" s="397">
        <f ca="1">SUM(Start:End!AA208)</f>
        <v>70485.86501426516</v>
      </c>
      <c r="AB208" s="397">
        <f ca="1">SUM(Start:End!AB208)</f>
        <v>153354.52275630122</v>
      </c>
      <c r="AC208" s="15"/>
      <c r="AD208" s="397">
        <f ca="1">SUM(Start:End!AD208)</f>
        <v>401325.12485554087</v>
      </c>
      <c r="AE208" s="397">
        <f ca="1">SUM(Start:End!AE208)</f>
        <v>0</v>
      </c>
      <c r="AF208" s="397">
        <f ca="1">SUM(Start:End!AF208)</f>
        <v>401325.12485554087</v>
      </c>
      <c r="AG208" s="15"/>
      <c r="AH208" s="273">
        <f t="shared" si="322"/>
        <v>52231</v>
      </c>
      <c r="AI208" s="267"/>
      <c r="AJ208" s="267"/>
      <c r="AK208" s="397">
        <f ca="1">SUM(Start:End!AK208)</f>
        <v>26115.962817598684</v>
      </c>
      <c r="AL208" s="233"/>
    </row>
    <row r="209" spans="2:38" x14ac:dyDescent="0.3">
      <c r="B209" s="232"/>
      <c r="C209" s="250">
        <f t="shared" si="319"/>
        <v>2043</v>
      </c>
      <c r="D209" s="397">
        <f ca="1">SUM(Start:End!D209)</f>
        <v>111297.18389959323</v>
      </c>
      <c r="E209" s="397">
        <f ca="1">SUM(Start:End!E209)</f>
        <v>791.55769108078312</v>
      </c>
      <c r="F209" s="397">
        <f ca="1">SUM(Start:End!F209)</f>
        <v>0</v>
      </c>
      <c r="G209" s="397">
        <f ca="1">SUM(Start:End!G209)</f>
        <v>116046.53004607794</v>
      </c>
      <c r="H209" s="15"/>
      <c r="I209" s="271">
        <f ca="1">Assumptions!O$68</f>
        <v>4.5</v>
      </c>
      <c r="J209" s="271">
        <f ca="1">Assumptions!P$68</f>
        <v>80</v>
      </c>
      <c r="K209" s="271">
        <f t="shared" ca="1" si="312"/>
        <v>40</v>
      </c>
      <c r="L209" s="15"/>
      <c r="M209" s="35">
        <f t="shared" ca="1" si="315"/>
        <v>4.2299999999999995</v>
      </c>
      <c r="N209" s="35">
        <f t="shared" ca="1" si="313"/>
        <v>73.672272100183179</v>
      </c>
      <c r="O209" s="35" t="str">
        <f t="shared" ca="1" si="314"/>
        <v>N/A</v>
      </c>
      <c r="P209" s="15"/>
      <c r="Q209" s="397">
        <f ca="1">SUM(Start:End!Q209)</f>
        <v>470787.08789527934</v>
      </c>
      <c r="R209" s="397">
        <f ca="1">SUM(Start:End!R209)</f>
        <v>58315.853600296192</v>
      </c>
      <c r="S209" s="397">
        <f ca="1">SUM(Start:End!S209)</f>
        <v>0</v>
      </c>
      <c r="T209" s="397">
        <f ca="1">SUM(Start:End!T209)</f>
        <v>529102.94149557559</v>
      </c>
      <c r="U209" s="15"/>
      <c r="V209" s="35">
        <f t="shared" ref="V209" ca="1" si="377">+IFERROR(W209/$G209,"N/A")</f>
        <v>0.31154209396800597</v>
      </c>
      <c r="W209" s="397">
        <f ca="1">SUM(Start:End!W209)</f>
        <v>36153.378968276244</v>
      </c>
      <c r="X209" s="35">
        <f t="shared" ref="X209" ca="1" si="378">+IFERROR(Y209/$G209,"N/A")</f>
        <v>0.36971102009490936</v>
      </c>
      <c r="Y209" s="397">
        <f ca="1">SUM(Start:End!Y209)</f>
        <v>42903.681001810022</v>
      </c>
      <c r="Z209" s="35">
        <f t="shared" ca="1" si="318"/>
        <v>0.57954700447310115</v>
      </c>
      <c r="AA209" s="397">
        <f ca="1">SUM(Start:End!AA209)</f>
        <v>67254.418867702203</v>
      </c>
      <c r="AB209" s="397">
        <f ca="1">SUM(Start:End!AB209)</f>
        <v>146311.47883778845</v>
      </c>
      <c r="AC209" s="15"/>
      <c r="AD209" s="397">
        <f ca="1">SUM(Start:End!AD209)</f>
        <v>382791.46265778702</v>
      </c>
      <c r="AE209" s="397">
        <f ca="1">SUM(Start:End!AE209)</f>
        <v>0</v>
      </c>
      <c r="AF209" s="397">
        <f ca="1">SUM(Start:End!AF209)</f>
        <v>382791.46265778702</v>
      </c>
      <c r="AG209" s="15"/>
      <c r="AH209" s="273">
        <f t="shared" si="322"/>
        <v>52596</v>
      </c>
      <c r="AI209" s="267"/>
      <c r="AJ209" s="267"/>
      <c r="AK209" s="397">
        <f ca="1">SUM(Start:End!AK209)</f>
        <v>22645.361094842185</v>
      </c>
      <c r="AL209" s="233"/>
    </row>
    <row r="210" spans="2:38" x14ac:dyDescent="0.3">
      <c r="B210" s="232"/>
      <c r="C210" s="250">
        <f t="shared" si="319"/>
        <v>2044</v>
      </c>
      <c r="D210" s="397">
        <f ca="1">SUM(Start:End!D210)</f>
        <v>106417.34937362942</v>
      </c>
      <c r="E210" s="397">
        <f ca="1">SUM(Start:End!E210)</f>
        <v>753.74144970670466</v>
      </c>
      <c r="F210" s="397">
        <f ca="1">SUM(Start:End!F210)</f>
        <v>0</v>
      </c>
      <c r="G210" s="397">
        <f ca="1">SUM(Start:End!G210)</f>
        <v>110939.79807186963</v>
      </c>
      <c r="H210" s="15"/>
      <c r="I210" s="271">
        <f ca="1">Assumptions!O$68</f>
        <v>4.5</v>
      </c>
      <c r="J210" s="271">
        <f ca="1">Assumptions!P$68</f>
        <v>80</v>
      </c>
      <c r="K210" s="271">
        <f t="shared" ca="1" si="312"/>
        <v>40</v>
      </c>
      <c r="L210" s="15"/>
      <c r="M210" s="35">
        <f t="shared" ca="1" si="315"/>
        <v>4.2299999999999995</v>
      </c>
      <c r="N210" s="35">
        <f t="shared" ca="1" si="313"/>
        <v>73.712184894827786</v>
      </c>
      <c r="O210" s="35" t="str">
        <f t="shared" ca="1" si="314"/>
        <v>N/A</v>
      </c>
      <c r="P210" s="15"/>
      <c r="Q210" s="397">
        <f ca="1">SUM(Start:End!Q210)</f>
        <v>450145.38785045239</v>
      </c>
      <c r="R210" s="397">
        <f ca="1">SUM(Start:End!R210)</f>
        <v>55559.929103676157</v>
      </c>
      <c r="S210" s="397">
        <f ca="1">SUM(Start:End!S210)</f>
        <v>0</v>
      </c>
      <c r="T210" s="397">
        <f ca="1">SUM(Start:End!T210)</f>
        <v>505705.3169541285</v>
      </c>
      <c r="U210" s="15"/>
      <c r="V210" s="35">
        <f t="shared" ref="V210" ca="1" si="379">+IFERROR(W210/$G210,"N/A")</f>
        <v>0.31145177106315391</v>
      </c>
      <c r="W210" s="397">
        <f ca="1">SUM(Start:End!W210)</f>
        <v>34552.396590872464</v>
      </c>
      <c r="X210" s="35">
        <f t="shared" ref="X210" ca="1" si="380">+IFERROR(Y210/$G210,"N/A")</f>
        <v>0.36972794610915583</v>
      </c>
      <c r="Y210" s="397">
        <f ca="1">SUM(Start:End!Y210)</f>
        <v>41017.543682876843</v>
      </c>
      <c r="Z210" s="35">
        <f t="shared" ca="1" si="318"/>
        <v>0.579573537144082</v>
      </c>
      <c r="AA210" s="397">
        <f ca="1">SUM(Start:End!AA210)</f>
        <v>64297.771178563693</v>
      </c>
      <c r="AB210" s="397">
        <f ca="1">SUM(Start:End!AB210)</f>
        <v>139867.711452313</v>
      </c>
      <c r="AC210" s="15"/>
      <c r="AD210" s="397">
        <f ca="1">SUM(Start:End!AD210)</f>
        <v>365837.60550181556</v>
      </c>
      <c r="AE210" s="397">
        <f ca="1">SUM(Start:End!AE210)</f>
        <v>0</v>
      </c>
      <c r="AF210" s="397">
        <f ca="1">SUM(Start:End!AF210)</f>
        <v>365837.60550181556</v>
      </c>
      <c r="AG210" s="15"/>
      <c r="AH210" s="273">
        <f t="shared" si="322"/>
        <v>52962</v>
      </c>
      <c r="AI210" s="267"/>
      <c r="AJ210" s="267"/>
      <c r="AK210" s="397">
        <f ca="1">SUM(Start:End!AK210)</f>
        <v>19674.906068223998</v>
      </c>
      <c r="AL210" s="233"/>
    </row>
    <row r="211" spans="2:38" x14ac:dyDescent="0.3">
      <c r="B211" s="232"/>
      <c r="C211" s="250">
        <f t="shared" si="319"/>
        <v>2045</v>
      </c>
      <c r="D211" s="397">
        <f ca="1">SUM(Start:End!D211)</f>
        <v>101901.57852356162</v>
      </c>
      <c r="E211" s="397">
        <f ca="1">SUM(Start:End!E211)</f>
        <v>718.88717163198135</v>
      </c>
      <c r="F211" s="397">
        <f ca="1">SUM(Start:End!F211)</f>
        <v>0</v>
      </c>
      <c r="G211" s="397">
        <f ca="1">SUM(Start:End!G211)</f>
        <v>106214.9015533535</v>
      </c>
      <c r="H211" s="15"/>
      <c r="I211" s="271">
        <f ca="1">Assumptions!O$68</f>
        <v>4.5</v>
      </c>
      <c r="J211" s="271">
        <f ca="1">Assumptions!P$68</f>
        <v>80</v>
      </c>
      <c r="K211" s="271">
        <f t="shared" ca="1" si="312"/>
        <v>40</v>
      </c>
      <c r="L211" s="15"/>
      <c r="M211" s="35">
        <f t="shared" ca="1" si="315"/>
        <v>4.2299999999999995</v>
      </c>
      <c r="N211" s="35">
        <f t="shared" ca="1" si="313"/>
        <v>73.750953393711043</v>
      </c>
      <c r="O211" s="35" t="str">
        <f t="shared" ca="1" si="314"/>
        <v>N/A</v>
      </c>
      <c r="P211" s="15"/>
      <c r="Q211" s="397">
        <f ca="1">SUM(Start:End!Q211)</f>
        <v>431043.67715466564</v>
      </c>
      <c r="R211" s="397">
        <f ca="1">SUM(Start:End!R211)</f>
        <v>53018.614290367004</v>
      </c>
      <c r="S211" s="397">
        <f ca="1">SUM(Start:End!S211)</f>
        <v>0</v>
      </c>
      <c r="T211" s="397">
        <f ca="1">SUM(Start:End!T211)</f>
        <v>484062.29144503264</v>
      </c>
      <c r="U211" s="15"/>
      <c r="V211" s="35">
        <f t="shared" ref="V211" ca="1" si="381">+IFERROR(W211/$G211,"N/A")</f>
        <v>0.31136471688636624</v>
      </c>
      <c r="W211" s="397">
        <f ca="1">SUM(Start:End!W211)</f>
        <v>33071.572751273176</v>
      </c>
      <c r="X211" s="35">
        <f t="shared" ref="X211" ca="1" si="382">+IFERROR(Y211/$G211,"N/A")</f>
        <v>0.36974425958178958</v>
      </c>
      <c r="Y211" s="397">
        <f ca="1">SUM(Start:End!Y211)</f>
        <v>39272.350131397361</v>
      </c>
      <c r="Z211" s="35">
        <f t="shared" ca="1" si="318"/>
        <v>0.57959910961469718</v>
      </c>
      <c r="AA211" s="397">
        <f ca="1">SUM(Start:End!AA211)</f>
        <v>61562.062368136409</v>
      </c>
      <c r="AB211" s="397">
        <f ca="1">SUM(Start:End!AB211)</f>
        <v>133905.98525080693</v>
      </c>
      <c r="AC211" s="15"/>
      <c r="AD211" s="397">
        <f ca="1">SUM(Start:End!AD211)</f>
        <v>350156.30619422573</v>
      </c>
      <c r="AE211" s="397">
        <f ca="1">SUM(Start:End!AE211)</f>
        <v>0</v>
      </c>
      <c r="AF211" s="397">
        <f ca="1">SUM(Start:End!AF211)</f>
        <v>350156.30619422573</v>
      </c>
      <c r="AG211" s="15"/>
      <c r="AH211" s="273">
        <f t="shared" si="322"/>
        <v>53327</v>
      </c>
      <c r="AI211" s="267"/>
      <c r="AJ211" s="267"/>
      <c r="AK211" s="397">
        <f ca="1">SUM(Start:End!AK211)</f>
        <v>17119.599044046539</v>
      </c>
      <c r="AL211" s="233"/>
    </row>
    <row r="212" spans="2:38" x14ac:dyDescent="0.3">
      <c r="B212" s="232"/>
      <c r="C212" s="250">
        <f t="shared" si="319"/>
        <v>2046</v>
      </c>
      <c r="D212" s="397">
        <f ca="1">SUM(Start:End!D212)</f>
        <v>97682.369978121584</v>
      </c>
      <c r="E212" s="397">
        <f ca="1">SUM(Start:End!E212)</f>
        <v>686.49298426213602</v>
      </c>
      <c r="F212" s="397">
        <f ca="1">SUM(Start:End!F212)</f>
        <v>0</v>
      </c>
      <c r="G212" s="397">
        <f ca="1">SUM(Start:End!G212)</f>
        <v>101801.32788369439</v>
      </c>
      <c r="H212" s="15"/>
      <c r="I212" s="271">
        <f ca="1">Assumptions!O$68</f>
        <v>4.5</v>
      </c>
      <c r="J212" s="271">
        <f ca="1">Assumptions!P$68</f>
        <v>80</v>
      </c>
      <c r="K212" s="271">
        <f t="shared" ca="1" si="312"/>
        <v>40</v>
      </c>
      <c r="L212" s="15"/>
      <c r="M212" s="35">
        <f t="shared" ca="1" si="315"/>
        <v>4.2299999999999995</v>
      </c>
      <c r="N212" s="35">
        <f t="shared" ca="1" si="313"/>
        <v>73.788293601283456</v>
      </c>
      <c r="O212" s="35" t="str">
        <f t="shared" ca="1" si="314"/>
        <v>N/A</v>
      </c>
      <c r="P212" s="15"/>
      <c r="Q212" s="397">
        <f ca="1">SUM(Start:End!Q212)</f>
        <v>413196.42500745424</v>
      </c>
      <c r="R212" s="397">
        <f ca="1">SUM(Start:End!R212)</f>
        <v>50655.145877955758</v>
      </c>
      <c r="S212" s="397">
        <f ca="1">SUM(Start:End!S212)</f>
        <v>0</v>
      </c>
      <c r="T212" s="397">
        <f ca="1">SUM(Start:End!T212)</f>
        <v>463851.57088541001</v>
      </c>
      <c r="U212" s="15"/>
      <c r="V212" s="35">
        <f t="shared" ref="V212" ca="1" si="383">+IFERROR(W212/$G212,"N/A")</f>
        <v>0.31128149549197703</v>
      </c>
      <c r="W212" s="397">
        <f ca="1">SUM(Start:End!W212)</f>
        <v>31688.869586705492</v>
      </c>
      <c r="X212" s="35">
        <f t="shared" ref="X212" ca="1" si="384">+IFERROR(Y212/$G212,"N/A")</f>
        <v>0.36975985481213935</v>
      </c>
      <c r="Y212" s="397">
        <f ca="1">SUM(Start:End!Y212)</f>
        <v>37642.044217957831</v>
      </c>
      <c r="Z212" s="35">
        <f t="shared" ca="1" si="318"/>
        <v>0.57962355619200223</v>
      </c>
      <c r="AA212" s="397">
        <f ca="1">SUM(Start:End!AA212)</f>
        <v>59006.447693014976</v>
      </c>
      <c r="AB212" s="397">
        <f ca="1">SUM(Start:End!AB212)</f>
        <v>128337.36149767828</v>
      </c>
      <c r="AC212" s="15"/>
      <c r="AD212" s="397">
        <f ca="1">SUM(Start:End!AD212)</f>
        <v>335514.20938773168</v>
      </c>
      <c r="AE212" s="397">
        <f ca="1">SUM(Start:End!AE212)</f>
        <v>0</v>
      </c>
      <c r="AF212" s="397">
        <f ca="1">SUM(Start:End!AF212)</f>
        <v>335514.20938773168</v>
      </c>
      <c r="AG212" s="15"/>
      <c r="AH212" s="273">
        <f t="shared" si="322"/>
        <v>53692</v>
      </c>
      <c r="AI212" s="267"/>
      <c r="AJ212" s="267"/>
      <c r="AK212" s="397">
        <f ca="1">SUM(Start:End!AK212)</f>
        <v>14912.479828656908</v>
      </c>
      <c r="AL212" s="233"/>
    </row>
    <row r="213" spans="2:38" x14ac:dyDescent="0.3">
      <c r="B213" s="232"/>
      <c r="C213" s="250">
        <f t="shared" si="319"/>
        <v>2047</v>
      </c>
      <c r="D213" s="397">
        <f ca="1">SUM(Start:End!D213)</f>
        <v>93707.86540262746</v>
      </c>
      <c r="E213" s="397">
        <f ca="1">SUM(Start:End!E213)</f>
        <v>656.16602387736464</v>
      </c>
      <c r="F213" s="397">
        <f ca="1">SUM(Start:End!F213)</f>
        <v>0</v>
      </c>
      <c r="G213" s="397">
        <f ca="1">SUM(Start:End!G213)</f>
        <v>97644.861545891632</v>
      </c>
      <c r="H213" s="15"/>
      <c r="I213" s="271">
        <f ca="1">Assumptions!O$68</f>
        <v>4.5</v>
      </c>
      <c r="J213" s="271">
        <f ca="1">Assumptions!P$68</f>
        <v>80</v>
      </c>
      <c r="K213" s="271">
        <f t="shared" ca="1" si="312"/>
        <v>40</v>
      </c>
      <c r="L213" s="15"/>
      <c r="M213" s="35">
        <f t="shared" ca="1" si="315"/>
        <v>4.2299999999999995</v>
      </c>
      <c r="N213" s="35">
        <f t="shared" ca="1" si="313"/>
        <v>73.82401934528832</v>
      </c>
      <c r="O213" s="35" t="str">
        <f t="shared" ca="1" si="314"/>
        <v>N/A</v>
      </c>
      <c r="P213" s="15"/>
      <c r="Q213" s="397">
        <f ca="1">SUM(Start:End!Q213)</f>
        <v>396384.27065311407</v>
      </c>
      <c r="R213" s="397">
        <f ca="1">SUM(Start:End!R213)</f>
        <v>48440.813240443487</v>
      </c>
      <c r="S213" s="397">
        <f ca="1">SUM(Start:End!S213)</f>
        <v>0</v>
      </c>
      <c r="T213" s="397">
        <f ca="1">SUM(Start:End!T213)</f>
        <v>444825.0838935576</v>
      </c>
      <c r="U213" s="15"/>
      <c r="V213" s="35">
        <f t="shared" ref="V213" ca="1" si="385">+IFERROR(W213/$G213,"N/A")</f>
        <v>0.31120244062642283</v>
      </c>
      <c r="W213" s="397">
        <f ca="1">SUM(Start:End!W213)</f>
        <v>30387.319227710617</v>
      </c>
      <c r="X213" s="35">
        <f t="shared" ref="X213" ca="1" si="386">+IFERROR(Y213/$G213,"N/A")</f>
        <v>0.36977466925796354</v>
      </c>
      <c r="Y213" s="397">
        <f ca="1">SUM(Start:End!Y213)</f>
        <v>36106.596382871721</v>
      </c>
      <c r="Z213" s="35">
        <f t="shared" ca="1" si="318"/>
        <v>0.57964677883680771</v>
      </c>
      <c r="AA213" s="397">
        <f ca="1">SUM(Start:End!AA213)</f>
        <v>56599.529465042157</v>
      </c>
      <c r="AB213" s="397">
        <f ca="1">SUM(Start:End!AB213)</f>
        <v>123093.44507562449</v>
      </c>
      <c r="AC213" s="15"/>
      <c r="AD213" s="397">
        <f ca="1">SUM(Start:End!AD213)</f>
        <v>321731.6388179331</v>
      </c>
      <c r="AE213" s="397">
        <f ca="1">SUM(Start:End!AE213)</f>
        <v>0</v>
      </c>
      <c r="AF213" s="397">
        <f ca="1">SUM(Start:End!AF213)</f>
        <v>321731.6388179331</v>
      </c>
      <c r="AG213" s="15"/>
      <c r="AH213" s="273">
        <f t="shared" si="322"/>
        <v>54057</v>
      </c>
      <c r="AI213" s="267"/>
      <c r="AJ213" s="267"/>
      <c r="AK213" s="397">
        <f ca="1">SUM(Start:End!AK213)</f>
        <v>12999.900776099425</v>
      </c>
      <c r="AL213" s="233"/>
    </row>
    <row r="214" spans="2:38" x14ac:dyDescent="0.3">
      <c r="B214" s="232"/>
      <c r="C214" s="250">
        <f t="shared" si="319"/>
        <v>2048</v>
      </c>
      <c r="D214" s="397">
        <f ca="1">SUM(Start:End!D214)</f>
        <v>89940.818373913877</v>
      </c>
      <c r="E214" s="397">
        <f ca="1">SUM(Start:End!E214)</f>
        <v>627.61506142676785</v>
      </c>
      <c r="F214" s="397">
        <f ca="1">SUM(Start:End!F214)</f>
        <v>0</v>
      </c>
      <c r="G214" s="397">
        <f ca="1">SUM(Start:End!G214)</f>
        <v>93706.508742474471</v>
      </c>
      <c r="H214" s="15"/>
      <c r="I214" s="271">
        <f ca="1">Assumptions!O$68</f>
        <v>4.5</v>
      </c>
      <c r="J214" s="271">
        <f ca="1">Assumptions!P$68</f>
        <v>80</v>
      </c>
      <c r="K214" s="271">
        <f t="shared" ca="1" si="312"/>
        <v>40</v>
      </c>
      <c r="L214" s="15"/>
      <c r="M214" s="35">
        <f t="shared" ca="1" si="315"/>
        <v>4.2299999999999995</v>
      </c>
      <c r="N214" s="35">
        <f t="shared" ca="1" si="313"/>
        <v>73.858035564576895</v>
      </c>
      <c r="O214" s="35" t="str">
        <f t="shared" ca="1" si="314"/>
        <v>N/A</v>
      </c>
      <c r="P214" s="15"/>
      <c r="Q214" s="397">
        <f ca="1">SUM(Start:End!Q214)</f>
        <v>380449.66172165563</v>
      </c>
      <c r="R214" s="397">
        <f ca="1">SUM(Start:End!R214)</f>
        <v>46354.415527722333</v>
      </c>
      <c r="S214" s="397">
        <f ca="1">SUM(Start:End!S214)</f>
        <v>0</v>
      </c>
      <c r="T214" s="397">
        <f ca="1">SUM(Start:End!T214)</f>
        <v>426804.07724937802</v>
      </c>
      <c r="U214" s="15"/>
      <c r="V214" s="35">
        <f t="shared" ref="V214" ca="1" si="387">+IFERROR(W214/$G214,"N/A")</f>
        <v>0.31112767976369915</v>
      </c>
      <c r="W214" s="397">
        <f ca="1">SUM(Start:End!W214)</f>
        <v>29154.688643802871</v>
      </c>
      <c r="X214" s="35">
        <f t="shared" ref="X214" ca="1" si="388">+IFERROR(Y214/$G214,"N/A")</f>
        <v>0.36978867903133833</v>
      </c>
      <c r="Y214" s="397">
        <f ca="1">SUM(Start:End!Y214)</f>
        <v>34651.606084518193</v>
      </c>
      <c r="Z214" s="35">
        <f t="shared" ca="1" si="318"/>
        <v>0.57966874010317893</v>
      </c>
      <c r="AA214" s="397">
        <f ca="1">SUM(Start:End!AA214)</f>
        <v>54318.733862217698</v>
      </c>
      <c r="AB214" s="397">
        <f ca="1">SUM(Start:End!AB214)</f>
        <v>118125.02859053876</v>
      </c>
      <c r="AC214" s="15"/>
      <c r="AD214" s="397">
        <f ca="1">SUM(Start:End!AD214)</f>
        <v>308679.04865883925</v>
      </c>
      <c r="AE214" s="397">
        <f ca="1">SUM(Start:End!AE214)</f>
        <v>0</v>
      </c>
      <c r="AF214" s="397">
        <f ca="1">SUM(Start:End!AF214)</f>
        <v>308679.04865883925</v>
      </c>
      <c r="AG214" s="15"/>
      <c r="AH214" s="273">
        <f t="shared" si="322"/>
        <v>54423</v>
      </c>
      <c r="AI214" s="267"/>
      <c r="AJ214" s="267"/>
      <c r="AK214" s="397">
        <f ca="1">SUM(Start:End!AK214)</f>
        <v>11338.633930973718</v>
      </c>
      <c r="AL214" s="233"/>
    </row>
    <row r="215" spans="2:38" x14ac:dyDescent="0.3">
      <c r="B215" s="232"/>
      <c r="C215" s="250">
        <f t="shared" si="319"/>
        <v>2049</v>
      </c>
      <c r="D215" s="397">
        <f ca="1">SUM(Start:End!D215)</f>
        <v>86354.751251362934</v>
      </c>
      <c r="E215" s="397">
        <f ca="1">SUM(Start:End!E215)</f>
        <v>600.62458385918887</v>
      </c>
      <c r="F215" s="397">
        <f ca="1">SUM(Start:End!F215)</f>
        <v>0</v>
      </c>
      <c r="G215" s="397">
        <f ca="1">SUM(Start:End!G215)</f>
        <v>89958.498754518063</v>
      </c>
      <c r="H215" s="15"/>
      <c r="I215" s="271">
        <f ca="1">Assumptions!O$68</f>
        <v>4.5</v>
      </c>
      <c r="J215" s="271">
        <f ca="1">Assumptions!P$68</f>
        <v>80</v>
      </c>
      <c r="K215" s="271">
        <f t="shared" ca="1" si="312"/>
        <v>40</v>
      </c>
      <c r="L215" s="15"/>
      <c r="M215" s="35">
        <f t="shared" ca="1" si="315"/>
        <v>4.2299999999999986</v>
      </c>
      <c r="N215" s="35">
        <f t="shared" ca="1" si="313"/>
        <v>73.890313006804845</v>
      </c>
      <c r="O215" s="35" t="str">
        <f t="shared" ca="1" si="314"/>
        <v>N/A</v>
      </c>
      <c r="P215" s="15"/>
      <c r="Q215" s="397">
        <f ca="1">SUM(Start:End!Q215)</f>
        <v>365280.59779326513</v>
      </c>
      <c r="R215" s="397">
        <f ca="1">SUM(Start:End!R215)</f>
        <v>44380.338500937374</v>
      </c>
      <c r="S215" s="397">
        <f ca="1">SUM(Start:End!S215)</f>
        <v>0</v>
      </c>
      <c r="T215" s="397">
        <f ca="1">SUM(Start:End!T215)</f>
        <v>409660.93629420252</v>
      </c>
      <c r="U215" s="15"/>
      <c r="V215" s="35">
        <f t="shared" ref="V215" ca="1" si="389">+IFERROR(W215/$G215,"N/A")</f>
        <v>0.31105719683619593</v>
      </c>
      <c r="W215" s="397">
        <f ca="1">SUM(Start:End!W215)</f>
        <v>27982.23845417281</v>
      </c>
      <c r="X215" s="35">
        <f t="shared" ref="X215" ca="1" si="390">+IFERROR(Y215/$G215,"N/A")</f>
        <v>0.36980188714324524</v>
      </c>
      <c r="Y215" s="397">
        <f ca="1">SUM(Start:End!Y215)</f>
        <v>33266.822603994056</v>
      </c>
      <c r="Z215" s="35">
        <f t="shared" ca="1" si="318"/>
        <v>0.57968944471103301</v>
      </c>
      <c r="AA215" s="397">
        <f ca="1">SUM(Start:End!AA215)</f>
        <v>52147.99219004473</v>
      </c>
      <c r="AB215" s="397">
        <f ca="1">SUM(Start:End!AB215)</f>
        <v>113397.05324821158</v>
      </c>
      <c r="AC215" s="15"/>
      <c r="AD215" s="397">
        <f ca="1">SUM(Start:End!AD215)</f>
        <v>296263.88304599095</v>
      </c>
      <c r="AE215" s="397">
        <f ca="1">SUM(Start:End!AE215)</f>
        <v>0</v>
      </c>
      <c r="AF215" s="397">
        <f ca="1">SUM(Start:End!AF215)</f>
        <v>296263.88304599095</v>
      </c>
      <c r="AG215" s="15"/>
      <c r="AH215" s="273">
        <f t="shared" si="322"/>
        <v>54788</v>
      </c>
      <c r="AI215" s="267"/>
      <c r="AJ215" s="267"/>
      <c r="AK215" s="397">
        <f ca="1">SUM(Start:End!AK215)</f>
        <v>9893.2641920543938</v>
      </c>
      <c r="AL215" s="233"/>
    </row>
    <row r="216" spans="2:38" x14ac:dyDescent="0.3">
      <c r="B216" s="232"/>
      <c r="C216" s="250">
        <f t="shared" si="319"/>
        <v>2050</v>
      </c>
      <c r="D216" s="397">
        <f ca="1">SUM(Start:End!D216)</f>
        <v>82928.855396984509</v>
      </c>
      <c r="E216" s="397">
        <f ca="1">SUM(Start:End!E216)</f>
        <v>575.02061325199929</v>
      </c>
      <c r="F216" s="397">
        <f ca="1">SUM(Start:End!F216)</f>
        <v>0</v>
      </c>
      <c r="G216" s="397">
        <f ca="1">SUM(Start:End!G216)</f>
        <v>86378.9790764965</v>
      </c>
      <c r="H216" s="15"/>
      <c r="I216" s="271">
        <f ca="1">Assumptions!O$68</f>
        <v>4.5</v>
      </c>
      <c r="J216" s="271">
        <f ca="1">Assumptions!P$68</f>
        <v>80</v>
      </c>
      <c r="K216" s="271">
        <f t="shared" ca="1" si="312"/>
        <v>40</v>
      </c>
      <c r="L216" s="15"/>
      <c r="M216" s="35">
        <f t="shared" ca="1" si="315"/>
        <v>4.2299999999999995</v>
      </c>
      <c r="N216" s="35">
        <f t="shared" ca="1" si="313"/>
        <v>73.920856334506894</v>
      </c>
      <c r="O216" s="35" t="str">
        <f t="shared" ca="1" si="314"/>
        <v>N/A</v>
      </c>
      <c r="P216" s="15"/>
      <c r="Q216" s="397">
        <f ca="1">SUM(Start:End!Q216)</f>
        <v>350789.05832924444</v>
      </c>
      <c r="R216" s="397">
        <f ca="1">SUM(Start:End!R216)</f>
        <v>42506.016141581087</v>
      </c>
      <c r="S216" s="397">
        <f ca="1">SUM(Start:End!S216)</f>
        <v>0</v>
      </c>
      <c r="T216" s="397">
        <f ca="1">SUM(Start:End!T216)</f>
        <v>393295.07447082549</v>
      </c>
      <c r="U216" s="15"/>
      <c r="V216" s="35">
        <f t="shared" ref="V216" ca="1" si="391">+IFERROR(W216/$G216,"N/A")</f>
        <v>0.31099090608803315</v>
      </c>
      <c r="W216" s="397">
        <f ca="1">SUM(Start:End!W216)</f>
        <v>26863.076969958904</v>
      </c>
      <c r="X216" s="35">
        <f t="shared" ref="X216" ca="1" si="392">+IFERROR(Y216/$G216,"N/A")</f>
        <v>0.36981430966386325</v>
      </c>
      <c r="Y216" s="397">
        <f ca="1">SUM(Start:End!Y216)</f>
        <v>31944.182516643839</v>
      </c>
      <c r="Z216" s="35">
        <f t="shared" ca="1" si="318"/>
        <v>0.57970891785146128</v>
      </c>
      <c r="AA216" s="397">
        <f ca="1">SUM(Start:End!AA216)</f>
        <v>50074.664485549802</v>
      </c>
      <c r="AB216" s="397">
        <f ca="1">SUM(Start:End!AB216)</f>
        <v>108881.92397215254</v>
      </c>
      <c r="AC216" s="15"/>
      <c r="AD216" s="397">
        <f ca="1">SUM(Start:End!AD216)</f>
        <v>284413.15049867297</v>
      </c>
      <c r="AE216" s="397">
        <f ca="1">SUM(Start:End!AE216)</f>
        <v>0</v>
      </c>
      <c r="AF216" s="397">
        <f ca="1">SUM(Start:End!AF216)</f>
        <v>284413.15049867297</v>
      </c>
      <c r="AG216" s="15"/>
      <c r="AH216" s="273">
        <f t="shared" si="322"/>
        <v>55153</v>
      </c>
      <c r="AI216" s="267"/>
      <c r="AJ216" s="267"/>
      <c r="AK216" s="397">
        <f ca="1">SUM(Start:End!AK216)</f>
        <v>8634.116096552214</v>
      </c>
      <c r="AL216" s="233"/>
    </row>
    <row r="217" spans="2:38" x14ac:dyDescent="0.3">
      <c r="B217" s="232"/>
      <c r="C217" s="250">
        <f t="shared" si="319"/>
        <v>2051</v>
      </c>
      <c r="D217" s="397">
        <f ca="1">SUM(Start:End!D217)</f>
        <v>79646.13492775039</v>
      </c>
      <c r="E217" s="397">
        <f ca="1">SUM(Start:End!E217)</f>
        <v>550.65802497773825</v>
      </c>
      <c r="F217" s="397">
        <f ca="1">SUM(Start:End!F217)</f>
        <v>0</v>
      </c>
      <c r="G217" s="397">
        <f ca="1">SUM(Start:End!G217)</f>
        <v>82950.083077616815</v>
      </c>
      <c r="H217" s="15"/>
      <c r="I217" s="271">
        <f ca="1">Assumptions!O$68</f>
        <v>4.5</v>
      </c>
      <c r="J217" s="271">
        <f ca="1">Assumptions!P$68</f>
        <v>80</v>
      </c>
      <c r="K217" s="271">
        <f t="shared" ca="1" si="312"/>
        <v>40</v>
      </c>
      <c r="L217" s="15"/>
      <c r="M217" s="35">
        <f t="shared" ca="1" si="315"/>
        <v>4.2300000000000004</v>
      </c>
      <c r="N217" s="35">
        <f t="shared" ca="1" si="313"/>
        <v>73.949691960012913</v>
      </c>
      <c r="O217" s="35" t="str">
        <f t="shared" ca="1" si="314"/>
        <v>N/A</v>
      </c>
      <c r="P217" s="15"/>
      <c r="Q217" s="397">
        <f ca="1">SUM(Start:End!Q217)</f>
        <v>336903.15074438415</v>
      </c>
      <c r="R217" s="397">
        <f ca="1">SUM(Start:End!R217)</f>
        <v>40720.99132241284</v>
      </c>
      <c r="S217" s="397">
        <f ca="1">SUM(Start:End!S217)</f>
        <v>0</v>
      </c>
      <c r="T217" s="397">
        <f ca="1">SUM(Start:End!T217)</f>
        <v>377624.14206679695</v>
      </c>
      <c r="U217" s="15"/>
      <c r="V217" s="35">
        <f t="shared" ref="V217" ca="1" si="393">+IFERROR(W217/$G217,"N/A")</f>
        <v>0.31092868033113846</v>
      </c>
      <c r="W217" s="397">
        <f ca="1">SUM(Start:End!W217)</f>
        <v>25791.559864681698</v>
      </c>
      <c r="X217" s="35">
        <f t="shared" ref="X217" ca="1" si="394">+IFERROR(Y217/$G217,"N/A")</f>
        <v>0.36982597042753568</v>
      </c>
      <c r="Y217" s="397">
        <f ca="1">SUM(Start:End!Y217)</f>
        <v>30677.094971224342</v>
      </c>
      <c r="Z217" s="35">
        <f t="shared" ca="1" si="318"/>
        <v>0.57972719688640717</v>
      </c>
      <c r="AA217" s="397">
        <f ca="1">SUM(Start:End!AA217)</f>
        <v>48088.419144081396</v>
      </c>
      <c r="AB217" s="397">
        <f ca="1">SUM(Start:End!AB217)</f>
        <v>104557.07397998744</v>
      </c>
      <c r="AC217" s="15"/>
      <c r="AD217" s="397">
        <f ca="1">SUM(Start:End!AD217)</f>
        <v>273067.06808680948</v>
      </c>
      <c r="AE217" s="397">
        <f ca="1">SUM(Start:End!AE217)</f>
        <v>0</v>
      </c>
      <c r="AF217" s="397">
        <f ca="1">SUM(Start:End!AF217)</f>
        <v>273067.06808680948</v>
      </c>
      <c r="AG217" s="15"/>
      <c r="AH217" s="273">
        <f t="shared" si="322"/>
        <v>55518</v>
      </c>
      <c r="AI217" s="267"/>
      <c r="AJ217" s="267"/>
      <c r="AK217" s="397">
        <f ca="1">SUM(Start:End!AK217)</f>
        <v>7536.0687720177002</v>
      </c>
      <c r="AL217" s="233"/>
    </row>
    <row r="218" spans="2:38" x14ac:dyDescent="0.3">
      <c r="B218" s="232"/>
      <c r="C218" s="250">
        <f t="shared" si="319"/>
        <v>2052</v>
      </c>
      <c r="D218" s="397">
        <f ca="1">SUM(Start:End!D218)</f>
        <v>76494.784751245577</v>
      </c>
      <c r="E218" s="397">
        <f ca="1">SUM(Start:End!E218)</f>
        <v>527.42929924554653</v>
      </c>
      <c r="F218" s="397">
        <f ca="1">SUM(Start:End!F218)</f>
        <v>0</v>
      </c>
      <c r="G218" s="397">
        <f ca="1">SUM(Start:End!G218)</f>
        <v>79659.360546718861</v>
      </c>
      <c r="H218" s="15"/>
      <c r="I218" s="271">
        <f ca="1">Assumptions!O$68</f>
        <v>4.5</v>
      </c>
      <c r="J218" s="271">
        <f ca="1">Assumptions!P$68</f>
        <v>80</v>
      </c>
      <c r="K218" s="271">
        <f t="shared" ca="1" si="312"/>
        <v>40</v>
      </c>
      <c r="L218" s="15"/>
      <c r="M218" s="35">
        <f t="shared" ca="1" si="315"/>
        <v>4.2299999999999995</v>
      </c>
      <c r="N218" s="35">
        <f t="shared" ca="1" si="313"/>
        <v>73.976873786387998</v>
      </c>
      <c r="O218" s="35" t="str">
        <f t="shared" ca="1" si="314"/>
        <v>N/A</v>
      </c>
      <c r="P218" s="15"/>
      <c r="Q218" s="397">
        <f ca="1">SUM(Start:End!Q218)</f>
        <v>323572.93949776876</v>
      </c>
      <c r="R218" s="397">
        <f ca="1">SUM(Start:End!R218)</f>
        <v>39017.570701530865</v>
      </c>
      <c r="S218" s="397">
        <f ca="1">SUM(Start:End!S218)</f>
        <v>0</v>
      </c>
      <c r="T218" s="397">
        <f ca="1">SUM(Start:End!T218)</f>
        <v>362590.51019929966</v>
      </c>
      <c r="U218" s="15"/>
      <c r="V218" s="35">
        <f t="shared" ref="V218" ca="1" si="395">+IFERROR(W218/$G218,"N/A")</f>
        <v>0.31087033964473992</v>
      </c>
      <c r="W218" s="397">
        <f ca="1">SUM(Start:End!W218)</f>
        <v>24763.732469041286</v>
      </c>
      <c r="X218" s="35">
        <f t="shared" ref="X218" ca="1" si="396">+IFERROR(Y218/$G218,"N/A")</f>
        <v>0.36983690315042295</v>
      </c>
      <c r="Y218" s="397">
        <f ca="1">SUM(Start:End!Y218)</f>
        <v>29460.971211541488</v>
      </c>
      <c r="Z218" s="35">
        <f t="shared" ca="1" si="318"/>
        <v>0.57974433466823061</v>
      </c>
      <c r="AA218" s="397">
        <f ca="1">SUM(Start:End!AA218)</f>
        <v>46182.062980254224</v>
      </c>
      <c r="AB218" s="397">
        <f ca="1">SUM(Start:End!AB218)</f>
        <v>100406.76666083701</v>
      </c>
      <c r="AC218" s="15"/>
      <c r="AD218" s="397">
        <f ca="1">SUM(Start:End!AD218)</f>
        <v>262183.74353846267</v>
      </c>
      <c r="AE218" s="397">
        <f ca="1">SUM(Start:End!AE218)</f>
        <v>0</v>
      </c>
      <c r="AF218" s="397">
        <f ca="1">SUM(Start:End!AF218)</f>
        <v>262183.74353846267</v>
      </c>
      <c r="AG218" s="15"/>
      <c r="AH218" s="273">
        <f t="shared" si="322"/>
        <v>55884</v>
      </c>
      <c r="AI218" s="267"/>
      <c r="AJ218" s="267"/>
      <c r="AK218" s="397">
        <f ca="1">SUM(Start:End!AK218)</f>
        <v>6577.9202025821369</v>
      </c>
      <c r="AL218" s="233"/>
    </row>
    <row r="219" spans="2:38" x14ac:dyDescent="0.3">
      <c r="B219" s="232"/>
      <c r="C219" s="250">
        <f t="shared" si="319"/>
        <v>2053</v>
      </c>
      <c r="D219" s="397">
        <f ca="1">SUM(Start:End!D219)</f>
        <v>73468.172739121947</v>
      </c>
      <c r="E219" s="397">
        <f ca="1">SUM(Start:End!E219)</f>
        <v>505.26407612587172</v>
      </c>
      <c r="F219" s="397">
        <f ca="1">SUM(Start:End!F219)</f>
        <v>0</v>
      </c>
      <c r="G219" s="397">
        <f ca="1">SUM(Start:End!G219)</f>
        <v>76499.757195877188</v>
      </c>
      <c r="H219" s="15"/>
      <c r="I219" s="271">
        <f ca="1">Assumptions!O$68</f>
        <v>4.5</v>
      </c>
      <c r="J219" s="271">
        <f ca="1">Assumptions!P$68</f>
        <v>80</v>
      </c>
      <c r="K219" s="271">
        <f t="shared" ca="1" si="312"/>
        <v>40</v>
      </c>
      <c r="L219" s="15"/>
      <c r="M219" s="35">
        <f t="shared" ca="1" si="315"/>
        <v>4.2299999999999995</v>
      </c>
      <c r="N219" s="35">
        <f t="shared" ca="1" si="313"/>
        <v>74.002480652010604</v>
      </c>
      <c r="O219" s="35" t="str">
        <f t="shared" ca="1" si="314"/>
        <v>N/A</v>
      </c>
      <c r="P219" s="15"/>
      <c r="Q219" s="397">
        <f ca="1">SUM(Start:End!Q219)</f>
        <v>310770.37068648578</v>
      </c>
      <c r="R219" s="397">
        <f ca="1">SUM(Start:End!R219)</f>
        <v>37390.795017660836</v>
      </c>
      <c r="S219" s="397">
        <f ca="1">SUM(Start:End!S219)</f>
        <v>0</v>
      </c>
      <c r="T219" s="397">
        <f ca="1">SUM(Start:End!T219)</f>
        <v>348161.16570414661</v>
      </c>
      <c r="U219" s="15"/>
      <c r="V219" s="35">
        <f t="shared" ref="V219" ca="1" si="397">+IFERROR(W219/$G219,"N/A")</f>
        <v>0.31081565787774756</v>
      </c>
      <c r="W219" s="397">
        <f ca="1">SUM(Start:End!W219)</f>
        <v>23777.322360324521</v>
      </c>
      <c r="X219" s="35">
        <f t="shared" ref="X219" ca="1" si="398">+IFERROR(Y219/$G219,"N/A")</f>
        <v>0.36984715021199216</v>
      </c>
      <c r="Y219" s="397">
        <f ca="1">SUM(Start:End!Y219)</f>
        <v>28293.217190804517</v>
      </c>
      <c r="Z219" s="35">
        <f t="shared" ca="1" si="318"/>
        <v>0.57976039762960929</v>
      </c>
      <c r="AA219" s="397">
        <f ca="1">SUM(Start:End!AA219)</f>
        <v>44351.52965045032</v>
      </c>
      <c r="AB219" s="397">
        <f ca="1">SUM(Start:End!AB219)</f>
        <v>96422.069201579361</v>
      </c>
      <c r="AC219" s="15"/>
      <c r="AD219" s="397">
        <f ca="1">SUM(Start:End!AD219)</f>
        <v>251739.09650256726</v>
      </c>
      <c r="AE219" s="397">
        <f ca="1">SUM(Start:End!AE219)</f>
        <v>0</v>
      </c>
      <c r="AF219" s="397">
        <f ca="1">SUM(Start:End!AF219)</f>
        <v>251739.09650256726</v>
      </c>
      <c r="AG219" s="15"/>
      <c r="AH219" s="273">
        <f t="shared" si="322"/>
        <v>56249</v>
      </c>
      <c r="AI219" s="267"/>
      <c r="AJ219" s="267"/>
      <c r="AK219" s="397">
        <f ca="1">SUM(Start:End!AK219)</f>
        <v>5741.7043285456793</v>
      </c>
      <c r="AL219" s="233"/>
    </row>
    <row r="220" spans="2:38" x14ac:dyDescent="0.3">
      <c r="B220" s="232"/>
      <c r="C220" s="274" t="s">
        <v>302</v>
      </c>
      <c r="D220" s="39">
        <f ca="1">SUM(D179:D219)</f>
        <v>5844304.1276695346</v>
      </c>
      <c r="E220" s="39">
        <f t="shared" ref="E220" ca="1" si="399">SUM(E179:E219)</f>
        <v>47653.819467418827</v>
      </c>
      <c r="F220" s="39">
        <f t="shared" ref="F220" ca="1" si="400">SUM(F179:F219)</f>
        <v>0</v>
      </c>
      <c r="G220" s="39">
        <f t="shared" ref="G220" ca="1" si="401">SUM(G179:G219)</f>
        <v>6130227.0444740467</v>
      </c>
      <c r="H220" s="15"/>
      <c r="I220" s="35"/>
      <c r="J220" s="35"/>
      <c r="K220" s="35"/>
      <c r="L220" s="15"/>
      <c r="M220" s="35"/>
      <c r="N220" s="35"/>
      <c r="O220" s="35"/>
      <c r="P220" s="15"/>
      <c r="Q220" s="39">
        <f ca="1">SUM(Q179:Q219)</f>
        <v>24688720.163973056</v>
      </c>
      <c r="R220" s="39">
        <f t="shared" ref="R220" ca="1" si="402">SUM(R179:R219)</f>
        <v>3455124.4999418994</v>
      </c>
      <c r="S220" s="39">
        <f t="shared" ref="S220" ca="1" si="403">SUM(S179:S219)</f>
        <v>0</v>
      </c>
      <c r="T220" s="39">
        <f t="shared" ref="T220" ca="1" si="404">SUM(T179:T219)</f>
        <v>28143844.663914952</v>
      </c>
      <c r="U220" s="15"/>
      <c r="V220" s="275"/>
      <c r="W220" s="399">
        <f t="shared" ref="W220" ca="1" si="405">SUM(W179:W219)</f>
        <v>1929438.8003237811</v>
      </c>
      <c r="X220" s="275"/>
      <c r="Y220" s="399">
        <f t="shared" ref="Y220" ca="1" si="406">SUM(Y179:Y219)</f>
        <v>2262736.7455061777</v>
      </c>
      <c r="Z220" s="275"/>
      <c r="AA220" s="399">
        <f t="shared" ref="AA220" ca="1" si="407">SUM(AA179:AA219)</f>
        <v>3546992.7361988733</v>
      </c>
      <c r="AB220" s="399">
        <f t="shared" ref="AB220" ca="1" si="408">SUM(AB179:AB219)</f>
        <v>7739168.2820288315</v>
      </c>
      <c r="AC220" s="15"/>
      <c r="AD220" s="39">
        <f t="shared" ref="AD220" ca="1" si="409">SUM(AD179:AD219)</f>
        <v>20404676.381886128</v>
      </c>
      <c r="AE220" s="39">
        <f t="shared" ref="AE220" ca="1" si="410">SUM(AE179:AE219)</f>
        <v>6442649.0936650913</v>
      </c>
      <c r="AF220" s="39">
        <f t="shared" ref="AF220" ca="1" si="411">SUM(AF179:AF219)</f>
        <v>13962027.288221035</v>
      </c>
      <c r="AG220" s="15"/>
      <c r="AH220" s="277"/>
      <c r="AI220" s="278"/>
      <c r="AJ220" s="278"/>
      <c r="AK220" s="399">
        <f t="shared" ref="AK220" ca="1" si="412">SUM(AK179:AK219)</f>
        <v>2192393.6227629837</v>
      </c>
      <c r="AL220" s="233"/>
    </row>
    <row r="221" spans="2:38" x14ac:dyDescent="0.3">
      <c r="B221" s="232"/>
      <c r="C221" s="283" t="s">
        <v>303</v>
      </c>
      <c r="D221" s="397">
        <f ca="1">SUM(Start:End!D221)</f>
        <v>697866.8957184488</v>
      </c>
      <c r="E221" s="397">
        <f ca="1">SUM(Start:End!E221)</f>
        <v>5114.3194517626434</v>
      </c>
      <c r="F221" s="397">
        <f ca="1">SUM(Start:End!F221)</f>
        <v>0</v>
      </c>
      <c r="G221" s="397">
        <f ca="1">SUM(Start:End!G221)</f>
        <v>728552.81242902298</v>
      </c>
      <c r="H221" s="15"/>
      <c r="I221" s="271">
        <f ca="1">Assumptions!O$68</f>
        <v>4.5</v>
      </c>
      <c r="J221" s="271">
        <f ca="1">Assumptions!P$68</f>
        <v>80</v>
      </c>
      <c r="K221" s="271">
        <f ca="1">J221*NGL_Price_Diff_vs_Oil</f>
        <v>40</v>
      </c>
      <c r="L221" s="15"/>
      <c r="M221" s="35">
        <f t="shared" ref="M221" ca="1" si="413">+IFERROR(Q221/D221,"N/A")</f>
        <v>4.2299999999999995</v>
      </c>
      <c r="N221" s="35">
        <f t="shared" ref="N221" ca="1" si="414">+IFERROR(R221/E221,"N/A")</f>
        <v>73.386672136195003</v>
      </c>
      <c r="O221" s="35" t="str">
        <f t="shared" ref="O221" ca="1" si="415">+IFERROR(S221/F221,"N/A")</f>
        <v>N/A</v>
      </c>
      <c r="P221" s="15"/>
      <c r="Q221" s="397">
        <f ca="1">SUM(Start:End!Q221)</f>
        <v>2951976.9688890381</v>
      </c>
      <c r="R221" s="397">
        <f ca="1">SUM(Start:End!R221)</f>
        <v>375322.88480626966</v>
      </c>
      <c r="S221" s="397">
        <f ca="1">SUM(Start:End!S221)</f>
        <v>0</v>
      </c>
      <c r="T221" s="397">
        <f ca="1">SUM(Start:End!T221)</f>
        <v>3327299.8536953074</v>
      </c>
      <c r="U221" s="15"/>
      <c r="V221" s="35">
        <f t="shared" ref="V221" ca="1" si="416">+IFERROR(W221/$G221,"N/A")</f>
        <v>0.31220987748030721</v>
      </c>
      <c r="W221" s="397">
        <f ca="1">SUM(Start:End!W221)</f>
        <v>227461.38430639851</v>
      </c>
      <c r="X221" s="35">
        <f t="shared" ref="X221" ca="1" si="417">+IFERROR(Y221/$G221,"N/A")</f>
        <v>0.36958588114747193</v>
      </c>
      <c r="Y221" s="397">
        <f ca="1">SUM(Start:End!Y221)</f>
        <v>269262.83314404928</v>
      </c>
      <c r="Z221" s="35">
        <f t="shared" ref="Z221" ca="1" si="418">+IFERROR(AA221/$G221,"N/A")</f>
        <v>0.57935084071765863</v>
      </c>
      <c r="AA221" s="397">
        <f ca="1">SUM(Start:End!AA221)</f>
        <v>422087.68438796914</v>
      </c>
      <c r="AB221" s="397">
        <f ca="1">SUM(Start:End!AB221)</f>
        <v>918811.90183841693</v>
      </c>
      <c r="AC221" s="15"/>
      <c r="AD221" s="397">
        <f ca="1">SUM(Start:End!AD221)</f>
        <v>2408487.9518568907</v>
      </c>
      <c r="AE221" s="397">
        <f ca="1">SUM(Start:End!AE221)</f>
        <v>0</v>
      </c>
      <c r="AF221" s="397">
        <f ca="1">SUM(Start:End!AF221)</f>
        <v>2408487.9518568907</v>
      </c>
      <c r="AG221" s="15"/>
      <c r="AH221" s="266">
        <f>Remainder_Date</f>
        <v>56249</v>
      </c>
      <c r="AI221" s="267"/>
      <c r="AJ221" s="267"/>
      <c r="AK221" s="397">
        <f ca="1">SUM(Start:End!AK221)</f>
        <v>54933.166482885972</v>
      </c>
      <c r="AL221" s="233"/>
    </row>
    <row r="222" spans="2:38" x14ac:dyDescent="0.3">
      <c r="B222" s="232"/>
      <c r="C222" s="60" t="s">
        <v>26</v>
      </c>
      <c r="D222" s="39">
        <f ca="1">D221+D220</f>
        <v>6542171.0233879834</v>
      </c>
      <c r="E222" s="39">
        <f t="shared" ref="E222" ca="1" si="419">E221+E220</f>
        <v>52768.138919181467</v>
      </c>
      <c r="F222" s="39">
        <f t="shared" ref="F222" ca="1" si="420">F221+F220</f>
        <v>0</v>
      </c>
      <c r="G222" s="39">
        <f t="shared" ref="G222" ca="1" si="421">G221+G220</f>
        <v>6858779.8569030697</v>
      </c>
      <c r="H222" s="15"/>
      <c r="I222" s="15"/>
      <c r="J222" s="15"/>
      <c r="K222" s="15"/>
      <c r="L222" s="15"/>
      <c r="M222" s="15"/>
      <c r="N222" s="15"/>
      <c r="O222" s="15"/>
      <c r="P222" s="15"/>
      <c r="Q222" s="39">
        <f ca="1">Q221+Q220</f>
        <v>27640697.132862095</v>
      </c>
      <c r="R222" s="39">
        <f t="shared" ref="R222" ca="1" si="422">R221+R220</f>
        <v>3830447.3847481692</v>
      </c>
      <c r="S222" s="39">
        <f t="shared" ref="S222" ca="1" si="423">S221+S220</f>
        <v>0</v>
      </c>
      <c r="T222" s="39">
        <f t="shared" ref="T222" ca="1" si="424">T221+T220</f>
        <v>31471144.517610259</v>
      </c>
      <c r="U222" s="15"/>
      <c r="V222" s="9"/>
      <c r="W222" s="39">
        <f t="shared" ref="W222" ca="1" si="425">W221+W220</f>
        <v>2156900.1846301798</v>
      </c>
      <c r="X222" s="9"/>
      <c r="Y222" s="39">
        <f t="shared" ref="Y222" ca="1" si="426">Y221+Y220</f>
        <v>2531999.5786502268</v>
      </c>
      <c r="Z222" s="9"/>
      <c r="AA222" s="39">
        <f t="shared" ref="AA222" ca="1" si="427">AA221+AA220</f>
        <v>3969080.4205868426</v>
      </c>
      <c r="AB222" s="39">
        <f t="shared" ref="AB222" ca="1" si="428">AB221+AB220</f>
        <v>8657980.1838672478</v>
      </c>
      <c r="AC222" s="15"/>
      <c r="AD222" s="39">
        <f t="shared" ref="AD222" ca="1" si="429">AD221+AD220</f>
        <v>22813164.333743021</v>
      </c>
      <c r="AE222" s="39">
        <f t="shared" ref="AE222" ca="1" si="430">AE221+AE220</f>
        <v>6442649.0936650913</v>
      </c>
      <c r="AF222" s="39">
        <f t="shared" ref="AF222" ca="1" si="431">AF221+AF220</f>
        <v>16370515.240077926</v>
      </c>
      <c r="AG222" s="15"/>
      <c r="AH222" s="9"/>
      <c r="AI222" s="9"/>
      <c r="AJ222" s="9"/>
      <c r="AK222" s="39">
        <f t="shared" ref="AK222" ca="1" si="432">AK221+AK220</f>
        <v>2247326.7892458695</v>
      </c>
      <c r="AL222" s="233"/>
    </row>
    <row r="223" spans="2:38" x14ac:dyDescent="0.3">
      <c r="B223" s="232"/>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233"/>
    </row>
    <row r="224" spans="2:38" x14ac:dyDescent="0.3">
      <c r="B224" s="285" t="s">
        <v>31</v>
      </c>
      <c r="C224" s="286"/>
      <c r="D224" s="287"/>
      <c r="E224" s="287"/>
      <c r="F224" s="287"/>
      <c r="G224" s="287"/>
      <c r="H224" s="287"/>
      <c r="I224" s="287"/>
      <c r="J224" s="287"/>
      <c r="K224" s="287"/>
      <c r="L224" s="287"/>
      <c r="M224" s="287"/>
      <c r="N224" s="287"/>
      <c r="O224" s="287"/>
      <c r="P224" s="287"/>
      <c r="Q224" s="286" t="str">
        <f>B224</f>
        <v>POSS</v>
      </c>
      <c r="R224" s="287"/>
      <c r="S224" s="287"/>
      <c r="T224" s="287"/>
      <c r="U224" s="287"/>
      <c r="V224" s="287"/>
      <c r="W224" s="287"/>
      <c r="X224" s="287"/>
      <c r="Y224" s="287"/>
      <c r="Z224" s="287"/>
      <c r="AA224" s="287"/>
      <c r="AB224" s="287"/>
      <c r="AC224" s="287"/>
      <c r="AD224" s="286" t="str">
        <f>Q224</f>
        <v>POSS</v>
      </c>
      <c r="AE224" s="287"/>
      <c r="AF224" s="287"/>
      <c r="AG224" s="287"/>
      <c r="AH224" s="287"/>
      <c r="AI224" s="287"/>
      <c r="AJ224" s="287"/>
      <c r="AK224" s="287"/>
      <c r="AL224" s="288"/>
    </row>
    <row r="225" spans="2:38" x14ac:dyDescent="0.3">
      <c r="B225" s="232"/>
      <c r="C225" s="292"/>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233"/>
    </row>
    <row r="226" spans="2:38" x14ac:dyDescent="0.3">
      <c r="B226" s="232"/>
      <c r="C226" s="37" t="s">
        <v>277</v>
      </c>
      <c r="D226" s="23"/>
      <c r="E226" s="23"/>
      <c r="F226" s="23"/>
      <c r="G226" s="23"/>
      <c r="H226" s="261"/>
      <c r="I226" s="37" t="s">
        <v>15</v>
      </c>
      <c r="J226" s="23"/>
      <c r="K226" s="23"/>
      <c r="L226" s="15"/>
      <c r="M226" s="37" t="s">
        <v>278</v>
      </c>
      <c r="N226" s="23"/>
      <c r="O226" s="23"/>
      <c r="P226" s="15"/>
      <c r="Q226" s="37" t="s">
        <v>279</v>
      </c>
      <c r="R226" s="23"/>
      <c r="S226" s="23"/>
      <c r="T226" s="23"/>
      <c r="U226" s="15"/>
      <c r="V226" s="37" t="s">
        <v>280</v>
      </c>
      <c r="W226" s="23"/>
      <c r="X226" s="23"/>
      <c r="Y226" s="23"/>
      <c r="Z226" s="23"/>
      <c r="AA226" s="23"/>
      <c r="AB226" s="4"/>
      <c r="AC226" s="15"/>
      <c r="AD226" s="37" t="s">
        <v>281</v>
      </c>
      <c r="AE226" s="23"/>
      <c r="AF226" s="23"/>
      <c r="AG226" s="15"/>
      <c r="AH226" s="37" t="s">
        <v>282</v>
      </c>
      <c r="AI226" s="23"/>
      <c r="AJ226" s="23"/>
      <c r="AK226" s="23"/>
      <c r="AL226" s="233"/>
    </row>
    <row r="227" spans="2:38" x14ac:dyDescent="0.3">
      <c r="B227" s="232"/>
      <c r="C227" s="250"/>
      <c r="D227" s="250" t="s">
        <v>10</v>
      </c>
      <c r="E227" s="250" t="s">
        <v>11</v>
      </c>
      <c r="F227" s="250" t="s">
        <v>245</v>
      </c>
      <c r="G227" s="250" t="s">
        <v>12</v>
      </c>
      <c r="H227" s="261"/>
      <c r="I227" s="262" t="s">
        <v>10</v>
      </c>
      <c r="J227" s="262" t="s">
        <v>11</v>
      </c>
      <c r="K227" s="262" t="s">
        <v>245</v>
      </c>
      <c r="L227" s="15"/>
      <c r="M227" s="262" t="s">
        <v>10</v>
      </c>
      <c r="N227" s="262" t="s">
        <v>11</v>
      </c>
      <c r="O227" s="262" t="s">
        <v>245</v>
      </c>
      <c r="P227" s="15"/>
      <c r="Q227" s="262" t="s">
        <v>10</v>
      </c>
      <c r="R227" s="262" t="s">
        <v>11</v>
      </c>
      <c r="S227" s="262" t="s">
        <v>245</v>
      </c>
      <c r="T227" s="262" t="s">
        <v>12</v>
      </c>
      <c r="U227" s="15"/>
      <c r="V227" s="262" t="s">
        <v>283</v>
      </c>
      <c r="W227" s="262" t="s">
        <v>283</v>
      </c>
      <c r="X227" s="262" t="s">
        <v>284</v>
      </c>
      <c r="Y227" s="262" t="s">
        <v>284</v>
      </c>
      <c r="Z227" s="262" t="s">
        <v>285</v>
      </c>
      <c r="AA227" s="262" t="s">
        <v>285</v>
      </c>
      <c r="AB227" s="262" t="s">
        <v>12</v>
      </c>
      <c r="AC227" s="15"/>
      <c r="AD227" s="262" t="s">
        <v>286</v>
      </c>
      <c r="AE227" s="262" t="s">
        <v>287</v>
      </c>
      <c r="AF227" s="262" t="s">
        <v>281</v>
      </c>
      <c r="AG227" s="15"/>
      <c r="AH227" s="262"/>
      <c r="AI227" s="262" t="s">
        <v>288</v>
      </c>
      <c r="AJ227" s="262" t="s">
        <v>288</v>
      </c>
      <c r="AK227" s="262" t="s">
        <v>289</v>
      </c>
      <c r="AL227" s="233"/>
    </row>
    <row r="228" spans="2:38" x14ac:dyDescent="0.3">
      <c r="B228" s="232"/>
      <c r="C228" s="13" t="s">
        <v>9</v>
      </c>
      <c r="D228" s="13" t="s">
        <v>307</v>
      </c>
      <c r="E228" s="13" t="s">
        <v>308</v>
      </c>
      <c r="F228" s="13" t="s">
        <v>308</v>
      </c>
      <c r="G228" s="13" t="s">
        <v>248</v>
      </c>
      <c r="H228" s="4"/>
      <c r="I228" s="13" t="s">
        <v>24</v>
      </c>
      <c r="J228" s="13" t="s">
        <v>25</v>
      </c>
      <c r="K228" s="13" t="s">
        <v>25</v>
      </c>
      <c r="L228" s="4"/>
      <c r="M228" s="13" t="s">
        <v>24</v>
      </c>
      <c r="N228" s="13" t="s">
        <v>25</v>
      </c>
      <c r="O228" s="13" t="s">
        <v>25</v>
      </c>
      <c r="P228" s="4"/>
      <c r="Q228" s="13" t="s">
        <v>293</v>
      </c>
      <c r="R228" s="13" t="s">
        <v>293</v>
      </c>
      <c r="S228" s="13" t="s">
        <v>293</v>
      </c>
      <c r="T228" s="13" t="s">
        <v>293</v>
      </c>
      <c r="U228" s="4"/>
      <c r="V228" s="13" t="s">
        <v>294</v>
      </c>
      <c r="W228" s="13" t="s">
        <v>293</v>
      </c>
      <c r="X228" s="13" t="s">
        <v>294</v>
      </c>
      <c r="Y228" s="13" t="s">
        <v>293</v>
      </c>
      <c r="Z228" s="13" t="s">
        <v>294</v>
      </c>
      <c r="AA228" s="13" t="s">
        <v>293</v>
      </c>
      <c r="AB228" s="13" t="s">
        <v>293</v>
      </c>
      <c r="AC228" s="4"/>
      <c r="AD228" s="13" t="s">
        <v>293</v>
      </c>
      <c r="AE228" s="13" t="s">
        <v>293</v>
      </c>
      <c r="AF228" s="13" t="s">
        <v>293</v>
      </c>
      <c r="AG228" s="4"/>
      <c r="AH228" s="13" t="s">
        <v>295</v>
      </c>
      <c r="AI228" s="13" t="s">
        <v>296</v>
      </c>
      <c r="AJ228" s="13" t="s">
        <v>297</v>
      </c>
      <c r="AK228" s="13" t="s">
        <v>293</v>
      </c>
      <c r="AL228" s="233"/>
    </row>
    <row r="229" spans="2:38" x14ac:dyDescent="0.3">
      <c r="B229" s="232"/>
      <c r="C229" s="250">
        <f>YEAR(FY_Date)</f>
        <v>2013</v>
      </c>
      <c r="D229" s="397">
        <f ca="1">SUM(Start:End!D229)</f>
        <v>0</v>
      </c>
      <c r="E229" s="397">
        <f ca="1">SUM(Start:End!E229)</f>
        <v>0</v>
      </c>
      <c r="F229" s="397">
        <f ca="1">SUM(Start:End!F229)</f>
        <v>0</v>
      </c>
      <c r="G229" s="397">
        <f ca="1">SUM(Start:End!G229)</f>
        <v>0</v>
      </c>
      <c r="H229" s="15"/>
      <c r="I229" s="264">
        <f ca="1">Assumptions!O$63</f>
        <v>3.7</v>
      </c>
      <c r="J229" s="264">
        <f ca="1">Assumptions!P$63</f>
        <v>101</v>
      </c>
      <c r="K229" s="264">
        <f t="shared" ref="K229:K269" ca="1" si="433">J229*NGL_Price_Diff_vs_Oil</f>
        <v>50.5</v>
      </c>
      <c r="L229" s="15"/>
      <c r="M229" s="51" t="str">
        <f ca="1">+IFERROR(Q229/D229,"N/A")</f>
        <v>N/A</v>
      </c>
      <c r="N229" s="51" t="str">
        <f t="shared" ref="N229:N269" ca="1" si="434">+IFERROR(R229/E229,"N/A")</f>
        <v>N/A</v>
      </c>
      <c r="O229" s="51" t="str">
        <f t="shared" ref="O229:O269" ca="1" si="435">+IFERROR(S229/F229,"N/A")</f>
        <v>N/A</v>
      </c>
      <c r="P229" s="15"/>
      <c r="Q229" s="397">
        <f ca="1">SUM(Start:End!Q229)</f>
        <v>0</v>
      </c>
      <c r="R229" s="397">
        <f ca="1">SUM(Start:End!R229)</f>
        <v>0</v>
      </c>
      <c r="S229" s="397">
        <f ca="1">SUM(Start:End!S229)</f>
        <v>0</v>
      </c>
      <c r="T229" s="397">
        <f ca="1">SUM(Start:End!T229)</f>
        <v>0</v>
      </c>
      <c r="U229" s="15"/>
      <c r="V229" s="51" t="str">
        <f ca="1">+IFERROR(W229/$G229,"N/A")</f>
        <v>N/A</v>
      </c>
      <c r="W229" s="397">
        <f ca="1">SUM(Start:End!W229)</f>
        <v>0</v>
      </c>
      <c r="X229" s="51" t="str">
        <f ca="1">+IFERROR(Y229/$G229,"N/A")</f>
        <v>N/A</v>
      </c>
      <c r="Y229" s="397">
        <f ca="1">SUM(Start:End!Y229)</f>
        <v>0</v>
      </c>
      <c r="Z229" s="51" t="str">
        <f ca="1">+IFERROR(AA229/$G229,"N/A")</f>
        <v>N/A</v>
      </c>
      <c r="AA229" s="397">
        <f ca="1">SUM(Start:End!AA229)</f>
        <v>0</v>
      </c>
      <c r="AB229" s="397">
        <f ca="1">SUM(Start:End!AB229)</f>
        <v>0</v>
      </c>
      <c r="AC229" s="15"/>
      <c r="AD229" s="397">
        <f ca="1">SUM(Start:End!AD229)</f>
        <v>0</v>
      </c>
      <c r="AE229" s="397">
        <f ca="1">SUM(Start:End!AE229)</f>
        <v>0</v>
      </c>
      <c r="AF229" s="397">
        <f ca="1">SUM(Start:End!AF229)</f>
        <v>0</v>
      </c>
      <c r="AG229" s="15"/>
      <c r="AH229" s="266">
        <f>FY_Date</f>
        <v>41639</v>
      </c>
      <c r="AI229" s="267"/>
      <c r="AJ229" s="267"/>
      <c r="AK229" s="397">
        <f ca="1">SUM(Start:End!AK229)</f>
        <v>0</v>
      </c>
      <c r="AL229" s="233"/>
    </row>
    <row r="230" spans="2:38" x14ac:dyDescent="0.3">
      <c r="B230" s="232"/>
      <c r="C230" s="270">
        <f>C229+1</f>
        <v>2014</v>
      </c>
      <c r="D230" s="397">
        <f ca="1">SUM(Start:End!D230)</f>
        <v>0</v>
      </c>
      <c r="E230" s="397">
        <f ca="1">SUM(Start:End!E230)</f>
        <v>0</v>
      </c>
      <c r="F230" s="397">
        <f ca="1">SUM(Start:End!F230)</f>
        <v>0</v>
      </c>
      <c r="G230" s="397">
        <f ca="1">SUM(Start:End!G230)</f>
        <v>0</v>
      </c>
      <c r="H230" s="15"/>
      <c r="I230" s="271">
        <f ca="1">Assumptions!O$64</f>
        <v>3.8</v>
      </c>
      <c r="J230" s="271">
        <f ca="1">Assumptions!P$64</f>
        <v>92</v>
      </c>
      <c r="K230" s="271">
        <f t="shared" ca="1" si="433"/>
        <v>46</v>
      </c>
      <c r="L230" s="15"/>
      <c r="M230" s="35" t="str">
        <f t="shared" ref="M230:M269" ca="1" si="436">+IFERROR(Q230/D230,"N/A")</f>
        <v>N/A</v>
      </c>
      <c r="N230" s="35" t="str">
        <f t="shared" ca="1" si="434"/>
        <v>N/A</v>
      </c>
      <c r="O230" s="35" t="str">
        <f t="shared" ca="1" si="435"/>
        <v>N/A</v>
      </c>
      <c r="P230" s="15"/>
      <c r="Q230" s="397">
        <f ca="1">SUM(Start:End!Q230)</f>
        <v>0</v>
      </c>
      <c r="R230" s="397">
        <f ca="1">SUM(Start:End!R230)</f>
        <v>0</v>
      </c>
      <c r="S230" s="397">
        <f ca="1">SUM(Start:End!S230)</f>
        <v>0</v>
      </c>
      <c r="T230" s="397">
        <f ca="1">SUM(Start:End!T230)</f>
        <v>0</v>
      </c>
      <c r="U230" s="15"/>
      <c r="V230" s="35" t="str">
        <f t="shared" ref="V230" ca="1" si="437">+IFERROR(W230/$G230,"N/A")</f>
        <v>N/A</v>
      </c>
      <c r="W230" s="397">
        <f ca="1">SUM(Start:End!W230)</f>
        <v>0</v>
      </c>
      <c r="X230" s="35" t="str">
        <f t="shared" ref="X230" ca="1" si="438">+IFERROR(Y230/$G230,"N/A")</f>
        <v>N/A</v>
      </c>
      <c r="Y230" s="397">
        <f ca="1">SUM(Start:End!Y230)</f>
        <v>0</v>
      </c>
      <c r="Z230" s="35" t="str">
        <f t="shared" ref="Z230:Z269" ca="1" si="439">+IFERROR(AA230/$G230,"N/A")</f>
        <v>N/A</v>
      </c>
      <c r="AA230" s="397">
        <f ca="1">SUM(Start:End!AA230)</f>
        <v>0</v>
      </c>
      <c r="AB230" s="397">
        <f ca="1">SUM(Start:End!AB230)</f>
        <v>0</v>
      </c>
      <c r="AC230" s="15"/>
      <c r="AD230" s="397">
        <f ca="1">SUM(Start:End!AD230)</f>
        <v>0</v>
      </c>
      <c r="AE230" s="397">
        <f ca="1">SUM(Start:End!AE230)</f>
        <v>0</v>
      </c>
      <c r="AF230" s="397">
        <f ca="1">SUM(Start:End!AF230)</f>
        <v>0</v>
      </c>
      <c r="AG230" s="15"/>
      <c r="AH230" s="272">
        <f>EOMONTH(AH229,12)</f>
        <v>42004</v>
      </c>
      <c r="AI230" s="267"/>
      <c r="AJ230" s="267"/>
      <c r="AK230" s="397">
        <f ca="1">SUM(Start:End!AK230)</f>
        <v>0</v>
      </c>
      <c r="AL230" s="233"/>
    </row>
    <row r="231" spans="2:38" x14ac:dyDescent="0.3">
      <c r="B231" s="232"/>
      <c r="C231" s="250">
        <f t="shared" ref="C231:C269" si="440">C230+1</f>
        <v>2015</v>
      </c>
      <c r="D231" s="397">
        <f ca="1">SUM(Start:End!D231)</f>
        <v>0</v>
      </c>
      <c r="E231" s="397">
        <f ca="1">SUM(Start:End!E231)</f>
        <v>0</v>
      </c>
      <c r="F231" s="397">
        <f ca="1">SUM(Start:End!F231)</f>
        <v>0</v>
      </c>
      <c r="G231" s="397">
        <f ca="1">SUM(Start:End!G231)</f>
        <v>0</v>
      </c>
      <c r="H231" s="15"/>
      <c r="I231" s="271">
        <f ca="1">Assumptions!O$65</f>
        <v>4</v>
      </c>
      <c r="J231" s="271">
        <f ca="1">Assumptions!P$65</f>
        <v>88</v>
      </c>
      <c r="K231" s="271">
        <f t="shared" ca="1" si="433"/>
        <v>44</v>
      </c>
      <c r="L231" s="15"/>
      <c r="M231" s="35" t="str">
        <f t="shared" ca="1" si="436"/>
        <v>N/A</v>
      </c>
      <c r="N231" s="35" t="str">
        <f t="shared" ca="1" si="434"/>
        <v>N/A</v>
      </c>
      <c r="O231" s="35" t="str">
        <f t="shared" ca="1" si="435"/>
        <v>N/A</v>
      </c>
      <c r="P231" s="15"/>
      <c r="Q231" s="397">
        <f ca="1">SUM(Start:End!Q231)</f>
        <v>0</v>
      </c>
      <c r="R231" s="397">
        <f ca="1">SUM(Start:End!R231)</f>
        <v>0</v>
      </c>
      <c r="S231" s="397">
        <f ca="1">SUM(Start:End!S231)</f>
        <v>0</v>
      </c>
      <c r="T231" s="397">
        <f ca="1">SUM(Start:End!T231)</f>
        <v>0</v>
      </c>
      <c r="U231" s="15"/>
      <c r="V231" s="35" t="str">
        <f t="shared" ref="V231" ca="1" si="441">+IFERROR(W231/$G231,"N/A")</f>
        <v>N/A</v>
      </c>
      <c r="W231" s="397">
        <f ca="1">SUM(Start:End!W231)</f>
        <v>0</v>
      </c>
      <c r="X231" s="35" t="str">
        <f t="shared" ref="X231" ca="1" si="442">+IFERROR(Y231/$G231,"N/A")</f>
        <v>N/A</v>
      </c>
      <c r="Y231" s="397">
        <f ca="1">SUM(Start:End!Y231)</f>
        <v>0</v>
      </c>
      <c r="Z231" s="35" t="str">
        <f t="shared" ca="1" si="439"/>
        <v>N/A</v>
      </c>
      <c r="AA231" s="397">
        <f ca="1">SUM(Start:End!AA231)</f>
        <v>0</v>
      </c>
      <c r="AB231" s="397">
        <f ca="1">SUM(Start:End!AB231)</f>
        <v>0</v>
      </c>
      <c r="AC231" s="15"/>
      <c r="AD231" s="397">
        <f ca="1">SUM(Start:End!AD231)</f>
        <v>0</v>
      </c>
      <c r="AE231" s="397">
        <f ca="1">SUM(Start:End!AE231)</f>
        <v>0</v>
      </c>
      <c r="AF231" s="397">
        <f ca="1">SUM(Start:End!AF231)</f>
        <v>0</v>
      </c>
      <c r="AG231" s="15"/>
      <c r="AH231" s="273">
        <f t="shared" ref="AH231:AH269" si="443">EOMONTH(AH230,12)</f>
        <v>42369</v>
      </c>
      <c r="AI231" s="267"/>
      <c r="AJ231" s="267"/>
      <c r="AK231" s="397">
        <f ca="1">SUM(Start:End!AK231)</f>
        <v>0</v>
      </c>
      <c r="AL231" s="233"/>
    </row>
    <row r="232" spans="2:38" x14ac:dyDescent="0.3">
      <c r="B232" s="232"/>
      <c r="C232" s="250">
        <f t="shared" si="440"/>
        <v>2016</v>
      </c>
      <c r="D232" s="397">
        <f ca="1">SUM(Start:End!D232)</f>
        <v>0</v>
      </c>
      <c r="E232" s="397">
        <f ca="1">SUM(Start:End!E232)</f>
        <v>0</v>
      </c>
      <c r="F232" s="397">
        <f ca="1">SUM(Start:End!F232)</f>
        <v>0</v>
      </c>
      <c r="G232" s="397">
        <f ca="1">SUM(Start:End!G232)</f>
        <v>0</v>
      </c>
      <c r="H232" s="15"/>
      <c r="I232" s="271">
        <f ca="1">Assumptions!O$66</f>
        <v>4.0999999999999996</v>
      </c>
      <c r="J232" s="271">
        <f ca="1">Assumptions!P$66</f>
        <v>84</v>
      </c>
      <c r="K232" s="271">
        <f t="shared" ca="1" si="433"/>
        <v>42</v>
      </c>
      <c r="L232" s="15"/>
      <c r="M232" s="35" t="str">
        <f t="shared" ca="1" si="436"/>
        <v>N/A</v>
      </c>
      <c r="N232" s="35" t="str">
        <f t="shared" ca="1" si="434"/>
        <v>N/A</v>
      </c>
      <c r="O232" s="35" t="str">
        <f t="shared" ca="1" si="435"/>
        <v>N/A</v>
      </c>
      <c r="P232" s="15"/>
      <c r="Q232" s="397">
        <f ca="1">SUM(Start:End!Q232)</f>
        <v>0</v>
      </c>
      <c r="R232" s="397">
        <f ca="1">SUM(Start:End!R232)</f>
        <v>0</v>
      </c>
      <c r="S232" s="397">
        <f ca="1">SUM(Start:End!S232)</f>
        <v>0</v>
      </c>
      <c r="T232" s="397">
        <f ca="1">SUM(Start:End!T232)</f>
        <v>0</v>
      </c>
      <c r="U232" s="15"/>
      <c r="V232" s="35" t="str">
        <f t="shared" ref="V232" ca="1" si="444">+IFERROR(W232/$G232,"N/A")</f>
        <v>N/A</v>
      </c>
      <c r="W232" s="397">
        <f ca="1">SUM(Start:End!W232)</f>
        <v>0</v>
      </c>
      <c r="X232" s="35" t="str">
        <f t="shared" ref="X232" ca="1" si="445">+IFERROR(Y232/$G232,"N/A")</f>
        <v>N/A</v>
      </c>
      <c r="Y232" s="397">
        <f ca="1">SUM(Start:End!Y232)</f>
        <v>0</v>
      </c>
      <c r="Z232" s="35" t="str">
        <f t="shared" ca="1" si="439"/>
        <v>N/A</v>
      </c>
      <c r="AA232" s="397">
        <f ca="1">SUM(Start:End!AA232)</f>
        <v>0</v>
      </c>
      <c r="AB232" s="397">
        <f ca="1">SUM(Start:End!AB232)</f>
        <v>0</v>
      </c>
      <c r="AC232" s="15"/>
      <c r="AD232" s="397">
        <f ca="1">SUM(Start:End!AD232)</f>
        <v>0</v>
      </c>
      <c r="AE232" s="397">
        <f ca="1">SUM(Start:End!AE232)</f>
        <v>0</v>
      </c>
      <c r="AF232" s="397">
        <f ca="1">SUM(Start:End!AF232)</f>
        <v>0</v>
      </c>
      <c r="AG232" s="15"/>
      <c r="AH232" s="273">
        <f t="shared" si="443"/>
        <v>42735</v>
      </c>
      <c r="AI232" s="267"/>
      <c r="AJ232" s="267"/>
      <c r="AK232" s="397">
        <f ca="1">SUM(Start:End!AK232)</f>
        <v>0</v>
      </c>
      <c r="AL232" s="233"/>
    </row>
    <row r="233" spans="2:38" x14ac:dyDescent="0.3">
      <c r="B233" s="232"/>
      <c r="C233" s="250">
        <f t="shared" si="440"/>
        <v>2017</v>
      </c>
      <c r="D233" s="397">
        <f ca="1">SUM(Start:End!D233)</f>
        <v>0</v>
      </c>
      <c r="E233" s="397">
        <f ca="1">SUM(Start:End!E233)</f>
        <v>0</v>
      </c>
      <c r="F233" s="397">
        <f ca="1">SUM(Start:End!F233)</f>
        <v>0</v>
      </c>
      <c r="G233" s="397">
        <f ca="1">SUM(Start:End!G233)</f>
        <v>0</v>
      </c>
      <c r="H233" s="15"/>
      <c r="I233" s="271">
        <f ca="1">Assumptions!O$67</f>
        <v>4.2</v>
      </c>
      <c r="J233" s="271">
        <f ca="1">Assumptions!P$67</f>
        <v>82</v>
      </c>
      <c r="K233" s="271">
        <f t="shared" ca="1" si="433"/>
        <v>41</v>
      </c>
      <c r="L233" s="15"/>
      <c r="M233" s="35" t="str">
        <f t="shared" ca="1" si="436"/>
        <v>N/A</v>
      </c>
      <c r="N233" s="35" t="str">
        <f t="shared" ca="1" si="434"/>
        <v>N/A</v>
      </c>
      <c r="O233" s="35" t="str">
        <f t="shared" ca="1" si="435"/>
        <v>N/A</v>
      </c>
      <c r="P233" s="15"/>
      <c r="Q233" s="397">
        <f ca="1">SUM(Start:End!Q233)</f>
        <v>0</v>
      </c>
      <c r="R233" s="397">
        <f ca="1">SUM(Start:End!R233)</f>
        <v>0</v>
      </c>
      <c r="S233" s="397">
        <f ca="1">SUM(Start:End!S233)</f>
        <v>0</v>
      </c>
      <c r="T233" s="397">
        <f ca="1">SUM(Start:End!T233)</f>
        <v>0</v>
      </c>
      <c r="U233" s="15"/>
      <c r="V233" s="35" t="str">
        <f t="shared" ref="V233" ca="1" si="446">+IFERROR(W233/$G233,"N/A")</f>
        <v>N/A</v>
      </c>
      <c r="W233" s="397">
        <f ca="1">SUM(Start:End!W233)</f>
        <v>0</v>
      </c>
      <c r="X233" s="35" t="str">
        <f t="shared" ref="X233" ca="1" si="447">+IFERROR(Y233/$G233,"N/A")</f>
        <v>N/A</v>
      </c>
      <c r="Y233" s="397">
        <f ca="1">SUM(Start:End!Y233)</f>
        <v>0</v>
      </c>
      <c r="Z233" s="35" t="str">
        <f t="shared" ca="1" si="439"/>
        <v>N/A</v>
      </c>
      <c r="AA233" s="397">
        <f ca="1">SUM(Start:End!AA233)</f>
        <v>0</v>
      </c>
      <c r="AB233" s="397">
        <f ca="1">SUM(Start:End!AB233)</f>
        <v>0</v>
      </c>
      <c r="AC233" s="15"/>
      <c r="AD233" s="397">
        <f ca="1">SUM(Start:End!AD233)</f>
        <v>0</v>
      </c>
      <c r="AE233" s="397">
        <f ca="1">SUM(Start:End!AE233)</f>
        <v>0</v>
      </c>
      <c r="AF233" s="397">
        <f ca="1">SUM(Start:End!AF233)</f>
        <v>0</v>
      </c>
      <c r="AG233" s="15"/>
      <c r="AH233" s="273">
        <f t="shared" si="443"/>
        <v>43100</v>
      </c>
      <c r="AI233" s="267"/>
      <c r="AJ233" s="267"/>
      <c r="AK233" s="397">
        <f ca="1">SUM(Start:End!AK233)</f>
        <v>0</v>
      </c>
      <c r="AL233" s="233"/>
    </row>
    <row r="234" spans="2:38" x14ac:dyDescent="0.3">
      <c r="B234" s="232"/>
      <c r="C234" s="250">
        <f t="shared" si="440"/>
        <v>2018</v>
      </c>
      <c r="D234" s="397">
        <f ca="1">SUM(Start:End!D234)</f>
        <v>0</v>
      </c>
      <c r="E234" s="397">
        <f ca="1">SUM(Start:End!E234)</f>
        <v>0</v>
      </c>
      <c r="F234" s="397">
        <f ca="1">SUM(Start:End!F234)</f>
        <v>0</v>
      </c>
      <c r="G234" s="397">
        <f ca="1">SUM(Start:End!G234)</f>
        <v>0</v>
      </c>
      <c r="H234" s="15"/>
      <c r="I234" s="271">
        <f ca="1">Assumptions!O$68</f>
        <v>4.5</v>
      </c>
      <c r="J234" s="271">
        <f ca="1">Assumptions!P$68</f>
        <v>80</v>
      </c>
      <c r="K234" s="271">
        <f t="shared" ca="1" si="433"/>
        <v>40</v>
      </c>
      <c r="L234" s="15"/>
      <c r="M234" s="35" t="str">
        <f t="shared" ca="1" si="436"/>
        <v>N/A</v>
      </c>
      <c r="N234" s="35" t="str">
        <f t="shared" ca="1" si="434"/>
        <v>N/A</v>
      </c>
      <c r="O234" s="35" t="str">
        <f t="shared" ca="1" si="435"/>
        <v>N/A</v>
      </c>
      <c r="P234" s="15"/>
      <c r="Q234" s="397">
        <f ca="1">SUM(Start:End!Q234)</f>
        <v>0</v>
      </c>
      <c r="R234" s="397">
        <f ca="1">SUM(Start:End!R234)</f>
        <v>0</v>
      </c>
      <c r="S234" s="397">
        <f ca="1">SUM(Start:End!S234)</f>
        <v>0</v>
      </c>
      <c r="T234" s="397">
        <f ca="1">SUM(Start:End!T234)</f>
        <v>0</v>
      </c>
      <c r="U234" s="15"/>
      <c r="V234" s="35" t="str">
        <f t="shared" ref="V234" ca="1" si="448">+IFERROR(W234/$G234,"N/A")</f>
        <v>N/A</v>
      </c>
      <c r="W234" s="397">
        <f ca="1">SUM(Start:End!W234)</f>
        <v>0</v>
      </c>
      <c r="X234" s="35" t="str">
        <f t="shared" ref="X234" ca="1" si="449">+IFERROR(Y234/$G234,"N/A")</f>
        <v>N/A</v>
      </c>
      <c r="Y234" s="397">
        <f ca="1">SUM(Start:End!Y234)</f>
        <v>0</v>
      </c>
      <c r="Z234" s="35" t="str">
        <f t="shared" ca="1" si="439"/>
        <v>N/A</v>
      </c>
      <c r="AA234" s="397">
        <f ca="1">SUM(Start:End!AA234)</f>
        <v>0</v>
      </c>
      <c r="AB234" s="397">
        <f ca="1">SUM(Start:End!AB234)</f>
        <v>0</v>
      </c>
      <c r="AC234" s="15"/>
      <c r="AD234" s="397">
        <f ca="1">SUM(Start:End!AD234)</f>
        <v>0</v>
      </c>
      <c r="AE234" s="397">
        <f ca="1">SUM(Start:End!AE234)</f>
        <v>0</v>
      </c>
      <c r="AF234" s="397">
        <f ca="1">SUM(Start:End!AF234)</f>
        <v>0</v>
      </c>
      <c r="AG234" s="15"/>
      <c r="AH234" s="273">
        <f t="shared" si="443"/>
        <v>43465</v>
      </c>
      <c r="AI234" s="267"/>
      <c r="AJ234" s="267"/>
      <c r="AK234" s="397">
        <f ca="1">SUM(Start:End!AK234)</f>
        <v>0</v>
      </c>
      <c r="AL234" s="233"/>
    </row>
    <row r="235" spans="2:38" x14ac:dyDescent="0.3">
      <c r="B235" s="232"/>
      <c r="C235" s="250">
        <f t="shared" si="440"/>
        <v>2019</v>
      </c>
      <c r="D235" s="397">
        <f ca="1">SUM(Start:End!D235)</f>
        <v>0</v>
      </c>
      <c r="E235" s="397">
        <f ca="1">SUM(Start:End!E235)</f>
        <v>0</v>
      </c>
      <c r="F235" s="397">
        <f ca="1">SUM(Start:End!F235)</f>
        <v>0</v>
      </c>
      <c r="G235" s="397">
        <f ca="1">SUM(Start:End!G235)</f>
        <v>0</v>
      </c>
      <c r="H235" s="15"/>
      <c r="I235" s="271">
        <f ca="1">Assumptions!O$68</f>
        <v>4.5</v>
      </c>
      <c r="J235" s="271">
        <f ca="1">Assumptions!P$68</f>
        <v>80</v>
      </c>
      <c r="K235" s="271">
        <f t="shared" ca="1" si="433"/>
        <v>40</v>
      </c>
      <c r="L235" s="15"/>
      <c r="M235" s="35" t="str">
        <f t="shared" ca="1" si="436"/>
        <v>N/A</v>
      </c>
      <c r="N235" s="35" t="str">
        <f t="shared" ca="1" si="434"/>
        <v>N/A</v>
      </c>
      <c r="O235" s="35" t="str">
        <f t="shared" ca="1" si="435"/>
        <v>N/A</v>
      </c>
      <c r="P235" s="15"/>
      <c r="Q235" s="397">
        <f ca="1">SUM(Start:End!Q235)</f>
        <v>0</v>
      </c>
      <c r="R235" s="397">
        <f ca="1">SUM(Start:End!R235)</f>
        <v>0</v>
      </c>
      <c r="S235" s="397">
        <f ca="1">SUM(Start:End!S235)</f>
        <v>0</v>
      </c>
      <c r="T235" s="397">
        <f ca="1">SUM(Start:End!T235)</f>
        <v>0</v>
      </c>
      <c r="U235" s="15"/>
      <c r="V235" s="35" t="str">
        <f t="shared" ref="V235" ca="1" si="450">+IFERROR(W235/$G235,"N/A")</f>
        <v>N/A</v>
      </c>
      <c r="W235" s="397">
        <f ca="1">SUM(Start:End!W235)</f>
        <v>0</v>
      </c>
      <c r="X235" s="35" t="str">
        <f t="shared" ref="X235" ca="1" si="451">+IFERROR(Y235/$G235,"N/A")</f>
        <v>N/A</v>
      </c>
      <c r="Y235" s="397">
        <f ca="1">SUM(Start:End!Y235)</f>
        <v>0</v>
      </c>
      <c r="Z235" s="35" t="str">
        <f t="shared" ca="1" si="439"/>
        <v>N/A</v>
      </c>
      <c r="AA235" s="397">
        <f ca="1">SUM(Start:End!AA235)</f>
        <v>0</v>
      </c>
      <c r="AB235" s="397">
        <f ca="1">SUM(Start:End!AB235)</f>
        <v>0</v>
      </c>
      <c r="AC235" s="15"/>
      <c r="AD235" s="397">
        <f ca="1">SUM(Start:End!AD235)</f>
        <v>0</v>
      </c>
      <c r="AE235" s="397">
        <f ca="1">SUM(Start:End!AE235)</f>
        <v>0</v>
      </c>
      <c r="AF235" s="397">
        <f ca="1">SUM(Start:End!AF235)</f>
        <v>0</v>
      </c>
      <c r="AG235" s="15"/>
      <c r="AH235" s="273">
        <f t="shared" si="443"/>
        <v>43830</v>
      </c>
      <c r="AI235" s="267"/>
      <c r="AJ235" s="267"/>
      <c r="AK235" s="397">
        <f ca="1">SUM(Start:End!AK235)</f>
        <v>0</v>
      </c>
      <c r="AL235" s="233"/>
    </row>
    <row r="236" spans="2:38" x14ac:dyDescent="0.3">
      <c r="B236" s="232"/>
      <c r="C236" s="250">
        <f t="shared" si="440"/>
        <v>2020</v>
      </c>
      <c r="D236" s="397">
        <f ca="1">SUM(Start:End!D236)</f>
        <v>0</v>
      </c>
      <c r="E236" s="397">
        <f ca="1">SUM(Start:End!E236)</f>
        <v>106.43564249999999</v>
      </c>
      <c r="F236" s="397">
        <f ca="1">SUM(Start:End!F236)</f>
        <v>0</v>
      </c>
      <c r="G236" s="397">
        <f ca="1">SUM(Start:End!G236)</f>
        <v>638.61385499999994</v>
      </c>
      <c r="H236" s="15"/>
      <c r="I236" s="271">
        <f ca="1">Assumptions!O$68</f>
        <v>4.5</v>
      </c>
      <c r="J236" s="271">
        <f ca="1">Assumptions!P$68</f>
        <v>80</v>
      </c>
      <c r="K236" s="271">
        <f t="shared" ca="1" si="433"/>
        <v>40</v>
      </c>
      <c r="L236" s="15"/>
      <c r="M236" s="35" t="str">
        <f t="shared" ca="1" si="436"/>
        <v>N/A</v>
      </c>
      <c r="N236" s="35">
        <f t="shared" ca="1" si="434"/>
        <v>64</v>
      </c>
      <c r="O236" s="35" t="str">
        <f t="shared" ca="1" si="435"/>
        <v>N/A</v>
      </c>
      <c r="P236" s="15"/>
      <c r="Q236" s="397">
        <f ca="1">SUM(Start:End!Q236)</f>
        <v>0</v>
      </c>
      <c r="R236" s="397">
        <f ca="1">SUM(Start:End!R236)</f>
        <v>6811.8811199999991</v>
      </c>
      <c r="S236" s="397">
        <f ca="1">SUM(Start:End!S236)</f>
        <v>0</v>
      </c>
      <c r="T236" s="397">
        <f ca="1">SUM(Start:End!T236)</f>
        <v>6811.8811199999991</v>
      </c>
      <c r="U236" s="15"/>
      <c r="V236" s="35">
        <f t="shared" ref="V236" ca="1" si="452">+IFERROR(W236/$G236,"N/A")</f>
        <v>0.8484848484848484</v>
      </c>
      <c r="W236" s="397">
        <f ca="1">SUM(Start:End!W236)</f>
        <v>541.85417999999993</v>
      </c>
      <c r="X236" s="35">
        <f t="shared" ref="X236" ca="1" si="453">+IFERROR(Y236/$G236,"N/A")</f>
        <v>0.2690909090909091</v>
      </c>
      <c r="Y236" s="397">
        <f ca="1">SUM(Start:End!Y236)</f>
        <v>171.8451828</v>
      </c>
      <c r="Z236" s="35">
        <f t="shared" ca="1" si="439"/>
        <v>0.42181818181818176</v>
      </c>
      <c r="AA236" s="397">
        <f ca="1">SUM(Start:End!AA236)</f>
        <v>269.37893519999994</v>
      </c>
      <c r="AB236" s="397">
        <f ca="1">SUM(Start:End!AB236)</f>
        <v>983.0782979999999</v>
      </c>
      <c r="AC236" s="15"/>
      <c r="AD236" s="397">
        <f ca="1">SUM(Start:End!AD236)</f>
        <v>5828.8028219999997</v>
      </c>
      <c r="AE236" s="397">
        <f ca="1">SUM(Start:End!AE236)</f>
        <v>5736.5739130434777</v>
      </c>
      <c r="AF236" s="397">
        <f ca="1">SUM(Start:End!AF236)</f>
        <v>92.228908956521991</v>
      </c>
      <c r="AG236" s="15"/>
      <c r="AH236" s="273">
        <f t="shared" si="443"/>
        <v>44196</v>
      </c>
      <c r="AI236" s="267"/>
      <c r="AJ236" s="267"/>
      <c r="AK236" s="397">
        <f ca="1">SUM(Start:End!AK236)</f>
        <v>48.85576710239431</v>
      </c>
      <c r="AL236" s="233"/>
    </row>
    <row r="237" spans="2:38" x14ac:dyDescent="0.3">
      <c r="B237" s="232"/>
      <c r="C237" s="250">
        <f t="shared" si="440"/>
        <v>2021</v>
      </c>
      <c r="D237" s="397">
        <f ca="1">SUM(Start:End!D237)</f>
        <v>0</v>
      </c>
      <c r="E237" s="397">
        <f ca="1">SUM(Start:End!E237)</f>
        <v>169.55445374999996</v>
      </c>
      <c r="F237" s="397">
        <f ca="1">SUM(Start:End!F237)</f>
        <v>0</v>
      </c>
      <c r="G237" s="397">
        <f ca="1">SUM(Start:End!G237)</f>
        <v>1017.3267224999998</v>
      </c>
      <c r="H237" s="15"/>
      <c r="I237" s="271">
        <f ca="1">Assumptions!O$68</f>
        <v>4.5</v>
      </c>
      <c r="J237" s="271">
        <f ca="1">Assumptions!P$68</f>
        <v>80</v>
      </c>
      <c r="K237" s="271">
        <f t="shared" ca="1" si="433"/>
        <v>40</v>
      </c>
      <c r="L237" s="15"/>
      <c r="M237" s="35" t="str">
        <f t="shared" ca="1" si="436"/>
        <v>N/A</v>
      </c>
      <c r="N237" s="35">
        <f t="shared" ca="1" si="434"/>
        <v>64</v>
      </c>
      <c r="O237" s="35" t="str">
        <f t="shared" ca="1" si="435"/>
        <v>N/A</v>
      </c>
      <c r="P237" s="15"/>
      <c r="Q237" s="397">
        <f ca="1">SUM(Start:End!Q237)</f>
        <v>0</v>
      </c>
      <c r="R237" s="397">
        <f ca="1">SUM(Start:End!R237)</f>
        <v>10851.485039999998</v>
      </c>
      <c r="S237" s="397">
        <f ca="1">SUM(Start:End!S237)</f>
        <v>0</v>
      </c>
      <c r="T237" s="397">
        <f ca="1">SUM(Start:End!T237)</f>
        <v>10851.485039999998</v>
      </c>
      <c r="U237" s="15"/>
      <c r="V237" s="35">
        <f t="shared" ref="V237" ca="1" si="454">+IFERROR(W237/$G237,"N/A")</f>
        <v>0.84848484848484851</v>
      </c>
      <c r="W237" s="397">
        <f ca="1">SUM(Start:End!W237)</f>
        <v>863.18630999999993</v>
      </c>
      <c r="X237" s="35">
        <f t="shared" ref="X237" ca="1" si="455">+IFERROR(Y237/$G237,"N/A")</f>
        <v>0.2690909090909091</v>
      </c>
      <c r="Y237" s="397">
        <f ca="1">SUM(Start:End!Y237)</f>
        <v>273.75337259999998</v>
      </c>
      <c r="Z237" s="35">
        <f t="shared" ca="1" si="439"/>
        <v>0.42181818181818181</v>
      </c>
      <c r="AA237" s="397">
        <f ca="1">SUM(Start:End!AA237)</f>
        <v>429.12690839999993</v>
      </c>
      <c r="AB237" s="397">
        <f ca="1">SUM(Start:End!AB237)</f>
        <v>1566.0665909999998</v>
      </c>
      <c r="AC237" s="15"/>
      <c r="AD237" s="397">
        <f ca="1">SUM(Start:End!AD237)</f>
        <v>9285.4184489999971</v>
      </c>
      <c r="AE237" s="397">
        <f ca="1">SUM(Start:End!AE237)</f>
        <v>6270.2086956521734</v>
      </c>
      <c r="AF237" s="397">
        <f ca="1">SUM(Start:End!AF237)</f>
        <v>3015.2097533478236</v>
      </c>
      <c r="AG237" s="15"/>
      <c r="AH237" s="273">
        <f t="shared" si="443"/>
        <v>44561</v>
      </c>
      <c r="AI237" s="267"/>
      <c r="AJ237" s="267"/>
      <c r="AK237" s="397">
        <f ca="1">SUM(Start:End!AK237)</f>
        <v>1452.023381439024</v>
      </c>
      <c r="AL237" s="233"/>
    </row>
    <row r="238" spans="2:38" x14ac:dyDescent="0.3">
      <c r="B238" s="232"/>
      <c r="C238" s="250">
        <f t="shared" si="440"/>
        <v>2022</v>
      </c>
      <c r="D238" s="397">
        <f ca="1">SUM(Start:End!D238)</f>
        <v>0</v>
      </c>
      <c r="E238" s="397">
        <f ca="1">SUM(Start:End!E238)</f>
        <v>209.09653256249999</v>
      </c>
      <c r="F238" s="397">
        <f ca="1">SUM(Start:End!F238)</f>
        <v>0</v>
      </c>
      <c r="G238" s="397">
        <f ca="1">SUM(Start:End!G238)</f>
        <v>1254.5791953749999</v>
      </c>
      <c r="H238" s="15"/>
      <c r="I238" s="271">
        <f ca="1">Assumptions!O$68</f>
        <v>4.5</v>
      </c>
      <c r="J238" s="271">
        <f ca="1">Assumptions!P$68</f>
        <v>80</v>
      </c>
      <c r="K238" s="271">
        <f t="shared" ca="1" si="433"/>
        <v>40</v>
      </c>
      <c r="L238" s="15"/>
      <c r="M238" s="35" t="str">
        <f t="shared" ca="1" si="436"/>
        <v>N/A</v>
      </c>
      <c r="N238" s="35">
        <f t="shared" ca="1" si="434"/>
        <v>64</v>
      </c>
      <c r="O238" s="35" t="str">
        <f t="shared" ca="1" si="435"/>
        <v>N/A</v>
      </c>
      <c r="P238" s="15"/>
      <c r="Q238" s="397">
        <f ca="1">SUM(Start:End!Q238)</f>
        <v>0</v>
      </c>
      <c r="R238" s="397">
        <f ca="1">SUM(Start:End!R238)</f>
        <v>13382.178083999999</v>
      </c>
      <c r="S238" s="397">
        <f ca="1">SUM(Start:End!S238)</f>
        <v>0</v>
      </c>
      <c r="T238" s="397">
        <f ca="1">SUM(Start:End!T238)</f>
        <v>13382.178083999999</v>
      </c>
      <c r="U238" s="15"/>
      <c r="V238" s="35">
        <f t="shared" ref="V238" ca="1" si="456">+IFERROR(W238/$G238,"N/A")</f>
        <v>0.84848484848484851</v>
      </c>
      <c r="W238" s="397">
        <f ca="1">SUM(Start:End!W238)</f>
        <v>1064.4914385</v>
      </c>
      <c r="X238" s="35">
        <f t="shared" ref="X238" ca="1" si="457">+IFERROR(Y238/$G238,"N/A")</f>
        <v>0.2690909090909091</v>
      </c>
      <c r="Y238" s="397">
        <f ca="1">SUM(Start:End!Y238)</f>
        <v>337.59585621000002</v>
      </c>
      <c r="Z238" s="35">
        <f t="shared" ca="1" si="439"/>
        <v>0.42181818181818181</v>
      </c>
      <c r="AA238" s="397">
        <f ca="1">SUM(Start:End!AA238)</f>
        <v>529.20431513999995</v>
      </c>
      <c r="AB238" s="397">
        <f ca="1">SUM(Start:End!AB238)</f>
        <v>1931.29160985</v>
      </c>
      <c r="AC238" s="15"/>
      <c r="AD238" s="397">
        <f ca="1">SUM(Start:End!AD238)</f>
        <v>11450.88647415</v>
      </c>
      <c r="AE238" s="397">
        <f ca="1">SUM(Start:End!AE238)</f>
        <v>6270.2086956521734</v>
      </c>
      <c r="AF238" s="397">
        <f ca="1">SUM(Start:End!AF238)</f>
        <v>5180.6777784978267</v>
      </c>
      <c r="AG238" s="15"/>
      <c r="AH238" s="273">
        <f t="shared" si="443"/>
        <v>44926</v>
      </c>
      <c r="AI238" s="267"/>
      <c r="AJ238" s="267"/>
      <c r="AK238" s="397">
        <f ca="1">SUM(Start:End!AK238)</f>
        <v>2268.036172194275</v>
      </c>
      <c r="AL238" s="233"/>
    </row>
    <row r="239" spans="2:38" x14ac:dyDescent="0.3">
      <c r="B239" s="232"/>
      <c r="C239" s="250">
        <f t="shared" si="440"/>
        <v>2023</v>
      </c>
      <c r="D239" s="397">
        <f ca="1">SUM(Start:End!D239)</f>
        <v>0</v>
      </c>
      <c r="E239" s="397">
        <f ca="1">SUM(Start:End!E239)</f>
        <v>243.44677974374997</v>
      </c>
      <c r="F239" s="397">
        <f ca="1">SUM(Start:End!F239)</f>
        <v>0</v>
      </c>
      <c r="G239" s="397">
        <f ca="1">SUM(Start:End!G239)</f>
        <v>1460.6806784624998</v>
      </c>
      <c r="H239" s="15"/>
      <c r="I239" s="271">
        <f ca="1">Assumptions!O$68</f>
        <v>4.5</v>
      </c>
      <c r="J239" s="271">
        <f ca="1">Assumptions!P$68</f>
        <v>80</v>
      </c>
      <c r="K239" s="271">
        <f t="shared" ca="1" si="433"/>
        <v>40</v>
      </c>
      <c r="L239" s="15"/>
      <c r="M239" s="35" t="str">
        <f t="shared" ca="1" si="436"/>
        <v>N/A</v>
      </c>
      <c r="N239" s="35">
        <f t="shared" ca="1" si="434"/>
        <v>64</v>
      </c>
      <c r="O239" s="35" t="str">
        <f t="shared" ca="1" si="435"/>
        <v>N/A</v>
      </c>
      <c r="P239" s="15"/>
      <c r="Q239" s="397">
        <f ca="1">SUM(Start:End!Q239)</f>
        <v>0</v>
      </c>
      <c r="R239" s="397">
        <f ca="1">SUM(Start:End!R239)</f>
        <v>15580.593903599998</v>
      </c>
      <c r="S239" s="397">
        <f ca="1">SUM(Start:End!S239)</f>
        <v>0</v>
      </c>
      <c r="T239" s="397">
        <f ca="1">SUM(Start:End!T239)</f>
        <v>15580.593903599998</v>
      </c>
      <c r="U239" s="15"/>
      <c r="V239" s="35">
        <f t="shared" ref="V239" ca="1" si="458">+IFERROR(W239/$G239,"N/A")</f>
        <v>0.84848484848484851</v>
      </c>
      <c r="W239" s="397">
        <f ca="1">SUM(Start:End!W239)</f>
        <v>1239.3654241499999</v>
      </c>
      <c r="X239" s="35">
        <f t="shared" ref="X239" ca="1" si="459">+IFERROR(Y239/$G239,"N/A")</f>
        <v>0.2690909090909091</v>
      </c>
      <c r="Y239" s="397">
        <f ca="1">SUM(Start:End!Y239)</f>
        <v>393.055891659</v>
      </c>
      <c r="Z239" s="35">
        <f t="shared" ca="1" si="439"/>
        <v>0.42181818181818181</v>
      </c>
      <c r="AA239" s="397">
        <f ca="1">SUM(Start:End!AA239)</f>
        <v>616.14166800599992</v>
      </c>
      <c r="AB239" s="397">
        <f ca="1">SUM(Start:End!AB239)</f>
        <v>2248.5629838149998</v>
      </c>
      <c r="AC239" s="15"/>
      <c r="AD239" s="397">
        <f ca="1">SUM(Start:End!AD239)</f>
        <v>13332.030919784998</v>
      </c>
      <c r="AE239" s="397">
        <f ca="1">SUM(Start:End!AE239)</f>
        <v>6270.2086956521734</v>
      </c>
      <c r="AF239" s="397">
        <f ca="1">SUM(Start:End!AF239)</f>
        <v>7061.8222241328249</v>
      </c>
      <c r="AG239" s="15"/>
      <c r="AH239" s="273">
        <f t="shared" si="443"/>
        <v>45291</v>
      </c>
      <c r="AI239" s="267"/>
      <c r="AJ239" s="267"/>
      <c r="AK239" s="397">
        <f ca="1">SUM(Start:End!AK239)</f>
        <v>2810.5252441212356</v>
      </c>
      <c r="AL239" s="233"/>
    </row>
    <row r="240" spans="2:38" x14ac:dyDescent="0.3">
      <c r="B240" s="232"/>
      <c r="C240" s="250">
        <f t="shared" si="440"/>
        <v>2024</v>
      </c>
      <c r="D240" s="397">
        <f ca="1">SUM(Start:End!D240)</f>
        <v>0</v>
      </c>
      <c r="E240" s="397">
        <f ca="1">SUM(Start:End!E240)</f>
        <v>274.36200220687499</v>
      </c>
      <c r="F240" s="397">
        <f ca="1">SUM(Start:End!F240)</f>
        <v>0</v>
      </c>
      <c r="G240" s="397">
        <f ca="1">SUM(Start:End!G240)</f>
        <v>1646.1720132412499</v>
      </c>
      <c r="H240" s="15"/>
      <c r="I240" s="271">
        <f ca="1">Assumptions!O$68</f>
        <v>4.5</v>
      </c>
      <c r="J240" s="271">
        <f ca="1">Assumptions!P$68</f>
        <v>80</v>
      </c>
      <c r="K240" s="271">
        <f t="shared" ca="1" si="433"/>
        <v>40</v>
      </c>
      <c r="L240" s="15"/>
      <c r="M240" s="35" t="str">
        <f t="shared" ca="1" si="436"/>
        <v>N/A</v>
      </c>
      <c r="N240" s="35">
        <f t="shared" ca="1" si="434"/>
        <v>64</v>
      </c>
      <c r="O240" s="35" t="str">
        <f t="shared" ca="1" si="435"/>
        <v>N/A</v>
      </c>
      <c r="P240" s="15"/>
      <c r="Q240" s="397">
        <f ca="1">SUM(Start:End!Q240)</f>
        <v>0</v>
      </c>
      <c r="R240" s="397">
        <f ca="1">SUM(Start:End!R240)</f>
        <v>17559.168141239999</v>
      </c>
      <c r="S240" s="397">
        <f ca="1">SUM(Start:End!S240)</f>
        <v>0</v>
      </c>
      <c r="T240" s="397">
        <f ca="1">SUM(Start:End!T240)</f>
        <v>17559.168141239999</v>
      </c>
      <c r="U240" s="15"/>
      <c r="V240" s="35">
        <f t="shared" ref="V240" ca="1" si="460">+IFERROR(W240/$G240,"N/A")</f>
        <v>0.84848484848484851</v>
      </c>
      <c r="W240" s="397">
        <f ca="1">SUM(Start:End!W240)</f>
        <v>1396.7520112350001</v>
      </c>
      <c r="X240" s="35">
        <f t="shared" ref="X240" ca="1" si="461">+IFERROR(Y240/$G240,"N/A")</f>
        <v>0.26909090909090916</v>
      </c>
      <c r="Y240" s="397">
        <f ca="1">SUM(Start:End!Y240)</f>
        <v>442.96992356310005</v>
      </c>
      <c r="Z240" s="35">
        <f t="shared" ca="1" si="439"/>
        <v>0.42181818181818181</v>
      </c>
      <c r="AA240" s="397">
        <f ca="1">SUM(Start:End!AA240)</f>
        <v>694.38528558539997</v>
      </c>
      <c r="AB240" s="397">
        <f ca="1">SUM(Start:End!AB240)</f>
        <v>2534.1072203835001</v>
      </c>
      <c r="AC240" s="15"/>
      <c r="AD240" s="397">
        <f ca="1">SUM(Start:End!AD240)</f>
        <v>15025.0609208565</v>
      </c>
      <c r="AE240" s="397">
        <f ca="1">SUM(Start:End!AE240)</f>
        <v>6270.2086956521734</v>
      </c>
      <c r="AF240" s="397">
        <f ca="1">SUM(Start:End!AF240)</f>
        <v>8754.8522252043258</v>
      </c>
      <c r="AG240" s="15"/>
      <c r="AH240" s="273">
        <f t="shared" si="443"/>
        <v>45657</v>
      </c>
      <c r="AI240" s="267"/>
      <c r="AJ240" s="267"/>
      <c r="AK240" s="397">
        <f ca="1">SUM(Start:End!AK240)</f>
        <v>3167.5745497839143</v>
      </c>
      <c r="AL240" s="233"/>
    </row>
    <row r="241" spans="2:38" x14ac:dyDescent="0.3">
      <c r="B241" s="232"/>
      <c r="C241" s="250">
        <f t="shared" si="440"/>
        <v>2025</v>
      </c>
      <c r="D241" s="397">
        <f ca="1">SUM(Start:End!D241)</f>
        <v>0</v>
      </c>
      <c r="E241" s="397">
        <f ca="1">SUM(Start:End!E241)</f>
        <v>302.18570242368747</v>
      </c>
      <c r="F241" s="397">
        <f ca="1">SUM(Start:End!F241)</f>
        <v>0</v>
      </c>
      <c r="G241" s="397">
        <f ca="1">SUM(Start:End!G241)</f>
        <v>1813.1142145421247</v>
      </c>
      <c r="H241" s="15"/>
      <c r="I241" s="271">
        <f ca="1">Assumptions!O$68</f>
        <v>4.5</v>
      </c>
      <c r="J241" s="271">
        <f ca="1">Assumptions!P$68</f>
        <v>80</v>
      </c>
      <c r="K241" s="271">
        <f t="shared" ca="1" si="433"/>
        <v>40</v>
      </c>
      <c r="L241" s="15"/>
      <c r="M241" s="35" t="str">
        <f t="shared" ca="1" si="436"/>
        <v>N/A</v>
      </c>
      <c r="N241" s="35">
        <f t="shared" ca="1" si="434"/>
        <v>64</v>
      </c>
      <c r="O241" s="35" t="str">
        <f t="shared" ca="1" si="435"/>
        <v>N/A</v>
      </c>
      <c r="P241" s="15"/>
      <c r="Q241" s="397">
        <f ca="1">SUM(Start:End!Q241)</f>
        <v>0</v>
      </c>
      <c r="R241" s="397">
        <f ca="1">SUM(Start:End!R241)</f>
        <v>19339.884955115998</v>
      </c>
      <c r="S241" s="397">
        <f ca="1">SUM(Start:End!S241)</f>
        <v>0</v>
      </c>
      <c r="T241" s="397">
        <f ca="1">SUM(Start:End!T241)</f>
        <v>19339.884955115998</v>
      </c>
      <c r="U241" s="15"/>
      <c r="V241" s="35">
        <f t="shared" ref="V241" ca="1" si="462">+IFERROR(W241/$G241,"N/A")</f>
        <v>0.8484848484848484</v>
      </c>
      <c r="W241" s="397">
        <f ca="1">SUM(Start:End!W241)</f>
        <v>1538.3999396114996</v>
      </c>
      <c r="X241" s="35">
        <f t="shared" ref="X241" ca="1" si="463">+IFERROR(Y241/$G241,"N/A")</f>
        <v>0.2690909090909091</v>
      </c>
      <c r="Y241" s="397">
        <f ca="1">SUM(Start:End!Y241)</f>
        <v>487.89255227678996</v>
      </c>
      <c r="Z241" s="35">
        <f t="shared" ca="1" si="439"/>
        <v>0.42181818181818176</v>
      </c>
      <c r="AA241" s="397">
        <f ca="1">SUM(Start:End!AA241)</f>
        <v>764.80454140685981</v>
      </c>
      <c r="AB241" s="397">
        <f ca="1">SUM(Start:End!AB241)</f>
        <v>2791.0970332951492</v>
      </c>
      <c r="AC241" s="15"/>
      <c r="AD241" s="397">
        <f ca="1">SUM(Start:End!AD241)</f>
        <v>16548.787921820847</v>
      </c>
      <c r="AE241" s="397">
        <f ca="1">SUM(Start:End!AE241)</f>
        <v>6270.2086956521734</v>
      </c>
      <c r="AF241" s="397">
        <f ca="1">SUM(Start:End!AF241)</f>
        <v>10278.579226168673</v>
      </c>
      <c r="AG241" s="15"/>
      <c r="AH241" s="273">
        <f t="shared" si="443"/>
        <v>46022</v>
      </c>
      <c r="AI241" s="267"/>
      <c r="AJ241" s="267"/>
      <c r="AK241" s="397">
        <f ca="1">SUM(Start:End!AK241)</f>
        <v>3380.7918093712951</v>
      </c>
      <c r="AL241" s="233"/>
    </row>
    <row r="242" spans="2:38" x14ac:dyDescent="0.3">
      <c r="B242" s="232"/>
      <c r="C242" s="250">
        <f t="shared" si="440"/>
        <v>2026</v>
      </c>
      <c r="D242" s="397">
        <f ca="1">SUM(Start:End!D242)</f>
        <v>0</v>
      </c>
      <c r="E242" s="397">
        <f ca="1">SUM(Start:End!E242)</f>
        <v>210.89040011881875</v>
      </c>
      <c r="F242" s="397">
        <f ca="1">SUM(Start:End!F242)</f>
        <v>0</v>
      </c>
      <c r="G242" s="397">
        <f ca="1">SUM(Start:End!G242)</f>
        <v>1265.3424007129124</v>
      </c>
      <c r="H242" s="15"/>
      <c r="I242" s="271">
        <f ca="1">Assumptions!O$68</f>
        <v>4.5</v>
      </c>
      <c r="J242" s="271">
        <f ca="1">Assumptions!P$68</f>
        <v>80</v>
      </c>
      <c r="K242" s="271">
        <f t="shared" ca="1" si="433"/>
        <v>40</v>
      </c>
      <c r="L242" s="15"/>
      <c r="M242" s="35" t="str">
        <f t="shared" ca="1" si="436"/>
        <v>N/A</v>
      </c>
      <c r="N242" s="35">
        <f t="shared" ca="1" si="434"/>
        <v>64</v>
      </c>
      <c r="O242" s="35" t="str">
        <f t="shared" ca="1" si="435"/>
        <v>N/A</v>
      </c>
      <c r="P242" s="15"/>
      <c r="Q242" s="397">
        <f ca="1">SUM(Start:End!Q242)</f>
        <v>0</v>
      </c>
      <c r="R242" s="397">
        <f ca="1">SUM(Start:End!R242)</f>
        <v>13496.9856076044</v>
      </c>
      <c r="S242" s="397">
        <f ca="1">SUM(Start:End!S242)</f>
        <v>0</v>
      </c>
      <c r="T242" s="397">
        <f ca="1">SUM(Start:End!T242)</f>
        <v>13496.9856076044</v>
      </c>
      <c r="U242" s="15"/>
      <c r="V242" s="35">
        <f t="shared" ref="V242" ca="1" si="464">+IFERROR(W242/$G242,"N/A")</f>
        <v>0.84848484848484851</v>
      </c>
      <c r="W242" s="397">
        <f ca="1">SUM(Start:End!W242)</f>
        <v>1073.62385515035</v>
      </c>
      <c r="X242" s="35">
        <f t="shared" ref="X242" ca="1" si="465">+IFERROR(Y242/$G242,"N/A")</f>
        <v>0.2690909090909091</v>
      </c>
      <c r="Y242" s="397">
        <f ca="1">SUM(Start:End!Y242)</f>
        <v>340.49213691911098</v>
      </c>
      <c r="Z242" s="35">
        <f t="shared" ca="1" si="439"/>
        <v>0.42181818181818181</v>
      </c>
      <c r="AA242" s="397">
        <f ca="1">SUM(Start:End!AA242)</f>
        <v>533.74443084617394</v>
      </c>
      <c r="AB242" s="397">
        <f ca="1">SUM(Start:End!AB242)</f>
        <v>1947.8604229156349</v>
      </c>
      <c r="AC242" s="15"/>
      <c r="AD242" s="397">
        <f ca="1">SUM(Start:End!AD242)</f>
        <v>11549.125184688764</v>
      </c>
      <c r="AE242" s="397">
        <f ca="1">SUM(Start:End!AE242)</f>
        <v>0</v>
      </c>
      <c r="AF242" s="397">
        <f ca="1">SUM(Start:End!AF242)</f>
        <v>11549.125184688764</v>
      </c>
      <c r="AG242" s="15"/>
      <c r="AH242" s="273">
        <f t="shared" si="443"/>
        <v>46387</v>
      </c>
      <c r="AI242" s="267"/>
      <c r="AJ242" s="267"/>
      <c r="AK242" s="397">
        <f ca="1">SUM(Start:End!AK242)</f>
        <v>3453.3591188797682</v>
      </c>
      <c r="AL242" s="233"/>
    </row>
    <row r="243" spans="2:38" x14ac:dyDescent="0.3">
      <c r="B243" s="232"/>
      <c r="C243" s="250">
        <f t="shared" si="440"/>
        <v>2027</v>
      </c>
      <c r="D243" s="397">
        <f ca="1">SUM(Start:End!D243)</f>
        <v>0</v>
      </c>
      <c r="E243" s="397">
        <f ca="1">SUM(Start:End!E243)</f>
        <v>175.2592810444369</v>
      </c>
      <c r="F243" s="397">
        <f ca="1">SUM(Start:End!F243)</f>
        <v>0</v>
      </c>
      <c r="G243" s="397">
        <f ca="1">SUM(Start:End!G243)</f>
        <v>1051.5556862666215</v>
      </c>
      <c r="H243" s="15"/>
      <c r="I243" s="271">
        <f ca="1">Assumptions!O$68</f>
        <v>4.5</v>
      </c>
      <c r="J243" s="271">
        <f ca="1">Assumptions!P$68</f>
        <v>80</v>
      </c>
      <c r="K243" s="271">
        <f t="shared" ca="1" si="433"/>
        <v>40</v>
      </c>
      <c r="L243" s="15"/>
      <c r="M243" s="35" t="str">
        <f t="shared" ca="1" si="436"/>
        <v>N/A</v>
      </c>
      <c r="N243" s="35">
        <f t="shared" ca="1" si="434"/>
        <v>64</v>
      </c>
      <c r="O243" s="35" t="str">
        <f t="shared" ca="1" si="435"/>
        <v>N/A</v>
      </c>
      <c r="P243" s="15"/>
      <c r="Q243" s="397">
        <f ca="1">SUM(Start:End!Q243)</f>
        <v>0</v>
      </c>
      <c r="R243" s="397">
        <f ca="1">SUM(Start:End!R243)</f>
        <v>11216.593986843962</v>
      </c>
      <c r="S243" s="397">
        <f ca="1">SUM(Start:End!S243)</f>
        <v>0</v>
      </c>
      <c r="T243" s="397">
        <f ca="1">SUM(Start:End!T243)</f>
        <v>11216.593986843962</v>
      </c>
      <c r="U243" s="15"/>
      <c r="V243" s="35">
        <f t="shared" ref="V243" ca="1" si="466">+IFERROR(W243/$G243,"N/A")</f>
        <v>0.84848484848484851</v>
      </c>
      <c r="W243" s="397">
        <f ca="1">SUM(Start:End!W243)</f>
        <v>892.22906713531518</v>
      </c>
      <c r="X243" s="35">
        <f t="shared" ref="X243" ca="1" si="467">+IFERROR(Y243/$G243,"N/A")</f>
        <v>0.2690909090909091</v>
      </c>
      <c r="Y243" s="397">
        <f ca="1">SUM(Start:End!Y243)</f>
        <v>282.96407557719999</v>
      </c>
      <c r="Z243" s="35">
        <f t="shared" ca="1" si="439"/>
        <v>0.42181818181818176</v>
      </c>
      <c r="AA243" s="397">
        <f ca="1">SUM(Start:End!AA243)</f>
        <v>443.56530766155663</v>
      </c>
      <c r="AB243" s="397">
        <f ca="1">SUM(Start:End!AB243)</f>
        <v>1618.7584503740718</v>
      </c>
      <c r="AC243" s="15"/>
      <c r="AD243" s="397">
        <f ca="1">SUM(Start:End!AD243)</f>
        <v>9597.8355364698909</v>
      </c>
      <c r="AE243" s="397">
        <f ca="1">SUM(Start:End!AE243)</f>
        <v>0</v>
      </c>
      <c r="AF243" s="397">
        <f ca="1">SUM(Start:End!AF243)</f>
        <v>9597.8355364698909</v>
      </c>
      <c r="AG243" s="15"/>
      <c r="AH243" s="273">
        <f t="shared" si="443"/>
        <v>46752</v>
      </c>
      <c r="AI243" s="267"/>
      <c r="AJ243" s="267"/>
      <c r="AK243" s="397">
        <f ca="1">SUM(Start:End!AK243)</f>
        <v>2608.9951593215378</v>
      </c>
      <c r="AL243" s="233"/>
    </row>
    <row r="244" spans="2:38" x14ac:dyDescent="0.3">
      <c r="B244" s="232"/>
      <c r="C244" s="250">
        <f t="shared" si="440"/>
        <v>2028</v>
      </c>
      <c r="D244" s="397">
        <f ca="1">SUM(Start:End!D244)</f>
        <v>0</v>
      </c>
      <c r="E244" s="397">
        <f ca="1">SUM(Start:End!E244)</f>
        <v>157.73335293999321</v>
      </c>
      <c r="F244" s="397">
        <f ca="1">SUM(Start:End!F244)</f>
        <v>0</v>
      </c>
      <c r="G244" s="397">
        <f ca="1">SUM(Start:End!G244)</f>
        <v>946.40011763995926</v>
      </c>
      <c r="H244" s="15"/>
      <c r="I244" s="271">
        <f ca="1">Assumptions!O$68</f>
        <v>4.5</v>
      </c>
      <c r="J244" s="271">
        <f ca="1">Assumptions!P$68</f>
        <v>80</v>
      </c>
      <c r="K244" s="271">
        <f t="shared" ca="1" si="433"/>
        <v>40</v>
      </c>
      <c r="L244" s="15"/>
      <c r="M244" s="35" t="str">
        <f t="shared" ca="1" si="436"/>
        <v>N/A</v>
      </c>
      <c r="N244" s="35">
        <f t="shared" ca="1" si="434"/>
        <v>64</v>
      </c>
      <c r="O244" s="35" t="str">
        <f t="shared" ca="1" si="435"/>
        <v>N/A</v>
      </c>
      <c r="P244" s="15"/>
      <c r="Q244" s="397">
        <f ca="1">SUM(Start:End!Q244)</f>
        <v>0</v>
      </c>
      <c r="R244" s="397">
        <f ca="1">SUM(Start:End!R244)</f>
        <v>10094.934588159565</v>
      </c>
      <c r="S244" s="397">
        <f ca="1">SUM(Start:End!S244)</f>
        <v>0</v>
      </c>
      <c r="T244" s="397">
        <f ca="1">SUM(Start:End!T244)</f>
        <v>10094.934588159565</v>
      </c>
      <c r="U244" s="15"/>
      <c r="V244" s="35">
        <f t="shared" ref="V244" ca="1" si="468">+IFERROR(W244/$G244,"N/A")</f>
        <v>0.84848484848484851</v>
      </c>
      <c r="W244" s="397">
        <f ca="1">SUM(Start:End!W244)</f>
        <v>803.00616042178365</v>
      </c>
      <c r="X244" s="35">
        <f t="shared" ref="X244" ca="1" si="469">+IFERROR(Y244/$G244,"N/A")</f>
        <v>0.2690909090909091</v>
      </c>
      <c r="Y244" s="397">
        <f ca="1">SUM(Start:End!Y244)</f>
        <v>254.66766801947995</v>
      </c>
      <c r="Z244" s="35">
        <f t="shared" ca="1" si="439"/>
        <v>0.42181818181818181</v>
      </c>
      <c r="AA244" s="397">
        <f ca="1">SUM(Start:End!AA244)</f>
        <v>399.208776895401</v>
      </c>
      <c r="AB244" s="397">
        <f ca="1">SUM(Start:End!AB244)</f>
        <v>1456.8826053366647</v>
      </c>
      <c r="AC244" s="15"/>
      <c r="AD244" s="397">
        <f ca="1">SUM(Start:End!AD244)</f>
        <v>8638.0519828229008</v>
      </c>
      <c r="AE244" s="397">
        <f ca="1">SUM(Start:End!AE244)</f>
        <v>0</v>
      </c>
      <c r="AF244" s="397">
        <f ca="1">SUM(Start:End!AF244)</f>
        <v>8638.0519828229008</v>
      </c>
      <c r="AG244" s="15"/>
      <c r="AH244" s="273">
        <f t="shared" si="443"/>
        <v>47118</v>
      </c>
      <c r="AI244" s="267"/>
      <c r="AJ244" s="267"/>
      <c r="AK244" s="397">
        <f ca="1">SUM(Start:End!AK244)</f>
        <v>2134.632403081258</v>
      </c>
      <c r="AL244" s="233"/>
    </row>
    <row r="245" spans="2:38" x14ac:dyDescent="0.3">
      <c r="B245" s="232"/>
      <c r="C245" s="250">
        <f t="shared" si="440"/>
        <v>2029</v>
      </c>
      <c r="D245" s="397">
        <f ca="1">SUM(Start:End!D245)</f>
        <v>0</v>
      </c>
      <c r="E245" s="397">
        <f ca="1">SUM(Start:End!E245)</f>
        <v>141.96001764599387</v>
      </c>
      <c r="F245" s="397">
        <f ca="1">SUM(Start:End!F245)</f>
        <v>0</v>
      </c>
      <c r="G245" s="397">
        <f ca="1">SUM(Start:End!G245)</f>
        <v>851.76010587596329</v>
      </c>
      <c r="H245" s="15"/>
      <c r="I245" s="271">
        <f ca="1">Assumptions!O$68</f>
        <v>4.5</v>
      </c>
      <c r="J245" s="271">
        <f ca="1">Assumptions!P$68</f>
        <v>80</v>
      </c>
      <c r="K245" s="271">
        <f t="shared" ca="1" si="433"/>
        <v>40</v>
      </c>
      <c r="L245" s="15"/>
      <c r="M245" s="35" t="str">
        <f t="shared" ca="1" si="436"/>
        <v>N/A</v>
      </c>
      <c r="N245" s="35">
        <f t="shared" ca="1" si="434"/>
        <v>64</v>
      </c>
      <c r="O245" s="35" t="str">
        <f t="shared" ca="1" si="435"/>
        <v>N/A</v>
      </c>
      <c r="P245" s="15"/>
      <c r="Q245" s="397">
        <f ca="1">SUM(Start:End!Q245)</f>
        <v>0</v>
      </c>
      <c r="R245" s="397">
        <f ca="1">SUM(Start:End!R245)</f>
        <v>9085.4411293436078</v>
      </c>
      <c r="S245" s="397">
        <f ca="1">SUM(Start:End!S245)</f>
        <v>0</v>
      </c>
      <c r="T245" s="397">
        <f ca="1">SUM(Start:End!T245)</f>
        <v>9085.4411293436078</v>
      </c>
      <c r="U245" s="15"/>
      <c r="V245" s="35">
        <f t="shared" ref="V245" ca="1" si="470">+IFERROR(W245/$G245,"N/A")</f>
        <v>0.8484848484848484</v>
      </c>
      <c r="W245" s="397">
        <f ca="1">SUM(Start:End!W245)</f>
        <v>722.70554437960516</v>
      </c>
      <c r="X245" s="35">
        <f t="shared" ref="X245" ca="1" si="471">+IFERROR(Y245/$G245,"N/A")</f>
        <v>0.2690909090909091</v>
      </c>
      <c r="Y245" s="397">
        <f ca="1">SUM(Start:End!Y245)</f>
        <v>229.20090121753196</v>
      </c>
      <c r="Z245" s="35">
        <f t="shared" ca="1" si="439"/>
        <v>0.42181818181818181</v>
      </c>
      <c r="AA245" s="397">
        <f ca="1">SUM(Start:End!AA245)</f>
        <v>359.28789920586087</v>
      </c>
      <c r="AB245" s="397">
        <f ca="1">SUM(Start:End!AB245)</f>
        <v>1311.1943448029979</v>
      </c>
      <c r="AC245" s="15"/>
      <c r="AD245" s="397">
        <f ca="1">SUM(Start:End!AD245)</f>
        <v>7774.24678454061</v>
      </c>
      <c r="AE245" s="397">
        <f ca="1">SUM(Start:End!AE245)</f>
        <v>0</v>
      </c>
      <c r="AF245" s="397">
        <f ca="1">SUM(Start:End!AF245)</f>
        <v>7774.24678454061</v>
      </c>
      <c r="AG245" s="15"/>
      <c r="AH245" s="273">
        <f t="shared" si="443"/>
        <v>47483</v>
      </c>
      <c r="AI245" s="267"/>
      <c r="AJ245" s="267"/>
      <c r="AK245" s="397">
        <f ca="1">SUM(Start:End!AK245)</f>
        <v>1746.5174207028465</v>
      </c>
      <c r="AL245" s="233"/>
    </row>
    <row r="246" spans="2:38" x14ac:dyDescent="0.3">
      <c r="B246" s="232"/>
      <c r="C246" s="250">
        <f t="shared" si="440"/>
        <v>2030</v>
      </c>
      <c r="D246" s="397">
        <f ca="1">SUM(Start:End!D246)</f>
        <v>0</v>
      </c>
      <c r="E246" s="397">
        <f ca="1">SUM(Start:End!E246)</f>
        <v>127.76401588139447</v>
      </c>
      <c r="F246" s="397">
        <f ca="1">SUM(Start:End!F246)</f>
        <v>0</v>
      </c>
      <c r="G246" s="397">
        <f ca="1">SUM(Start:End!G246)</f>
        <v>766.58409528836683</v>
      </c>
      <c r="H246" s="15"/>
      <c r="I246" s="271">
        <f ca="1">Assumptions!O$68</f>
        <v>4.5</v>
      </c>
      <c r="J246" s="271">
        <f ca="1">Assumptions!P$68</f>
        <v>80</v>
      </c>
      <c r="K246" s="271">
        <f t="shared" ca="1" si="433"/>
        <v>40</v>
      </c>
      <c r="L246" s="15"/>
      <c r="M246" s="35" t="str">
        <f t="shared" ca="1" si="436"/>
        <v>N/A</v>
      </c>
      <c r="N246" s="35">
        <f t="shared" ca="1" si="434"/>
        <v>64</v>
      </c>
      <c r="O246" s="35" t="str">
        <f t="shared" ca="1" si="435"/>
        <v>N/A</v>
      </c>
      <c r="P246" s="15"/>
      <c r="Q246" s="397">
        <f ca="1">SUM(Start:End!Q246)</f>
        <v>0</v>
      </c>
      <c r="R246" s="397">
        <f ca="1">SUM(Start:End!R246)</f>
        <v>8176.8970164092461</v>
      </c>
      <c r="S246" s="397">
        <f ca="1">SUM(Start:End!S246)</f>
        <v>0</v>
      </c>
      <c r="T246" s="397">
        <f ca="1">SUM(Start:End!T246)</f>
        <v>8176.8970164092461</v>
      </c>
      <c r="U246" s="15"/>
      <c r="V246" s="35">
        <f t="shared" ref="V246" ca="1" si="472">+IFERROR(W246/$G246,"N/A")</f>
        <v>0.84848484848484851</v>
      </c>
      <c r="W246" s="397">
        <f ca="1">SUM(Start:End!W246)</f>
        <v>650.43498994164463</v>
      </c>
      <c r="X246" s="35">
        <f t="shared" ref="X246" ca="1" si="473">+IFERROR(Y246/$G246,"N/A")</f>
        <v>0.2690909090909091</v>
      </c>
      <c r="Y246" s="397">
        <f ca="1">SUM(Start:End!Y246)</f>
        <v>206.28081109577872</v>
      </c>
      <c r="Z246" s="35">
        <f t="shared" ca="1" si="439"/>
        <v>0.42181818181818181</v>
      </c>
      <c r="AA246" s="397">
        <f ca="1">SUM(Start:End!AA246)</f>
        <v>323.35910928527471</v>
      </c>
      <c r="AB246" s="397">
        <f ca="1">SUM(Start:End!AB246)</f>
        <v>1180.0749103226981</v>
      </c>
      <c r="AC246" s="15"/>
      <c r="AD246" s="397">
        <f ca="1">SUM(Start:End!AD246)</f>
        <v>6996.822106086548</v>
      </c>
      <c r="AE246" s="397">
        <f ca="1">SUM(Start:End!AE246)</f>
        <v>0</v>
      </c>
      <c r="AF246" s="397">
        <f ca="1">SUM(Start:End!AF246)</f>
        <v>6996.822106086548</v>
      </c>
      <c r="AG246" s="15"/>
      <c r="AH246" s="273">
        <f t="shared" si="443"/>
        <v>47848</v>
      </c>
      <c r="AI246" s="267"/>
      <c r="AJ246" s="267"/>
      <c r="AK246" s="397">
        <f ca="1">SUM(Start:End!AK246)</f>
        <v>1428.9687987568745</v>
      </c>
      <c r="AL246" s="233"/>
    </row>
    <row r="247" spans="2:38" x14ac:dyDescent="0.3">
      <c r="B247" s="232"/>
      <c r="C247" s="250">
        <f t="shared" si="440"/>
        <v>2031</v>
      </c>
      <c r="D247" s="397">
        <f ca="1">SUM(Start:End!D247)</f>
        <v>5268.2542151436355</v>
      </c>
      <c r="E247" s="397">
        <f ca="1">SUM(Start:End!E247)</f>
        <v>149.83420440212501</v>
      </c>
      <c r="F247" s="397">
        <f ca="1">SUM(Start:End!F247)</f>
        <v>0</v>
      </c>
      <c r="G247" s="397">
        <f ca="1">SUM(Start:End!G247)</f>
        <v>6167.2594415563854</v>
      </c>
      <c r="H247" s="15"/>
      <c r="I247" s="271">
        <f ca="1">Assumptions!O$68</f>
        <v>4.5</v>
      </c>
      <c r="J247" s="271">
        <f ca="1">Assumptions!P$68</f>
        <v>80</v>
      </c>
      <c r="K247" s="271">
        <f t="shared" ca="1" si="433"/>
        <v>40</v>
      </c>
      <c r="L247" s="15"/>
      <c r="M247" s="35">
        <f t="shared" ca="1" si="436"/>
        <v>4.2299999999999995</v>
      </c>
      <c r="N247" s="35">
        <f t="shared" ca="1" si="434"/>
        <v>66.418703650333583</v>
      </c>
      <c r="O247" s="35" t="str">
        <f t="shared" ca="1" si="435"/>
        <v>N/A</v>
      </c>
      <c r="P247" s="15"/>
      <c r="Q247" s="397">
        <f ca="1">SUM(Start:End!Q247)</f>
        <v>22284.715330057577</v>
      </c>
      <c r="R247" s="397">
        <f ca="1">SUM(Start:End!R247)</f>
        <v>9951.7936188682488</v>
      </c>
      <c r="S247" s="397">
        <f ca="1">SUM(Start:End!S247)</f>
        <v>0</v>
      </c>
      <c r="T247" s="397">
        <f ca="1">SUM(Start:End!T247)</f>
        <v>32236.508948925828</v>
      </c>
      <c r="U247" s="15"/>
      <c r="V247" s="35">
        <f t="shared" ref="V247" ca="1" si="474">+IFERROR(W247/$G247,"N/A")</f>
        <v>0.37023980860261485</v>
      </c>
      <c r="W247" s="397">
        <f ca="1">SUM(Start:End!W247)</f>
        <v>2283.3649552445054</v>
      </c>
      <c r="X247" s="35">
        <f t="shared" ref="X247" ca="1" si="475">+IFERROR(Y247/$G247,"N/A")</f>
        <v>0.35871139208515995</v>
      </c>
      <c r="Y247" s="397">
        <f ca="1">SUM(Start:End!Y247)</f>
        <v>2212.2662196310371</v>
      </c>
      <c r="Z247" s="35">
        <f t="shared" ca="1" si="439"/>
        <v>0.56230434434971022</v>
      </c>
      <c r="AA247" s="397">
        <f ca="1">SUM(Start:End!AA247)</f>
        <v>3467.8767767189233</v>
      </c>
      <c r="AB247" s="397">
        <f ca="1">SUM(Start:End!AB247)</f>
        <v>7963.5079515944653</v>
      </c>
      <c r="AC247" s="15"/>
      <c r="AD247" s="397">
        <f ca="1">SUM(Start:End!AD247)</f>
        <v>24273.000997331364</v>
      </c>
      <c r="AE247" s="397">
        <f ca="1">SUM(Start:End!AE247)</f>
        <v>26634.725017810713</v>
      </c>
      <c r="AF247" s="397">
        <f ca="1">SUM(Start:End!AF247)</f>
        <v>-2361.7240204793507</v>
      </c>
      <c r="AG247" s="15"/>
      <c r="AH247" s="273">
        <f t="shared" si="443"/>
        <v>48213</v>
      </c>
      <c r="AI247" s="267"/>
      <c r="AJ247" s="267"/>
      <c r="AK247" s="397">
        <f ca="1">SUM(Start:End!AK247)</f>
        <v>-438.48866935850037</v>
      </c>
      <c r="AL247" s="233"/>
    </row>
    <row r="248" spans="2:38" x14ac:dyDescent="0.3">
      <c r="B248" s="232"/>
      <c r="C248" s="250">
        <f t="shared" si="440"/>
        <v>2032</v>
      </c>
      <c r="D248" s="397">
        <f ca="1">SUM(Start:End!D248)</f>
        <v>10564.126993191661</v>
      </c>
      <c r="E248" s="397">
        <f ca="1">SUM(Start:End!E248)</f>
        <v>173.36471461175947</v>
      </c>
      <c r="F248" s="397">
        <f ca="1">SUM(Start:End!F248)</f>
        <v>0</v>
      </c>
      <c r="G248" s="397">
        <f ca="1">SUM(Start:End!G248)</f>
        <v>11604.315280862218</v>
      </c>
      <c r="H248" s="15"/>
      <c r="I248" s="271">
        <f ca="1">Assumptions!O$68</f>
        <v>4.5</v>
      </c>
      <c r="J248" s="271">
        <f ca="1">Assumptions!P$68</f>
        <v>80</v>
      </c>
      <c r="K248" s="271">
        <f t="shared" ca="1" si="433"/>
        <v>40</v>
      </c>
      <c r="L248" s="15"/>
      <c r="M248" s="35">
        <f t="shared" ca="1" si="436"/>
        <v>4.2299999999999995</v>
      </c>
      <c r="N248" s="35">
        <f t="shared" ca="1" si="434"/>
        <v>68.191792798233806</v>
      </c>
      <c r="O248" s="35" t="str">
        <f t="shared" ca="1" si="435"/>
        <v>N/A</v>
      </c>
      <c r="P248" s="15"/>
      <c r="Q248" s="397">
        <f ca="1">SUM(Start:End!Q248)</f>
        <v>44686.257181200723</v>
      </c>
      <c r="R248" s="397">
        <f ca="1">SUM(Start:End!R248)</f>
        <v>11822.050697330038</v>
      </c>
      <c r="S248" s="397">
        <f ca="1">SUM(Start:End!S248)</f>
        <v>0</v>
      </c>
      <c r="T248" s="397">
        <f ca="1">SUM(Start:End!T248)</f>
        <v>56508.307878530759</v>
      </c>
      <c r="U248" s="15"/>
      <c r="V248" s="35">
        <f t="shared" ref="V248" ca="1" si="476">+IFERROR(W248/$G248,"N/A")</f>
        <v>0.33881368417120256</v>
      </c>
      <c r="W248" s="397">
        <f ca="1">SUM(Start:End!W248)</f>
        <v>3931.7008125931111</v>
      </c>
      <c r="X248" s="35">
        <f t="shared" ref="X248" ca="1" si="477">+IFERROR(Y248/$G248,"N/A")</f>
        <v>0.36460047449127159</v>
      </c>
      <c r="Y248" s="397">
        <f ca="1">SUM(Start:End!Y248)</f>
        <v>4230.9388575486782</v>
      </c>
      <c r="Z248" s="35">
        <f t="shared" ca="1" si="439"/>
        <v>0.57153587893226354</v>
      </c>
      <c r="AA248" s="397">
        <f ca="1">SUM(Start:End!AA248)</f>
        <v>6632.2825334546842</v>
      </c>
      <c r="AB248" s="397">
        <f ca="1">SUM(Start:End!AB248)</f>
        <v>14794.922203596474</v>
      </c>
      <c r="AC248" s="15"/>
      <c r="AD248" s="397">
        <f ca="1">SUM(Start:End!AD248)</f>
        <v>41713.385674934289</v>
      </c>
      <c r="AE248" s="397">
        <f ca="1">SUM(Start:End!AE248)</f>
        <v>41615</v>
      </c>
      <c r="AF248" s="397">
        <f ca="1">SUM(Start:End!AF248)</f>
        <v>98.385674934289455</v>
      </c>
      <c r="AG248" s="15"/>
      <c r="AH248" s="273">
        <f t="shared" si="443"/>
        <v>48579</v>
      </c>
      <c r="AI248" s="267"/>
      <c r="AJ248" s="267"/>
      <c r="AK248" s="397">
        <f ca="1">SUM(Start:End!AK248)</f>
        <v>16.606129217386638</v>
      </c>
      <c r="AL248" s="233"/>
    </row>
    <row r="249" spans="2:38" x14ac:dyDescent="0.3">
      <c r="B249" s="232"/>
      <c r="C249" s="250">
        <f t="shared" si="440"/>
        <v>2033</v>
      </c>
      <c r="D249" s="397">
        <f ca="1">SUM(Start:End!D249)</f>
        <v>13542.297722096157</v>
      </c>
      <c r="E249" s="397">
        <f ca="1">SUM(Start:End!E249)</f>
        <v>182.71478279766779</v>
      </c>
      <c r="F249" s="397">
        <f ca="1">SUM(Start:End!F249)</f>
        <v>0</v>
      </c>
      <c r="G249" s="397">
        <f ca="1">SUM(Start:End!G249)</f>
        <v>14638.586418882163</v>
      </c>
      <c r="H249" s="15"/>
      <c r="I249" s="271">
        <f ca="1">Assumptions!O$68</f>
        <v>4.5</v>
      </c>
      <c r="J249" s="271">
        <f ca="1">Assumptions!P$68</f>
        <v>80</v>
      </c>
      <c r="K249" s="271">
        <f t="shared" ca="1" si="433"/>
        <v>40</v>
      </c>
      <c r="L249" s="15"/>
      <c r="M249" s="35">
        <f t="shared" ca="1" si="436"/>
        <v>4.2299999999999995</v>
      </c>
      <c r="N249" s="35">
        <f t="shared" ca="1" si="434"/>
        <v>69.098536987677463</v>
      </c>
      <c r="O249" s="35" t="str">
        <f t="shared" ca="1" si="435"/>
        <v>N/A</v>
      </c>
      <c r="P249" s="15"/>
      <c r="Q249" s="397">
        <f ca="1">SUM(Start:End!Q249)</f>
        <v>57283.919364466739</v>
      </c>
      <c r="R249" s="397">
        <f ca="1">SUM(Start:End!R249)</f>
        <v>12625.324177340102</v>
      </c>
      <c r="S249" s="397">
        <f ca="1">SUM(Start:End!S249)</f>
        <v>0</v>
      </c>
      <c r="T249" s="397">
        <f ca="1">SUM(Start:End!T249)</f>
        <v>69909.243541806834</v>
      </c>
      <c r="U249" s="15"/>
      <c r="V249" s="35">
        <f t="shared" ref="V249" ca="1" si="478">+IFERROR(W249/$G249,"N/A")</f>
        <v>0.33055709201436817</v>
      </c>
      <c r="W249" s="397">
        <f ca="1">SUM(Start:End!W249)</f>
        <v>4838.8885578267118</v>
      </c>
      <c r="X249" s="35">
        <f t="shared" ref="X249" ca="1" si="479">+IFERROR(Y249/$G249,"N/A")</f>
        <v>0.36614771432707677</v>
      </c>
      <c r="Y249" s="397">
        <f ca="1">SUM(Start:End!Y249)</f>
        <v>5359.884958253092</v>
      </c>
      <c r="Z249" s="35">
        <f t="shared" ca="1" si="439"/>
        <v>0.57396128191812024</v>
      </c>
      <c r="AA249" s="397">
        <f ca="1">SUM(Start:End!AA249)</f>
        <v>8401.9818264507921</v>
      </c>
      <c r="AB249" s="397">
        <f ca="1">SUM(Start:End!AB249)</f>
        <v>18600.7553425306</v>
      </c>
      <c r="AC249" s="15"/>
      <c r="AD249" s="397">
        <f ca="1">SUM(Start:End!AD249)</f>
        <v>51308.488199276246</v>
      </c>
      <c r="AE249" s="397">
        <f ca="1">SUM(Start:End!AE249)</f>
        <v>41615</v>
      </c>
      <c r="AF249" s="397">
        <f ca="1">SUM(Start:End!AF249)</f>
        <v>9693.4881992762421</v>
      </c>
      <c r="AG249" s="15"/>
      <c r="AH249" s="273">
        <f t="shared" si="443"/>
        <v>48944</v>
      </c>
      <c r="AI249" s="267"/>
      <c r="AJ249" s="267"/>
      <c r="AK249" s="397">
        <f ca="1">SUM(Start:End!AK249)</f>
        <v>1487.3868737118146</v>
      </c>
      <c r="AL249" s="233"/>
    </row>
    <row r="250" spans="2:38" x14ac:dyDescent="0.3">
      <c r="B250" s="232"/>
      <c r="C250" s="250">
        <f t="shared" si="440"/>
        <v>2034</v>
      </c>
      <c r="D250" s="397">
        <f ca="1">SUM(Start:End!D250)</f>
        <v>15814.4697499585</v>
      </c>
      <c r="E250" s="397">
        <f ca="1">SUM(Start:End!E250)</f>
        <v>188.42994827816807</v>
      </c>
      <c r="F250" s="397">
        <f ca="1">SUM(Start:End!F250)</f>
        <v>0</v>
      </c>
      <c r="G250" s="397">
        <f ca="1">SUM(Start:End!G250)</f>
        <v>16945.04943962751</v>
      </c>
      <c r="H250" s="15"/>
      <c r="I250" s="271">
        <f ca="1">Assumptions!O$68</f>
        <v>4.5</v>
      </c>
      <c r="J250" s="271">
        <f ca="1">Assumptions!P$68</f>
        <v>80</v>
      </c>
      <c r="K250" s="271">
        <f t="shared" ca="1" si="433"/>
        <v>40</v>
      </c>
      <c r="L250" s="15"/>
      <c r="M250" s="35">
        <f t="shared" ca="1" si="436"/>
        <v>4.2299999999999995</v>
      </c>
      <c r="N250" s="35">
        <f t="shared" ca="1" si="434"/>
        <v>69.773399480857634</v>
      </c>
      <c r="O250" s="35" t="str">
        <f t="shared" ca="1" si="435"/>
        <v>N/A</v>
      </c>
      <c r="P250" s="15"/>
      <c r="Q250" s="397">
        <f ca="1">SUM(Start:End!Q250)</f>
        <v>66895.207042324444</v>
      </c>
      <c r="R250" s="397">
        <f ca="1">SUM(Start:End!R250)</f>
        <v>13147.398055369962</v>
      </c>
      <c r="S250" s="397">
        <f ca="1">SUM(Start:End!S250)</f>
        <v>0</v>
      </c>
      <c r="T250" s="397">
        <f ca="1">SUM(Start:End!T250)</f>
        <v>80042.60509769441</v>
      </c>
      <c r="U250" s="15"/>
      <c r="V250" s="35">
        <f t="shared" ref="V250" ca="1" si="480">+IFERROR(W250/$G250,"N/A")</f>
        <v>0.32598308061247355</v>
      </c>
      <c r="W250" s="397">
        <f ca="1">SUM(Start:End!W250)</f>
        <v>5523.7994174604446</v>
      </c>
      <c r="X250" s="35">
        <f t="shared" ref="X250" ca="1" si="481">+IFERROR(Y250/$G250,"N/A")</f>
        <v>0.36700485883851786</v>
      </c>
      <c r="Y250" s="397">
        <f ca="1">SUM(Start:End!Y250)</f>
        <v>6218.9154776022006</v>
      </c>
      <c r="Z250" s="35">
        <f t="shared" ca="1" si="439"/>
        <v>0.57530491385497395</v>
      </c>
      <c r="AA250" s="397">
        <f ca="1">SUM(Start:End!AA250)</f>
        <v>9748.5702081331783</v>
      </c>
      <c r="AB250" s="397">
        <f ca="1">SUM(Start:End!AB250)</f>
        <v>21491.285103195823</v>
      </c>
      <c r="AC250" s="15"/>
      <c r="AD250" s="397">
        <f ca="1">SUM(Start:End!AD250)</f>
        <v>58551.319994498583</v>
      </c>
      <c r="AE250" s="397">
        <f ca="1">SUM(Start:End!AE250)</f>
        <v>41615</v>
      </c>
      <c r="AF250" s="397">
        <f ca="1">SUM(Start:End!AF250)</f>
        <v>16936.319994498586</v>
      </c>
      <c r="AG250" s="15"/>
      <c r="AH250" s="273">
        <f t="shared" si="443"/>
        <v>49309</v>
      </c>
      <c r="AI250" s="267"/>
      <c r="AJ250" s="267"/>
      <c r="AK250" s="397">
        <f ca="1">SUM(Start:End!AK250)</f>
        <v>2362.491333538268</v>
      </c>
      <c r="AL250" s="233"/>
    </row>
    <row r="251" spans="2:38" x14ac:dyDescent="0.3">
      <c r="B251" s="232"/>
      <c r="C251" s="250">
        <f t="shared" si="440"/>
        <v>2035</v>
      </c>
      <c r="D251" s="397">
        <f ca="1">SUM(Start:End!D251)</f>
        <v>20778.838664824252</v>
      </c>
      <c r="E251" s="397">
        <f ca="1">SUM(Start:End!E251)</f>
        <v>212.88390798729483</v>
      </c>
      <c r="F251" s="397">
        <f ca="1">SUM(Start:End!F251)</f>
        <v>0</v>
      </c>
      <c r="G251" s="397">
        <f ca="1">SUM(Start:End!G251)</f>
        <v>22056.142112748021</v>
      </c>
      <c r="H251" s="15"/>
      <c r="I251" s="271">
        <f ca="1">Assumptions!O$68</f>
        <v>4.5</v>
      </c>
      <c r="J251" s="271">
        <f ca="1">Assumptions!P$68</f>
        <v>80</v>
      </c>
      <c r="K251" s="271">
        <f t="shared" ca="1" si="433"/>
        <v>40</v>
      </c>
      <c r="L251" s="15"/>
      <c r="M251" s="35">
        <f t="shared" ca="1" si="436"/>
        <v>4.2299999999999995</v>
      </c>
      <c r="N251" s="35">
        <f t="shared" ca="1" si="434"/>
        <v>70.714371084732278</v>
      </c>
      <c r="O251" s="35" t="str">
        <f t="shared" ca="1" si="435"/>
        <v>N/A</v>
      </c>
      <c r="P251" s="15"/>
      <c r="Q251" s="397">
        <f ca="1">SUM(Start:End!Q251)</f>
        <v>87894.48755220657</v>
      </c>
      <c r="R251" s="397">
        <f ca="1">SUM(Start:End!R251)</f>
        <v>15053.951667381569</v>
      </c>
      <c r="S251" s="397">
        <f ca="1">SUM(Start:End!S251)</f>
        <v>0</v>
      </c>
      <c r="T251" s="397">
        <f ca="1">SUM(Start:End!T251)</f>
        <v>102948.43921958814</v>
      </c>
      <c r="U251" s="15"/>
      <c r="V251" s="35">
        <f t="shared" ref="V251" ca="1" si="482">+IFERROR(W251/$G251,"N/A")</f>
        <v>0.32105137429802111</v>
      </c>
      <c r="W251" s="397">
        <f ca="1">SUM(Start:End!W251)</f>
        <v>7081.1547370102107</v>
      </c>
      <c r="X251" s="35">
        <f t="shared" ref="X251" ca="1" si="483">+IFERROR(Y251/$G251,"N/A")</f>
        <v>0.36792903340391619</v>
      </c>
      <c r="Y251" s="397">
        <f ca="1">SUM(Start:End!Y251)</f>
        <v>8115.0950481627888</v>
      </c>
      <c r="Z251" s="35">
        <f t="shared" ca="1" si="439"/>
        <v>0.57675361993046304</v>
      </c>
      <c r="AA251" s="397">
        <f ca="1">SUM(Start:End!AA251)</f>
        <v>12720.959805228153</v>
      </c>
      <c r="AB251" s="397">
        <f ca="1">SUM(Start:End!AB251)</f>
        <v>27917.209590401155</v>
      </c>
      <c r="AC251" s="15"/>
      <c r="AD251" s="397">
        <f ca="1">SUM(Start:End!AD251)</f>
        <v>75031.229629186986</v>
      </c>
      <c r="AE251" s="397">
        <f ca="1">SUM(Start:End!AE251)</f>
        <v>57620.557101723607</v>
      </c>
      <c r="AF251" s="397">
        <f ca="1">SUM(Start:End!AF251)</f>
        <v>17410.672527463383</v>
      </c>
      <c r="AG251" s="15"/>
      <c r="AH251" s="273">
        <f t="shared" si="443"/>
        <v>49674</v>
      </c>
      <c r="AI251" s="267"/>
      <c r="AJ251" s="267"/>
      <c r="AK251" s="397">
        <f ca="1">SUM(Start:End!AK251)</f>
        <v>2207.8727293857819</v>
      </c>
      <c r="AL251" s="233"/>
    </row>
    <row r="252" spans="2:38" x14ac:dyDescent="0.3">
      <c r="B252" s="232"/>
      <c r="C252" s="250">
        <f t="shared" si="440"/>
        <v>2036</v>
      </c>
      <c r="D252" s="397">
        <f ca="1">SUM(Start:End!D252)</f>
        <v>27611.520731441095</v>
      </c>
      <c r="E252" s="397">
        <f ca="1">SUM(Start:End!E252)</f>
        <v>250.53398637181544</v>
      </c>
      <c r="F252" s="397">
        <f ca="1">SUM(Start:End!F252)</f>
        <v>0</v>
      </c>
      <c r="G252" s="397">
        <f ca="1">SUM(Start:End!G252)</f>
        <v>29114.724649671985</v>
      </c>
      <c r="H252" s="15"/>
      <c r="I252" s="271">
        <f ca="1">Assumptions!O$68</f>
        <v>4.5</v>
      </c>
      <c r="J252" s="271">
        <f ca="1">Assumptions!P$68</f>
        <v>80</v>
      </c>
      <c r="K252" s="271">
        <f t="shared" ca="1" si="433"/>
        <v>40</v>
      </c>
      <c r="L252" s="15"/>
      <c r="M252" s="35">
        <f t="shared" ca="1" si="436"/>
        <v>4.2299999999999986</v>
      </c>
      <c r="N252" s="35">
        <f t="shared" ca="1" si="434"/>
        <v>71.581420419591865</v>
      </c>
      <c r="O252" s="35" t="str">
        <f t="shared" ca="1" si="435"/>
        <v>N/A</v>
      </c>
      <c r="P252" s="15"/>
      <c r="Q252" s="397">
        <f ca="1">SUM(Start:End!Q252)</f>
        <v>116796.7326939958</v>
      </c>
      <c r="R252" s="397">
        <f ca="1">SUM(Start:End!R252)</f>
        <v>17933.578607877222</v>
      </c>
      <c r="S252" s="397">
        <f ca="1">SUM(Start:End!S252)</f>
        <v>0</v>
      </c>
      <c r="T252" s="397">
        <f ca="1">SUM(Start:End!T252)</f>
        <v>134730.31130187304</v>
      </c>
      <c r="U252" s="15"/>
      <c r="V252" s="35">
        <f t="shared" ref="V252" ca="1" si="484">+IFERROR(W252/$G252,"N/A")</f>
        <v>0.31753486823221477</v>
      </c>
      <c r="W252" s="397">
        <f ca="1">SUM(Start:End!W252)</f>
        <v>9244.9402552508091</v>
      </c>
      <c r="X252" s="35">
        <f t="shared" ref="X252" ca="1" si="485">+IFERROR(Y252/$G252,"N/A")</f>
        <v>0.36858800724742402</v>
      </c>
      <c r="Y252" s="397">
        <f ca="1">SUM(Start:End!Y252)</f>
        <v>10731.338340180053</v>
      </c>
      <c r="Z252" s="35">
        <f t="shared" ca="1" si="439"/>
        <v>0.57778660595542142</v>
      </c>
      <c r="AA252" s="397">
        <f ca="1">SUM(Start:End!AA252)</f>
        <v>16822.097938660623</v>
      </c>
      <c r="AB252" s="397">
        <f ca="1">SUM(Start:End!AB252)</f>
        <v>36798.376534091483</v>
      </c>
      <c r="AC252" s="15"/>
      <c r="AD252" s="397">
        <f ca="1">SUM(Start:End!AD252)</f>
        <v>97931.934767781539</v>
      </c>
      <c r="AE252" s="397">
        <f ca="1">SUM(Start:End!AE252)</f>
        <v>77243.742514970072</v>
      </c>
      <c r="AF252" s="397">
        <f ca="1">SUM(Start:End!AF252)</f>
        <v>20688.19225281147</v>
      </c>
      <c r="AG252" s="15"/>
      <c r="AH252" s="273">
        <f t="shared" si="443"/>
        <v>50040</v>
      </c>
      <c r="AI252" s="267"/>
      <c r="AJ252" s="267"/>
      <c r="AK252" s="397">
        <f ca="1">SUM(Start:End!AK252)</f>
        <v>2384.999797379895</v>
      </c>
      <c r="AL252" s="233"/>
    </row>
    <row r="253" spans="2:38" x14ac:dyDescent="0.3">
      <c r="B253" s="232"/>
      <c r="C253" s="250">
        <f t="shared" si="440"/>
        <v>2037</v>
      </c>
      <c r="D253" s="397">
        <f ca="1">SUM(Start:End!D253)</f>
        <v>31838.584914794035</v>
      </c>
      <c r="E253" s="397">
        <f ca="1">SUM(Start:End!E253)</f>
        <v>271.70377620232546</v>
      </c>
      <c r="F253" s="397">
        <f ca="1">SUM(Start:End!F253)</f>
        <v>0</v>
      </c>
      <c r="G253" s="397">
        <f ca="1">SUM(Start:End!G253)</f>
        <v>33468.807572007987</v>
      </c>
      <c r="H253" s="15"/>
      <c r="I253" s="271">
        <f ca="1">Assumptions!O$68</f>
        <v>4.5</v>
      </c>
      <c r="J253" s="271">
        <f ca="1">Assumptions!P$68</f>
        <v>80</v>
      </c>
      <c r="K253" s="271">
        <f t="shared" ca="1" si="433"/>
        <v>40</v>
      </c>
      <c r="L253" s="15"/>
      <c r="M253" s="35">
        <f t="shared" ca="1" si="436"/>
        <v>4.2299999999999995</v>
      </c>
      <c r="N253" s="35">
        <f t="shared" ca="1" si="434"/>
        <v>72.060926950481502</v>
      </c>
      <c r="O253" s="35" t="str">
        <f t="shared" ca="1" si="435"/>
        <v>N/A</v>
      </c>
      <c r="P253" s="15"/>
      <c r="Q253" s="397">
        <f ca="1">SUM(Start:End!Q253)</f>
        <v>134677.21418957875</v>
      </c>
      <c r="R253" s="397">
        <f ca="1">SUM(Start:End!R253)</f>
        <v>19579.22596908575</v>
      </c>
      <c r="S253" s="397">
        <f ca="1">SUM(Start:End!S253)</f>
        <v>0</v>
      </c>
      <c r="T253" s="397">
        <f ca="1">SUM(Start:End!T253)</f>
        <v>154256.44015866448</v>
      </c>
      <c r="U253" s="15"/>
      <c r="V253" s="35">
        <f t="shared" ref="V253" ca="1" si="486">+IFERROR(W253/$G253,"N/A")</f>
        <v>0.31589916602324292</v>
      </c>
      <c r="W253" s="397">
        <f ca="1">SUM(Start:End!W253)</f>
        <v>10572.76839978972</v>
      </c>
      <c r="X253" s="35">
        <f t="shared" ref="X253" ca="1" si="487">+IFERROR(Y253/$G253,"N/A")</f>
        <v>0.3688945288206304</v>
      </c>
      <c r="Y253" s="397">
        <f ca="1">SUM(Start:End!Y253)</f>
        <v>12346.459999464234</v>
      </c>
      <c r="Z253" s="35">
        <f t="shared" ca="1" si="439"/>
        <v>0.57826709923233943</v>
      </c>
      <c r="AA253" s="397">
        <f ca="1">SUM(Start:End!AA253)</f>
        <v>19353.910269430417</v>
      </c>
      <c r="AB253" s="397">
        <f ca="1">SUM(Start:End!AB253)</f>
        <v>42273.138668684369</v>
      </c>
      <c r="AC253" s="15"/>
      <c r="AD253" s="397">
        <f ca="1">SUM(Start:End!AD253)</f>
        <v>111983.30148998013</v>
      </c>
      <c r="AE253" s="397">
        <f ca="1">SUM(Start:End!AE253)</f>
        <v>77243.742514970072</v>
      </c>
      <c r="AF253" s="397">
        <f ca="1">SUM(Start:End!AF253)</f>
        <v>34739.558975010063</v>
      </c>
      <c r="AG253" s="15"/>
      <c r="AH253" s="273">
        <f t="shared" si="443"/>
        <v>50405</v>
      </c>
      <c r="AI253" s="267"/>
      <c r="AJ253" s="267"/>
      <c r="AK253" s="397">
        <f ca="1">SUM(Start:End!AK253)</f>
        <v>3640.8049974499677</v>
      </c>
      <c r="AL253" s="233"/>
    </row>
    <row r="254" spans="2:38" x14ac:dyDescent="0.3">
      <c r="B254" s="232"/>
      <c r="C254" s="250">
        <f t="shared" si="440"/>
        <v>2038</v>
      </c>
      <c r="D254" s="397">
        <f ca="1">SUM(Start:End!D254)</f>
        <v>35246.930688494751</v>
      </c>
      <c r="E254" s="397">
        <f ca="1">SUM(Start:End!E254)</f>
        <v>288.13718658502489</v>
      </c>
      <c r="F254" s="397">
        <f ca="1">SUM(Start:End!F254)</f>
        <v>0</v>
      </c>
      <c r="G254" s="397">
        <f ca="1">SUM(Start:End!G254)</f>
        <v>36975.753808004898</v>
      </c>
      <c r="H254" s="15"/>
      <c r="I254" s="271">
        <f ca="1">Assumptions!O$68</f>
        <v>4.5</v>
      </c>
      <c r="J254" s="271">
        <f ca="1">Assumptions!P$68</f>
        <v>80</v>
      </c>
      <c r="K254" s="271">
        <f t="shared" ca="1" si="433"/>
        <v>40</v>
      </c>
      <c r="L254" s="15"/>
      <c r="M254" s="35">
        <f t="shared" ca="1" si="436"/>
        <v>4.2299999999999995</v>
      </c>
      <c r="N254" s="35">
        <f t="shared" ca="1" si="434"/>
        <v>72.41489877405408</v>
      </c>
      <c r="O254" s="35" t="str">
        <f t="shared" ca="1" si="435"/>
        <v>N/A</v>
      </c>
      <c r="P254" s="15"/>
      <c r="Q254" s="397">
        <f ca="1">SUM(Start:End!Q254)</f>
        <v>149094.51681233279</v>
      </c>
      <c r="R254" s="397">
        <f ca="1">SUM(Start:End!R254)</f>
        <v>20865.425199595313</v>
      </c>
      <c r="S254" s="397">
        <f ca="1">SUM(Start:End!S254)</f>
        <v>0</v>
      </c>
      <c r="T254" s="397">
        <f ca="1">SUM(Start:End!T254)</f>
        <v>169959.9420119281</v>
      </c>
      <c r="U254" s="15"/>
      <c r="V254" s="35">
        <f t="shared" ref="V254" ca="1" si="488">+IFERROR(W254/$G254,"N/A")</f>
        <v>0.31480569640698036</v>
      </c>
      <c r="W254" s="397">
        <f ca="1">SUM(Start:End!W254)</f>
        <v>11640.177927702038</v>
      </c>
      <c r="X254" s="35">
        <f t="shared" ref="X254" ca="1" si="489">+IFERROR(Y254/$G254,"N/A")</f>
        <v>0.36909943899632847</v>
      </c>
      <c r="Y254" s="397">
        <f ca="1">SUM(Start:End!Y254)</f>
        <v>13647.729987000963</v>
      </c>
      <c r="Z254" s="35">
        <f t="shared" ca="1" si="439"/>
        <v>0.57858830977802833</v>
      </c>
      <c r="AA254" s="397">
        <f ca="1">SUM(Start:End!AA254)</f>
        <v>21393.738898542048</v>
      </c>
      <c r="AB254" s="397">
        <f ca="1">SUM(Start:End!AB254)</f>
        <v>46681.646813245046</v>
      </c>
      <c r="AC254" s="15"/>
      <c r="AD254" s="397">
        <f ca="1">SUM(Start:End!AD254)</f>
        <v>123278.29519868303</v>
      </c>
      <c r="AE254" s="397">
        <f ca="1">SUM(Start:End!AE254)</f>
        <v>77243.742514970072</v>
      </c>
      <c r="AF254" s="397">
        <f ca="1">SUM(Start:End!AF254)</f>
        <v>46034.552683712973</v>
      </c>
      <c r="AG254" s="15"/>
      <c r="AH254" s="273">
        <f t="shared" si="443"/>
        <v>50770</v>
      </c>
      <c r="AI254" s="267"/>
      <c r="AJ254" s="267"/>
      <c r="AK254" s="397">
        <f ca="1">SUM(Start:End!AK254)</f>
        <v>4385.9569062253759</v>
      </c>
      <c r="AL254" s="233"/>
    </row>
    <row r="255" spans="2:38" x14ac:dyDescent="0.3">
      <c r="B255" s="232"/>
      <c r="C255" s="250">
        <f t="shared" si="440"/>
        <v>2039</v>
      </c>
      <c r="D255" s="397">
        <f ca="1">SUM(Start:End!D255)</f>
        <v>38179.789480549982</v>
      </c>
      <c r="E255" s="397">
        <f ca="1">SUM(Start:End!E255)</f>
        <v>302.03660469142733</v>
      </c>
      <c r="F255" s="397">
        <f ca="1">SUM(Start:End!F255)</f>
        <v>0</v>
      </c>
      <c r="G255" s="397">
        <f ca="1">SUM(Start:End!G255)</f>
        <v>39992.009108698541</v>
      </c>
      <c r="H255" s="15"/>
      <c r="I255" s="271">
        <f ca="1">Assumptions!O$68</f>
        <v>4.5</v>
      </c>
      <c r="J255" s="271">
        <f ca="1">Assumptions!P$68</f>
        <v>80</v>
      </c>
      <c r="K255" s="271">
        <f t="shared" ca="1" si="433"/>
        <v>40</v>
      </c>
      <c r="L255" s="15"/>
      <c r="M255" s="35">
        <f t="shared" ca="1" si="436"/>
        <v>4.2299999999999995</v>
      </c>
      <c r="N255" s="35">
        <f t="shared" ca="1" si="434"/>
        <v>72.695626006578209</v>
      </c>
      <c r="O255" s="35" t="str">
        <f t="shared" ca="1" si="435"/>
        <v>N/A</v>
      </c>
      <c r="P255" s="15"/>
      <c r="Q255" s="397">
        <f ca="1">SUM(Start:End!Q255)</f>
        <v>161500.5095027264</v>
      </c>
      <c r="R255" s="397">
        <f ca="1">SUM(Start:End!R255)</f>
        <v>21956.740054944708</v>
      </c>
      <c r="S255" s="397">
        <f ca="1">SUM(Start:End!S255)</f>
        <v>0</v>
      </c>
      <c r="T255" s="397">
        <f ca="1">SUM(Start:End!T255)</f>
        <v>183457.24955767114</v>
      </c>
      <c r="U255" s="15"/>
      <c r="V255" s="35">
        <f t="shared" ref="V255" ca="1" si="490">+IFERROR(W255/$G255,"N/A")</f>
        <v>0.31399891943572505</v>
      </c>
      <c r="W255" s="397">
        <f ca="1">SUM(Start:End!W255)</f>
        <v>12557.447646195016</v>
      </c>
      <c r="X255" s="35">
        <f t="shared" ref="X255" ca="1" si="491">+IFERROR(Y255/$G255,"N/A")</f>
        <v>0.36925062455143703</v>
      </c>
      <c r="Y255" s="397">
        <f ca="1">SUM(Start:End!Y255)</f>
        <v>14767.074340453695</v>
      </c>
      <c r="Z255" s="35">
        <f t="shared" ca="1" si="439"/>
        <v>0.57882530335090121</v>
      </c>
      <c r="AA255" s="397">
        <f ca="1">SUM(Start:End!AA255)</f>
        <v>23148.38680395444</v>
      </c>
      <c r="AB255" s="397">
        <f ca="1">SUM(Start:End!AB255)</f>
        <v>50472.908790603149</v>
      </c>
      <c r="AC255" s="15"/>
      <c r="AD255" s="397">
        <f ca="1">SUM(Start:End!AD255)</f>
        <v>132984.34076706797</v>
      </c>
      <c r="AE255" s="397">
        <f ca="1">SUM(Start:End!AE255)</f>
        <v>77243.742514970072</v>
      </c>
      <c r="AF255" s="397">
        <f ca="1">SUM(Start:End!AF255)</f>
        <v>55740.598252097901</v>
      </c>
      <c r="AG255" s="15"/>
      <c r="AH255" s="273">
        <f t="shared" si="443"/>
        <v>51135</v>
      </c>
      <c r="AI255" s="267"/>
      <c r="AJ255" s="267"/>
      <c r="AK255" s="397">
        <f ca="1">SUM(Start:End!AK255)</f>
        <v>4827.9123083249206</v>
      </c>
      <c r="AL255" s="233"/>
    </row>
    <row r="256" spans="2:38" x14ac:dyDescent="0.3">
      <c r="B256" s="232"/>
      <c r="C256" s="250">
        <f t="shared" si="440"/>
        <v>2040</v>
      </c>
      <c r="D256" s="397">
        <f ca="1">SUM(Start:End!D256)</f>
        <v>25694.194620139337</v>
      </c>
      <c r="E256" s="397">
        <f ca="1">SUM(Start:End!E256)</f>
        <v>214.50145515883563</v>
      </c>
      <c r="F256" s="397">
        <f ca="1">SUM(Start:End!F256)</f>
        <v>0</v>
      </c>
      <c r="G256" s="397">
        <f ca="1">SUM(Start:End!G256)</f>
        <v>26981.20335109235</v>
      </c>
      <c r="H256" s="15"/>
      <c r="I256" s="271">
        <f ca="1">Assumptions!O$68</f>
        <v>4.5</v>
      </c>
      <c r="J256" s="271">
        <f ca="1">Assumptions!P$68</f>
        <v>80</v>
      </c>
      <c r="K256" s="271">
        <f t="shared" ca="1" si="433"/>
        <v>40</v>
      </c>
      <c r="L256" s="15"/>
      <c r="M256" s="35">
        <f t="shared" ca="1" si="436"/>
        <v>4.2299999999999995</v>
      </c>
      <c r="N256" s="35">
        <f t="shared" ca="1" si="434"/>
        <v>72.240084579637639</v>
      </c>
      <c r="O256" s="35" t="str">
        <f t="shared" ca="1" si="435"/>
        <v>N/A</v>
      </c>
      <c r="P256" s="15"/>
      <c r="Q256" s="397">
        <f ca="1">SUM(Start:End!Q256)</f>
        <v>108686.44324318938</v>
      </c>
      <c r="R256" s="397">
        <f ca="1">SUM(Start:End!R256)</f>
        <v>15495.603263129635</v>
      </c>
      <c r="S256" s="397">
        <f ca="1">SUM(Start:End!S256)</f>
        <v>0</v>
      </c>
      <c r="T256" s="397">
        <f ca="1">SUM(Start:End!T256)</f>
        <v>124182.04650631902</v>
      </c>
      <c r="U256" s="15"/>
      <c r="V256" s="35">
        <f t="shared" ref="V256" ca="1" si="492">+IFERROR(W256/$G256,"N/A")</f>
        <v>0.31533454117578463</v>
      </c>
      <c r="W256" s="397">
        <f ca="1">SUM(Start:End!W256)</f>
        <v>8508.1053790872484</v>
      </c>
      <c r="X256" s="35">
        <f t="shared" ref="X256" ca="1" si="493">+IFERROR(Y256/$G256,"N/A")</f>
        <v>0.36900033640318725</v>
      </c>
      <c r="Y256" s="397">
        <f ca="1">SUM(Start:End!Y256)</f>
        <v>9956.0731131158809</v>
      </c>
      <c r="Z256" s="35">
        <f t="shared" ca="1" si="439"/>
        <v>0.57843295976715825</v>
      </c>
      <c r="AA256" s="397">
        <f ca="1">SUM(Start:End!AA256)</f>
        <v>15606.817312451918</v>
      </c>
      <c r="AB256" s="397">
        <f ca="1">SUM(Start:End!AB256)</f>
        <v>34070.995804655053</v>
      </c>
      <c r="AC256" s="15"/>
      <c r="AD256" s="397">
        <f ca="1">SUM(Start:End!AD256)</f>
        <v>90111.050701663975</v>
      </c>
      <c r="AE256" s="397">
        <f ca="1">SUM(Start:End!AE256)</f>
        <v>0</v>
      </c>
      <c r="AF256" s="397">
        <f ca="1">SUM(Start:End!AF256)</f>
        <v>90111.050701663975</v>
      </c>
      <c r="AG256" s="15"/>
      <c r="AH256" s="273">
        <f t="shared" si="443"/>
        <v>51501</v>
      </c>
      <c r="AI256" s="267"/>
      <c r="AJ256" s="267"/>
      <c r="AK256" s="397">
        <f ca="1">SUM(Start:End!AK256)</f>
        <v>7095.3384466424041</v>
      </c>
      <c r="AL256" s="233"/>
    </row>
    <row r="257" spans="2:38" x14ac:dyDescent="0.3">
      <c r="B257" s="232"/>
      <c r="C257" s="250">
        <f t="shared" si="440"/>
        <v>2041</v>
      </c>
      <c r="D257" s="397">
        <f ca="1">SUM(Start:End!D257)</f>
        <v>21237.640716019334</v>
      </c>
      <c r="E257" s="397">
        <f ca="1">SUM(Start:End!E257)</f>
        <v>180.56895824172827</v>
      </c>
      <c r="F257" s="397">
        <f ca="1">SUM(Start:End!F257)</f>
        <v>0</v>
      </c>
      <c r="G257" s="397">
        <f ca="1">SUM(Start:End!G257)</f>
        <v>22321.054465469704</v>
      </c>
      <c r="H257" s="15"/>
      <c r="I257" s="271">
        <f ca="1">Assumptions!O$68</f>
        <v>4.5</v>
      </c>
      <c r="J257" s="271">
        <f ca="1">Assumptions!P$68</f>
        <v>80</v>
      </c>
      <c r="K257" s="271">
        <f t="shared" ca="1" si="433"/>
        <v>40</v>
      </c>
      <c r="L257" s="15"/>
      <c r="M257" s="35">
        <f t="shared" ca="1" si="436"/>
        <v>4.2299999999999995</v>
      </c>
      <c r="N257" s="35">
        <f t="shared" ca="1" si="434"/>
        <v>72.090774180240004</v>
      </c>
      <c r="O257" s="35" t="str">
        <f t="shared" ca="1" si="435"/>
        <v>N/A</v>
      </c>
      <c r="P257" s="15"/>
      <c r="Q257" s="397">
        <f ca="1">SUM(Start:End!Q257)</f>
        <v>89835.220228761769</v>
      </c>
      <c r="R257" s="397">
        <f ca="1">SUM(Start:End!R257)</f>
        <v>13017.355992565621</v>
      </c>
      <c r="S257" s="397">
        <f ca="1">SUM(Start:End!S257)</f>
        <v>0</v>
      </c>
      <c r="T257" s="397">
        <f ca="1">SUM(Start:End!T257)</f>
        <v>102852.5762213274</v>
      </c>
      <c r="U257" s="15"/>
      <c r="V257" s="35">
        <f t="shared" ref="V257" ca="1" si="494">+IFERROR(W257/$G257,"N/A")</f>
        <v>0.31580344922432557</v>
      </c>
      <c r="W257" s="397">
        <f ca="1">SUM(Start:End!W257)</f>
        <v>7049.065990519367</v>
      </c>
      <c r="X257" s="35">
        <f t="shared" ref="X257" ca="1" si="495">+IFERROR(Y257/$G257,"N/A")</f>
        <v>0.36891246562087771</v>
      </c>
      <c r="Y257" s="397">
        <f ca="1">SUM(Start:End!Y257)</f>
        <v>8234.5152381143307</v>
      </c>
      <c r="Z257" s="35">
        <f t="shared" ca="1" si="439"/>
        <v>0.57829521637867298</v>
      </c>
      <c r="AA257" s="397">
        <f ca="1">SUM(Start:End!AA257)</f>
        <v>12908.159021908948</v>
      </c>
      <c r="AB257" s="397">
        <f ca="1">SUM(Start:End!AB257)</f>
        <v>28191.740250542651</v>
      </c>
      <c r="AC257" s="15"/>
      <c r="AD257" s="397">
        <f ca="1">SUM(Start:End!AD257)</f>
        <v>74660.835970784741</v>
      </c>
      <c r="AE257" s="397">
        <f ca="1">SUM(Start:End!AE257)</f>
        <v>0</v>
      </c>
      <c r="AF257" s="397">
        <f ca="1">SUM(Start:End!AF257)</f>
        <v>74660.835970784741</v>
      </c>
      <c r="AG257" s="15"/>
      <c r="AH257" s="273">
        <f t="shared" si="443"/>
        <v>51866</v>
      </c>
      <c r="AI257" s="267"/>
      <c r="AJ257" s="267"/>
      <c r="AK257" s="397">
        <f ca="1">SUM(Start:End!AK257)</f>
        <v>5344.3541032480207</v>
      </c>
      <c r="AL257" s="233"/>
    </row>
    <row r="258" spans="2:38" x14ac:dyDescent="0.3">
      <c r="B258" s="232"/>
      <c r="C258" s="250">
        <f t="shared" si="440"/>
        <v>2042</v>
      </c>
      <c r="D258" s="397">
        <f ca="1">SUM(Start:End!D258)</f>
        <v>18507.887314943651</v>
      </c>
      <c r="E258" s="397">
        <f ca="1">SUM(Start:End!E258)</f>
        <v>158.50377790580566</v>
      </c>
      <c r="F258" s="397">
        <f ca="1">SUM(Start:End!F258)</f>
        <v>0</v>
      </c>
      <c r="G258" s="397">
        <f ca="1">SUM(Start:End!G258)</f>
        <v>19458.909982378485</v>
      </c>
      <c r="H258" s="15"/>
      <c r="I258" s="271">
        <f ca="1">Assumptions!O$68</f>
        <v>4.5</v>
      </c>
      <c r="J258" s="271">
        <f ca="1">Assumptions!P$68</f>
        <v>80</v>
      </c>
      <c r="K258" s="271">
        <f t="shared" ca="1" si="433"/>
        <v>40</v>
      </c>
      <c r="L258" s="15"/>
      <c r="M258" s="35">
        <f t="shared" ca="1" si="436"/>
        <v>4.2299999999999995</v>
      </c>
      <c r="N258" s="35">
        <f t="shared" ca="1" si="434"/>
        <v>72.032377880733662</v>
      </c>
      <c r="O258" s="35" t="str">
        <f t="shared" ca="1" si="435"/>
        <v>N/A</v>
      </c>
      <c r="P258" s="15"/>
      <c r="Q258" s="397">
        <f ca="1">SUM(Start:End!Q258)</f>
        <v>78288.36334221164</v>
      </c>
      <c r="R258" s="397">
        <f ca="1">SUM(Start:End!R258)</f>
        <v>11417.404025634876</v>
      </c>
      <c r="S258" s="397">
        <f ca="1">SUM(Start:End!S258)</f>
        <v>0</v>
      </c>
      <c r="T258" s="397">
        <f ca="1">SUM(Start:End!T258)</f>
        <v>89705.767367846522</v>
      </c>
      <c r="U258" s="15"/>
      <c r="V258" s="35">
        <f t="shared" ref="V258" ca="1" si="496">+IFERROR(W258/$G258,"N/A")</f>
        <v>0.31599135284077878</v>
      </c>
      <c r="W258" s="397">
        <f ca="1">SUM(Start:End!W258)</f>
        <v>6148.8472901387122</v>
      </c>
      <c r="X258" s="35">
        <f t="shared" ref="X258" ca="1" si="497">+IFERROR(Y258/$G258,"N/A")</f>
        <v>0.36887725351942641</v>
      </c>
      <c r="Y258" s="397">
        <f ca="1">SUM(Start:End!Y258)</f>
        <v>7177.9492707815261</v>
      </c>
      <c r="Z258" s="35">
        <f t="shared" ca="1" si="439"/>
        <v>0.57824001903045208</v>
      </c>
      <c r="AA258" s="397">
        <f ca="1">SUM(Start:End!AA258)</f>
        <v>11251.92047852239</v>
      </c>
      <c r="AB258" s="397">
        <f ca="1">SUM(Start:End!AB258)</f>
        <v>24578.717039442628</v>
      </c>
      <c r="AC258" s="15"/>
      <c r="AD258" s="397">
        <f ca="1">SUM(Start:End!AD258)</f>
        <v>65127.050328403879</v>
      </c>
      <c r="AE258" s="397">
        <f ca="1">SUM(Start:End!AE258)</f>
        <v>0</v>
      </c>
      <c r="AF258" s="397">
        <f ca="1">SUM(Start:End!AF258)</f>
        <v>65127.050328403879</v>
      </c>
      <c r="AG258" s="15"/>
      <c r="AH258" s="273">
        <f t="shared" si="443"/>
        <v>52231</v>
      </c>
      <c r="AI258" s="267"/>
      <c r="AJ258" s="267"/>
      <c r="AK258" s="397">
        <f ca="1">SUM(Start:End!AK258)</f>
        <v>4238.0990360588712</v>
      </c>
      <c r="AL258" s="233"/>
    </row>
    <row r="259" spans="2:38" x14ac:dyDescent="0.3">
      <c r="B259" s="232"/>
      <c r="C259" s="250">
        <f t="shared" si="440"/>
        <v>2043</v>
      </c>
      <c r="D259" s="397">
        <f ca="1">SUM(Start:End!D259)</f>
        <v>16581.847902245972</v>
      </c>
      <c r="E259" s="397">
        <f ca="1">SUM(Start:End!E259)</f>
        <v>142.1556584466914</v>
      </c>
      <c r="F259" s="397">
        <f ca="1">SUM(Start:End!F259)</f>
        <v>0</v>
      </c>
      <c r="G259" s="397">
        <f ca="1">SUM(Start:End!G259)</f>
        <v>17434.781852926117</v>
      </c>
      <c r="H259" s="15"/>
      <c r="I259" s="271">
        <f ca="1">Assumptions!O$68</f>
        <v>4.5</v>
      </c>
      <c r="J259" s="271">
        <f ca="1">Assumptions!P$68</f>
        <v>80</v>
      </c>
      <c r="K259" s="271">
        <f t="shared" ca="1" si="433"/>
        <v>40</v>
      </c>
      <c r="L259" s="15"/>
      <c r="M259" s="35">
        <f t="shared" ca="1" si="436"/>
        <v>4.2299999999999995</v>
      </c>
      <c r="N259" s="35">
        <f t="shared" ca="1" si="434"/>
        <v>72.02408792451962</v>
      </c>
      <c r="O259" s="35" t="str">
        <f t="shared" ca="1" si="435"/>
        <v>N/A</v>
      </c>
      <c r="P259" s="15"/>
      <c r="Q259" s="397">
        <f ca="1">SUM(Start:End!Q259)</f>
        <v>70141.216626500449</v>
      </c>
      <c r="R259" s="397">
        <f ca="1">SUM(Start:End!R259)</f>
        <v>10238.631642932482</v>
      </c>
      <c r="S259" s="397">
        <f ca="1">SUM(Start:End!S259)</f>
        <v>0</v>
      </c>
      <c r="T259" s="397">
        <f ca="1">SUM(Start:End!T259)</f>
        <v>80379.848269432929</v>
      </c>
      <c r="U259" s="15"/>
      <c r="V259" s="35">
        <f t="shared" ref="V259" ca="1" si="498">+IFERROR(W259/$G259,"N/A")</f>
        <v>0.31601823853756078</v>
      </c>
      <c r="W259" s="397">
        <f ca="1">SUM(Start:End!W259)</f>
        <v>5509.7090504483413</v>
      </c>
      <c r="X259" s="35">
        <f t="shared" ref="X259" ca="1" si="499">+IFERROR(Y259/$G259,"N/A")</f>
        <v>0.36887221528812175</v>
      </c>
      <c r="Y259" s="397">
        <f ca="1">SUM(Start:End!Y259)</f>
        <v>6431.2066051540005</v>
      </c>
      <c r="Z259" s="35">
        <f t="shared" ca="1" si="439"/>
        <v>0.57823212126246104</v>
      </c>
      <c r="AA259" s="397">
        <f ca="1">SUM(Start:End!AA259)</f>
        <v>10081.35089456573</v>
      </c>
      <c r="AB259" s="397">
        <f ca="1">SUM(Start:End!AB259)</f>
        <v>22022.266550168071</v>
      </c>
      <c r="AC259" s="15"/>
      <c r="AD259" s="397">
        <f ca="1">SUM(Start:End!AD259)</f>
        <v>58357.581719264854</v>
      </c>
      <c r="AE259" s="397">
        <f ca="1">SUM(Start:End!AE259)</f>
        <v>0</v>
      </c>
      <c r="AF259" s="397">
        <f ca="1">SUM(Start:End!AF259)</f>
        <v>58357.581719264854</v>
      </c>
      <c r="AG259" s="15"/>
      <c r="AH259" s="273">
        <f t="shared" si="443"/>
        <v>52596</v>
      </c>
      <c r="AI259" s="267"/>
      <c r="AJ259" s="267"/>
      <c r="AK259" s="397">
        <f ca="1">SUM(Start:End!AK259)</f>
        <v>3452.3458320593509</v>
      </c>
      <c r="AL259" s="233"/>
    </row>
    <row r="260" spans="2:38" x14ac:dyDescent="0.3">
      <c r="B260" s="232"/>
      <c r="C260" s="250">
        <f t="shared" si="440"/>
        <v>2044</v>
      </c>
      <c r="D260" s="397">
        <f ca="1">SUM(Start:End!D260)</f>
        <v>15120.3398022295</v>
      </c>
      <c r="E260" s="397">
        <f ca="1">SUM(Start:End!E260)</f>
        <v>129.24100021349466</v>
      </c>
      <c r="F260" s="397">
        <f ca="1">SUM(Start:End!F260)</f>
        <v>0</v>
      </c>
      <c r="G260" s="397">
        <f ca="1">SUM(Start:End!G260)</f>
        <v>15895.785803510469</v>
      </c>
      <c r="H260" s="15"/>
      <c r="I260" s="271">
        <f ca="1">Assumptions!O$68</f>
        <v>4.5</v>
      </c>
      <c r="J260" s="271">
        <f ca="1">Assumptions!P$68</f>
        <v>80</v>
      </c>
      <c r="K260" s="271">
        <f t="shared" ca="1" si="433"/>
        <v>40</v>
      </c>
      <c r="L260" s="15"/>
      <c r="M260" s="35">
        <f t="shared" ca="1" si="436"/>
        <v>4.2299999999999995</v>
      </c>
      <c r="N260" s="35">
        <f t="shared" ca="1" si="434"/>
        <v>72.048003261742906</v>
      </c>
      <c r="O260" s="35" t="str">
        <f t="shared" ca="1" si="435"/>
        <v>N/A</v>
      </c>
      <c r="P260" s="15"/>
      <c r="Q260" s="397">
        <f ca="1">SUM(Start:End!Q260)</f>
        <v>63959.037363430776</v>
      </c>
      <c r="R260" s="397">
        <f ca="1">SUM(Start:End!R260)</f>
        <v>9311.5560049327796</v>
      </c>
      <c r="S260" s="397">
        <f ca="1">SUM(Start:End!S260)</f>
        <v>0</v>
      </c>
      <c r="T260" s="397">
        <f ca="1">SUM(Start:End!T260)</f>
        <v>73270.593368363552</v>
      </c>
      <c r="U260" s="15"/>
      <c r="V260" s="35">
        <f t="shared" ref="V260" ca="1" si="500">+IFERROR(W260/$G260,"N/A")</f>
        <v>0.31594082039129295</v>
      </c>
      <c r="W260" s="397">
        <f ca="1">SUM(Start:End!W260)</f>
        <v>5022.1276075253654</v>
      </c>
      <c r="X260" s="35">
        <f t="shared" ref="X260" ca="1" si="501">+IFERROR(Y260/$G260,"N/A")</f>
        <v>0.36888672302177794</v>
      </c>
      <c r="Y260" s="397">
        <f ca="1">SUM(Start:End!Y260)</f>
        <v>5863.7443349130763</v>
      </c>
      <c r="Z260" s="35">
        <f t="shared" ca="1" si="439"/>
        <v>0.57825486311521956</v>
      </c>
      <c r="AA260" s="397">
        <f ca="1">SUM(Start:End!AA260)</f>
        <v>9191.8154439177961</v>
      </c>
      <c r="AB260" s="397">
        <f ca="1">SUM(Start:End!AB260)</f>
        <v>20077.687386356236</v>
      </c>
      <c r="AC260" s="15"/>
      <c r="AD260" s="397">
        <f ca="1">SUM(Start:End!AD260)</f>
        <v>53192.905982007331</v>
      </c>
      <c r="AE260" s="397">
        <f ca="1">SUM(Start:End!AE260)</f>
        <v>0</v>
      </c>
      <c r="AF260" s="397">
        <f ca="1">SUM(Start:End!AF260)</f>
        <v>53192.905982007331</v>
      </c>
      <c r="AG260" s="15"/>
      <c r="AH260" s="273">
        <f t="shared" si="443"/>
        <v>52962</v>
      </c>
      <c r="AI260" s="267"/>
      <c r="AJ260" s="267"/>
      <c r="AK260" s="397">
        <f ca="1">SUM(Start:End!AK260)</f>
        <v>2860.7376960504153</v>
      </c>
      <c r="AL260" s="233"/>
    </row>
    <row r="261" spans="2:38" x14ac:dyDescent="0.3">
      <c r="B261" s="232"/>
      <c r="C261" s="250">
        <f t="shared" si="440"/>
        <v>2045</v>
      </c>
      <c r="D261" s="397">
        <f ca="1">SUM(Start:End!D261)</f>
        <v>13959.594374029335</v>
      </c>
      <c r="E261" s="397">
        <f ca="1">SUM(Start:End!E261)</f>
        <v>118.64047982258312</v>
      </c>
      <c r="F261" s="397">
        <f ca="1">SUM(Start:End!F261)</f>
        <v>0</v>
      </c>
      <c r="G261" s="397">
        <f ca="1">SUM(Start:End!G261)</f>
        <v>14671.437252964834</v>
      </c>
      <c r="H261" s="15"/>
      <c r="I261" s="271">
        <f ca="1">Assumptions!O$68</f>
        <v>4.5</v>
      </c>
      <c r="J261" s="271">
        <f ca="1">Assumptions!P$68</f>
        <v>80</v>
      </c>
      <c r="K261" s="271">
        <f t="shared" ca="1" si="433"/>
        <v>40</v>
      </c>
      <c r="L261" s="15"/>
      <c r="M261" s="35">
        <f t="shared" ca="1" si="436"/>
        <v>4.2299999999999995</v>
      </c>
      <c r="N261" s="35">
        <f t="shared" ca="1" si="434"/>
        <v>72.094067233500624</v>
      </c>
      <c r="O261" s="35" t="str">
        <f t="shared" ca="1" si="435"/>
        <v>N/A</v>
      </c>
      <c r="P261" s="15"/>
      <c r="Q261" s="397">
        <f ca="1">SUM(Start:End!Q261)</f>
        <v>59049.084202144077</v>
      </c>
      <c r="R261" s="397">
        <f ca="1">SUM(Start:End!R261)</f>
        <v>8553.2747289440813</v>
      </c>
      <c r="S261" s="397">
        <f ca="1">SUM(Start:End!S261)</f>
        <v>0</v>
      </c>
      <c r="T261" s="397">
        <f ca="1">SUM(Start:End!T261)</f>
        <v>67602.358931088165</v>
      </c>
      <c r="U261" s="15"/>
      <c r="V261" s="35">
        <f t="shared" ref="V261" ca="1" si="502">+IFERROR(W261/$G261,"N/A")</f>
        <v>0.3157929299037307</v>
      </c>
      <c r="W261" s="397">
        <f ca="1">SUM(Start:End!W261)</f>
        <v>4633.1361560125069</v>
      </c>
      <c r="X261" s="35">
        <f t="shared" ref="X261" ca="1" si="503">+IFERROR(Y261/$G261,"N/A")</f>
        <v>0.36891443688354403</v>
      </c>
      <c r="Y261" s="397">
        <f ca="1">SUM(Start:End!Y261)</f>
        <v>5412.505012449772</v>
      </c>
      <c r="Z261" s="35">
        <f t="shared" ca="1" si="439"/>
        <v>0.57829830646609603</v>
      </c>
      <c r="AA261" s="397">
        <f ca="1">SUM(Start:End!AA261)</f>
        <v>8484.4673168131558</v>
      </c>
      <c r="AB261" s="397">
        <f ca="1">SUM(Start:End!AB261)</f>
        <v>18530.108485275436</v>
      </c>
      <c r="AC261" s="15"/>
      <c r="AD261" s="397">
        <f ca="1">SUM(Start:End!AD261)</f>
        <v>49072.250445812722</v>
      </c>
      <c r="AE261" s="397">
        <f ca="1">SUM(Start:End!AE261)</f>
        <v>0</v>
      </c>
      <c r="AF261" s="397">
        <f ca="1">SUM(Start:End!AF261)</f>
        <v>49072.250445812722</v>
      </c>
      <c r="AG261" s="15"/>
      <c r="AH261" s="273">
        <f t="shared" si="443"/>
        <v>53327</v>
      </c>
      <c r="AI261" s="267"/>
      <c r="AJ261" s="267"/>
      <c r="AK261" s="397">
        <f ca="1">SUM(Start:End!AK261)</f>
        <v>2399.2064028553018</v>
      </c>
      <c r="AL261" s="233"/>
    </row>
    <row r="262" spans="2:38" x14ac:dyDescent="0.3">
      <c r="B262" s="232"/>
      <c r="C262" s="250">
        <f t="shared" si="440"/>
        <v>2046</v>
      </c>
      <c r="D262" s="397">
        <f ca="1">SUM(Start:End!D262)</f>
        <v>13008.03606647093</v>
      </c>
      <c r="E262" s="397">
        <f ca="1">SUM(Start:End!E262)</f>
        <v>109.71589971397006</v>
      </c>
      <c r="F262" s="397">
        <f ca="1">SUM(Start:End!F262)</f>
        <v>0</v>
      </c>
      <c r="G262" s="397">
        <f ca="1">SUM(Start:End!G262)</f>
        <v>13666.331464754752</v>
      </c>
      <c r="H262" s="15"/>
      <c r="I262" s="271">
        <f ca="1">Assumptions!O$68</f>
        <v>4.5</v>
      </c>
      <c r="J262" s="271">
        <f ca="1">Assumptions!P$68</f>
        <v>80</v>
      </c>
      <c r="K262" s="271">
        <f t="shared" ca="1" si="433"/>
        <v>40</v>
      </c>
      <c r="L262" s="15"/>
      <c r="M262" s="35">
        <f t="shared" ca="1" si="436"/>
        <v>4.2299999999999995</v>
      </c>
      <c r="N262" s="35">
        <f t="shared" ca="1" si="434"/>
        <v>72.155846932738228</v>
      </c>
      <c r="O262" s="35" t="str">
        <f t="shared" ca="1" si="435"/>
        <v>N/A</v>
      </c>
      <c r="P262" s="15"/>
      <c r="Q262" s="397">
        <f ca="1">SUM(Start:End!Q262)</f>
        <v>55023.992561172032</v>
      </c>
      <c r="R262" s="397">
        <f ca="1">SUM(Start:End!R262)</f>
        <v>7916.6436658488819</v>
      </c>
      <c r="S262" s="397">
        <f ca="1">SUM(Start:End!S262)</f>
        <v>0</v>
      </c>
      <c r="T262" s="397">
        <f ca="1">SUM(Start:End!T262)</f>
        <v>62940.636227020921</v>
      </c>
      <c r="U262" s="15"/>
      <c r="V262" s="35">
        <f t="shared" ref="V262" ca="1" si="504">+IFERROR(W262/$G262,"N/A")</f>
        <v>0.31559707973067513</v>
      </c>
      <c r="W262" s="397">
        <f ca="1">SUM(Start:End!W262)</f>
        <v>4313.0543009080402</v>
      </c>
      <c r="X262" s="35">
        <f t="shared" ref="X262" ca="1" si="505">+IFERROR(Y262/$G262,"N/A")</f>
        <v>0.36895113812587793</v>
      </c>
      <c r="Y262" s="397">
        <f ca="1">SUM(Start:End!Y262)</f>
        <v>5042.2085479267625</v>
      </c>
      <c r="Z262" s="35">
        <f t="shared" ca="1" si="439"/>
        <v>0.57835583814326808</v>
      </c>
      <c r="AA262" s="397">
        <f ca="1">SUM(Start:End!AA262)</f>
        <v>7904.0025886419517</v>
      </c>
      <c r="AB262" s="397">
        <f ca="1">SUM(Start:End!AB262)</f>
        <v>17259.265437476752</v>
      </c>
      <c r="AC262" s="15"/>
      <c r="AD262" s="397">
        <f ca="1">SUM(Start:End!AD262)</f>
        <v>45681.370789544169</v>
      </c>
      <c r="AE262" s="397">
        <f ca="1">SUM(Start:End!AE262)</f>
        <v>0</v>
      </c>
      <c r="AF262" s="397">
        <f ca="1">SUM(Start:End!AF262)</f>
        <v>45681.370789544169</v>
      </c>
      <c r="AG262" s="15"/>
      <c r="AH262" s="273">
        <f t="shared" si="443"/>
        <v>53692</v>
      </c>
      <c r="AI262" s="267"/>
      <c r="AJ262" s="267"/>
      <c r="AK262" s="397">
        <f ca="1">SUM(Start:End!AK262)</f>
        <v>2030.3835169533168</v>
      </c>
      <c r="AL262" s="233"/>
    </row>
    <row r="263" spans="2:38" x14ac:dyDescent="0.3">
      <c r="B263" s="232"/>
      <c r="C263" s="250">
        <f t="shared" si="440"/>
        <v>2047</v>
      </c>
      <c r="D263" s="397">
        <f ca="1">SUM(Start:End!D263)</f>
        <v>12209.323148516633</v>
      </c>
      <c r="E263" s="397">
        <f ca="1">SUM(Start:End!E263)</f>
        <v>102.06536216560635</v>
      </c>
      <c r="F263" s="397">
        <f ca="1">SUM(Start:End!F263)</f>
        <v>0</v>
      </c>
      <c r="G263" s="397">
        <f ca="1">SUM(Start:End!G263)</f>
        <v>12821.715321510272</v>
      </c>
      <c r="H263" s="15"/>
      <c r="I263" s="271">
        <f ca="1">Assumptions!O$68</f>
        <v>4.5</v>
      </c>
      <c r="J263" s="271">
        <f ca="1">Assumptions!P$68</f>
        <v>80</v>
      </c>
      <c r="K263" s="271">
        <f t="shared" ca="1" si="433"/>
        <v>40</v>
      </c>
      <c r="L263" s="15"/>
      <c r="M263" s="35">
        <f t="shared" ca="1" si="436"/>
        <v>4.2299999999999995</v>
      </c>
      <c r="N263" s="35">
        <f t="shared" ca="1" si="434"/>
        <v>72.22886827733106</v>
      </c>
      <c r="O263" s="35" t="str">
        <f t="shared" ca="1" si="435"/>
        <v>N/A</v>
      </c>
      <c r="P263" s="15"/>
      <c r="Q263" s="397">
        <f ca="1">SUM(Start:End!Q263)</f>
        <v>51645.43691822535</v>
      </c>
      <c r="R263" s="397">
        <f ca="1">SUM(Start:End!R263)</f>
        <v>7372.0655995376701</v>
      </c>
      <c r="S263" s="397">
        <f ca="1">SUM(Start:End!S263)</f>
        <v>0</v>
      </c>
      <c r="T263" s="397">
        <f ca="1">SUM(Start:End!T263)</f>
        <v>59017.502517763023</v>
      </c>
      <c r="U263" s="15"/>
      <c r="V263" s="35">
        <f t="shared" ref="V263" ca="1" si="506">+IFERROR(W263/$G263,"N/A")</f>
        <v>0.31536920298293997</v>
      </c>
      <c r="W263" s="397">
        <f ca="1">SUM(Start:End!W263)</f>
        <v>4043.5741418188441</v>
      </c>
      <c r="X263" s="35">
        <f t="shared" ref="X263" ca="1" si="507">+IFERROR(Y263/$G263,"N/A")</f>
        <v>0.36899384097168314</v>
      </c>
      <c r="Y263" s="397">
        <f ca="1">SUM(Start:End!Y263)</f>
        <v>4731.1339843295546</v>
      </c>
      <c r="Z263" s="35">
        <f t="shared" ca="1" si="439"/>
        <v>0.57842277773939521</v>
      </c>
      <c r="AA263" s="397">
        <f ca="1">SUM(Start:End!AA263)</f>
        <v>7416.3721916517334</v>
      </c>
      <c r="AB263" s="397">
        <f ca="1">SUM(Start:End!AB263)</f>
        <v>16191.080317800132</v>
      </c>
      <c r="AC263" s="15"/>
      <c r="AD263" s="397">
        <f ca="1">SUM(Start:End!AD263)</f>
        <v>42826.422199962894</v>
      </c>
      <c r="AE263" s="397">
        <f ca="1">SUM(Start:End!AE263)</f>
        <v>0</v>
      </c>
      <c r="AF263" s="397">
        <f ca="1">SUM(Start:End!AF263)</f>
        <v>42826.422199962894</v>
      </c>
      <c r="AG263" s="15"/>
      <c r="AH263" s="273">
        <f t="shared" si="443"/>
        <v>54057</v>
      </c>
      <c r="AI263" s="267"/>
      <c r="AJ263" s="267"/>
      <c r="AK263" s="397">
        <f ca="1">SUM(Start:End!AK263)</f>
        <v>1730.4460364556069</v>
      </c>
      <c r="AL263" s="233"/>
    </row>
    <row r="264" spans="2:38" x14ac:dyDescent="0.3">
      <c r="B264" s="232"/>
      <c r="C264" s="250">
        <f t="shared" si="440"/>
        <v>2048</v>
      </c>
      <c r="D264" s="397">
        <f ca="1">SUM(Start:End!D264)</f>
        <v>11525.741009806532</v>
      </c>
      <c r="E264" s="397">
        <f ca="1">SUM(Start:End!E264)</f>
        <v>95.413100395238814</v>
      </c>
      <c r="F264" s="397">
        <f ca="1">SUM(Start:End!F264)</f>
        <v>0</v>
      </c>
      <c r="G264" s="397">
        <f ca="1">SUM(Start:End!G264)</f>
        <v>12098.219612177965</v>
      </c>
      <c r="H264" s="15"/>
      <c r="I264" s="271">
        <f ca="1">Assumptions!O$68</f>
        <v>4.5</v>
      </c>
      <c r="J264" s="271">
        <f ca="1">Assumptions!P$68</f>
        <v>80</v>
      </c>
      <c r="K264" s="271">
        <f t="shared" ca="1" si="433"/>
        <v>40</v>
      </c>
      <c r="L264" s="15"/>
      <c r="M264" s="35">
        <f t="shared" ca="1" si="436"/>
        <v>4.2299999999999995</v>
      </c>
      <c r="N264" s="35">
        <f t="shared" ca="1" si="434"/>
        <v>72.309746039076941</v>
      </c>
      <c r="O264" s="35" t="str">
        <f t="shared" ca="1" si="435"/>
        <v>N/A</v>
      </c>
      <c r="P264" s="15"/>
      <c r="Q264" s="397">
        <f ca="1">SUM(Start:End!Q264)</f>
        <v>48753.884471481622</v>
      </c>
      <c r="R264" s="397">
        <f ca="1">SUM(Start:End!R264)</f>
        <v>6899.29705838067</v>
      </c>
      <c r="S264" s="397">
        <f ca="1">SUM(Start:End!S264)</f>
        <v>0</v>
      </c>
      <c r="T264" s="397">
        <f ca="1">SUM(Start:End!T264)</f>
        <v>55653.181529862297</v>
      </c>
      <c r="U264" s="15"/>
      <c r="V264" s="35">
        <f t="shared" ref="V264" ca="1" si="508">+IFERROR(W264/$G264,"N/A")</f>
        <v>0.31512126204695673</v>
      </c>
      <c r="W264" s="397">
        <f ca="1">SUM(Start:End!W264)</f>
        <v>3812.4062327107636</v>
      </c>
      <c r="X264" s="35">
        <f t="shared" ref="X264" ca="1" si="509">+IFERROR(Y264/$G264,"N/A")</f>
        <v>0.36904030373571378</v>
      </c>
      <c r="Y264" s="397">
        <f ca="1">SUM(Start:End!Y264)</f>
        <v>4464.730640339526</v>
      </c>
      <c r="Z264" s="35">
        <f t="shared" ca="1" si="439"/>
        <v>0.57849561126138926</v>
      </c>
      <c r="AA264" s="397">
        <f ca="1">SUM(Start:End!AA264)</f>
        <v>6998.7669497214192</v>
      </c>
      <c r="AB264" s="397">
        <f ca="1">SUM(Start:End!AB264)</f>
        <v>15275.903822771706</v>
      </c>
      <c r="AC264" s="15"/>
      <c r="AD264" s="397">
        <f ca="1">SUM(Start:End!AD264)</f>
        <v>40377.277707090594</v>
      </c>
      <c r="AE264" s="397">
        <f ca="1">SUM(Start:End!AE264)</f>
        <v>0</v>
      </c>
      <c r="AF264" s="397">
        <f ca="1">SUM(Start:End!AF264)</f>
        <v>40377.277707090594</v>
      </c>
      <c r="AG264" s="15"/>
      <c r="AH264" s="273">
        <f t="shared" si="443"/>
        <v>54423</v>
      </c>
      <c r="AI264" s="267"/>
      <c r="AJ264" s="267"/>
      <c r="AK264" s="397">
        <f ca="1">SUM(Start:End!AK264)</f>
        <v>1483.1689194298547</v>
      </c>
      <c r="AL264" s="233"/>
    </row>
    <row r="265" spans="2:38" x14ac:dyDescent="0.3">
      <c r="B265" s="232"/>
      <c r="C265" s="250">
        <f t="shared" si="440"/>
        <v>2049</v>
      </c>
      <c r="D265" s="397">
        <f ca="1">SUM(Start:End!D265)</f>
        <v>10930.537193563085</v>
      </c>
      <c r="E265" s="397">
        <f ca="1">SUM(Start:End!E265)</f>
        <v>89.558486756065463</v>
      </c>
      <c r="F265" s="397">
        <f ca="1">SUM(Start:End!F265)</f>
        <v>0</v>
      </c>
      <c r="G265" s="397">
        <f ca="1">SUM(Start:End!G265)</f>
        <v>11467.888114099478</v>
      </c>
      <c r="H265" s="15"/>
      <c r="I265" s="271">
        <f ca="1">Assumptions!O$68</f>
        <v>4.5</v>
      </c>
      <c r="J265" s="271">
        <f ca="1">Assumptions!P$68</f>
        <v>80</v>
      </c>
      <c r="K265" s="271">
        <f t="shared" ca="1" si="433"/>
        <v>40</v>
      </c>
      <c r="L265" s="15"/>
      <c r="M265" s="35">
        <f t="shared" ca="1" si="436"/>
        <v>4.2300000000000004</v>
      </c>
      <c r="N265" s="35">
        <f t="shared" ca="1" si="434"/>
        <v>72.395791840348053</v>
      </c>
      <c r="O265" s="35" t="str">
        <f t="shared" ca="1" si="435"/>
        <v>N/A</v>
      </c>
      <c r="P265" s="15"/>
      <c r="Q265" s="397">
        <f ca="1">SUM(Start:End!Q265)</f>
        <v>46236.172328771849</v>
      </c>
      <c r="R265" s="397">
        <f ca="1">SUM(Start:End!R265)</f>
        <v>6483.6575647286827</v>
      </c>
      <c r="S265" s="397">
        <f ca="1">SUM(Start:End!S265)</f>
        <v>0</v>
      </c>
      <c r="T265" s="397">
        <f ca="1">SUM(Start:End!T265)</f>
        <v>52719.829893500537</v>
      </c>
      <c r="U265" s="15"/>
      <c r="V265" s="35">
        <f t="shared" ref="V265" ca="1" si="510">+IFERROR(W265/$G265,"N/A")</f>
        <v>0.3148624766031225</v>
      </c>
      <c r="W265" s="397">
        <f ca="1">SUM(Start:End!W265)</f>
        <v>3610.8076530128733</v>
      </c>
      <c r="X265" s="35">
        <f t="shared" ref="X265" ca="1" si="511">+IFERROR(Y265/$G265,"N/A")</f>
        <v>0.36908879870070915</v>
      </c>
      <c r="Y265" s="397">
        <f ca="1">SUM(Start:End!Y265)</f>
        <v>4232.6690476671174</v>
      </c>
      <c r="Z265" s="35">
        <f t="shared" ca="1" si="439"/>
        <v>0.57857163039570625</v>
      </c>
      <c r="AA265" s="397">
        <f ca="1">SUM(Start:End!AA265)</f>
        <v>6634.9947233700759</v>
      </c>
      <c r="AB265" s="397">
        <f ca="1">SUM(Start:End!AB265)</f>
        <v>14478.471424050065</v>
      </c>
      <c r="AC265" s="15"/>
      <c r="AD265" s="397">
        <f ca="1">SUM(Start:End!AD265)</f>
        <v>38241.358469450468</v>
      </c>
      <c r="AE265" s="397">
        <f ca="1">SUM(Start:End!AE265)</f>
        <v>0</v>
      </c>
      <c r="AF265" s="397">
        <f ca="1">SUM(Start:End!AF265)</f>
        <v>38241.358469450468</v>
      </c>
      <c r="AG265" s="15"/>
      <c r="AH265" s="273">
        <f t="shared" si="443"/>
        <v>54788</v>
      </c>
      <c r="AI265" s="267"/>
      <c r="AJ265" s="267"/>
      <c r="AK265" s="397">
        <f ca="1">SUM(Start:End!AK265)</f>
        <v>1277.0097337264679</v>
      </c>
      <c r="AL265" s="233"/>
    </row>
    <row r="266" spans="2:38" x14ac:dyDescent="0.3">
      <c r="B266" s="232"/>
      <c r="C266" s="250">
        <f t="shared" si="440"/>
        <v>2050</v>
      </c>
      <c r="D266" s="397">
        <f ca="1">SUM(Start:End!D266)</f>
        <v>10404.300884325974</v>
      </c>
      <c r="E266" s="397">
        <f ca="1">SUM(Start:End!E266)</f>
        <v>84.351821994215129</v>
      </c>
      <c r="F266" s="397">
        <f ca="1">SUM(Start:End!F266)</f>
        <v>0</v>
      </c>
      <c r="G266" s="397">
        <f ca="1">SUM(Start:End!G266)</f>
        <v>10910.411816291265</v>
      </c>
      <c r="H266" s="15"/>
      <c r="I266" s="271">
        <f ca="1">Assumptions!O$68</f>
        <v>4.5</v>
      </c>
      <c r="J266" s="271">
        <f ca="1">Assumptions!P$68</f>
        <v>80</v>
      </c>
      <c r="K266" s="271">
        <f t="shared" ca="1" si="433"/>
        <v>40</v>
      </c>
      <c r="L266" s="15"/>
      <c r="M266" s="35">
        <f t="shared" ca="1" si="436"/>
        <v>4.2299999999999995</v>
      </c>
      <c r="N266" s="35">
        <f t="shared" ca="1" si="434"/>
        <v>72.484872844342263</v>
      </c>
      <c r="O266" s="35" t="str">
        <f t="shared" ca="1" si="435"/>
        <v>N/A</v>
      </c>
      <c r="P266" s="15"/>
      <c r="Q266" s="397">
        <f ca="1">SUM(Start:End!Q266)</f>
        <v>44010.192740698869</v>
      </c>
      <c r="R266" s="397">
        <f ca="1">SUM(Start:End!R266)</f>
        <v>6114.2310914392765</v>
      </c>
      <c r="S266" s="397">
        <f ca="1">SUM(Start:End!S266)</f>
        <v>0</v>
      </c>
      <c r="T266" s="397">
        <f ca="1">SUM(Start:End!T266)</f>
        <v>50124.423832138142</v>
      </c>
      <c r="U266" s="15"/>
      <c r="V266" s="35">
        <f t="shared" ref="V266" ca="1" si="512">+IFERROR(W266/$G266,"N/A")</f>
        <v>0.31459983589280233</v>
      </c>
      <c r="W266" s="397">
        <f ca="1">SUM(Start:End!W266)</f>
        <v>3432.4137669281236</v>
      </c>
      <c r="X266" s="35">
        <f t="shared" ref="X266" ca="1" si="513">+IFERROR(Y266/$G266,"N/A")</f>
        <v>0.36913801612138253</v>
      </c>
      <c r="Y266" s="397">
        <f ca="1">SUM(Start:End!Y266)</f>
        <v>4027.4477729330474</v>
      </c>
      <c r="Z266" s="35">
        <f t="shared" ca="1" si="439"/>
        <v>0.57864878202811298</v>
      </c>
      <c r="AA266" s="397">
        <f ca="1">SUM(Start:End!AA266)</f>
        <v>6313.2965089220734</v>
      </c>
      <c r="AB266" s="397">
        <f ca="1">SUM(Start:End!AB266)</f>
        <v>13773.158048783245</v>
      </c>
      <c r="AC266" s="15"/>
      <c r="AD266" s="397">
        <f ca="1">SUM(Start:End!AD266)</f>
        <v>36351.265783354895</v>
      </c>
      <c r="AE266" s="397">
        <f ca="1">SUM(Start:End!AE266)</f>
        <v>0</v>
      </c>
      <c r="AF266" s="397">
        <f ca="1">SUM(Start:End!AF266)</f>
        <v>36351.265783354895</v>
      </c>
      <c r="AG266" s="15"/>
      <c r="AH266" s="273">
        <f t="shared" si="443"/>
        <v>55153</v>
      </c>
      <c r="AI266" s="267"/>
      <c r="AJ266" s="267"/>
      <c r="AK266" s="397">
        <f ca="1">SUM(Start:End!AK266)</f>
        <v>1103.5391594228577</v>
      </c>
      <c r="AL266" s="233"/>
    </row>
    <row r="267" spans="2:38" x14ac:dyDescent="0.3">
      <c r="B267" s="232"/>
      <c r="C267" s="250">
        <f t="shared" si="440"/>
        <v>2051</v>
      </c>
      <c r="D267" s="397">
        <f ca="1">SUM(Start:End!D267)</f>
        <v>9932.595993978317</v>
      </c>
      <c r="E267" s="397">
        <f ca="1">SUM(Start:End!E267)</f>
        <v>79.678442671595661</v>
      </c>
      <c r="F267" s="397">
        <f ca="1">SUM(Start:End!F267)</f>
        <v>0</v>
      </c>
      <c r="G267" s="397">
        <f ca="1">SUM(Start:End!G267)</f>
        <v>10410.666650007892</v>
      </c>
      <c r="H267" s="15"/>
      <c r="I267" s="271">
        <f ca="1">Assumptions!O$68</f>
        <v>4.5</v>
      </c>
      <c r="J267" s="271">
        <f ca="1">Assumptions!P$68</f>
        <v>80</v>
      </c>
      <c r="K267" s="271">
        <f t="shared" ca="1" si="433"/>
        <v>40</v>
      </c>
      <c r="L267" s="15"/>
      <c r="M267" s="35">
        <f t="shared" ca="1" si="436"/>
        <v>4.2299999999999995</v>
      </c>
      <c r="N267" s="35">
        <f t="shared" ca="1" si="434"/>
        <v>72.575290410273979</v>
      </c>
      <c r="O267" s="35" t="str">
        <f t="shared" ca="1" si="435"/>
        <v>N/A</v>
      </c>
      <c r="P267" s="15"/>
      <c r="Q267" s="397">
        <f ca="1">SUM(Start:End!Q267)</f>
        <v>42014.881054528276</v>
      </c>
      <c r="R267" s="397">
        <f ca="1">SUM(Start:End!R267)</f>
        <v>5782.6861163294216</v>
      </c>
      <c r="S267" s="397">
        <f ca="1">SUM(Start:End!S267)</f>
        <v>0</v>
      </c>
      <c r="T267" s="397">
        <f ca="1">SUM(Start:End!T267)</f>
        <v>47797.567170857699</v>
      </c>
      <c r="U267" s="15"/>
      <c r="V267" s="35">
        <f t="shared" ref="V267" ca="1" si="514">+IFERROR(W267/$G267,"N/A")</f>
        <v>0.31433857840314322</v>
      </c>
      <c r="W267" s="397">
        <f ca="1">SUM(Start:End!W267)</f>
        <v>3272.4741549924943</v>
      </c>
      <c r="X267" s="35">
        <f t="shared" ref="X267" ca="1" si="515">+IFERROR(Y267/$G267,"N/A")</f>
        <v>0.36918697433413228</v>
      </c>
      <c r="Y267" s="397">
        <f ca="1">SUM(Start:End!Y267)</f>
        <v>3843.4825213176705</v>
      </c>
      <c r="Z267" s="35">
        <f t="shared" ca="1" si="439"/>
        <v>0.57872552733458593</v>
      </c>
      <c r="AA267" s="397">
        <f ca="1">SUM(Start:End!AA267)</f>
        <v>6024.9185469304039</v>
      </c>
      <c r="AB267" s="397">
        <f ca="1">SUM(Start:End!AB267)</f>
        <v>13140.875223240566</v>
      </c>
      <c r="AC267" s="15"/>
      <c r="AD267" s="397">
        <f ca="1">SUM(Start:End!AD267)</f>
        <v>34656.691947617132</v>
      </c>
      <c r="AE267" s="397">
        <f ca="1">SUM(Start:End!AE267)</f>
        <v>0</v>
      </c>
      <c r="AF267" s="397">
        <f ca="1">SUM(Start:End!AF267)</f>
        <v>34656.691947617132</v>
      </c>
      <c r="AG267" s="15"/>
      <c r="AH267" s="273">
        <f t="shared" si="443"/>
        <v>55518</v>
      </c>
      <c r="AI267" s="267"/>
      <c r="AJ267" s="267"/>
      <c r="AK267" s="397">
        <f ca="1">SUM(Start:End!AK267)</f>
        <v>956.45079341770247</v>
      </c>
      <c r="AL267" s="233"/>
    </row>
    <row r="268" spans="2:38" x14ac:dyDescent="0.3">
      <c r="B268" s="232"/>
      <c r="C268" s="250">
        <f t="shared" si="440"/>
        <v>2052</v>
      </c>
      <c r="D268" s="397">
        <f ca="1">SUM(Start:End!D268)</f>
        <v>9503.9787419452477</v>
      </c>
      <c r="E268" s="397">
        <f ca="1">SUM(Start:End!E268)</f>
        <v>75.445395480129932</v>
      </c>
      <c r="F268" s="397">
        <f ca="1">SUM(Start:End!F268)</f>
        <v>0</v>
      </c>
      <c r="G268" s="397">
        <f ca="1">SUM(Start:End!G268)</f>
        <v>9956.651114826027</v>
      </c>
      <c r="H268" s="15"/>
      <c r="I268" s="271">
        <f ca="1">Assumptions!O$68</f>
        <v>4.5</v>
      </c>
      <c r="J268" s="271">
        <f ca="1">Assumptions!P$68</f>
        <v>80</v>
      </c>
      <c r="K268" s="271">
        <f t="shared" ca="1" si="433"/>
        <v>40</v>
      </c>
      <c r="L268" s="15"/>
      <c r="M268" s="35">
        <f t="shared" ca="1" si="436"/>
        <v>4.2299999999999995</v>
      </c>
      <c r="N268" s="35">
        <f t="shared" ca="1" si="434"/>
        <v>72.665619581409331</v>
      </c>
      <c r="O268" s="35" t="str">
        <f t="shared" ca="1" si="435"/>
        <v>N/A</v>
      </c>
      <c r="P268" s="15"/>
      <c r="Q268" s="397">
        <f ca="1">SUM(Start:End!Q268)</f>
        <v>40201.830078428393</v>
      </c>
      <c r="R268" s="397">
        <f ca="1">SUM(Start:End!R268)</f>
        <v>5482.2864071281001</v>
      </c>
      <c r="S268" s="397">
        <f ca="1">SUM(Start:End!S268)</f>
        <v>0</v>
      </c>
      <c r="T268" s="397">
        <f ca="1">SUM(Start:End!T268)</f>
        <v>45684.116485556486</v>
      </c>
      <c r="U268" s="15"/>
      <c r="V268" s="35">
        <f t="shared" ref="V268" ca="1" si="516">+IFERROR(W268/$G268,"N/A")</f>
        <v>0.31408277277894292</v>
      </c>
      <c r="W268" s="397">
        <f ca="1">SUM(Start:End!W268)</f>
        <v>3127.212589737112</v>
      </c>
      <c r="X268" s="35">
        <f t="shared" ref="X268" ca="1" si="517">+IFERROR(Y268/$G268,"N/A")</f>
        <v>0.36923491089736188</v>
      </c>
      <c r="Y268" s="397">
        <f ca="1">SUM(Start:End!Y268)</f>
        <v>3676.3431872189067</v>
      </c>
      <c r="Z268" s="35">
        <f t="shared" ca="1" si="439"/>
        <v>0.5788006711364051</v>
      </c>
      <c r="AA268" s="397">
        <f ca="1">SUM(Start:End!AA268)</f>
        <v>5762.9163475323403</v>
      </c>
      <c r="AB268" s="397">
        <f ca="1">SUM(Start:End!AB268)</f>
        <v>12566.472124488359</v>
      </c>
      <c r="AC268" s="15"/>
      <c r="AD268" s="397">
        <f ca="1">SUM(Start:End!AD268)</f>
        <v>33117.644361068138</v>
      </c>
      <c r="AE268" s="397">
        <f ca="1">SUM(Start:End!AE268)</f>
        <v>0</v>
      </c>
      <c r="AF268" s="397">
        <f ca="1">SUM(Start:End!AF268)</f>
        <v>33117.644361068138</v>
      </c>
      <c r="AG268" s="15"/>
      <c r="AH268" s="273">
        <f t="shared" si="443"/>
        <v>55884</v>
      </c>
      <c r="AI268" s="267"/>
      <c r="AJ268" s="267"/>
      <c r="AK268" s="397">
        <f ca="1">SUM(Start:End!AK268)</f>
        <v>830.88760181899795</v>
      </c>
      <c r="AL268" s="233"/>
    </row>
    <row r="269" spans="2:38" x14ac:dyDescent="0.3">
      <c r="B269" s="232"/>
      <c r="C269" s="250">
        <f t="shared" si="440"/>
        <v>2053</v>
      </c>
      <c r="D269" s="397">
        <f ca="1">SUM(Start:End!D269)</f>
        <v>9108.8891961536083</v>
      </c>
      <c r="E269" s="397">
        <f ca="1">SUM(Start:End!E269)</f>
        <v>71.573913630865334</v>
      </c>
      <c r="F269" s="397">
        <f ca="1">SUM(Start:End!F269)</f>
        <v>0</v>
      </c>
      <c r="G269" s="397">
        <f ca="1">SUM(Start:End!G269)</f>
        <v>9538.3326779388008</v>
      </c>
      <c r="H269" s="15"/>
      <c r="I269" s="271">
        <f ca="1">Assumptions!O$68</f>
        <v>4.5</v>
      </c>
      <c r="J269" s="271">
        <f ca="1">Assumptions!P$68</f>
        <v>80</v>
      </c>
      <c r="K269" s="271">
        <f t="shared" ca="1" si="433"/>
        <v>40</v>
      </c>
      <c r="L269" s="15"/>
      <c r="M269" s="35">
        <f t="shared" ca="1" si="436"/>
        <v>4.2299999999999995</v>
      </c>
      <c r="N269" s="35">
        <f t="shared" ca="1" si="434"/>
        <v>72.754625184511013</v>
      </c>
      <c r="O269" s="35" t="str">
        <f t="shared" ca="1" si="435"/>
        <v>N/A</v>
      </c>
      <c r="P269" s="15"/>
      <c r="Q269" s="397">
        <f ca="1">SUM(Start:End!Q269)</f>
        <v>38530.601299729758</v>
      </c>
      <c r="R269" s="397">
        <f ca="1">SUM(Start:End!R269)</f>
        <v>5207.3332592021716</v>
      </c>
      <c r="S269" s="397">
        <f ca="1">SUM(Start:End!S269)</f>
        <v>0</v>
      </c>
      <c r="T269" s="397">
        <f ca="1">SUM(Start:End!T269)</f>
        <v>43737.934558931927</v>
      </c>
      <c r="U269" s="15"/>
      <c r="V269" s="35">
        <f t="shared" ref="V269" ca="1" si="518">+IFERROR(W269/$G269,"N/A")</f>
        <v>0.31383564622479126</v>
      </c>
      <c r="W269" s="397">
        <f ca="1">SUM(Start:End!W269)</f>
        <v>2993.4687998879672</v>
      </c>
      <c r="X269" s="35">
        <f t="shared" ref="X269" ca="1" si="519">+IFERROR(Y269/$G269,"N/A")</f>
        <v>0.36928122105072841</v>
      </c>
      <c r="Y269" s="397">
        <f ca="1">SUM(Start:End!Y269)</f>
        <v>3522.3271380973047</v>
      </c>
      <c r="Z269" s="35">
        <f t="shared" ca="1" si="439"/>
        <v>0.57887326543087148</v>
      </c>
      <c r="AA269" s="397">
        <f ca="1">SUM(Start:End!AA269)</f>
        <v>5521.4857840444229</v>
      </c>
      <c r="AB269" s="397">
        <f ca="1">SUM(Start:End!AB269)</f>
        <v>12037.281722029695</v>
      </c>
      <c r="AC269" s="15"/>
      <c r="AD269" s="397">
        <f ca="1">SUM(Start:End!AD269)</f>
        <v>31700.652836902231</v>
      </c>
      <c r="AE269" s="397">
        <f ca="1">SUM(Start:End!AE269)</f>
        <v>0</v>
      </c>
      <c r="AF269" s="397">
        <f ca="1">SUM(Start:End!AF269)</f>
        <v>31700.652836902231</v>
      </c>
      <c r="AG269" s="15"/>
      <c r="AH269" s="273">
        <f t="shared" si="443"/>
        <v>56249</v>
      </c>
      <c r="AI269" s="267"/>
      <c r="AJ269" s="267"/>
      <c r="AK269" s="397">
        <f ca="1">SUM(Start:End!AK269)</f>
        <v>723.03340299590366</v>
      </c>
      <c r="AL269" s="233"/>
    </row>
    <row r="270" spans="2:38" x14ac:dyDescent="0.3">
      <c r="B270" s="232"/>
      <c r="C270" s="274" t="s">
        <v>302</v>
      </c>
      <c r="D270" s="39">
        <f ca="1">SUM(D229:D269)</f>
        <v>396569.72012486152</v>
      </c>
      <c r="E270" s="39">
        <f t="shared" ref="E270" ca="1" si="520">SUM(E229:E269)</f>
        <v>5789.7410453418852</v>
      </c>
      <c r="F270" s="39">
        <f t="shared" ref="F270" ca="1" si="521">SUM(F229:F269)</f>
        <v>0</v>
      </c>
      <c r="G270" s="39">
        <f t="shared" ref="G270" ca="1" si="522">SUM(G229:G269)</f>
        <v>431308.16639691283</v>
      </c>
      <c r="H270" s="15"/>
      <c r="I270" s="35"/>
      <c r="J270" s="35"/>
      <c r="K270" s="35"/>
      <c r="L270" s="15"/>
      <c r="M270" s="35"/>
      <c r="N270" s="35"/>
      <c r="O270" s="35"/>
      <c r="P270" s="15"/>
      <c r="Q270" s="39">
        <f ca="1">SUM(Q229:Q269)</f>
        <v>1677489.9161281637</v>
      </c>
      <c r="R270" s="39">
        <f t="shared" ref="R270" ca="1" si="523">SUM(R229:R269)</f>
        <v>397823.55804084404</v>
      </c>
      <c r="S270" s="39">
        <f t="shared" ref="S270" ca="1" si="524">SUM(S229:S269)</f>
        <v>0</v>
      </c>
      <c r="T270" s="39">
        <f t="shared" ref="T270" ca="1" si="525">SUM(T229:T269)</f>
        <v>2075313.4741690082</v>
      </c>
      <c r="U270" s="15"/>
      <c r="V270" s="275"/>
      <c r="W270" s="399">
        <f t="shared" ref="W270" ca="1" si="526">SUM(W229:W269)</f>
        <v>143936.69474332553</v>
      </c>
      <c r="X270" s="275"/>
      <c r="Y270" s="399">
        <f t="shared" ref="Y270" ca="1" si="527">SUM(Y229:Y269)</f>
        <v>157666.75801459322</v>
      </c>
      <c r="Z270" s="275"/>
      <c r="AA270" s="399">
        <f t="shared" ref="AA270" ca="1" si="528">SUM(AA229:AA269)</f>
        <v>247153.29634720008</v>
      </c>
      <c r="AB270" s="399">
        <f t="shared" ref="AB270" ca="1" si="529">SUM(AB229:AB269)</f>
        <v>548756.7491051188</v>
      </c>
      <c r="AC270" s="15"/>
      <c r="AD270" s="39">
        <f t="shared" ref="AD270" ca="1" si="530">SUM(AD229:AD269)</f>
        <v>1526556.7250638891</v>
      </c>
      <c r="AE270" s="39">
        <f t="shared" ref="AE270" ca="1" si="531">SUM(AE229:AE269)</f>
        <v>555162.86957071896</v>
      </c>
      <c r="AF270" s="39">
        <f t="shared" ref="AF270" ca="1" si="532">SUM(AF229:AF269)</f>
        <v>971393.85549317009</v>
      </c>
      <c r="AG270" s="15"/>
      <c r="AH270" s="277"/>
      <c r="AI270" s="278"/>
      <c r="AJ270" s="278"/>
      <c r="AK270" s="399">
        <f t="shared" ref="AK270" ca="1" si="533">SUM(AK229:AK269)</f>
        <v>80900.822911764393</v>
      </c>
      <c r="AL270" s="233"/>
    </row>
    <row r="271" spans="2:38" x14ac:dyDescent="0.3">
      <c r="B271" s="232"/>
      <c r="C271" s="283" t="s">
        <v>303</v>
      </c>
      <c r="D271" s="397">
        <f ca="1">SUM(Start:End!D271)</f>
        <v>556130.87692348566</v>
      </c>
      <c r="E271" s="397">
        <f ca="1">SUM(Start:End!E271)</f>
        <v>4029.9747400406832</v>
      </c>
      <c r="F271" s="397">
        <f ca="1">SUM(Start:End!F271)</f>
        <v>0</v>
      </c>
      <c r="G271" s="397">
        <f ca="1">SUM(Start:End!G271)</f>
        <v>580310.72536372987</v>
      </c>
      <c r="H271" s="15"/>
      <c r="I271" s="271">
        <f ca="1">Assumptions!O$68</f>
        <v>4.5</v>
      </c>
      <c r="J271" s="271">
        <f ca="1">Assumptions!P$68</f>
        <v>80</v>
      </c>
      <c r="K271" s="271">
        <f ca="1">J271*NGL_Price_Diff_vs_Oil</f>
        <v>40</v>
      </c>
      <c r="L271" s="15"/>
      <c r="M271" s="35">
        <f t="shared" ref="M271" ca="1" si="534">+IFERROR(Q271/D271,"N/A")</f>
        <v>4.2300000000000004</v>
      </c>
      <c r="N271" s="35">
        <f t="shared" ref="N271" ca="1" si="535">+IFERROR(R271/E271,"N/A")</f>
        <v>73.492958605228168</v>
      </c>
      <c r="O271" s="35" t="str">
        <f t="shared" ref="O271" ca="1" si="536">+IFERROR(S271/F271,"N/A")</f>
        <v>N/A</v>
      </c>
      <c r="P271" s="15"/>
      <c r="Q271" s="397">
        <f ca="1">SUM(Start:End!Q271)</f>
        <v>2352433.6093863444</v>
      </c>
      <c r="R271" s="397">
        <f ca="1">SUM(Start:End!R271)</f>
        <v>296174.7667499251</v>
      </c>
      <c r="S271" s="397">
        <f ca="1">SUM(Start:End!S271)</f>
        <v>0</v>
      </c>
      <c r="T271" s="397">
        <f ca="1">SUM(Start:End!T271)</f>
        <v>2648608.3761362694</v>
      </c>
      <c r="U271" s="15"/>
      <c r="V271" s="35">
        <f t="shared" ref="V271" ca="1" si="537">+IFERROR(W271/$G271,"N/A")</f>
        <v>0.31195686215014778</v>
      </c>
      <c r="W271" s="397">
        <f ca="1">SUM(Start:End!W271)</f>
        <v>181031.91295654536</v>
      </c>
      <c r="X271" s="35">
        <f t="shared" ref="X271" ca="1" si="538">+IFERROR(Y271/$G271,"N/A")</f>
        <v>0.36963329482498641</v>
      </c>
      <c r="Y271" s="397">
        <f ca="1">SUM(Start:End!Y271)</f>
        <v>214502.16543847328</v>
      </c>
      <c r="Z271" s="35">
        <f t="shared" ref="Z271" ca="1" si="539">+IFERROR(AA271/$G271,"N/A")</f>
        <v>0.57942516486078943</v>
      </c>
      <c r="AA271" s="397">
        <f ca="1">SUM(Start:End!AA271)</f>
        <v>336246.63771436346</v>
      </c>
      <c r="AB271" s="397">
        <f ca="1">SUM(Start:End!AB271)</f>
        <v>731780.71610938211</v>
      </c>
      <c r="AC271" s="15"/>
      <c r="AD271" s="397">
        <f ca="1">SUM(Start:End!AD271)</f>
        <v>1916827.6600268872</v>
      </c>
      <c r="AE271" s="397">
        <f ca="1">SUM(Start:End!AE271)</f>
        <v>406446.49445456924</v>
      </c>
      <c r="AF271" s="397">
        <f ca="1">SUM(Start:End!AF271)</f>
        <v>1510381.165572318</v>
      </c>
      <c r="AG271" s="15"/>
      <c r="AH271" s="266">
        <f>Remainder_Date</f>
        <v>56249</v>
      </c>
      <c r="AI271" s="267"/>
      <c r="AJ271" s="267"/>
      <c r="AK271" s="397">
        <f ca="1">SUM(Start:End!AK271)</f>
        <v>34449.007709185957</v>
      </c>
      <c r="AL271" s="233"/>
    </row>
    <row r="272" spans="2:38" x14ac:dyDescent="0.3">
      <c r="B272" s="232"/>
      <c r="C272" s="60" t="s">
        <v>26</v>
      </c>
      <c r="D272" s="39">
        <f ca="1">D271+D270</f>
        <v>952700.59704834712</v>
      </c>
      <c r="E272" s="39">
        <f t="shared" ref="E272" ca="1" si="540">E271+E270</f>
        <v>9819.7157853825684</v>
      </c>
      <c r="F272" s="39">
        <f t="shared" ref="F272" ca="1" si="541">F271+F270</f>
        <v>0</v>
      </c>
      <c r="G272" s="39">
        <f t="shared" ref="G272" ca="1" si="542">G271+G270</f>
        <v>1011618.8917606426</v>
      </c>
      <c r="H272" s="15"/>
      <c r="I272" s="15"/>
      <c r="J272" s="15"/>
      <c r="K272" s="15"/>
      <c r="L272" s="15"/>
      <c r="M272" s="15"/>
      <c r="N272" s="15"/>
      <c r="O272" s="15"/>
      <c r="P272" s="15"/>
      <c r="Q272" s="39">
        <f ca="1">Q271+Q270</f>
        <v>4029923.5255145081</v>
      </c>
      <c r="R272" s="39">
        <f t="shared" ref="R272" ca="1" si="543">R271+R270</f>
        <v>693998.32479076914</v>
      </c>
      <c r="S272" s="39">
        <f t="shared" ref="S272" ca="1" si="544">S271+S270</f>
        <v>0</v>
      </c>
      <c r="T272" s="39">
        <f t="shared" ref="T272" ca="1" si="545">T271+T270</f>
        <v>4723921.8503052779</v>
      </c>
      <c r="U272" s="15"/>
      <c r="V272" s="9"/>
      <c r="W272" s="39">
        <f t="shared" ref="W272" ca="1" si="546">W271+W270</f>
        <v>324968.60769987089</v>
      </c>
      <c r="X272" s="9"/>
      <c r="Y272" s="39">
        <f t="shared" ref="Y272" ca="1" si="547">Y271+Y270</f>
        <v>372168.9234530665</v>
      </c>
      <c r="Z272" s="9"/>
      <c r="AA272" s="39">
        <f t="shared" ref="AA272" ca="1" si="548">AA271+AA270</f>
        <v>583399.93406156357</v>
      </c>
      <c r="AB272" s="39">
        <f t="shared" ref="AB272" ca="1" si="549">AB271+AB270</f>
        <v>1280537.4652145009</v>
      </c>
      <c r="AC272" s="15"/>
      <c r="AD272" s="39">
        <f t="shared" ref="AD272" ca="1" si="550">AD271+AD270</f>
        <v>3443384.3850907763</v>
      </c>
      <c r="AE272" s="39">
        <f t="shared" ref="AE272" ca="1" si="551">AE271+AE270</f>
        <v>961609.36402528826</v>
      </c>
      <c r="AF272" s="39">
        <f t="shared" ref="AF272" ca="1" si="552">AF271+AF270</f>
        <v>2481775.021065488</v>
      </c>
      <c r="AG272" s="15"/>
      <c r="AH272" s="9"/>
      <c r="AI272" s="9"/>
      <c r="AJ272" s="9"/>
      <c r="AK272" s="39">
        <f t="shared" ref="AK272" ca="1" si="553">AK271+AK270</f>
        <v>115349.83062095035</v>
      </c>
      <c r="AL272" s="233"/>
    </row>
    <row r="273" spans="2:38" x14ac:dyDescent="0.3">
      <c r="B273" s="232"/>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233"/>
    </row>
    <row r="274" spans="2:38" x14ac:dyDescent="0.3">
      <c r="B274" s="285" t="s">
        <v>306</v>
      </c>
      <c r="C274" s="286"/>
      <c r="D274" s="287"/>
      <c r="E274" s="287"/>
      <c r="F274" s="287"/>
      <c r="G274" s="287"/>
      <c r="H274" s="287"/>
      <c r="I274" s="287"/>
      <c r="J274" s="287"/>
      <c r="K274" s="287"/>
      <c r="L274" s="287"/>
      <c r="M274" s="287"/>
      <c r="N274" s="287"/>
      <c r="O274" s="287"/>
      <c r="P274" s="287"/>
      <c r="Q274" s="286" t="str">
        <f>B274</f>
        <v>TOTAL</v>
      </c>
      <c r="R274" s="287"/>
      <c r="S274" s="287"/>
      <c r="T274" s="287"/>
      <c r="U274" s="287"/>
      <c r="V274" s="287"/>
      <c r="W274" s="287"/>
      <c r="X274" s="287"/>
      <c r="Y274" s="287"/>
      <c r="Z274" s="287"/>
      <c r="AA274" s="287"/>
      <c r="AB274" s="287"/>
      <c r="AC274" s="287"/>
      <c r="AD274" s="286" t="str">
        <f>Q274</f>
        <v>TOTAL</v>
      </c>
      <c r="AE274" s="287"/>
      <c r="AF274" s="287"/>
      <c r="AG274" s="287"/>
      <c r="AH274" s="287"/>
      <c r="AI274" s="287"/>
      <c r="AJ274" s="287"/>
      <c r="AK274" s="287"/>
      <c r="AL274" s="288"/>
    </row>
    <row r="275" spans="2:38" x14ac:dyDescent="0.3">
      <c r="B275" s="232"/>
      <c r="C275" s="292"/>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233"/>
    </row>
    <row r="276" spans="2:38" x14ac:dyDescent="0.3">
      <c r="B276" s="232"/>
      <c r="C276" s="37" t="s">
        <v>277</v>
      </c>
      <c r="D276" s="23"/>
      <c r="E276" s="23"/>
      <c r="F276" s="23"/>
      <c r="G276" s="23"/>
      <c r="H276" s="261"/>
      <c r="I276" s="37" t="s">
        <v>15</v>
      </c>
      <c r="J276" s="23"/>
      <c r="K276" s="23"/>
      <c r="L276" s="15"/>
      <c r="M276" s="37" t="s">
        <v>278</v>
      </c>
      <c r="N276" s="23"/>
      <c r="O276" s="23"/>
      <c r="P276" s="15"/>
      <c r="Q276" s="37" t="s">
        <v>279</v>
      </c>
      <c r="R276" s="23"/>
      <c r="S276" s="23"/>
      <c r="T276" s="23"/>
      <c r="U276" s="15"/>
      <c r="V276" s="37" t="s">
        <v>280</v>
      </c>
      <c r="W276" s="23"/>
      <c r="X276" s="23"/>
      <c r="Y276" s="23"/>
      <c r="Z276" s="23"/>
      <c r="AA276" s="23"/>
      <c r="AB276" s="4"/>
      <c r="AC276" s="15"/>
      <c r="AD276" s="37" t="s">
        <v>281</v>
      </c>
      <c r="AE276" s="23"/>
      <c r="AF276" s="23"/>
      <c r="AG276" s="15"/>
      <c r="AH276" s="37" t="s">
        <v>282</v>
      </c>
      <c r="AI276" s="23"/>
      <c r="AJ276" s="23"/>
      <c r="AK276" s="23"/>
      <c r="AL276" s="233"/>
    </row>
    <row r="277" spans="2:38" x14ac:dyDescent="0.3">
      <c r="B277" s="232"/>
      <c r="C277" s="250"/>
      <c r="D277" s="250" t="s">
        <v>10</v>
      </c>
      <c r="E277" s="250" t="s">
        <v>11</v>
      </c>
      <c r="F277" s="250" t="s">
        <v>245</v>
      </c>
      <c r="G277" s="250" t="s">
        <v>12</v>
      </c>
      <c r="H277" s="261"/>
      <c r="I277" s="262" t="s">
        <v>10</v>
      </c>
      <c r="J277" s="262" t="s">
        <v>11</v>
      </c>
      <c r="K277" s="262" t="s">
        <v>245</v>
      </c>
      <c r="L277" s="15"/>
      <c r="M277" s="262" t="s">
        <v>10</v>
      </c>
      <c r="N277" s="262" t="s">
        <v>11</v>
      </c>
      <c r="O277" s="262" t="s">
        <v>245</v>
      </c>
      <c r="P277" s="15"/>
      <c r="Q277" s="262" t="s">
        <v>10</v>
      </c>
      <c r="R277" s="262" t="s">
        <v>11</v>
      </c>
      <c r="S277" s="262" t="s">
        <v>245</v>
      </c>
      <c r="T277" s="262" t="s">
        <v>12</v>
      </c>
      <c r="U277" s="15"/>
      <c r="V277" s="262" t="s">
        <v>283</v>
      </c>
      <c r="W277" s="262" t="s">
        <v>283</v>
      </c>
      <c r="X277" s="262" t="s">
        <v>284</v>
      </c>
      <c r="Y277" s="262" t="s">
        <v>284</v>
      </c>
      <c r="Z277" s="262" t="s">
        <v>285</v>
      </c>
      <c r="AA277" s="262" t="s">
        <v>285</v>
      </c>
      <c r="AB277" s="262" t="s">
        <v>12</v>
      </c>
      <c r="AC277" s="15"/>
      <c r="AD277" s="262" t="s">
        <v>286</v>
      </c>
      <c r="AE277" s="262" t="s">
        <v>287</v>
      </c>
      <c r="AF277" s="262" t="s">
        <v>281</v>
      </c>
      <c r="AG277" s="15"/>
      <c r="AH277" s="262"/>
      <c r="AI277" s="262" t="s">
        <v>288</v>
      </c>
      <c r="AJ277" s="262" t="s">
        <v>288</v>
      </c>
      <c r="AK277" s="262" t="s">
        <v>289</v>
      </c>
      <c r="AL277" s="233"/>
    </row>
    <row r="278" spans="2:38" x14ac:dyDescent="0.3">
      <c r="B278" s="232"/>
      <c r="C278" s="13" t="s">
        <v>9</v>
      </c>
      <c r="D278" s="13" t="s">
        <v>307</v>
      </c>
      <c r="E278" s="13" t="s">
        <v>308</v>
      </c>
      <c r="F278" s="13" t="s">
        <v>308</v>
      </c>
      <c r="G278" s="13" t="s">
        <v>248</v>
      </c>
      <c r="H278" s="4"/>
      <c r="I278" s="13" t="s">
        <v>24</v>
      </c>
      <c r="J278" s="13" t="s">
        <v>25</v>
      </c>
      <c r="K278" s="13" t="s">
        <v>25</v>
      </c>
      <c r="L278" s="4"/>
      <c r="M278" s="13" t="s">
        <v>24</v>
      </c>
      <c r="N278" s="13" t="s">
        <v>25</v>
      </c>
      <c r="O278" s="13" t="s">
        <v>25</v>
      </c>
      <c r="P278" s="4"/>
      <c r="Q278" s="13" t="s">
        <v>293</v>
      </c>
      <c r="R278" s="13" t="s">
        <v>293</v>
      </c>
      <c r="S278" s="13" t="s">
        <v>293</v>
      </c>
      <c r="T278" s="13" t="s">
        <v>293</v>
      </c>
      <c r="U278" s="4"/>
      <c r="V278" s="13" t="s">
        <v>294</v>
      </c>
      <c r="W278" s="13" t="s">
        <v>293</v>
      </c>
      <c r="X278" s="13" t="s">
        <v>294</v>
      </c>
      <c r="Y278" s="13" t="s">
        <v>293</v>
      </c>
      <c r="Z278" s="13" t="s">
        <v>294</v>
      </c>
      <c r="AA278" s="13" t="s">
        <v>293</v>
      </c>
      <c r="AB278" s="13" t="s">
        <v>293</v>
      </c>
      <c r="AC278" s="4"/>
      <c r="AD278" s="13" t="s">
        <v>293</v>
      </c>
      <c r="AE278" s="13" t="s">
        <v>293</v>
      </c>
      <c r="AF278" s="13" t="s">
        <v>293</v>
      </c>
      <c r="AG278" s="4"/>
      <c r="AH278" s="13" t="s">
        <v>295</v>
      </c>
      <c r="AI278" s="13" t="s">
        <v>296</v>
      </c>
      <c r="AJ278" s="13" t="s">
        <v>297</v>
      </c>
      <c r="AK278" s="13" t="s">
        <v>293</v>
      </c>
      <c r="AL278" s="233"/>
    </row>
    <row r="279" spans="2:38" x14ac:dyDescent="0.3">
      <c r="B279" s="232"/>
      <c r="C279" s="250">
        <f t="shared" ref="C279:C319" si="554">+C29</f>
        <v>2013</v>
      </c>
      <c r="D279" s="263">
        <f ca="1">+D29+D79+D129+D179+D229</f>
        <v>296977.1842487203</v>
      </c>
      <c r="E279" s="263">
        <f t="shared" ref="E279:G279" ca="1" si="555">+E29+E79+E129+E179+E229</f>
        <v>1740.9597202320465</v>
      </c>
      <c r="F279" s="263">
        <f t="shared" ca="1" si="555"/>
        <v>0</v>
      </c>
      <c r="G279" s="263">
        <f t="shared" ca="1" si="555"/>
        <v>307422.94257011253</v>
      </c>
      <c r="H279" s="15"/>
      <c r="I279" s="51">
        <f ca="1">+I29</f>
        <v>3.7</v>
      </c>
      <c r="J279" s="51">
        <f t="shared" ref="J279:K279" ca="1" si="556">+J29</f>
        <v>101</v>
      </c>
      <c r="K279" s="51">
        <f t="shared" ca="1" si="556"/>
        <v>50.5</v>
      </c>
      <c r="L279" s="15"/>
      <c r="M279" s="51">
        <f ca="1">+IFERROR(Q279/D279,"N/A")</f>
        <v>3.4779999999999993</v>
      </c>
      <c r="N279" s="51">
        <f t="shared" ref="N279:N319" ca="1" si="557">+IFERROR(R279/E279,"N/A")</f>
        <v>93.93</v>
      </c>
      <c r="O279" s="51" t="str">
        <f t="shared" ref="O279:O319" ca="1" si="558">+IFERROR(S279/F279,"N/A")</f>
        <v>N/A</v>
      </c>
      <c r="P279" s="15"/>
      <c r="Q279" s="265">
        <f ca="1">+Q29+Q79+Q129+Q179+Q229</f>
        <v>1032886.646817049</v>
      </c>
      <c r="R279" s="265">
        <f t="shared" ref="R279:T279" ca="1" si="559">+R29+R79+R129+R179+R229</f>
        <v>163528.34652139613</v>
      </c>
      <c r="S279" s="265">
        <f t="shared" ca="1" si="559"/>
        <v>0</v>
      </c>
      <c r="T279" s="265">
        <f t="shared" ca="1" si="559"/>
        <v>1196414.9933384452</v>
      </c>
      <c r="U279" s="15"/>
      <c r="V279" s="51">
        <f ca="1">+IFERROR(W279/$G279,"N/A")</f>
        <v>0.31</v>
      </c>
      <c r="W279" s="265">
        <f t="shared" ref="W279:W319" ca="1" si="560">+W29+W79+W129+W179+W229</f>
        <v>95301.112196734888</v>
      </c>
      <c r="X279" s="51">
        <f ca="1">+IFERROR(Y279/$G279,"N/A")</f>
        <v>0.37</v>
      </c>
      <c r="Y279" s="265">
        <f t="shared" ref="Y279:Y319" ca="1" si="561">+Y29+Y79+Y129+Y179+Y229</f>
        <v>113746.48875094163</v>
      </c>
      <c r="Z279" s="51">
        <f ca="1">+IFERROR(AA279/$G279,"N/A")</f>
        <v>0.57999999999999996</v>
      </c>
      <c r="AA279" s="265">
        <f t="shared" ref="AA279:AB319" ca="1" si="562">+AA29+AA79+AA129+AA179+AA229</f>
        <v>178305.30669066525</v>
      </c>
      <c r="AB279" s="265">
        <f t="shared" ca="1" si="562"/>
        <v>387352.90763834183</v>
      </c>
      <c r="AC279" s="15"/>
      <c r="AD279" s="265">
        <f t="shared" ref="AD279:AF294" ca="1" si="563">+AD29+AD79+AD129+AD179+AD229</f>
        <v>809062.08570010331</v>
      </c>
      <c r="AE279" s="265">
        <f t="shared" ca="1" si="563"/>
        <v>401088.82466131222</v>
      </c>
      <c r="AF279" s="265">
        <f t="shared" ca="1" si="563"/>
        <v>407973.2610387911</v>
      </c>
      <c r="AG279" s="15"/>
      <c r="AH279" s="266"/>
      <c r="AI279" s="267"/>
      <c r="AJ279" s="267"/>
      <c r="AK279" s="265">
        <f t="shared" ref="AK279:AK322" ca="1" si="564">+AK29+AK79+AK129+AK179+AK229</f>
        <v>101186.44037464942</v>
      </c>
      <c r="AL279" s="233"/>
    </row>
    <row r="280" spans="2:38" x14ac:dyDescent="0.3">
      <c r="B280" s="232"/>
      <c r="C280" s="270">
        <f t="shared" si="554"/>
        <v>2014</v>
      </c>
      <c r="D280" s="263">
        <f t="shared" ref="D280:G295" ca="1" si="565">+D30+D80+D130+D180+D230</f>
        <v>448998.30099749472</v>
      </c>
      <c r="E280" s="263">
        <f t="shared" ca="1" si="565"/>
        <v>5121.737163134796</v>
      </c>
      <c r="F280" s="263">
        <f t="shared" ca="1" si="565"/>
        <v>0</v>
      </c>
      <c r="G280" s="263">
        <f t="shared" ca="1" si="565"/>
        <v>479728.72397630347</v>
      </c>
      <c r="H280" s="15"/>
      <c r="I280" s="35">
        <f t="shared" ref="I280:K295" ca="1" si="566">+I30</f>
        <v>3.8</v>
      </c>
      <c r="J280" s="35">
        <f t="shared" ca="1" si="566"/>
        <v>92</v>
      </c>
      <c r="K280" s="35">
        <f t="shared" ca="1" si="566"/>
        <v>46</v>
      </c>
      <c r="L280" s="15"/>
      <c r="M280" s="35">
        <f t="shared" ref="M280:M319" ca="1" si="567">+IFERROR(Q280/D280,"N/A")</f>
        <v>3.5720000000000001</v>
      </c>
      <c r="N280" s="35">
        <f t="shared" ca="1" si="557"/>
        <v>79.775256576415075</v>
      </c>
      <c r="O280" s="35" t="str">
        <f t="shared" ca="1" si="558"/>
        <v>N/A</v>
      </c>
      <c r="P280" s="15"/>
      <c r="Q280" s="34">
        <f t="shared" ref="Q280:T295" ca="1" si="568">+Q30+Q80+Q130+Q180+Q230</f>
        <v>1603821.9311630512</v>
      </c>
      <c r="R280" s="34">
        <f t="shared" ca="1" si="568"/>
        <v>408587.8963060386</v>
      </c>
      <c r="S280" s="34">
        <f t="shared" ca="1" si="568"/>
        <v>0</v>
      </c>
      <c r="T280" s="34">
        <f t="shared" ca="1" si="568"/>
        <v>2012409.8274690895</v>
      </c>
      <c r="U280" s="15"/>
      <c r="V280" s="35">
        <f t="shared" ref="V280" ca="1" si="569">+IFERROR(W280/$G280,"N/A")</f>
        <v>0.32668396324722609</v>
      </c>
      <c r="W280" s="34">
        <f t="shared" ca="1" si="560"/>
        <v>156719.6808321134</v>
      </c>
      <c r="X280" s="35">
        <f t="shared" ref="X280" ca="1" si="570">+IFERROR(Y280/$G280,"N/A")</f>
        <v>0.36687351729807188</v>
      </c>
      <c r="Y280" s="34">
        <f t="shared" ca="1" si="561"/>
        <v>175999.76431410233</v>
      </c>
      <c r="Z280" s="35">
        <f t="shared" ref="Z280" ca="1" si="571">+IFERROR(AA280/$G280,"N/A")</f>
        <v>0.57509902711589644</v>
      </c>
      <c r="AA280" s="34">
        <f t="shared" ca="1" si="562"/>
        <v>275891.52243832254</v>
      </c>
      <c r="AB280" s="34">
        <f t="shared" ca="1" si="562"/>
        <v>608610.96758453827</v>
      </c>
      <c r="AC280" s="15"/>
      <c r="AD280" s="34">
        <f t="shared" ca="1" si="563"/>
        <v>1403798.8598845515</v>
      </c>
      <c r="AE280" s="34">
        <f t="shared" ca="1" si="563"/>
        <v>621358.5222140745</v>
      </c>
      <c r="AF280" s="34">
        <f t="shared" ca="1" si="563"/>
        <v>782440.33767047687</v>
      </c>
      <c r="AG280" s="15"/>
      <c r="AH280" s="272"/>
      <c r="AI280" s="267"/>
      <c r="AJ280" s="267"/>
      <c r="AK280" s="34">
        <f t="shared" ca="1" si="564"/>
        <v>734270.54737108992</v>
      </c>
      <c r="AL280" s="233"/>
    </row>
    <row r="281" spans="2:38" x14ac:dyDescent="0.3">
      <c r="B281" s="232"/>
      <c r="C281" s="250">
        <f t="shared" si="554"/>
        <v>2015</v>
      </c>
      <c r="D281" s="263">
        <f t="shared" ca="1" si="565"/>
        <v>346862.53279929567</v>
      </c>
      <c r="E281" s="263">
        <f t="shared" ca="1" si="565"/>
        <v>5047.0489455864436</v>
      </c>
      <c r="F281" s="263">
        <f t="shared" ca="1" si="565"/>
        <v>0</v>
      </c>
      <c r="G281" s="263">
        <f t="shared" ca="1" si="565"/>
        <v>377144.82647281431</v>
      </c>
      <c r="H281" s="15"/>
      <c r="I281" s="35">
        <f t="shared" ca="1" si="566"/>
        <v>4</v>
      </c>
      <c r="J281" s="35">
        <f t="shared" ca="1" si="566"/>
        <v>88</v>
      </c>
      <c r="K281" s="35">
        <f t="shared" ca="1" si="566"/>
        <v>44</v>
      </c>
      <c r="L281" s="15"/>
      <c r="M281" s="35">
        <f t="shared" ca="1" si="567"/>
        <v>3.7599999999999989</v>
      </c>
      <c r="N281" s="35">
        <f t="shared" ca="1" si="557"/>
        <v>75.204447438604859</v>
      </c>
      <c r="O281" s="35" t="str">
        <f t="shared" ca="1" si="558"/>
        <v>N/A</v>
      </c>
      <c r="P281" s="15"/>
      <c r="Q281" s="34">
        <f t="shared" ca="1" si="568"/>
        <v>1304203.1233253514</v>
      </c>
      <c r="R281" s="34">
        <f t="shared" ca="1" si="568"/>
        <v>379560.52714842174</v>
      </c>
      <c r="S281" s="34">
        <f t="shared" ca="1" si="568"/>
        <v>0</v>
      </c>
      <c r="T281" s="34">
        <f t="shared" ca="1" si="568"/>
        <v>1683763.6504737732</v>
      </c>
      <c r="U281" s="15"/>
      <c r="V281" s="35">
        <f t="shared" ref="V281" ca="1" si="572">+IFERROR(W281/$G281,"N/A")</f>
        <v>0.33507870860853989</v>
      </c>
      <c r="W281" s="34">
        <f t="shared" ca="1" si="560"/>
        <v>126373.20141290249</v>
      </c>
      <c r="X281" s="35">
        <f t="shared" ref="X281" ca="1" si="573">+IFERROR(Y281/$G281,"N/A")</f>
        <v>0.36530038831365014</v>
      </c>
      <c r="Y281" s="34">
        <f t="shared" ca="1" si="561"/>
        <v>137771.15156100327</v>
      </c>
      <c r="Z281" s="35">
        <f t="shared" ref="Z281" ca="1" si="574">+IFERROR(AA281/$G281,"N/A")</f>
        <v>0.57263304114031632</v>
      </c>
      <c r="AA281" s="34">
        <f t="shared" ca="1" si="562"/>
        <v>215965.58893346455</v>
      </c>
      <c r="AB281" s="34">
        <f t="shared" ca="1" si="562"/>
        <v>480109.94190737029</v>
      </c>
      <c r="AC281" s="15"/>
      <c r="AD281" s="34">
        <f t="shared" ca="1" si="563"/>
        <v>1203653.7085664028</v>
      </c>
      <c r="AE281" s="34">
        <f t="shared" ca="1" si="563"/>
        <v>635025.6670391605</v>
      </c>
      <c r="AF281" s="34">
        <f t="shared" ca="1" si="563"/>
        <v>568628.04152724252</v>
      </c>
      <c r="AG281" s="15"/>
      <c r="AH281" s="273"/>
      <c r="AI281" s="267"/>
      <c r="AJ281" s="267"/>
      <c r="AK281" s="34">
        <f t="shared" ca="1" si="564"/>
        <v>485110.26475989236</v>
      </c>
      <c r="AL281" s="233"/>
    </row>
    <row r="282" spans="2:38" x14ac:dyDescent="0.3">
      <c r="B282" s="232"/>
      <c r="C282" s="250">
        <f t="shared" si="554"/>
        <v>2016</v>
      </c>
      <c r="D282" s="263">
        <f t="shared" ca="1" si="565"/>
        <v>339545.92849332868</v>
      </c>
      <c r="E282" s="263">
        <f t="shared" ca="1" si="565"/>
        <v>5142.058321845735</v>
      </c>
      <c r="F282" s="263">
        <f t="shared" ca="1" si="565"/>
        <v>0</v>
      </c>
      <c r="G282" s="263">
        <f t="shared" ca="1" si="565"/>
        <v>370398.27842440322</v>
      </c>
      <c r="H282" s="15"/>
      <c r="I282" s="35">
        <f t="shared" ca="1" si="566"/>
        <v>4.0999999999999996</v>
      </c>
      <c r="J282" s="35">
        <f t="shared" ca="1" si="566"/>
        <v>84</v>
      </c>
      <c r="K282" s="35">
        <f t="shared" ca="1" si="566"/>
        <v>42</v>
      </c>
      <c r="L282" s="15"/>
      <c r="M282" s="35">
        <f t="shared" ca="1" si="567"/>
        <v>3.8540000000000001</v>
      </c>
      <c r="N282" s="35">
        <f t="shared" ca="1" si="557"/>
        <v>71.640560375048352</v>
      </c>
      <c r="O282" s="35" t="str">
        <f t="shared" ca="1" si="558"/>
        <v>N/A</v>
      </c>
      <c r="P282" s="15"/>
      <c r="Q282" s="34">
        <f t="shared" ca="1" si="568"/>
        <v>1308610.0084132887</v>
      </c>
      <c r="R282" s="34">
        <f t="shared" ca="1" si="568"/>
        <v>368379.93965820916</v>
      </c>
      <c r="S282" s="34">
        <f t="shared" ca="1" si="568"/>
        <v>0</v>
      </c>
      <c r="T282" s="34">
        <f t="shared" ca="1" si="568"/>
        <v>1676989.948071498</v>
      </c>
      <c r="U282" s="15"/>
      <c r="V282" s="35">
        <f t="shared" ref="V282" ca="1" si="575">+IFERROR(W282/$G282,"N/A")</f>
        <v>0.33661384272810613</v>
      </c>
      <c r="W282" s="34">
        <f t="shared" ca="1" si="560"/>
        <v>124681.18784031333</v>
      </c>
      <c r="X282" s="35">
        <f t="shared" ref="X282" ca="1" si="576">+IFERROR(Y282/$G282,"N/A")</f>
        <v>0.36501271264577406</v>
      </c>
      <c r="Y282" s="34">
        <f t="shared" ca="1" si="561"/>
        <v>135200.08036701611</v>
      </c>
      <c r="Z282" s="35">
        <f t="shared" ref="Z282" ca="1" si="577">+IFERROR(AA282/$G282,"N/A")</f>
        <v>0.57218209009337562</v>
      </c>
      <c r="AA282" s="34">
        <f t="shared" ca="1" si="562"/>
        <v>211935.2611158631</v>
      </c>
      <c r="AB282" s="34">
        <f t="shared" ca="1" si="562"/>
        <v>471816.52932319255</v>
      </c>
      <c r="AC282" s="15"/>
      <c r="AD282" s="34">
        <f t="shared" ca="1" si="563"/>
        <v>1205173.4187483052</v>
      </c>
      <c r="AE282" s="34">
        <f t="shared" ca="1" si="563"/>
        <v>525824.53502454737</v>
      </c>
      <c r="AF282" s="34">
        <f t="shared" ca="1" si="563"/>
        <v>679348.88372375804</v>
      </c>
      <c r="AG282" s="15"/>
      <c r="AH282" s="273"/>
      <c r="AI282" s="267"/>
      <c r="AJ282" s="267"/>
      <c r="AK282" s="34">
        <f t="shared" ca="1" si="564"/>
        <v>526880.79949324939</v>
      </c>
      <c r="AL282" s="233"/>
    </row>
    <row r="283" spans="2:38" x14ac:dyDescent="0.3">
      <c r="B283" s="232"/>
      <c r="C283" s="250">
        <f t="shared" si="554"/>
        <v>2017</v>
      </c>
      <c r="D283" s="263">
        <f t="shared" ca="1" si="565"/>
        <v>343074.63968035509</v>
      </c>
      <c r="E283" s="263">
        <f t="shared" ca="1" si="565"/>
        <v>4903.8711112874116</v>
      </c>
      <c r="F283" s="263">
        <f t="shared" ca="1" si="565"/>
        <v>0</v>
      </c>
      <c r="G283" s="263">
        <f t="shared" ca="1" si="565"/>
        <v>372497.86634807958</v>
      </c>
      <c r="H283" s="15"/>
      <c r="I283" s="35">
        <f t="shared" ca="1" si="566"/>
        <v>4.2</v>
      </c>
      <c r="J283" s="35">
        <f t="shared" ca="1" si="566"/>
        <v>82</v>
      </c>
      <c r="K283" s="35">
        <f t="shared" ca="1" si="566"/>
        <v>41</v>
      </c>
      <c r="L283" s="15"/>
      <c r="M283" s="35">
        <f t="shared" ca="1" si="567"/>
        <v>3.948</v>
      </c>
      <c r="N283" s="35">
        <f t="shared" ca="1" si="557"/>
        <v>70.23587925828825</v>
      </c>
      <c r="O283" s="35" t="str">
        <f t="shared" ca="1" si="558"/>
        <v>N/A</v>
      </c>
      <c r="P283" s="15"/>
      <c r="Q283" s="34">
        <f t="shared" ca="1" si="568"/>
        <v>1354458.6774580418</v>
      </c>
      <c r="R283" s="34">
        <f t="shared" ca="1" si="568"/>
        <v>344427.69927059044</v>
      </c>
      <c r="S283" s="34">
        <f t="shared" ca="1" si="568"/>
        <v>0</v>
      </c>
      <c r="T283" s="34">
        <f t="shared" ca="1" si="568"/>
        <v>1698886.3767286325</v>
      </c>
      <c r="U283" s="15"/>
      <c r="V283" s="35">
        <f t="shared" ref="V283" ca="1" si="578">+IFERROR(W283/$G283,"N/A")</f>
        <v>0.33403678943905324</v>
      </c>
      <c r="W283" s="34">
        <f t="shared" ca="1" si="560"/>
        <v>124427.99134781006</v>
      </c>
      <c r="X283" s="35">
        <f t="shared" ref="X283" ca="1" si="579">+IFERROR(Y283/$G283,"N/A")</f>
        <v>0.36549563821991848</v>
      </c>
      <c r="Y283" s="34">
        <f t="shared" ca="1" si="561"/>
        <v>136146.34539644924</v>
      </c>
      <c r="Z283" s="35">
        <f t="shared" ref="Z283" ca="1" si="580">+IFERROR(AA283/$G283,"N/A")</f>
        <v>0.5729391085609532</v>
      </c>
      <c r="AA283" s="34">
        <f t="shared" ca="1" si="562"/>
        <v>213418.59548632582</v>
      </c>
      <c r="AB283" s="34">
        <f t="shared" ca="1" si="562"/>
        <v>473992.93223058514</v>
      </c>
      <c r="AC283" s="15"/>
      <c r="AD283" s="34">
        <f t="shared" ca="1" si="563"/>
        <v>1224893.4444980472</v>
      </c>
      <c r="AE283" s="34">
        <f t="shared" ca="1" si="563"/>
        <v>520861.64289576886</v>
      </c>
      <c r="AF283" s="34">
        <f t="shared" ca="1" si="563"/>
        <v>704031.80160227837</v>
      </c>
      <c r="AG283" s="15"/>
      <c r="AH283" s="273"/>
      <c r="AI283" s="267"/>
      <c r="AJ283" s="267"/>
      <c r="AK283" s="34">
        <f t="shared" ca="1" si="564"/>
        <v>496385.51290414162</v>
      </c>
      <c r="AL283" s="233"/>
    </row>
    <row r="284" spans="2:38" x14ac:dyDescent="0.3">
      <c r="B284" s="232"/>
      <c r="C284" s="250">
        <f t="shared" si="554"/>
        <v>2018</v>
      </c>
      <c r="D284" s="263">
        <f t="shared" ca="1" si="565"/>
        <v>328971.4281112398</v>
      </c>
      <c r="E284" s="263">
        <f t="shared" ca="1" si="565"/>
        <v>4769.7940943808399</v>
      </c>
      <c r="F284" s="263">
        <f t="shared" ca="1" si="565"/>
        <v>0</v>
      </c>
      <c r="G284" s="263">
        <f t="shared" ca="1" si="565"/>
        <v>357590.19267752481</v>
      </c>
      <c r="H284" s="15"/>
      <c r="I284" s="35">
        <f t="shared" ca="1" si="566"/>
        <v>4.5</v>
      </c>
      <c r="J284" s="35">
        <f t="shared" ca="1" si="566"/>
        <v>80</v>
      </c>
      <c r="K284" s="35">
        <f t="shared" ca="1" si="566"/>
        <v>40</v>
      </c>
      <c r="L284" s="15"/>
      <c r="M284" s="35">
        <f t="shared" ca="1" si="567"/>
        <v>4.2299999999999986</v>
      </c>
      <c r="N284" s="35">
        <f t="shared" ca="1" si="557"/>
        <v>68.48099895728835</v>
      </c>
      <c r="O284" s="35" t="str">
        <f t="shared" ca="1" si="558"/>
        <v>N/A</v>
      </c>
      <c r="P284" s="15"/>
      <c r="Q284" s="34">
        <f t="shared" ca="1" si="568"/>
        <v>1391549.140910544</v>
      </c>
      <c r="R284" s="34">
        <f t="shared" ca="1" si="568"/>
        <v>326640.2644037744</v>
      </c>
      <c r="S284" s="34">
        <f t="shared" ca="1" si="568"/>
        <v>0</v>
      </c>
      <c r="T284" s="34">
        <f t="shared" ca="1" si="568"/>
        <v>1718189.4053143184</v>
      </c>
      <c r="U284" s="15"/>
      <c r="V284" s="35">
        <f t="shared" ref="V284" ca="1" si="581">+IFERROR(W284/$G284,"N/A")</f>
        <v>0.33452753181775108</v>
      </c>
      <c r="W284" s="34">
        <f t="shared" ca="1" si="560"/>
        <v>119623.76455864642</v>
      </c>
      <c r="X284" s="35">
        <f t="shared" ref="X284" ca="1" si="582">+IFERROR(Y284/$G284,"N/A")</f>
        <v>0.36540367580455202</v>
      </c>
      <c r="Y284" s="34">
        <f t="shared" ca="1" si="561"/>
        <v>130664.77083602556</v>
      </c>
      <c r="Z284" s="35">
        <f t="shared" ref="Z284" ca="1" si="583">+IFERROR(AA284/$G284,"N/A")</f>
        <v>0.57279495126118962</v>
      </c>
      <c r="AA284" s="34">
        <f t="shared" ca="1" si="562"/>
        <v>204825.85698620224</v>
      </c>
      <c r="AB284" s="34">
        <f t="shared" ca="1" si="562"/>
        <v>455114.39238087414</v>
      </c>
      <c r="AC284" s="15"/>
      <c r="AD284" s="34">
        <f t="shared" ca="1" si="563"/>
        <v>1263075.0129334442</v>
      </c>
      <c r="AE284" s="34">
        <f t="shared" ca="1" si="563"/>
        <v>432387.58429982106</v>
      </c>
      <c r="AF284" s="34">
        <f t="shared" ca="1" si="563"/>
        <v>830687.42863362329</v>
      </c>
      <c r="AG284" s="15"/>
      <c r="AH284" s="273"/>
      <c r="AI284" s="267"/>
      <c r="AJ284" s="267"/>
      <c r="AK284" s="34">
        <f t="shared" ca="1" si="564"/>
        <v>532441.34760918526</v>
      </c>
      <c r="AL284" s="233"/>
    </row>
    <row r="285" spans="2:38" x14ac:dyDescent="0.3">
      <c r="B285" s="232"/>
      <c r="C285" s="250">
        <f t="shared" si="554"/>
        <v>2019</v>
      </c>
      <c r="D285" s="263">
        <f t="shared" ca="1" si="565"/>
        <v>323667.09769928188</v>
      </c>
      <c r="E285" s="263">
        <f t="shared" ca="1" si="565"/>
        <v>4753.4492499296284</v>
      </c>
      <c r="F285" s="263">
        <f t="shared" ca="1" si="565"/>
        <v>0</v>
      </c>
      <c r="G285" s="263">
        <f t="shared" ca="1" si="565"/>
        <v>352187.79319885967</v>
      </c>
      <c r="H285" s="15"/>
      <c r="I285" s="35">
        <f t="shared" ca="1" si="566"/>
        <v>4.5</v>
      </c>
      <c r="J285" s="35">
        <f t="shared" ca="1" si="566"/>
        <v>80</v>
      </c>
      <c r="K285" s="35">
        <f t="shared" ca="1" si="566"/>
        <v>40</v>
      </c>
      <c r="L285" s="15"/>
      <c r="M285" s="35">
        <f t="shared" ca="1" si="567"/>
        <v>4.2299999999999995</v>
      </c>
      <c r="N285" s="35">
        <f t="shared" ca="1" si="557"/>
        <v>68.450217662705185</v>
      </c>
      <c r="O285" s="35" t="str">
        <f t="shared" ca="1" si="558"/>
        <v>N/A</v>
      </c>
      <c r="P285" s="15"/>
      <c r="Q285" s="34">
        <f t="shared" ca="1" si="568"/>
        <v>1369111.8232679623</v>
      </c>
      <c r="R285" s="34">
        <f t="shared" ca="1" si="568"/>
        <v>325374.6358063058</v>
      </c>
      <c r="S285" s="34">
        <f t="shared" ca="1" si="568"/>
        <v>0</v>
      </c>
      <c r="T285" s="34">
        <f t="shared" ca="1" si="568"/>
        <v>1694486.4590742679</v>
      </c>
      <c r="U285" s="15"/>
      <c r="V285" s="35">
        <f t="shared" ref="V285" ca="1" si="584">+IFERROR(W285/$G285,"N/A")</f>
        <v>0.3349475004632142</v>
      </c>
      <c r="W285" s="34">
        <f t="shared" ca="1" si="560"/>
        <v>117964.42102561344</v>
      </c>
      <c r="X285" s="35">
        <f t="shared" ref="X285" ca="1" si="585">+IFERROR(Y285/$G285,"N/A")</f>
        <v>0.36532497599648261</v>
      </c>
      <c r="Y285" s="34">
        <f t="shared" ca="1" si="561"/>
        <v>128662.99709662759</v>
      </c>
      <c r="Z285" s="35">
        <f t="shared" ref="Z285" ca="1" si="586">+IFERROR(AA285/$G285,"N/A")</f>
        <v>0.57267158399448626</v>
      </c>
      <c r="AA285" s="34">
        <f t="shared" ca="1" si="562"/>
        <v>201687.94139471353</v>
      </c>
      <c r="AB285" s="34">
        <f t="shared" ca="1" si="562"/>
        <v>448315.35951695457</v>
      </c>
      <c r="AC285" s="15"/>
      <c r="AD285" s="34">
        <f t="shared" ca="1" si="563"/>
        <v>1246171.0995573136</v>
      </c>
      <c r="AE285" s="34">
        <f t="shared" ca="1" si="563"/>
        <v>430690.12830382615</v>
      </c>
      <c r="AF285" s="34">
        <f t="shared" ca="1" si="563"/>
        <v>815480.97125348728</v>
      </c>
      <c r="AG285" s="15"/>
      <c r="AH285" s="273"/>
      <c r="AI285" s="267"/>
      <c r="AJ285" s="267"/>
      <c r="AK285" s="34">
        <f t="shared" ca="1" si="564"/>
        <v>475176.85880306695</v>
      </c>
      <c r="AL285" s="233"/>
    </row>
    <row r="286" spans="2:38" x14ac:dyDescent="0.3">
      <c r="B286" s="232"/>
      <c r="C286" s="250">
        <f t="shared" si="554"/>
        <v>2020</v>
      </c>
      <c r="D286" s="263">
        <f t="shared" ca="1" si="565"/>
        <v>320901.56399060157</v>
      </c>
      <c r="E286" s="263">
        <f t="shared" ca="1" si="565"/>
        <v>4325.8096637519684</v>
      </c>
      <c r="F286" s="263">
        <f t="shared" ca="1" si="565"/>
        <v>0</v>
      </c>
      <c r="G286" s="263">
        <f t="shared" ca="1" si="565"/>
        <v>346856.42197311338</v>
      </c>
      <c r="H286" s="15"/>
      <c r="I286" s="35">
        <f t="shared" ca="1" si="566"/>
        <v>4.5</v>
      </c>
      <c r="J286" s="35">
        <f t="shared" ca="1" si="566"/>
        <v>80</v>
      </c>
      <c r="K286" s="35">
        <f t="shared" ca="1" si="566"/>
        <v>40</v>
      </c>
      <c r="L286" s="15"/>
      <c r="M286" s="35">
        <f t="shared" ca="1" si="567"/>
        <v>4.2299999999999986</v>
      </c>
      <c r="N286" s="35">
        <f t="shared" ca="1" si="557"/>
        <v>68.875265296139276</v>
      </c>
      <c r="O286" s="35" t="str">
        <f t="shared" ca="1" si="558"/>
        <v>N/A</v>
      </c>
      <c r="P286" s="15"/>
      <c r="Q286" s="34">
        <f t="shared" ca="1" si="568"/>
        <v>1357413.6156802443</v>
      </c>
      <c r="R286" s="34">
        <f t="shared" ca="1" si="568"/>
        <v>297941.28821151989</v>
      </c>
      <c r="S286" s="34">
        <f t="shared" ca="1" si="568"/>
        <v>0</v>
      </c>
      <c r="T286" s="34">
        <f t="shared" ca="1" si="568"/>
        <v>1655354.9038917643</v>
      </c>
      <c r="U286" s="15"/>
      <c r="V286" s="35">
        <f t="shared" ref="V286" ca="1" si="587">+IFERROR(W286/$G286,"N/A")</f>
        <v>0.33140525933556897</v>
      </c>
      <c r="W286" s="34">
        <f t="shared" ca="1" si="560"/>
        <v>114950.04247620718</v>
      </c>
      <c r="X286" s="35">
        <f t="shared" ref="X286" ca="1" si="588">+IFERROR(Y286/$G286,"N/A")</f>
        <v>0.36598877244865252</v>
      </c>
      <c r="Y286" s="34">
        <f t="shared" ca="1" si="561"/>
        <v>126945.55609387159</v>
      </c>
      <c r="Z286" s="35">
        <f t="shared" ref="Z286" ca="1" si="589">+IFERROR(AA286/$G286,"N/A")</f>
        <v>0.57371212978437414</v>
      </c>
      <c r="AA286" s="34">
        <f t="shared" ca="1" si="562"/>
        <v>198995.73657958244</v>
      </c>
      <c r="AB286" s="34">
        <f t="shared" ca="1" si="562"/>
        <v>440891.33514966123</v>
      </c>
      <c r="AC286" s="15"/>
      <c r="AD286" s="34">
        <f t="shared" ca="1" si="563"/>
        <v>1214463.5687421029</v>
      </c>
      <c r="AE286" s="34">
        <f t="shared" ca="1" si="563"/>
        <v>406270.57564893976</v>
      </c>
      <c r="AF286" s="34">
        <f t="shared" ca="1" si="563"/>
        <v>808192.99309316324</v>
      </c>
      <c r="AG286" s="15"/>
      <c r="AH286" s="273"/>
      <c r="AI286" s="267"/>
      <c r="AJ286" s="267"/>
      <c r="AK286" s="34">
        <f t="shared" ca="1" si="564"/>
        <v>428118.35346507555</v>
      </c>
      <c r="AL286" s="233"/>
    </row>
    <row r="287" spans="2:38" x14ac:dyDescent="0.3">
      <c r="B287" s="232"/>
      <c r="C287" s="250">
        <f t="shared" si="554"/>
        <v>2021</v>
      </c>
      <c r="D287" s="263">
        <f t="shared" ca="1" si="565"/>
        <v>318948.2050874728</v>
      </c>
      <c r="E287" s="263">
        <f t="shared" ca="1" si="565"/>
        <v>4075.4744678611382</v>
      </c>
      <c r="F287" s="263">
        <f t="shared" ca="1" si="565"/>
        <v>0</v>
      </c>
      <c r="G287" s="263">
        <f t="shared" ca="1" si="565"/>
        <v>343401.05189463956</v>
      </c>
      <c r="H287" s="15"/>
      <c r="I287" s="35">
        <f t="shared" ca="1" si="566"/>
        <v>4.5</v>
      </c>
      <c r="J287" s="35">
        <f t="shared" ca="1" si="566"/>
        <v>80</v>
      </c>
      <c r="K287" s="35">
        <f t="shared" ca="1" si="566"/>
        <v>40</v>
      </c>
      <c r="L287" s="15"/>
      <c r="M287" s="35">
        <f t="shared" ca="1" si="567"/>
        <v>4.2299999999999995</v>
      </c>
      <c r="N287" s="35">
        <f t="shared" ca="1" si="557"/>
        <v>69.17030511947118</v>
      </c>
      <c r="O287" s="35" t="str">
        <f t="shared" ca="1" si="558"/>
        <v>N/A</v>
      </c>
      <c r="P287" s="15"/>
      <c r="Q287" s="34">
        <f t="shared" ca="1" si="568"/>
        <v>1349150.9075200097</v>
      </c>
      <c r="R287" s="34">
        <f t="shared" ca="1" si="568"/>
        <v>281901.8124485694</v>
      </c>
      <c r="S287" s="34">
        <f t="shared" ca="1" si="568"/>
        <v>0</v>
      </c>
      <c r="T287" s="34">
        <f t="shared" ca="1" si="568"/>
        <v>1631052.719968579</v>
      </c>
      <c r="U287" s="15"/>
      <c r="V287" s="35">
        <f t="shared" ref="V287" ca="1" si="590">+IFERROR(W287/$G287,"N/A")</f>
        <v>0.32928165490858119</v>
      </c>
      <c r="W287" s="34">
        <f t="shared" ca="1" si="560"/>
        <v>113075.66666521448</v>
      </c>
      <c r="X287" s="35">
        <f t="shared" ref="X287" ca="1" si="591">+IFERROR(Y287/$G287,"N/A")</f>
        <v>0.36638672420677687</v>
      </c>
      <c r="Y287" s="34">
        <f t="shared" ca="1" si="561"/>
        <v>125817.58649283838</v>
      </c>
      <c r="Z287" s="35">
        <f t="shared" ref="Z287" ca="1" si="592">+IFERROR(AA287/$G287,"N/A")</f>
        <v>0.57433594605386651</v>
      </c>
      <c r="AA287" s="34">
        <f t="shared" ca="1" si="562"/>
        <v>197227.56801580073</v>
      </c>
      <c r="AB287" s="34">
        <f t="shared" ca="1" si="562"/>
        <v>436120.82117385359</v>
      </c>
      <c r="AC287" s="15"/>
      <c r="AD287" s="34">
        <f t="shared" ca="1" si="563"/>
        <v>1194931.8987947255</v>
      </c>
      <c r="AE287" s="34">
        <f t="shared" ca="1" si="563"/>
        <v>402776.09093401907</v>
      </c>
      <c r="AF287" s="34">
        <f t="shared" ca="1" si="563"/>
        <v>792155.80786070635</v>
      </c>
      <c r="AG287" s="15"/>
      <c r="AH287" s="273"/>
      <c r="AI287" s="267"/>
      <c r="AJ287" s="267"/>
      <c r="AK287" s="34">
        <f t="shared" ca="1" si="564"/>
        <v>381475.53531867958</v>
      </c>
      <c r="AL287" s="233"/>
    </row>
    <row r="288" spans="2:38" x14ac:dyDescent="0.3">
      <c r="B288" s="232"/>
      <c r="C288" s="250">
        <f t="shared" si="554"/>
        <v>2022</v>
      </c>
      <c r="D288" s="263">
        <f t="shared" ca="1" si="565"/>
        <v>318218.58363651042</v>
      </c>
      <c r="E288" s="263">
        <f t="shared" ca="1" si="565"/>
        <v>3925.6359069084947</v>
      </c>
      <c r="F288" s="263">
        <f t="shared" ca="1" si="565"/>
        <v>0</v>
      </c>
      <c r="G288" s="263">
        <f t="shared" ca="1" si="565"/>
        <v>341772.39907796134</v>
      </c>
      <c r="H288" s="15"/>
      <c r="I288" s="35">
        <f t="shared" ca="1" si="566"/>
        <v>4.5</v>
      </c>
      <c r="J288" s="35">
        <f t="shared" ca="1" si="566"/>
        <v>80</v>
      </c>
      <c r="K288" s="35">
        <f t="shared" ca="1" si="566"/>
        <v>40</v>
      </c>
      <c r="L288" s="15"/>
      <c r="M288" s="35">
        <f t="shared" ca="1" si="567"/>
        <v>4.2299999999999995</v>
      </c>
      <c r="N288" s="35">
        <f t="shared" ca="1" si="557"/>
        <v>69.380470290673657</v>
      </c>
      <c r="O288" s="35" t="str">
        <f t="shared" ca="1" si="558"/>
        <v>N/A</v>
      </c>
      <c r="P288" s="15"/>
      <c r="Q288" s="34">
        <f t="shared" ca="1" si="568"/>
        <v>1346064.608782439</v>
      </c>
      <c r="R288" s="34">
        <f t="shared" ca="1" si="568"/>
        <v>272362.46541126654</v>
      </c>
      <c r="S288" s="34">
        <f t="shared" ca="1" si="568"/>
        <v>0</v>
      </c>
      <c r="T288" s="34">
        <f t="shared" ca="1" si="568"/>
        <v>1618427.0741937056</v>
      </c>
      <c r="U288" s="15"/>
      <c r="V288" s="35">
        <f t="shared" ref="V288" ca="1" si="593">+IFERROR(W288/$G288,"N/A")</f>
        <v>0.32791131445359412</v>
      </c>
      <c r="W288" s="34">
        <f t="shared" ca="1" si="560"/>
        <v>112071.03662561264</v>
      </c>
      <c r="X288" s="35">
        <f t="shared" ref="X288" ca="1" si="594">+IFERROR(Y288/$G288,"N/A")</f>
        <v>0.3666435184507334</v>
      </c>
      <c r="Y288" s="34">
        <f t="shared" ca="1" si="561"/>
        <v>125308.63490729194</v>
      </c>
      <c r="Z288" s="35">
        <f t="shared" ref="Z288" ca="1" si="595">+IFERROR(AA288/$G288,"N/A")</f>
        <v>0.57473848838223074</v>
      </c>
      <c r="AA288" s="34">
        <f t="shared" ca="1" si="562"/>
        <v>196429.75201683599</v>
      </c>
      <c r="AB288" s="34">
        <f t="shared" ca="1" si="562"/>
        <v>433809.42354974069</v>
      </c>
      <c r="AC288" s="15"/>
      <c r="AD288" s="34">
        <f t="shared" ca="1" si="563"/>
        <v>1184617.650643965</v>
      </c>
      <c r="AE288" s="34">
        <f t="shared" ca="1" si="563"/>
        <v>401598.20678225358</v>
      </c>
      <c r="AF288" s="34">
        <f t="shared" ca="1" si="563"/>
        <v>783019.4438617113</v>
      </c>
      <c r="AG288" s="15"/>
      <c r="AH288" s="273"/>
      <c r="AI288" s="267"/>
      <c r="AJ288" s="267"/>
      <c r="AK288" s="34">
        <f t="shared" ca="1" si="564"/>
        <v>342796.1548932204</v>
      </c>
      <c r="AL288" s="233"/>
    </row>
    <row r="289" spans="2:38" x14ac:dyDescent="0.3">
      <c r="B289" s="232"/>
      <c r="C289" s="250">
        <f t="shared" si="554"/>
        <v>2023</v>
      </c>
      <c r="D289" s="263">
        <f t="shared" ca="1" si="565"/>
        <v>318257.08986446034</v>
      </c>
      <c r="E289" s="263">
        <f t="shared" ca="1" si="565"/>
        <v>3800.1834709391815</v>
      </c>
      <c r="F289" s="263">
        <f t="shared" ca="1" si="565"/>
        <v>0</v>
      </c>
      <c r="G289" s="263">
        <f t="shared" ca="1" si="565"/>
        <v>341058.19069009542</v>
      </c>
      <c r="H289" s="15"/>
      <c r="I289" s="35">
        <f t="shared" ca="1" si="566"/>
        <v>4.5</v>
      </c>
      <c r="J289" s="35">
        <f t="shared" ca="1" si="566"/>
        <v>80</v>
      </c>
      <c r="K289" s="35">
        <f t="shared" ca="1" si="566"/>
        <v>40</v>
      </c>
      <c r="L289" s="15"/>
      <c r="M289" s="35">
        <f t="shared" ca="1" si="567"/>
        <v>4.2299999999999995</v>
      </c>
      <c r="N289" s="35">
        <f t="shared" ca="1" si="557"/>
        <v>69.58217876197476</v>
      </c>
      <c r="O289" s="35" t="str">
        <f t="shared" ca="1" si="558"/>
        <v>N/A</v>
      </c>
      <c r="P289" s="15"/>
      <c r="Q289" s="34">
        <f t="shared" ca="1" si="568"/>
        <v>1346227.4901266671</v>
      </c>
      <c r="R289" s="34">
        <f t="shared" ca="1" si="568"/>
        <v>264425.04560319183</v>
      </c>
      <c r="S289" s="34">
        <f t="shared" ca="1" si="568"/>
        <v>0</v>
      </c>
      <c r="T289" s="34">
        <f t="shared" ca="1" si="568"/>
        <v>1610652.5357298588</v>
      </c>
      <c r="U289" s="15"/>
      <c r="V289" s="35">
        <f t="shared" ref="V289" ca="1" si="596">+IFERROR(W289/$G289,"N/A")</f>
        <v>0.32667700894168861</v>
      </c>
      <c r="W289" s="34">
        <f t="shared" ca="1" si="560"/>
        <v>111415.86960970443</v>
      </c>
      <c r="X289" s="35">
        <f t="shared" ref="X289" ca="1" si="597">+IFERROR(Y289/$G289,"N/A")</f>
        <v>0.36687482049657721</v>
      </c>
      <c r="Y289" s="34">
        <f t="shared" ca="1" si="561"/>
        <v>125125.66248831616</v>
      </c>
      <c r="Z289" s="35">
        <f t="shared" ref="Z289" ca="1" si="598">+IFERROR(AA289/$G289,"N/A")</f>
        <v>0.57510106996760746</v>
      </c>
      <c r="AA289" s="34">
        <f t="shared" ca="1" si="562"/>
        <v>196142.93038709016</v>
      </c>
      <c r="AB289" s="34">
        <f t="shared" ca="1" si="562"/>
        <v>432684.46248511074</v>
      </c>
      <c r="AC289" s="15"/>
      <c r="AD289" s="34">
        <f t="shared" ca="1" si="563"/>
        <v>1177968.0732447482</v>
      </c>
      <c r="AE289" s="34">
        <f t="shared" ca="1" si="563"/>
        <v>400555.36173011112</v>
      </c>
      <c r="AF289" s="34">
        <f t="shared" ca="1" si="563"/>
        <v>777412.71151463699</v>
      </c>
      <c r="AG289" s="15"/>
      <c r="AH289" s="273"/>
      <c r="AI289" s="267"/>
      <c r="AJ289" s="267"/>
      <c r="AK289" s="34">
        <f t="shared" ca="1" si="564"/>
        <v>309401.45212745457</v>
      </c>
      <c r="AL289" s="233"/>
    </row>
    <row r="290" spans="2:38" x14ac:dyDescent="0.3">
      <c r="B290" s="232"/>
      <c r="C290" s="250">
        <f t="shared" si="554"/>
        <v>2024</v>
      </c>
      <c r="D290" s="263">
        <f t="shared" ca="1" si="565"/>
        <v>319091.18148585467</v>
      </c>
      <c r="E290" s="263">
        <f t="shared" ca="1" si="565"/>
        <v>3692.2764035369596</v>
      </c>
      <c r="F290" s="263">
        <f t="shared" ca="1" si="565"/>
        <v>0</v>
      </c>
      <c r="G290" s="263">
        <f t="shared" ca="1" si="565"/>
        <v>341244.8399070765</v>
      </c>
      <c r="H290" s="15"/>
      <c r="I290" s="35">
        <f t="shared" ca="1" si="566"/>
        <v>4.5</v>
      </c>
      <c r="J290" s="35">
        <f t="shared" ca="1" si="566"/>
        <v>80</v>
      </c>
      <c r="K290" s="35">
        <f t="shared" ca="1" si="566"/>
        <v>40</v>
      </c>
      <c r="L290" s="15"/>
      <c r="M290" s="35">
        <f t="shared" ca="1" si="567"/>
        <v>4.2300000000000004</v>
      </c>
      <c r="N290" s="35">
        <f t="shared" ca="1" si="557"/>
        <v>69.781701828252153</v>
      </c>
      <c r="O290" s="35" t="str">
        <f t="shared" ca="1" si="558"/>
        <v>N/A</v>
      </c>
      <c r="P290" s="15"/>
      <c r="Q290" s="34">
        <f t="shared" ca="1" si="568"/>
        <v>1349755.6976851653</v>
      </c>
      <c r="R290" s="34">
        <f t="shared" ca="1" si="568"/>
        <v>257653.33105910735</v>
      </c>
      <c r="S290" s="34">
        <f t="shared" ca="1" si="568"/>
        <v>0</v>
      </c>
      <c r="T290" s="34">
        <f t="shared" ca="1" si="568"/>
        <v>1607409.0287442727</v>
      </c>
      <c r="U290" s="15"/>
      <c r="V290" s="35">
        <f t="shared" ref="V290" ca="1" si="599">+IFERROR(W290/$G290,"N/A")</f>
        <v>0.32552392299385058</v>
      </c>
      <c r="W290" s="34">
        <f t="shared" ca="1" si="560"/>
        <v>111083.35898796003</v>
      </c>
      <c r="X290" s="35">
        <f t="shared" ref="X290" ca="1" si="600">+IFERROR(Y290/$G290,"N/A")</f>
        <v>0.36709090244403353</v>
      </c>
      <c r="Y290" s="34">
        <f t="shared" ca="1" si="561"/>
        <v>125267.87623585846</v>
      </c>
      <c r="Z290" s="35">
        <f t="shared" ref="Z290" ca="1" si="601">+IFERROR(AA290/$G290,"N/A")</f>
        <v>0.57543979302037684</v>
      </c>
      <c r="AA290" s="34">
        <f t="shared" ca="1" si="562"/>
        <v>196365.86004539972</v>
      </c>
      <c r="AB290" s="34">
        <f t="shared" ca="1" si="562"/>
        <v>432717.0952692182</v>
      </c>
      <c r="AC290" s="15"/>
      <c r="AD290" s="34">
        <f t="shared" ca="1" si="563"/>
        <v>1174691.9334750543</v>
      </c>
      <c r="AE290" s="34">
        <f t="shared" ca="1" si="563"/>
        <v>399650.10705201054</v>
      </c>
      <c r="AF290" s="34">
        <f t="shared" ca="1" si="563"/>
        <v>775041.82642304385</v>
      </c>
      <c r="AG290" s="15"/>
      <c r="AH290" s="273"/>
      <c r="AI290" s="267"/>
      <c r="AJ290" s="267"/>
      <c r="AK290" s="34">
        <f t="shared" ca="1" si="564"/>
        <v>280416.24247271399</v>
      </c>
      <c r="AL290" s="233"/>
    </row>
    <row r="291" spans="2:38" x14ac:dyDescent="0.3">
      <c r="B291" s="232"/>
      <c r="C291" s="250">
        <f t="shared" si="554"/>
        <v>2025</v>
      </c>
      <c r="D291" s="263">
        <f t="shared" ca="1" si="565"/>
        <v>320148.30183057295</v>
      </c>
      <c r="E291" s="263">
        <f t="shared" ca="1" si="565"/>
        <v>3597.3734856415772</v>
      </c>
      <c r="F291" s="263">
        <f t="shared" ca="1" si="565"/>
        <v>0</v>
      </c>
      <c r="G291" s="263">
        <f t="shared" ca="1" si="565"/>
        <v>341732.54274442251</v>
      </c>
      <c r="H291" s="15"/>
      <c r="I291" s="35">
        <f t="shared" ca="1" si="566"/>
        <v>4.5</v>
      </c>
      <c r="J291" s="35">
        <f t="shared" ca="1" si="566"/>
        <v>80</v>
      </c>
      <c r="K291" s="35">
        <f t="shared" ca="1" si="566"/>
        <v>40</v>
      </c>
      <c r="L291" s="15"/>
      <c r="M291" s="35">
        <f t="shared" ca="1" si="567"/>
        <v>4.2300000000000004</v>
      </c>
      <c r="N291" s="35">
        <f t="shared" ca="1" si="557"/>
        <v>69.974226392241178</v>
      </c>
      <c r="O291" s="35" t="str">
        <f t="shared" ca="1" si="558"/>
        <v>N/A</v>
      </c>
      <c r="P291" s="15"/>
      <c r="Q291" s="34">
        <f t="shared" ca="1" si="568"/>
        <v>1354227.3167433236</v>
      </c>
      <c r="R291" s="34">
        <f t="shared" ca="1" si="568"/>
        <v>251723.42670172948</v>
      </c>
      <c r="S291" s="34">
        <f t="shared" ca="1" si="568"/>
        <v>0</v>
      </c>
      <c r="T291" s="34">
        <f t="shared" ca="1" si="568"/>
        <v>1605950.743445053</v>
      </c>
      <c r="U291" s="15"/>
      <c r="V291" s="35">
        <f t="shared" ref="V291" ca="1" si="602">+IFERROR(W291/$G291,"N/A")</f>
        <v>0.32447370727529595</v>
      </c>
      <c r="W291" s="34">
        <f t="shared" ca="1" si="560"/>
        <v>110883.2250408963</v>
      </c>
      <c r="X291" s="35">
        <f t="shared" ref="X291" ca="1" si="603">+IFERROR(Y291/$G291,"N/A")</f>
        <v>0.3672877070778427</v>
      </c>
      <c r="Y291" s="34">
        <f t="shared" ca="1" si="561"/>
        <v>125514.16205847981</v>
      </c>
      <c r="Z291" s="35">
        <f t="shared" ref="Z291" ca="1" si="604">+IFERROR(AA291/$G291,"N/A")</f>
        <v>0.57574829758148305</v>
      </c>
      <c r="AA291" s="34">
        <f t="shared" ca="1" si="562"/>
        <v>196751.92971329263</v>
      </c>
      <c r="AB291" s="34">
        <f t="shared" ca="1" si="562"/>
        <v>433149.31681266875</v>
      </c>
      <c r="AC291" s="15"/>
      <c r="AD291" s="34">
        <f t="shared" ca="1" si="563"/>
        <v>1172801.4266323841</v>
      </c>
      <c r="AE291" s="34">
        <f t="shared" ca="1" si="563"/>
        <v>398814.57390079316</v>
      </c>
      <c r="AF291" s="34">
        <f t="shared" ca="1" si="563"/>
        <v>773986.85273159109</v>
      </c>
      <c r="AG291" s="15"/>
      <c r="AH291" s="273"/>
      <c r="AI291" s="267"/>
      <c r="AJ291" s="267"/>
      <c r="AK291" s="34">
        <f t="shared" ca="1" si="564"/>
        <v>254576.85879524003</v>
      </c>
      <c r="AL291" s="233"/>
    </row>
    <row r="292" spans="2:38" x14ac:dyDescent="0.3">
      <c r="B292" s="232"/>
      <c r="C292" s="250">
        <f t="shared" si="554"/>
        <v>2026</v>
      </c>
      <c r="D292" s="263">
        <f t="shared" ca="1" si="565"/>
        <v>321823.93361339695</v>
      </c>
      <c r="E292" s="263">
        <f t="shared" ca="1" si="565"/>
        <v>3400.1710110245431</v>
      </c>
      <c r="F292" s="263">
        <f t="shared" ca="1" si="565"/>
        <v>0</v>
      </c>
      <c r="G292" s="263">
        <f t="shared" ca="1" si="565"/>
        <v>342224.9596795442</v>
      </c>
      <c r="H292" s="15"/>
      <c r="I292" s="35">
        <f t="shared" ca="1" si="566"/>
        <v>4.5</v>
      </c>
      <c r="J292" s="35">
        <f t="shared" ca="1" si="566"/>
        <v>80</v>
      </c>
      <c r="K292" s="35">
        <f t="shared" ca="1" si="566"/>
        <v>40</v>
      </c>
      <c r="L292" s="15"/>
      <c r="M292" s="35">
        <f t="shared" ca="1" si="567"/>
        <v>4.2299999999999995</v>
      </c>
      <c r="N292" s="35">
        <f t="shared" ca="1" si="557"/>
        <v>70.372699192977279</v>
      </c>
      <c r="O292" s="35" t="str">
        <f t="shared" ca="1" si="558"/>
        <v>N/A</v>
      </c>
      <c r="P292" s="15"/>
      <c r="Q292" s="34">
        <f t="shared" ca="1" si="568"/>
        <v>1361315.239184669</v>
      </c>
      <c r="R292" s="34">
        <f t="shared" ca="1" si="568"/>
        <v>239279.21176351159</v>
      </c>
      <c r="S292" s="34">
        <f t="shared" ca="1" si="568"/>
        <v>0</v>
      </c>
      <c r="T292" s="34">
        <f t="shared" ca="1" si="568"/>
        <v>1600594.4509481806</v>
      </c>
      <c r="U292" s="15"/>
      <c r="V292" s="35">
        <f t="shared" ref="V292" ca="1" si="605">+IFERROR(W292/$G292,"N/A")</f>
        <v>0.32243067029241707</v>
      </c>
      <c r="W292" s="34">
        <f t="shared" ca="1" si="560"/>
        <v>110343.82314027085</v>
      </c>
      <c r="X292" s="35">
        <f t="shared" ref="X292" ca="1" si="606">+IFERROR(Y292/$G292,"N/A")</f>
        <v>0.36767056094126344</v>
      </c>
      <c r="Y292" s="34">
        <f t="shared" ca="1" si="561"/>
        <v>125826.04289347927</v>
      </c>
      <c r="Z292" s="35">
        <f t="shared" ref="Z292" ca="1" si="607">+IFERROR(AA292/$G292,"N/A")</f>
        <v>0.57634844688089959</v>
      </c>
      <c r="AA292" s="34">
        <f t="shared" ca="1" si="562"/>
        <v>197240.82399518377</v>
      </c>
      <c r="AB292" s="34">
        <f t="shared" ca="1" si="562"/>
        <v>433410.69002893392</v>
      </c>
      <c r="AC292" s="15"/>
      <c r="AD292" s="34">
        <f t="shared" ca="1" si="563"/>
        <v>1167183.7609192468</v>
      </c>
      <c r="AE292" s="34">
        <f t="shared" ca="1" si="563"/>
        <v>391820.56169482379</v>
      </c>
      <c r="AF292" s="34">
        <f t="shared" ca="1" si="563"/>
        <v>775363.19922442292</v>
      </c>
      <c r="AG292" s="15"/>
      <c r="AH292" s="273"/>
      <c r="AI292" s="267"/>
      <c r="AJ292" s="267"/>
      <c r="AK292" s="34">
        <f t="shared" ca="1" si="564"/>
        <v>231845.05593854724</v>
      </c>
      <c r="AL292" s="233"/>
    </row>
    <row r="293" spans="2:38" x14ac:dyDescent="0.3">
      <c r="B293" s="232"/>
      <c r="C293" s="250">
        <f t="shared" si="554"/>
        <v>2027</v>
      </c>
      <c r="D293" s="263">
        <f t="shared" ca="1" si="565"/>
        <v>323893.66101884481</v>
      </c>
      <c r="E293" s="263">
        <f t="shared" ca="1" si="565"/>
        <v>3044.0081735312874</v>
      </c>
      <c r="F293" s="263">
        <f t="shared" ca="1" si="565"/>
        <v>0</v>
      </c>
      <c r="G293" s="263">
        <f t="shared" ca="1" si="565"/>
        <v>342157.71006003255</v>
      </c>
      <c r="H293" s="15"/>
      <c r="I293" s="35">
        <f t="shared" ca="1" si="566"/>
        <v>4.5</v>
      </c>
      <c r="J293" s="35">
        <f t="shared" ca="1" si="566"/>
        <v>80</v>
      </c>
      <c r="K293" s="35">
        <f t="shared" ca="1" si="566"/>
        <v>40</v>
      </c>
      <c r="L293" s="15"/>
      <c r="M293" s="35">
        <f t="shared" ca="1" si="567"/>
        <v>4.2299999999999995</v>
      </c>
      <c r="N293" s="35">
        <f t="shared" ca="1" si="557"/>
        <v>71.182967086682936</v>
      </c>
      <c r="O293" s="35" t="str">
        <f t="shared" ca="1" si="558"/>
        <v>N/A</v>
      </c>
      <c r="P293" s="15"/>
      <c r="Q293" s="34">
        <f t="shared" ca="1" si="568"/>
        <v>1370070.1861097133</v>
      </c>
      <c r="R293" s="34">
        <f t="shared" ca="1" si="568"/>
        <v>216681.53362807148</v>
      </c>
      <c r="S293" s="34">
        <f t="shared" ca="1" si="568"/>
        <v>0</v>
      </c>
      <c r="T293" s="34">
        <f t="shared" ca="1" si="568"/>
        <v>1586751.7197377849</v>
      </c>
      <c r="U293" s="15"/>
      <c r="V293" s="35">
        <f t="shared" ref="V293" ca="1" si="608">+IFERROR(W293/$G293,"N/A")</f>
        <v>0.31889132298669443</v>
      </c>
      <c r="W293" s="34">
        <f t="shared" ca="1" si="560"/>
        <v>109111.12483114158</v>
      </c>
      <c r="X293" s="35">
        <f t="shared" ref="X293" ca="1" si="609">+IFERROR(Y293/$G293,"N/A")</f>
        <v>0.36833381510716412</v>
      </c>
      <c r="Y293" s="34">
        <f t="shared" ca="1" si="561"/>
        <v>126028.2547147427</v>
      </c>
      <c r="Z293" s="35">
        <f t="shared" ref="Z293" ca="1" si="610">+IFERROR(AA293/$G293,"N/A")</f>
        <v>0.57738814260041949</v>
      </c>
      <c r="AA293" s="34">
        <f t="shared" ca="1" si="562"/>
        <v>197557.80468797506</v>
      </c>
      <c r="AB293" s="34">
        <f t="shared" ca="1" si="562"/>
        <v>432697.1842338593</v>
      </c>
      <c r="AC293" s="15"/>
      <c r="AD293" s="34">
        <f t="shared" ca="1" si="563"/>
        <v>1154054.5355039255</v>
      </c>
      <c r="AE293" s="34">
        <f t="shared" ca="1" si="563"/>
        <v>390902.30683278514</v>
      </c>
      <c r="AF293" s="34">
        <f t="shared" ca="1" si="563"/>
        <v>763152.22867114027</v>
      </c>
      <c r="AG293" s="15"/>
      <c r="AH293" s="273"/>
      <c r="AI293" s="267"/>
      <c r="AJ293" s="267"/>
      <c r="AK293" s="34">
        <f t="shared" ca="1" si="564"/>
        <v>207448.90479346199</v>
      </c>
      <c r="AL293" s="233"/>
    </row>
    <row r="294" spans="2:38" x14ac:dyDescent="0.3">
      <c r="B294" s="232"/>
      <c r="C294" s="250">
        <f t="shared" si="554"/>
        <v>2028</v>
      </c>
      <c r="D294" s="263">
        <f t="shared" ca="1" si="565"/>
        <v>326397.42461565009</v>
      </c>
      <c r="E294" s="263">
        <f t="shared" ca="1" si="565"/>
        <v>2876.6563914721755</v>
      </c>
      <c r="F294" s="263">
        <f t="shared" ca="1" si="565"/>
        <v>0</v>
      </c>
      <c r="G294" s="263">
        <f t="shared" ca="1" si="565"/>
        <v>343657.36296448315</v>
      </c>
      <c r="H294" s="15"/>
      <c r="I294" s="35">
        <f t="shared" ca="1" si="566"/>
        <v>4.5</v>
      </c>
      <c r="J294" s="35">
        <f t="shared" ca="1" si="566"/>
        <v>80</v>
      </c>
      <c r="K294" s="35">
        <f t="shared" ca="1" si="566"/>
        <v>40</v>
      </c>
      <c r="L294" s="15"/>
      <c r="M294" s="35">
        <f t="shared" ca="1" si="567"/>
        <v>4.2300000000000004</v>
      </c>
      <c r="N294" s="35">
        <f t="shared" ca="1" si="557"/>
        <v>71.677078380323195</v>
      </c>
      <c r="O294" s="35" t="str">
        <f t="shared" ca="1" si="558"/>
        <v>N/A</v>
      </c>
      <c r="P294" s="15"/>
      <c r="Q294" s="34">
        <f t="shared" ca="1" si="568"/>
        <v>1380661.1061241999</v>
      </c>
      <c r="R294" s="34">
        <f t="shared" ca="1" si="568"/>
        <v>206190.32564480882</v>
      </c>
      <c r="S294" s="34">
        <f t="shared" ca="1" si="568"/>
        <v>0</v>
      </c>
      <c r="T294" s="34">
        <f t="shared" ca="1" si="568"/>
        <v>1586851.4317690087</v>
      </c>
      <c r="U294" s="15"/>
      <c r="V294" s="35">
        <f t="shared" ref="V294" ca="1" si="611">+IFERROR(W294/$G294,"N/A")</f>
        <v>0.31708090675963291</v>
      </c>
      <c r="W294" s="34">
        <f t="shared" ca="1" si="560"/>
        <v>108967.1882634026</v>
      </c>
      <c r="X294" s="35">
        <f t="shared" ref="X294" ca="1" si="612">+IFERROR(Y294/$G294,"N/A")</f>
        <v>0.36867307712382791</v>
      </c>
      <c r="Y294" s="34">
        <f t="shared" ca="1" si="561"/>
        <v>126697.21748037622</v>
      </c>
      <c r="Z294" s="35">
        <f t="shared" ref="Z294" ca="1" si="613">+IFERROR(AA294/$G294,"N/A")</f>
        <v>0.57791995873464919</v>
      </c>
      <c r="AA294" s="34">
        <f t="shared" ca="1" si="562"/>
        <v>198606.44902329246</v>
      </c>
      <c r="AB294" s="34">
        <f t="shared" ca="1" si="562"/>
        <v>434270.85476707126</v>
      </c>
      <c r="AC294" s="15"/>
      <c r="AD294" s="34">
        <f t="shared" ca="1" si="563"/>
        <v>1152580.5770019372</v>
      </c>
      <c r="AE294" s="34">
        <f t="shared" ca="1" si="563"/>
        <v>390259.38630243327</v>
      </c>
      <c r="AF294" s="34">
        <f t="shared" ca="1" si="563"/>
        <v>762321.19069950434</v>
      </c>
      <c r="AG294" s="15"/>
      <c r="AH294" s="273"/>
      <c r="AI294" s="267"/>
      <c r="AJ294" s="267"/>
      <c r="AK294" s="34">
        <f t="shared" ca="1" si="564"/>
        <v>188384.54763395133</v>
      </c>
      <c r="AL294" s="233"/>
    </row>
    <row r="295" spans="2:38" x14ac:dyDescent="0.3">
      <c r="B295" s="232"/>
      <c r="C295" s="250">
        <f t="shared" si="554"/>
        <v>2029</v>
      </c>
      <c r="D295" s="263">
        <f t="shared" ca="1" si="565"/>
        <v>328994.40769625653</v>
      </c>
      <c r="E295" s="263">
        <f t="shared" ca="1" si="565"/>
        <v>2822.7027065764396</v>
      </c>
      <c r="F295" s="263">
        <f t="shared" ca="1" si="565"/>
        <v>0</v>
      </c>
      <c r="G295" s="263">
        <f t="shared" ca="1" si="565"/>
        <v>345930.62393571518</v>
      </c>
      <c r="H295" s="15"/>
      <c r="I295" s="35">
        <f t="shared" ca="1" si="566"/>
        <v>4.5</v>
      </c>
      <c r="J295" s="35">
        <f t="shared" ca="1" si="566"/>
        <v>80</v>
      </c>
      <c r="K295" s="35">
        <f t="shared" ca="1" si="566"/>
        <v>40</v>
      </c>
      <c r="L295" s="15"/>
      <c r="M295" s="35">
        <f t="shared" ca="1" si="567"/>
        <v>4.2299999999999986</v>
      </c>
      <c r="N295" s="35">
        <f t="shared" ca="1" si="557"/>
        <v>71.902528737360669</v>
      </c>
      <c r="O295" s="35" t="str">
        <f t="shared" ca="1" si="558"/>
        <v>N/A</v>
      </c>
      <c r="P295" s="15"/>
      <c r="Q295" s="34">
        <f t="shared" ca="1" si="568"/>
        <v>1391646.3445551647</v>
      </c>
      <c r="R295" s="34">
        <f t="shared" ca="1" si="568"/>
        <v>202959.46247663817</v>
      </c>
      <c r="S295" s="34">
        <f t="shared" ca="1" si="568"/>
        <v>0</v>
      </c>
      <c r="T295" s="34">
        <f t="shared" ca="1" si="568"/>
        <v>1594605.8070318031</v>
      </c>
      <c r="U295" s="15"/>
      <c r="V295" s="35">
        <f t="shared" ref="V295" ca="1" si="614">+IFERROR(W295/$G295,"N/A")</f>
        <v>0.31633093753034863</v>
      </c>
      <c r="W295" s="34">
        <f t="shared" ca="1" si="560"/>
        <v>109428.55859004323</v>
      </c>
      <c r="X295" s="35">
        <f t="shared" ref="X295" ca="1" si="615">+IFERROR(Y295/$G295,"N/A")</f>
        <v>0.3688136172213809</v>
      </c>
      <c r="Y295" s="34">
        <f t="shared" ca="1" si="561"/>
        <v>127583.92472138032</v>
      </c>
      <c r="Z295" s="35">
        <f t="shared" ref="Z295" ca="1" si="616">+IFERROR(AA295/$G295,"N/A")</f>
        <v>0.57814026483351599</v>
      </c>
      <c r="AA295" s="34">
        <f t="shared" ca="1" si="562"/>
        <v>199996.42253621781</v>
      </c>
      <c r="AB295" s="34">
        <f t="shared" ca="1" si="562"/>
        <v>437008.90584764135</v>
      </c>
      <c r="AC295" s="15"/>
      <c r="AD295" s="34">
        <f t="shared" ref="AD295:AF310" ca="1" si="617">+AD45+AD95+AD145+AD195+AD245</f>
        <v>1157596.9011841617</v>
      </c>
      <c r="AE295" s="34">
        <f t="shared" ca="1" si="617"/>
        <v>389782.30754837539</v>
      </c>
      <c r="AF295" s="34">
        <f t="shared" ca="1" si="617"/>
        <v>767814.59363578609</v>
      </c>
      <c r="AG295" s="15"/>
      <c r="AH295" s="273"/>
      <c r="AI295" s="267"/>
      <c r="AJ295" s="267"/>
      <c r="AK295" s="34">
        <f t="shared" ca="1" si="564"/>
        <v>172492.79587077309</v>
      </c>
      <c r="AL295" s="233"/>
    </row>
    <row r="296" spans="2:38" x14ac:dyDescent="0.3">
      <c r="B296" s="232"/>
      <c r="C296" s="250">
        <f t="shared" si="554"/>
        <v>2030</v>
      </c>
      <c r="D296" s="263">
        <f t="shared" ref="D296:G311" ca="1" si="618">+D46+D96+D146+D196+D246</f>
        <v>331920.703489515</v>
      </c>
      <c r="E296" s="263">
        <f t="shared" ca="1" si="618"/>
        <v>2777.8892151931814</v>
      </c>
      <c r="F296" s="263">
        <f t="shared" ca="1" si="618"/>
        <v>0</v>
      </c>
      <c r="G296" s="263">
        <f t="shared" ca="1" si="618"/>
        <v>348588.03878067405</v>
      </c>
      <c r="H296" s="15"/>
      <c r="I296" s="35">
        <f t="shared" ref="I296:K311" ca="1" si="619">+I46</f>
        <v>4.5</v>
      </c>
      <c r="J296" s="35">
        <f t="shared" ca="1" si="619"/>
        <v>80</v>
      </c>
      <c r="K296" s="35">
        <f t="shared" ca="1" si="619"/>
        <v>40</v>
      </c>
      <c r="L296" s="15"/>
      <c r="M296" s="35">
        <f t="shared" ca="1" si="567"/>
        <v>4.2299999999999995</v>
      </c>
      <c r="N296" s="35">
        <f t="shared" ca="1" si="557"/>
        <v>72.116015106476155</v>
      </c>
      <c r="O296" s="35" t="str">
        <f t="shared" ca="1" si="558"/>
        <v>N/A</v>
      </c>
      <c r="P296" s="15"/>
      <c r="Q296" s="34">
        <f t="shared" ref="Q296:T311" ca="1" si="620">+Q46+Q96+Q146+Q196+Q246</f>
        <v>1404024.5757606484</v>
      </c>
      <c r="R296" s="34">
        <f t="shared" ca="1" si="620"/>
        <v>200330.30060698866</v>
      </c>
      <c r="S296" s="34">
        <f t="shared" ca="1" si="620"/>
        <v>0</v>
      </c>
      <c r="T296" s="34">
        <f t="shared" ca="1" si="620"/>
        <v>1604354.8763676372</v>
      </c>
      <c r="U296" s="15"/>
      <c r="V296" s="35">
        <f t="shared" ref="V296" ca="1" si="621">+IFERROR(W296/$G296,"N/A")</f>
        <v>0.31565440701829289</v>
      </c>
      <c r="W296" s="34">
        <f t="shared" ca="1" si="560"/>
        <v>110033.35067498335</v>
      </c>
      <c r="X296" s="35">
        <f t="shared" ref="X296" ca="1" si="622">+IFERROR(Y296/$G296,"N/A")</f>
        <v>0.3689403953083335</v>
      </c>
      <c r="Y296" s="34">
        <f t="shared" ca="1" si="561"/>
        <v>128608.20882749857</v>
      </c>
      <c r="Z296" s="35">
        <f t="shared" ref="Z296" ca="1" si="623">+IFERROR(AA296/$G296,"N/A")</f>
        <v>0.57833899805090105</v>
      </c>
      <c r="AA296" s="34">
        <f t="shared" ca="1" si="562"/>
        <v>201602.05708094366</v>
      </c>
      <c r="AB296" s="34">
        <f t="shared" ca="1" si="562"/>
        <v>440243.61658342549</v>
      </c>
      <c r="AC296" s="15"/>
      <c r="AD296" s="34">
        <f t="shared" ca="1" si="617"/>
        <v>1164111.2597842114</v>
      </c>
      <c r="AE296" s="34">
        <f t="shared" ca="1" si="617"/>
        <v>389370.16759142402</v>
      </c>
      <c r="AF296" s="34">
        <f t="shared" ca="1" si="617"/>
        <v>774741.09219278733</v>
      </c>
      <c r="AG296" s="15"/>
      <c r="AH296" s="273"/>
      <c r="AI296" s="267"/>
      <c r="AJ296" s="267"/>
      <c r="AK296" s="34">
        <f t="shared" ca="1" si="564"/>
        <v>158226.23915152345</v>
      </c>
      <c r="AL296" s="233"/>
    </row>
    <row r="297" spans="2:38" x14ac:dyDescent="0.3">
      <c r="B297" s="232"/>
      <c r="C297" s="250">
        <f t="shared" si="554"/>
        <v>2031</v>
      </c>
      <c r="D297" s="263">
        <f t="shared" ca="1" si="618"/>
        <v>313953.27722876263</v>
      </c>
      <c r="E297" s="263">
        <f t="shared" ca="1" si="618"/>
        <v>2601.2356389647298</v>
      </c>
      <c r="F297" s="263">
        <f t="shared" ca="1" si="618"/>
        <v>0</v>
      </c>
      <c r="G297" s="263">
        <f t="shared" ca="1" si="618"/>
        <v>329560.69106255105</v>
      </c>
      <c r="H297" s="15"/>
      <c r="I297" s="35">
        <f t="shared" ca="1" si="619"/>
        <v>4.5</v>
      </c>
      <c r="J297" s="35">
        <f t="shared" ca="1" si="619"/>
        <v>80</v>
      </c>
      <c r="K297" s="35">
        <f t="shared" ca="1" si="619"/>
        <v>40</v>
      </c>
      <c r="L297" s="15"/>
      <c r="M297" s="35">
        <f t="shared" ca="1" si="567"/>
        <v>4.2299999999999995</v>
      </c>
      <c r="N297" s="35">
        <f t="shared" ca="1" si="557"/>
        <v>72.204815827712466</v>
      </c>
      <c r="O297" s="35" t="str">
        <f t="shared" ca="1" si="558"/>
        <v>N/A</v>
      </c>
      <c r="P297" s="15"/>
      <c r="Q297" s="34">
        <f t="shared" ca="1" si="620"/>
        <v>1328022.3626776659</v>
      </c>
      <c r="R297" s="34">
        <f t="shared" ca="1" si="620"/>
        <v>187821.74023593028</v>
      </c>
      <c r="S297" s="34">
        <f t="shared" ca="1" si="620"/>
        <v>0</v>
      </c>
      <c r="T297" s="34">
        <f t="shared" ca="1" si="620"/>
        <v>1515844.1029135962</v>
      </c>
      <c r="U297" s="15"/>
      <c r="V297" s="35">
        <f t="shared" ref="V297" ca="1" si="624">+IFERROR(W297/$G297,"N/A")</f>
        <v>0.31538278027624422</v>
      </c>
      <c r="W297" s="34">
        <f t="shared" ca="1" si="560"/>
        <v>103937.76701706774</v>
      </c>
      <c r="X297" s="35">
        <f t="shared" ref="X297" ca="1" si="625">+IFERROR(Y297/$G297,"N/A")</f>
        <v>0.36899129666179548</v>
      </c>
      <c r="Y297" s="34">
        <f t="shared" ca="1" si="561"/>
        <v>121605.02672392811</v>
      </c>
      <c r="Z297" s="35">
        <f t="shared" ref="Z297" ca="1" si="626">+IFERROR(AA297/$G297,"N/A")</f>
        <v>0.57841878936173341</v>
      </c>
      <c r="AA297" s="34">
        <f t="shared" ca="1" si="562"/>
        <v>190624.09594561701</v>
      </c>
      <c r="AB297" s="34">
        <f t="shared" ca="1" si="562"/>
        <v>416166.88968661294</v>
      </c>
      <c r="AC297" s="15"/>
      <c r="AD297" s="34">
        <f t="shared" ca="1" si="617"/>
        <v>1099677.2132269833</v>
      </c>
      <c r="AE297" s="34">
        <f t="shared" ca="1" si="617"/>
        <v>282466.79272870952</v>
      </c>
      <c r="AF297" s="34">
        <f t="shared" ca="1" si="617"/>
        <v>817210.42049827368</v>
      </c>
      <c r="AG297" s="15"/>
      <c r="AH297" s="273"/>
      <c r="AI297" s="267"/>
      <c r="AJ297" s="267"/>
      <c r="AK297" s="34">
        <f t="shared" ca="1" si="564"/>
        <v>151727.08867035955</v>
      </c>
      <c r="AL297" s="233"/>
    </row>
    <row r="298" spans="2:38" x14ac:dyDescent="0.3">
      <c r="B298" s="232"/>
      <c r="C298" s="250">
        <f t="shared" si="554"/>
        <v>2032</v>
      </c>
      <c r="D298" s="263">
        <f t="shared" ca="1" si="618"/>
        <v>296065.59534423216</v>
      </c>
      <c r="E298" s="263">
        <f t="shared" ca="1" si="618"/>
        <v>2430.7811425392188</v>
      </c>
      <c r="F298" s="263">
        <f t="shared" ca="1" si="618"/>
        <v>0</v>
      </c>
      <c r="G298" s="263">
        <f t="shared" ca="1" si="618"/>
        <v>310650.28219946747</v>
      </c>
      <c r="H298" s="15"/>
      <c r="I298" s="35">
        <f t="shared" ca="1" si="619"/>
        <v>4.5</v>
      </c>
      <c r="J298" s="35">
        <f t="shared" ca="1" si="619"/>
        <v>80</v>
      </c>
      <c r="K298" s="35">
        <f t="shared" ca="1" si="619"/>
        <v>40</v>
      </c>
      <c r="L298" s="15"/>
      <c r="M298" s="35">
        <f t="shared" ca="1" si="567"/>
        <v>4.2299999999999995</v>
      </c>
      <c r="N298" s="35">
        <f t="shared" ca="1" si="557"/>
        <v>72.285793960301717</v>
      </c>
      <c r="O298" s="35" t="str">
        <f t="shared" ca="1" si="558"/>
        <v>N/A</v>
      </c>
      <c r="P298" s="15"/>
      <c r="Q298" s="34">
        <f t="shared" ca="1" si="620"/>
        <v>1252357.4683061019</v>
      </c>
      <c r="R298" s="34">
        <f t="shared" ca="1" si="620"/>
        <v>175710.94483217676</v>
      </c>
      <c r="S298" s="34">
        <f t="shared" ca="1" si="620"/>
        <v>0</v>
      </c>
      <c r="T298" s="34">
        <f t="shared" ca="1" si="620"/>
        <v>1428068.413138279</v>
      </c>
      <c r="U298" s="15"/>
      <c r="V298" s="35">
        <f t="shared" ref="V298" ca="1" si="627">+IFERROR(W298/$G298,"N/A")</f>
        <v>0.31513940466303558</v>
      </c>
      <c r="W298" s="34">
        <f t="shared" ca="1" si="560"/>
        <v>97898.144990744186</v>
      </c>
      <c r="X298" s="35">
        <f t="shared" ref="X298" ca="1" si="628">+IFERROR(Y298/$G298,"N/A")</f>
        <v>0.3690369039095156</v>
      </c>
      <c r="Y298" s="34">
        <f t="shared" ca="1" si="561"/>
        <v>114641.41834150878</v>
      </c>
      <c r="Z298" s="35">
        <f t="shared" ref="Z298" ca="1" si="629">+IFERROR(AA298/$G298,"N/A")</f>
        <v>0.57849028180410544</v>
      </c>
      <c r="AA298" s="34">
        <f t="shared" ca="1" si="562"/>
        <v>179708.16929209483</v>
      </c>
      <c r="AB298" s="34">
        <f t="shared" ca="1" si="562"/>
        <v>392247.73262434779</v>
      </c>
      <c r="AC298" s="15"/>
      <c r="AD298" s="34">
        <f t="shared" ca="1" si="617"/>
        <v>1035820.6805139309</v>
      </c>
      <c r="AE298" s="34">
        <f t="shared" ca="1" si="617"/>
        <v>222230.12304879876</v>
      </c>
      <c r="AF298" s="34">
        <f t="shared" ca="1" si="617"/>
        <v>813590.55746513221</v>
      </c>
      <c r="AG298" s="15"/>
      <c r="AH298" s="273"/>
      <c r="AI298" s="267"/>
      <c r="AJ298" s="267"/>
      <c r="AK298" s="34">
        <f t="shared" ca="1" si="564"/>
        <v>137322.73459866137</v>
      </c>
      <c r="AL298" s="233"/>
    </row>
    <row r="299" spans="2:38" x14ac:dyDescent="0.3">
      <c r="B299" s="232"/>
      <c r="C299" s="250">
        <f t="shared" si="554"/>
        <v>2033</v>
      </c>
      <c r="D299" s="263">
        <f t="shared" ca="1" si="618"/>
        <v>287422.0333291617</v>
      </c>
      <c r="E299" s="263">
        <f t="shared" ca="1" si="618"/>
        <v>2326.753415670054</v>
      </c>
      <c r="F299" s="263">
        <f t="shared" ca="1" si="618"/>
        <v>0</v>
      </c>
      <c r="G299" s="263">
        <f t="shared" ca="1" si="618"/>
        <v>301382.55382318207</v>
      </c>
      <c r="H299" s="15"/>
      <c r="I299" s="35">
        <f t="shared" ca="1" si="619"/>
        <v>4.5</v>
      </c>
      <c r="J299" s="35">
        <f t="shared" ca="1" si="619"/>
        <v>80</v>
      </c>
      <c r="K299" s="35">
        <f t="shared" ca="1" si="619"/>
        <v>40</v>
      </c>
      <c r="L299" s="15"/>
      <c r="M299" s="35">
        <f t="shared" ca="1" si="567"/>
        <v>4.2299999999999995</v>
      </c>
      <c r="N299" s="35">
        <f t="shared" ca="1" si="557"/>
        <v>72.412142187342624</v>
      </c>
      <c r="O299" s="35" t="str">
        <f t="shared" ca="1" si="558"/>
        <v>N/A</v>
      </c>
      <c r="P299" s="15"/>
      <c r="Q299" s="34">
        <f t="shared" ca="1" si="620"/>
        <v>1215795.2009823539</v>
      </c>
      <c r="R299" s="34">
        <f t="shared" ca="1" si="620"/>
        <v>168485.19917038505</v>
      </c>
      <c r="S299" s="34">
        <f t="shared" ca="1" si="620"/>
        <v>0</v>
      </c>
      <c r="T299" s="34">
        <f t="shared" ca="1" si="620"/>
        <v>1384280.4001527391</v>
      </c>
      <c r="U299" s="15"/>
      <c r="V299" s="35">
        <f t="shared" ref="V299" ca="1" si="630">+IFERROR(W299/$G299,"N/A")</f>
        <v>0.31476770051813058</v>
      </c>
      <c r="W299" s="34">
        <f t="shared" ca="1" si="560"/>
        <v>94865.493443204745</v>
      </c>
      <c r="X299" s="35">
        <f t="shared" ref="X299" ca="1" si="631">+IFERROR(Y299/$G299,"N/A")</f>
        <v>0.36910655921635471</v>
      </c>
      <c r="Y299" s="34">
        <f t="shared" ca="1" si="561"/>
        <v>111242.27744951256</v>
      </c>
      <c r="Z299" s="35">
        <f t="shared" ref="Z299" ca="1" si="632">+IFERROR(AA299/$G299,"N/A")</f>
        <v>0.57859947120401556</v>
      </c>
      <c r="AA299" s="34">
        <f t="shared" ca="1" si="562"/>
        <v>174379.7862722089</v>
      </c>
      <c r="AB299" s="34">
        <f t="shared" ca="1" si="562"/>
        <v>380487.55716492626</v>
      </c>
      <c r="AC299" s="15"/>
      <c r="AD299" s="34">
        <f t="shared" ca="1" si="617"/>
        <v>1003792.8429878128</v>
      </c>
      <c r="AE299" s="34">
        <f t="shared" ca="1" si="617"/>
        <v>221938.32581171225</v>
      </c>
      <c r="AF299" s="34">
        <f t="shared" ca="1" si="617"/>
        <v>781854.51717610063</v>
      </c>
      <c r="AG299" s="15"/>
      <c r="AH299" s="273"/>
      <c r="AI299" s="267"/>
      <c r="AJ299" s="267"/>
      <c r="AK299" s="34">
        <f t="shared" ca="1" si="564"/>
        <v>119969.21253660256</v>
      </c>
      <c r="AL299" s="233"/>
    </row>
    <row r="300" spans="2:38" x14ac:dyDescent="0.3">
      <c r="B300" s="232"/>
      <c r="C300" s="250">
        <f t="shared" si="554"/>
        <v>2034</v>
      </c>
      <c r="D300" s="263">
        <f t="shared" ca="1" si="618"/>
        <v>276906.99663950532</v>
      </c>
      <c r="E300" s="263">
        <f t="shared" ca="1" si="618"/>
        <v>2219.7592130021308</v>
      </c>
      <c r="F300" s="263">
        <f t="shared" ca="1" si="618"/>
        <v>0</v>
      </c>
      <c r="G300" s="263">
        <f t="shared" ca="1" si="618"/>
        <v>290225.55191751808</v>
      </c>
      <c r="H300" s="15"/>
      <c r="I300" s="35">
        <f t="shared" ca="1" si="619"/>
        <v>4.5</v>
      </c>
      <c r="J300" s="35">
        <f t="shared" ca="1" si="619"/>
        <v>80</v>
      </c>
      <c r="K300" s="35">
        <f t="shared" ca="1" si="619"/>
        <v>40</v>
      </c>
      <c r="L300" s="15"/>
      <c r="M300" s="35">
        <f t="shared" ca="1" si="567"/>
        <v>4.2299999999999995</v>
      </c>
      <c r="N300" s="35">
        <f t="shared" ca="1" si="557"/>
        <v>72.524693239006609</v>
      </c>
      <c r="O300" s="35" t="str">
        <f t="shared" ca="1" si="558"/>
        <v>N/A</v>
      </c>
      <c r="P300" s="15"/>
      <c r="Q300" s="34">
        <f t="shared" ca="1" si="620"/>
        <v>1171316.5957851075</v>
      </c>
      <c r="R300" s="34">
        <f t="shared" ca="1" si="620"/>
        <v>160987.35598743826</v>
      </c>
      <c r="S300" s="34">
        <f t="shared" ca="1" si="620"/>
        <v>0</v>
      </c>
      <c r="T300" s="34">
        <f t="shared" ca="1" si="620"/>
        <v>1332303.9517725455</v>
      </c>
      <c r="U300" s="15"/>
      <c r="V300" s="35">
        <f t="shared" ref="V300" ca="1" si="633">+IFERROR(W300/$G300,"N/A")</f>
        <v>0.31445588465134189</v>
      </c>
      <c r="W300" s="34">
        <f t="shared" ca="1" si="560"/>
        <v>91263.132676647103</v>
      </c>
      <c r="X300" s="35">
        <f t="shared" ref="X300" ca="1" si="634">+IFERROR(Y300/$G300,"N/A")</f>
        <v>0.36916499179015377</v>
      </c>
      <c r="Y300" s="34">
        <f t="shared" ca="1" si="561"/>
        <v>107141.11349092341</v>
      </c>
      <c r="Z300" s="35">
        <f t="shared" ref="Z300" ca="1" si="635">+IFERROR(AA300/$G300,"N/A")</f>
        <v>0.57869106821159244</v>
      </c>
      <c r="AA300" s="34">
        <f t="shared" ca="1" si="562"/>
        <v>167950.93466144751</v>
      </c>
      <c r="AB300" s="34">
        <f t="shared" ca="1" si="562"/>
        <v>366355.18082901795</v>
      </c>
      <c r="AC300" s="15"/>
      <c r="AD300" s="34">
        <f t="shared" ca="1" si="617"/>
        <v>965948.77094352781</v>
      </c>
      <c r="AE300" s="34">
        <f t="shared" ca="1" si="617"/>
        <v>221136.8893792142</v>
      </c>
      <c r="AF300" s="34">
        <f t="shared" ca="1" si="617"/>
        <v>744811.88156431343</v>
      </c>
      <c r="AG300" s="15"/>
      <c r="AH300" s="273"/>
      <c r="AI300" s="267"/>
      <c r="AJ300" s="267"/>
      <c r="AK300" s="34">
        <f t="shared" ca="1" si="564"/>
        <v>103895.74688501366</v>
      </c>
      <c r="AL300" s="233"/>
    </row>
    <row r="301" spans="2:38" x14ac:dyDescent="0.3">
      <c r="B301" s="232"/>
      <c r="C301" s="250">
        <f t="shared" si="554"/>
        <v>2035</v>
      </c>
      <c r="D301" s="263">
        <f t="shared" ca="1" si="618"/>
        <v>250347.58662038657</v>
      </c>
      <c r="E301" s="263">
        <f t="shared" ca="1" si="618"/>
        <v>2016.1471330403447</v>
      </c>
      <c r="F301" s="263">
        <f t="shared" ca="1" si="618"/>
        <v>0</v>
      </c>
      <c r="G301" s="263">
        <f t="shared" ca="1" si="618"/>
        <v>262444.46941862861</v>
      </c>
      <c r="H301" s="15"/>
      <c r="I301" s="35">
        <f t="shared" ca="1" si="619"/>
        <v>4.5</v>
      </c>
      <c r="J301" s="35">
        <f t="shared" ca="1" si="619"/>
        <v>80</v>
      </c>
      <c r="K301" s="35">
        <f t="shared" ca="1" si="619"/>
        <v>40</v>
      </c>
      <c r="L301" s="15"/>
      <c r="M301" s="35">
        <f t="shared" ca="1" si="567"/>
        <v>4.2299999999999986</v>
      </c>
      <c r="N301" s="35">
        <f t="shared" ca="1" si="557"/>
        <v>72.541774252220065</v>
      </c>
      <c r="O301" s="35" t="str">
        <f t="shared" ca="1" si="558"/>
        <v>N/A</v>
      </c>
      <c r="P301" s="15"/>
      <c r="Q301" s="34">
        <f t="shared" ca="1" si="620"/>
        <v>1058970.2914042349</v>
      </c>
      <c r="R301" s="34">
        <f t="shared" ca="1" si="620"/>
        <v>146254.89018427339</v>
      </c>
      <c r="S301" s="34">
        <f t="shared" ca="1" si="620"/>
        <v>0</v>
      </c>
      <c r="T301" s="34">
        <f t="shared" ca="1" si="620"/>
        <v>1205225.1815885084</v>
      </c>
      <c r="U301" s="15"/>
      <c r="V301" s="35">
        <f t="shared" ref="V301" ca="1" si="636">+IFERROR(W301/$G301,"N/A")</f>
        <v>0.31443480644333299</v>
      </c>
      <c r="W301" s="34">
        <f t="shared" ca="1" si="560"/>
        <v>82521.675943769704</v>
      </c>
      <c r="X301" s="35">
        <f t="shared" ref="X301" ca="1" si="637">+IFERROR(Y301/$G301,"N/A")</f>
        <v>0.36916894173009018</v>
      </c>
      <c r="Y301" s="34">
        <f t="shared" ca="1" si="561"/>
        <v>96886.347038190142</v>
      </c>
      <c r="Z301" s="35">
        <f t="shared" ref="Z301" ca="1" si="638">+IFERROR(AA301/$G301,"N/A")</f>
        <v>0.57869726000933053</v>
      </c>
      <c r="AA301" s="34">
        <f t="shared" ca="1" si="562"/>
        <v>151875.89535716292</v>
      </c>
      <c r="AB301" s="34">
        <f t="shared" ca="1" si="562"/>
        <v>331283.91833912273</v>
      </c>
      <c r="AC301" s="15"/>
      <c r="AD301" s="34">
        <f t="shared" ca="1" si="617"/>
        <v>873941.26324938575</v>
      </c>
      <c r="AE301" s="34">
        <f t="shared" ca="1" si="617"/>
        <v>155736.4841679559</v>
      </c>
      <c r="AF301" s="34">
        <f t="shared" ca="1" si="617"/>
        <v>718204.77908142982</v>
      </c>
      <c r="AG301" s="15"/>
      <c r="AH301" s="273"/>
      <c r="AI301" s="267"/>
      <c r="AJ301" s="267"/>
      <c r="AK301" s="34">
        <f t="shared" ca="1" si="564"/>
        <v>91076.593586328017</v>
      </c>
      <c r="AL301" s="233"/>
    </row>
    <row r="302" spans="2:38" x14ac:dyDescent="0.3">
      <c r="B302" s="232"/>
      <c r="C302" s="250">
        <f t="shared" si="554"/>
        <v>2036</v>
      </c>
      <c r="D302" s="263">
        <f t="shared" ca="1" si="618"/>
        <v>228177.98761241109</v>
      </c>
      <c r="E302" s="263">
        <f t="shared" ca="1" si="618"/>
        <v>1833.4838674046132</v>
      </c>
      <c r="F302" s="263">
        <f t="shared" ca="1" si="618"/>
        <v>0</v>
      </c>
      <c r="G302" s="263">
        <f t="shared" ca="1" si="618"/>
        <v>239178.89081683877</v>
      </c>
      <c r="H302" s="15"/>
      <c r="I302" s="35">
        <f t="shared" ca="1" si="619"/>
        <v>4.5</v>
      </c>
      <c r="J302" s="35">
        <f t="shared" ca="1" si="619"/>
        <v>80</v>
      </c>
      <c r="K302" s="35">
        <f t="shared" ca="1" si="619"/>
        <v>40</v>
      </c>
      <c r="L302" s="15"/>
      <c r="M302" s="35">
        <f t="shared" ca="1" si="567"/>
        <v>4.2299999999999995</v>
      </c>
      <c r="N302" s="35">
        <f t="shared" ca="1" si="557"/>
        <v>72.560981439499443</v>
      </c>
      <c r="O302" s="35" t="str">
        <f t="shared" ca="1" si="558"/>
        <v>N/A</v>
      </c>
      <c r="P302" s="15"/>
      <c r="Q302" s="34">
        <f t="shared" ca="1" si="620"/>
        <v>965192.88760049886</v>
      </c>
      <c r="R302" s="34">
        <f t="shared" ca="1" si="620"/>
        <v>133039.3888723678</v>
      </c>
      <c r="S302" s="34">
        <f t="shared" ca="1" si="620"/>
        <v>0</v>
      </c>
      <c r="T302" s="34">
        <f t="shared" ca="1" si="620"/>
        <v>1098232.2764728668</v>
      </c>
      <c r="U302" s="15"/>
      <c r="V302" s="35">
        <f t="shared" ref="V302" ca="1" si="639">+IFERROR(W302/$G302,"N/A")</f>
        <v>0.31437957287124274</v>
      </c>
      <c r="W302" s="34">
        <f t="shared" ca="1" si="560"/>
        <v>75192.957534815374</v>
      </c>
      <c r="X302" s="35">
        <f t="shared" ref="X302" ca="1" si="640">+IFERROR(Y302/$G302,"N/A")</f>
        <v>0.3691792921968915</v>
      </c>
      <c r="Y302" s="34">
        <f t="shared" ca="1" si="561"/>
        <v>88299.893620198127</v>
      </c>
      <c r="Z302" s="35">
        <f t="shared" ref="Z302" ca="1" si="641">+IFERROR(AA302/$G302,"N/A")</f>
        <v>0.57871348506539744</v>
      </c>
      <c r="AA302" s="34">
        <f t="shared" ca="1" si="562"/>
        <v>138416.04945868894</v>
      </c>
      <c r="AB302" s="34">
        <f t="shared" ca="1" si="562"/>
        <v>301908.90061370243</v>
      </c>
      <c r="AC302" s="15"/>
      <c r="AD302" s="34">
        <f t="shared" ca="1" si="617"/>
        <v>796323.37585916428</v>
      </c>
      <c r="AE302" s="34">
        <f t="shared" ca="1" si="617"/>
        <v>77243.742514970072</v>
      </c>
      <c r="AF302" s="34">
        <f t="shared" ca="1" si="617"/>
        <v>719079.63334419427</v>
      </c>
      <c r="AG302" s="15"/>
      <c r="AH302" s="273"/>
      <c r="AI302" s="267"/>
      <c r="AJ302" s="267"/>
      <c r="AK302" s="34">
        <f t="shared" ca="1" si="564"/>
        <v>82897.759208170915</v>
      </c>
      <c r="AL302" s="233"/>
    </row>
    <row r="303" spans="2:38" x14ac:dyDescent="0.3">
      <c r="B303" s="232"/>
      <c r="C303" s="250">
        <f t="shared" si="554"/>
        <v>2037</v>
      </c>
      <c r="D303" s="263">
        <f t="shared" ca="1" si="618"/>
        <v>216226.18315850914</v>
      </c>
      <c r="E303" s="263">
        <f t="shared" ca="1" si="618"/>
        <v>1722.0080278667433</v>
      </c>
      <c r="F303" s="263">
        <f t="shared" ca="1" si="618"/>
        <v>0</v>
      </c>
      <c r="G303" s="263">
        <f t="shared" ca="1" si="618"/>
        <v>226558.23132570961</v>
      </c>
      <c r="H303" s="15"/>
      <c r="I303" s="35">
        <f t="shared" ca="1" si="619"/>
        <v>4.5</v>
      </c>
      <c r="J303" s="35">
        <f t="shared" ca="1" si="619"/>
        <v>80</v>
      </c>
      <c r="K303" s="35">
        <f t="shared" ca="1" si="619"/>
        <v>40</v>
      </c>
      <c r="L303" s="15"/>
      <c r="M303" s="35">
        <f t="shared" ca="1" si="567"/>
        <v>4.2299999999999995</v>
      </c>
      <c r="N303" s="35">
        <f t="shared" ca="1" si="557"/>
        <v>72.637737729921483</v>
      </c>
      <c r="O303" s="35" t="str">
        <f t="shared" ca="1" si="558"/>
        <v>N/A</v>
      </c>
      <c r="P303" s="15"/>
      <c r="Q303" s="34">
        <f t="shared" ca="1" si="620"/>
        <v>914636.75476049352</v>
      </c>
      <c r="R303" s="34">
        <f t="shared" ca="1" si="620"/>
        <v>125082.76749700382</v>
      </c>
      <c r="S303" s="34">
        <f t="shared" ca="1" si="620"/>
        <v>0</v>
      </c>
      <c r="T303" s="34">
        <f t="shared" ca="1" si="620"/>
        <v>1039719.5222574972</v>
      </c>
      <c r="U303" s="15"/>
      <c r="V303" s="35">
        <f t="shared" ref="V303" ca="1" si="642">+IFERROR(W303/$G303,"N/A")</f>
        <v>0.31416118733766285</v>
      </c>
      <c r="W303" s="34">
        <f t="shared" ca="1" si="560"/>
        <v>71175.802954405808</v>
      </c>
      <c r="X303" s="35">
        <f t="shared" ref="X303" ca="1" si="643">+IFERROR(Y303/$G303,"N/A")</f>
        <v>0.36922021644150721</v>
      </c>
      <c r="Y303" s="34">
        <f t="shared" ca="1" si="561"/>
        <v>83649.879206683559</v>
      </c>
      <c r="Z303" s="35">
        <f t="shared" ref="Z303" ca="1" si="644">+IFERROR(AA303/$G303,"N/A")</f>
        <v>0.57877763658398407</v>
      </c>
      <c r="AA303" s="34">
        <f t="shared" ca="1" si="562"/>
        <v>131126.83767534175</v>
      </c>
      <c r="AB303" s="34">
        <f t="shared" ca="1" si="562"/>
        <v>285952.51983643108</v>
      </c>
      <c r="AC303" s="15"/>
      <c r="AD303" s="34">
        <f t="shared" ca="1" si="617"/>
        <v>753767.00242106616</v>
      </c>
      <c r="AE303" s="34">
        <f t="shared" ca="1" si="617"/>
        <v>77243.742514970072</v>
      </c>
      <c r="AF303" s="34">
        <f t="shared" ca="1" si="617"/>
        <v>676523.25990609603</v>
      </c>
      <c r="AG303" s="15"/>
      <c r="AH303" s="273"/>
      <c r="AI303" s="267"/>
      <c r="AJ303" s="267"/>
      <c r="AK303" s="34">
        <f t="shared" ca="1" si="564"/>
        <v>70901.569801996739</v>
      </c>
      <c r="AL303" s="233"/>
    </row>
    <row r="304" spans="2:38" x14ac:dyDescent="0.3">
      <c r="B304" s="232"/>
      <c r="C304" s="250">
        <f t="shared" si="554"/>
        <v>2038</v>
      </c>
      <c r="D304" s="263">
        <f t="shared" ca="1" si="618"/>
        <v>207352.69454677723</v>
      </c>
      <c r="E304" s="263">
        <f t="shared" ca="1" si="618"/>
        <v>1634.1356722091411</v>
      </c>
      <c r="F304" s="263">
        <f t="shared" ca="1" si="618"/>
        <v>0</v>
      </c>
      <c r="G304" s="263">
        <f t="shared" ca="1" si="618"/>
        <v>217157.50858003207</v>
      </c>
      <c r="H304" s="15"/>
      <c r="I304" s="35">
        <f t="shared" ca="1" si="619"/>
        <v>4.5</v>
      </c>
      <c r="J304" s="35">
        <f t="shared" ca="1" si="619"/>
        <v>80</v>
      </c>
      <c r="K304" s="35">
        <f t="shared" ca="1" si="619"/>
        <v>40</v>
      </c>
      <c r="L304" s="15"/>
      <c r="M304" s="35">
        <f t="shared" ca="1" si="567"/>
        <v>4.2299999999999995</v>
      </c>
      <c r="N304" s="35">
        <f t="shared" ca="1" si="557"/>
        <v>72.728678061986443</v>
      </c>
      <c r="O304" s="35" t="str">
        <f t="shared" ca="1" si="558"/>
        <v>N/A</v>
      </c>
      <c r="P304" s="15"/>
      <c r="Q304" s="34">
        <f t="shared" ca="1" si="620"/>
        <v>877101.89793286752</v>
      </c>
      <c r="R304" s="34">
        <f t="shared" ca="1" si="620"/>
        <v>118848.52721370643</v>
      </c>
      <c r="S304" s="34">
        <f t="shared" ca="1" si="620"/>
        <v>0</v>
      </c>
      <c r="T304" s="34">
        <f t="shared" ca="1" si="620"/>
        <v>995950.42514657392</v>
      </c>
      <c r="U304" s="15"/>
      <c r="V304" s="35">
        <f t="shared" ref="V304" ca="1" si="645">+IFERROR(W304/$G304,"N/A")</f>
        <v>0.31390719217880297</v>
      </c>
      <c r="W304" s="34">
        <f t="shared" ca="1" si="560"/>
        <v>68167.303778902176</v>
      </c>
      <c r="X304" s="35">
        <f t="shared" ref="X304" ca="1" si="646">+IFERROR(Y304/$G304,"N/A")</f>
        <v>0.36926781373351636</v>
      </c>
      <c r="Y304" s="34">
        <f t="shared" ca="1" si="561"/>
        <v>80189.278429165759</v>
      </c>
      <c r="Z304" s="35">
        <f t="shared" ref="Z304" ca="1" si="647">+IFERROR(AA304/$G304,"N/A")</f>
        <v>0.57885224855524176</v>
      </c>
      <c r="AA304" s="34">
        <f t="shared" ca="1" si="562"/>
        <v>125702.11213220577</v>
      </c>
      <c r="AB304" s="34">
        <f t="shared" ca="1" si="562"/>
        <v>274058.69434027374</v>
      </c>
      <c r="AC304" s="15"/>
      <c r="AD304" s="34">
        <f t="shared" ca="1" si="617"/>
        <v>721891.73080630018</v>
      </c>
      <c r="AE304" s="34">
        <f t="shared" ca="1" si="617"/>
        <v>77243.742514970072</v>
      </c>
      <c r="AF304" s="34">
        <f t="shared" ca="1" si="617"/>
        <v>644647.98829133017</v>
      </c>
      <c r="AG304" s="15"/>
      <c r="AH304" s="273"/>
      <c r="AI304" s="267"/>
      <c r="AJ304" s="267"/>
      <c r="AK304" s="34">
        <f t="shared" ca="1" si="564"/>
        <v>61419.045727601653</v>
      </c>
      <c r="AL304" s="233"/>
    </row>
    <row r="305" spans="2:38" x14ac:dyDescent="0.3">
      <c r="B305" s="232"/>
      <c r="C305" s="250">
        <f t="shared" si="554"/>
        <v>2039</v>
      </c>
      <c r="D305" s="263">
        <f t="shared" ca="1" si="618"/>
        <v>200192.39375374827</v>
      </c>
      <c r="E305" s="263">
        <f t="shared" ca="1" si="618"/>
        <v>1560.5130204177578</v>
      </c>
      <c r="F305" s="263">
        <f t="shared" ca="1" si="618"/>
        <v>0</v>
      </c>
      <c r="G305" s="263">
        <f t="shared" ca="1" si="618"/>
        <v>209555.47187625483</v>
      </c>
      <c r="H305" s="15"/>
      <c r="I305" s="35">
        <f t="shared" ca="1" si="619"/>
        <v>4.5</v>
      </c>
      <c r="J305" s="35">
        <f t="shared" ca="1" si="619"/>
        <v>80</v>
      </c>
      <c r="K305" s="35">
        <f t="shared" ca="1" si="619"/>
        <v>40</v>
      </c>
      <c r="L305" s="15"/>
      <c r="M305" s="35">
        <f t="shared" ca="1" si="567"/>
        <v>4.2299999999999986</v>
      </c>
      <c r="N305" s="35">
        <f t="shared" ca="1" si="557"/>
        <v>72.824844851259058</v>
      </c>
      <c r="O305" s="35" t="str">
        <f t="shared" ca="1" si="558"/>
        <v>N/A</v>
      </c>
      <c r="P305" s="15"/>
      <c r="Q305" s="34">
        <f t="shared" ca="1" si="620"/>
        <v>846813.825578355</v>
      </c>
      <c r="R305" s="34">
        <f t="shared" ca="1" si="620"/>
        <v>113644.11860029287</v>
      </c>
      <c r="S305" s="34">
        <f t="shared" ca="1" si="620"/>
        <v>0</v>
      </c>
      <c r="T305" s="34">
        <f t="shared" ca="1" si="620"/>
        <v>960457.94417864806</v>
      </c>
      <c r="U305" s="15"/>
      <c r="V305" s="35">
        <f t="shared" ref="V305" ca="1" si="648">+IFERROR(W305/$G305,"N/A")</f>
        <v>0.31364403993055329</v>
      </c>
      <c r="W305" s="34">
        <f t="shared" ca="1" si="560"/>
        <v>65725.824788822007</v>
      </c>
      <c r="X305" s="35">
        <f t="shared" ref="X305" ca="1" si="649">+IFERROR(Y305/$G305,"N/A")</f>
        <v>0.36931712701357661</v>
      </c>
      <c r="Y305" s="34">
        <f t="shared" ca="1" si="561"/>
        <v>77392.424823312787</v>
      </c>
      <c r="Z305" s="35">
        <f t="shared" ref="Z305" ca="1" si="650">+IFERROR(AA305/$G305,"N/A")</f>
        <v>0.57892955045371475</v>
      </c>
      <c r="AA305" s="34">
        <f t="shared" ca="1" si="562"/>
        <v>121317.85512843626</v>
      </c>
      <c r="AB305" s="34">
        <f t="shared" ca="1" si="562"/>
        <v>264436.10474057106</v>
      </c>
      <c r="AC305" s="15"/>
      <c r="AD305" s="34">
        <f t="shared" ca="1" si="617"/>
        <v>696021.83943807695</v>
      </c>
      <c r="AE305" s="34">
        <f t="shared" ca="1" si="617"/>
        <v>77243.742514970072</v>
      </c>
      <c r="AF305" s="34">
        <f t="shared" ca="1" si="617"/>
        <v>618778.09692310682</v>
      </c>
      <c r="AG305" s="15"/>
      <c r="AH305" s="273"/>
      <c r="AI305" s="267"/>
      <c r="AJ305" s="267"/>
      <c r="AK305" s="34">
        <f t="shared" ca="1" si="564"/>
        <v>53594.803140536824</v>
      </c>
      <c r="AL305" s="233"/>
    </row>
    <row r="306" spans="2:38" x14ac:dyDescent="0.3">
      <c r="B306" s="232"/>
      <c r="C306" s="250">
        <f t="shared" si="554"/>
        <v>2040</v>
      </c>
      <c r="D306" s="263">
        <f t="shared" ca="1" si="618"/>
        <v>179060.24344116607</v>
      </c>
      <c r="E306" s="263">
        <f t="shared" ca="1" si="618"/>
        <v>1397.1004275815731</v>
      </c>
      <c r="F306" s="263">
        <f t="shared" ca="1" si="618"/>
        <v>0</v>
      </c>
      <c r="G306" s="263">
        <f t="shared" ca="1" si="618"/>
        <v>187442.84600665548</v>
      </c>
      <c r="H306" s="15"/>
      <c r="I306" s="35">
        <f t="shared" ca="1" si="619"/>
        <v>4.5</v>
      </c>
      <c r="J306" s="35">
        <f t="shared" ca="1" si="619"/>
        <v>80</v>
      </c>
      <c r="K306" s="35">
        <f t="shared" ca="1" si="619"/>
        <v>40</v>
      </c>
      <c r="L306" s="15"/>
      <c r="M306" s="35">
        <f t="shared" ca="1" si="567"/>
        <v>4.2299999999999995</v>
      </c>
      <c r="N306" s="35">
        <f t="shared" ca="1" si="557"/>
        <v>72.816545394135375</v>
      </c>
      <c r="O306" s="35" t="str">
        <f t="shared" ca="1" si="558"/>
        <v>N/A</v>
      </c>
      <c r="P306" s="15"/>
      <c r="Q306" s="34">
        <f t="shared" ca="1" si="620"/>
        <v>757424.82975613233</v>
      </c>
      <c r="R306" s="34">
        <f t="shared" ca="1" si="620"/>
        <v>101732.02670515956</v>
      </c>
      <c r="S306" s="34">
        <f t="shared" ca="1" si="620"/>
        <v>0</v>
      </c>
      <c r="T306" s="34">
        <f t="shared" ca="1" si="620"/>
        <v>859156.8564612919</v>
      </c>
      <c r="U306" s="15"/>
      <c r="V306" s="35">
        <f t="shared" ref="V306" ca="1" si="651">+IFERROR(W306/$G306,"N/A")</f>
        <v>0.31366653447227483</v>
      </c>
      <c r="W306" s="34">
        <f t="shared" ca="1" si="560"/>
        <v>58794.547918527904</v>
      </c>
      <c r="X306" s="35">
        <f t="shared" ref="X306" ca="1" si="652">+IFERROR(Y306/$G306,"N/A")</f>
        <v>0.36931291166051355</v>
      </c>
      <c r="Y306" s="34">
        <f t="shared" ca="1" si="561"/>
        <v>69225.063228651197</v>
      </c>
      <c r="Z306" s="35">
        <f t="shared" ref="Z306" ca="1" si="653">+IFERROR(AA306/$G306,"N/A")</f>
        <v>0.57892294260296717</v>
      </c>
      <c r="AA306" s="34">
        <f t="shared" ca="1" si="562"/>
        <v>108514.96398004782</v>
      </c>
      <c r="AB306" s="34">
        <f t="shared" ca="1" si="562"/>
        <v>236534.57512722688</v>
      </c>
      <c r="AC306" s="15"/>
      <c r="AD306" s="34">
        <f t="shared" ca="1" si="617"/>
        <v>622622.28133406502</v>
      </c>
      <c r="AE306" s="34">
        <f t="shared" ca="1" si="617"/>
        <v>0</v>
      </c>
      <c r="AF306" s="34">
        <f t="shared" ca="1" si="617"/>
        <v>622622.28133406502</v>
      </c>
      <c r="AG306" s="15"/>
      <c r="AH306" s="273"/>
      <c r="AI306" s="267"/>
      <c r="AJ306" s="267"/>
      <c r="AK306" s="34">
        <f t="shared" ca="1" si="564"/>
        <v>49025.239147546832</v>
      </c>
      <c r="AL306" s="233"/>
    </row>
    <row r="307" spans="2:38" x14ac:dyDescent="0.3">
      <c r="B307" s="232"/>
      <c r="C307" s="250">
        <f t="shared" si="554"/>
        <v>2041</v>
      </c>
      <c r="D307" s="263">
        <f t="shared" ca="1" si="618"/>
        <v>166994.85208512761</v>
      </c>
      <c r="E307" s="263">
        <f t="shared" ca="1" si="618"/>
        <v>1296.0229441875531</v>
      </c>
      <c r="F307" s="263">
        <f t="shared" ca="1" si="618"/>
        <v>0</v>
      </c>
      <c r="G307" s="263">
        <f t="shared" ca="1" si="618"/>
        <v>174770.98975025289</v>
      </c>
      <c r="H307" s="15"/>
      <c r="I307" s="35">
        <f t="shared" ca="1" si="619"/>
        <v>4.5</v>
      </c>
      <c r="J307" s="35">
        <f t="shared" ca="1" si="619"/>
        <v>80</v>
      </c>
      <c r="K307" s="35">
        <f t="shared" ca="1" si="619"/>
        <v>40</v>
      </c>
      <c r="L307" s="15"/>
      <c r="M307" s="35">
        <f t="shared" ca="1" si="567"/>
        <v>4.2299999999999995</v>
      </c>
      <c r="N307" s="35">
        <f t="shared" ca="1" si="557"/>
        <v>72.863745873367492</v>
      </c>
      <c r="O307" s="35" t="str">
        <f t="shared" ca="1" si="558"/>
        <v>N/A</v>
      </c>
      <c r="P307" s="15"/>
      <c r="Q307" s="34">
        <f t="shared" ca="1" si="620"/>
        <v>706388.22432008968</v>
      </c>
      <c r="R307" s="34">
        <f t="shared" ca="1" si="620"/>
        <v>94433.086451335403</v>
      </c>
      <c r="S307" s="34">
        <f t="shared" ca="1" si="620"/>
        <v>0</v>
      </c>
      <c r="T307" s="34">
        <f t="shared" ca="1" si="620"/>
        <v>800821.31077142502</v>
      </c>
      <c r="U307" s="15"/>
      <c r="V307" s="35">
        <f t="shared" ref="V307" ca="1" si="654">+IFERROR(W307/$G307,"N/A")</f>
        <v>0.31353914051583814</v>
      </c>
      <c r="W307" s="34">
        <f t="shared" ca="1" si="560"/>
        <v>54797.545913396651</v>
      </c>
      <c r="X307" s="35">
        <f t="shared" ref="X307" ca="1" si="655">+IFERROR(Y307/$G307,"N/A")</f>
        <v>0.36933678458538327</v>
      </c>
      <c r="Y307" s="34">
        <f t="shared" ca="1" si="561"/>
        <v>64549.35539316338</v>
      </c>
      <c r="Z307" s="35">
        <f t="shared" ref="Z307" ca="1" si="656">+IFERROR(AA307/$G307,"N/A")</f>
        <v>0.57896036502573589</v>
      </c>
      <c r="AA307" s="34">
        <f t="shared" ca="1" si="562"/>
        <v>101185.47602171556</v>
      </c>
      <c r="AB307" s="34">
        <f t="shared" ca="1" si="562"/>
        <v>220532.37732827559</v>
      </c>
      <c r="AC307" s="15"/>
      <c r="AD307" s="34">
        <f t="shared" ca="1" si="617"/>
        <v>580288.93344314944</v>
      </c>
      <c r="AE307" s="34">
        <f t="shared" ca="1" si="617"/>
        <v>0</v>
      </c>
      <c r="AF307" s="34">
        <f t="shared" ca="1" si="617"/>
        <v>580288.93344314944</v>
      </c>
      <c r="AG307" s="15"/>
      <c r="AH307" s="273"/>
      <c r="AI307" s="267"/>
      <c r="AJ307" s="267"/>
      <c r="AK307" s="34">
        <f t="shared" ca="1" si="564"/>
        <v>41538.103641511058</v>
      </c>
      <c r="AL307" s="233"/>
    </row>
    <row r="308" spans="2:38" x14ac:dyDescent="0.3">
      <c r="B308" s="232"/>
      <c r="C308" s="250">
        <f t="shared" si="554"/>
        <v>2042</v>
      </c>
      <c r="D308" s="263">
        <f t="shared" ca="1" si="618"/>
        <v>157438.8044583798</v>
      </c>
      <c r="E308" s="263">
        <f t="shared" ca="1" si="618"/>
        <v>1213.6705415193751</v>
      </c>
      <c r="F308" s="263">
        <f t="shared" ca="1" si="618"/>
        <v>0</v>
      </c>
      <c r="G308" s="263">
        <f t="shared" ca="1" si="618"/>
        <v>164720.82770749604</v>
      </c>
      <c r="H308" s="15"/>
      <c r="I308" s="35">
        <f t="shared" ca="1" si="619"/>
        <v>4.5</v>
      </c>
      <c r="J308" s="35">
        <f t="shared" ca="1" si="619"/>
        <v>80</v>
      </c>
      <c r="K308" s="35">
        <f t="shared" ca="1" si="619"/>
        <v>40</v>
      </c>
      <c r="L308" s="15"/>
      <c r="M308" s="35">
        <f t="shared" ca="1" si="567"/>
        <v>4.2299999999999995</v>
      </c>
      <c r="N308" s="35">
        <f t="shared" ca="1" si="557"/>
        <v>72.923554395286388</v>
      </c>
      <c r="O308" s="35" t="str">
        <f t="shared" ca="1" si="558"/>
        <v>N/A</v>
      </c>
      <c r="P308" s="15"/>
      <c r="Q308" s="34">
        <f t="shared" ca="1" si="620"/>
        <v>665966.14285894646</v>
      </c>
      <c r="R308" s="34">
        <f t="shared" ca="1" si="620"/>
        <v>88505.169752444839</v>
      </c>
      <c r="S308" s="34">
        <f t="shared" ca="1" si="620"/>
        <v>0</v>
      </c>
      <c r="T308" s="34">
        <f t="shared" ca="1" si="620"/>
        <v>754471.31261139142</v>
      </c>
      <c r="U308" s="15"/>
      <c r="V308" s="35">
        <f t="shared" ref="V308" ca="1" si="657">+IFERROR(W308/$G308,"N/A")</f>
        <v>0.31337956765689007</v>
      </c>
      <c r="W308" s="34">
        <f t="shared" ca="1" si="560"/>
        <v>51620.141771060189</v>
      </c>
      <c r="X308" s="35">
        <f t="shared" ref="X308" ca="1" si="658">+IFERROR(Y308/$G308,"N/A")</f>
        <v>0.36936668765911967</v>
      </c>
      <c r="Y308" s="34">
        <f t="shared" ca="1" si="561"/>
        <v>60842.386518786356</v>
      </c>
      <c r="Z308" s="35">
        <f t="shared" ref="Z308" ca="1" si="659">+IFERROR(AA308/$G308,"N/A")</f>
        <v>0.57900724011429561</v>
      </c>
      <c r="AA308" s="34">
        <f t="shared" ca="1" si="562"/>
        <v>95374.551840259679</v>
      </c>
      <c r="AB308" s="34">
        <f t="shared" ca="1" si="562"/>
        <v>207837.08013010625</v>
      </c>
      <c r="AC308" s="15"/>
      <c r="AD308" s="34">
        <f t="shared" ca="1" si="617"/>
        <v>546634.232481285</v>
      </c>
      <c r="AE308" s="34">
        <f t="shared" ca="1" si="617"/>
        <v>0</v>
      </c>
      <c r="AF308" s="34">
        <f t="shared" ca="1" si="617"/>
        <v>546634.232481285</v>
      </c>
      <c r="AG308" s="15"/>
      <c r="AH308" s="273"/>
      <c r="AI308" s="267"/>
      <c r="AJ308" s="267"/>
      <c r="AK308" s="34">
        <f t="shared" ca="1" si="564"/>
        <v>35571.855351559447</v>
      </c>
      <c r="AL308" s="233"/>
    </row>
    <row r="309" spans="2:38" x14ac:dyDescent="0.3">
      <c r="B309" s="232"/>
      <c r="C309" s="250">
        <f t="shared" si="554"/>
        <v>2043</v>
      </c>
      <c r="D309" s="263">
        <f t="shared" ca="1" si="618"/>
        <v>149296.92906331285</v>
      </c>
      <c r="E309" s="263">
        <f t="shared" ca="1" si="618"/>
        <v>1142.5865494961233</v>
      </c>
      <c r="F309" s="263">
        <f t="shared" ca="1" si="618"/>
        <v>0</v>
      </c>
      <c r="G309" s="263">
        <f t="shared" ca="1" si="618"/>
        <v>156152.44836028962</v>
      </c>
      <c r="H309" s="15"/>
      <c r="I309" s="35">
        <f t="shared" ca="1" si="619"/>
        <v>4.5</v>
      </c>
      <c r="J309" s="35">
        <f t="shared" ca="1" si="619"/>
        <v>80</v>
      </c>
      <c r="K309" s="35">
        <f t="shared" ca="1" si="619"/>
        <v>40</v>
      </c>
      <c r="L309" s="15"/>
      <c r="M309" s="35">
        <f t="shared" ca="1" si="567"/>
        <v>4.2300000000000004</v>
      </c>
      <c r="N309" s="35">
        <f t="shared" ca="1" si="557"/>
        <v>72.988529959810734</v>
      </c>
      <c r="O309" s="35" t="str">
        <f t="shared" ca="1" si="558"/>
        <v>N/A</v>
      </c>
      <c r="P309" s="15"/>
      <c r="Q309" s="34">
        <f t="shared" ca="1" si="620"/>
        <v>631526.00993781339</v>
      </c>
      <c r="R309" s="34">
        <f t="shared" ca="1" si="620"/>
        <v>83395.712599574574</v>
      </c>
      <c r="S309" s="34">
        <f t="shared" ca="1" si="620"/>
        <v>0</v>
      </c>
      <c r="T309" s="34">
        <f t="shared" ca="1" si="620"/>
        <v>714921.72253738798</v>
      </c>
      <c r="U309" s="15"/>
      <c r="V309" s="35">
        <f t="shared" ref="V309" ca="1" si="660">+IFERROR(W309/$G309,"N/A")</f>
        <v>0.31320850981732146</v>
      </c>
      <c r="W309" s="34">
        <f t="shared" ca="1" si="560"/>
        <v>48908.275655252553</v>
      </c>
      <c r="X309" s="35">
        <f t="shared" ref="X309" ca="1" si="661">+IFERROR(Y309/$G309,"N/A")</f>
        <v>0.36939874295488562</v>
      </c>
      <c r="Y309" s="34">
        <f t="shared" ca="1" si="561"/>
        <v>57682.51813361868</v>
      </c>
      <c r="Z309" s="35">
        <f t="shared" ref="Z309" ca="1" si="662">+IFERROR(AA309/$G309,"N/A")</f>
        <v>0.57905748895630726</v>
      </c>
      <c r="AA309" s="34">
        <f t="shared" ca="1" si="562"/>
        <v>90421.244641888741</v>
      </c>
      <c r="AB309" s="34">
        <f t="shared" ca="1" si="562"/>
        <v>197012.03843075995</v>
      </c>
      <c r="AC309" s="15"/>
      <c r="AD309" s="34">
        <f t="shared" ca="1" si="617"/>
        <v>517909.68410662789</v>
      </c>
      <c r="AE309" s="34">
        <f t="shared" ca="1" si="617"/>
        <v>0</v>
      </c>
      <c r="AF309" s="34">
        <f t="shared" ca="1" si="617"/>
        <v>517909.68410662789</v>
      </c>
      <c r="AG309" s="15"/>
      <c r="AH309" s="273"/>
      <c r="AI309" s="267"/>
      <c r="AJ309" s="267"/>
      <c r="AK309" s="34">
        <f t="shared" ca="1" si="564"/>
        <v>30638.749698540727</v>
      </c>
      <c r="AL309" s="233"/>
    </row>
    <row r="310" spans="2:38" x14ac:dyDescent="0.3">
      <c r="B310" s="232"/>
      <c r="C310" s="250">
        <f t="shared" si="554"/>
        <v>2044</v>
      </c>
      <c r="D310" s="263">
        <f t="shared" ca="1" si="618"/>
        <v>142107.6709995929</v>
      </c>
      <c r="E310" s="263">
        <f t="shared" ca="1" si="618"/>
        <v>1079.5265932443754</v>
      </c>
      <c r="F310" s="263">
        <f t="shared" ca="1" si="618"/>
        <v>0</v>
      </c>
      <c r="G310" s="263">
        <f t="shared" ca="1" si="618"/>
        <v>148584.83055905913</v>
      </c>
      <c r="H310" s="15"/>
      <c r="I310" s="35">
        <f t="shared" ca="1" si="619"/>
        <v>4.5</v>
      </c>
      <c r="J310" s="35">
        <f t="shared" ca="1" si="619"/>
        <v>80</v>
      </c>
      <c r="K310" s="35">
        <f t="shared" ca="1" si="619"/>
        <v>40</v>
      </c>
      <c r="L310" s="15"/>
      <c r="M310" s="35">
        <f t="shared" ca="1" si="567"/>
        <v>4.2299999999999986</v>
      </c>
      <c r="N310" s="35">
        <f t="shared" ca="1" si="557"/>
        <v>73.055471737587155</v>
      </c>
      <c r="O310" s="35" t="str">
        <f t="shared" ca="1" si="558"/>
        <v>N/A</v>
      </c>
      <c r="P310" s="15"/>
      <c r="Q310" s="34">
        <f t="shared" ca="1" si="620"/>
        <v>601115.44832827779</v>
      </c>
      <c r="R310" s="34">
        <f t="shared" ca="1" si="620"/>
        <v>78865.324522738214</v>
      </c>
      <c r="S310" s="34">
        <f t="shared" ca="1" si="620"/>
        <v>0</v>
      </c>
      <c r="T310" s="34">
        <f t="shared" ca="1" si="620"/>
        <v>679980.77285101614</v>
      </c>
      <c r="U310" s="15"/>
      <c r="V310" s="35">
        <f t="shared" ref="V310" ca="1" si="663">+IFERROR(W310/$G310,"N/A")</f>
        <v>0.31303473103889479</v>
      </c>
      <c r="W310" s="34">
        <f t="shared" ca="1" si="560"/>
        <v>46512.212470514831</v>
      </c>
      <c r="X310" s="35">
        <f t="shared" ref="X310" ca="1" si="664">+IFERROR(Y310/$G310,"N/A")</f>
        <v>0.36943130813958813</v>
      </c>
      <c r="Y310" s="34">
        <f t="shared" ca="1" si="561"/>
        <v>54891.888323132269</v>
      </c>
      <c r="Z310" s="35">
        <f t="shared" ref="Z310" ca="1" si="665">+IFERROR(AA310/$G310,"N/A")</f>
        <v>0.5791085370836786</v>
      </c>
      <c r="AA310" s="34">
        <f t="shared" ca="1" si="562"/>
        <v>86046.743857883004</v>
      </c>
      <c r="AB310" s="34">
        <f t="shared" ca="1" si="562"/>
        <v>187450.84465153012</v>
      </c>
      <c r="AC310" s="15"/>
      <c r="AD310" s="34">
        <f t="shared" ca="1" si="617"/>
        <v>492529.92819948605</v>
      </c>
      <c r="AE310" s="34">
        <f t="shared" ca="1" si="617"/>
        <v>0</v>
      </c>
      <c r="AF310" s="34">
        <f t="shared" ca="1" si="617"/>
        <v>492529.92819948605</v>
      </c>
      <c r="AG310" s="15"/>
      <c r="AH310" s="273"/>
      <c r="AI310" s="267"/>
      <c r="AJ310" s="267"/>
      <c r="AK310" s="34">
        <f t="shared" ca="1" si="564"/>
        <v>26488.474468942768</v>
      </c>
      <c r="AL310" s="233"/>
    </row>
    <row r="311" spans="2:38" x14ac:dyDescent="0.3">
      <c r="B311" s="232"/>
      <c r="C311" s="250">
        <f t="shared" si="554"/>
        <v>2045</v>
      </c>
      <c r="D311" s="263">
        <f t="shared" ca="1" si="618"/>
        <v>135616.81862261862</v>
      </c>
      <c r="E311" s="263">
        <f t="shared" ca="1" si="618"/>
        <v>1022.6369033670103</v>
      </c>
      <c r="F311" s="263">
        <f t="shared" ca="1" si="618"/>
        <v>0</v>
      </c>
      <c r="G311" s="263">
        <f t="shared" ca="1" si="618"/>
        <v>141752.64004282068</v>
      </c>
      <c r="H311" s="15"/>
      <c r="I311" s="35">
        <f t="shared" ca="1" si="619"/>
        <v>4.5</v>
      </c>
      <c r="J311" s="35">
        <f t="shared" ca="1" si="619"/>
        <v>80</v>
      </c>
      <c r="K311" s="35">
        <f t="shared" ca="1" si="619"/>
        <v>40</v>
      </c>
      <c r="L311" s="15"/>
      <c r="M311" s="35">
        <f t="shared" ca="1" si="567"/>
        <v>4.2300000000000004</v>
      </c>
      <c r="N311" s="35">
        <f t="shared" ca="1" si="557"/>
        <v>73.122607595249121</v>
      </c>
      <c r="O311" s="35" t="str">
        <f t="shared" ca="1" si="558"/>
        <v>N/A</v>
      </c>
      <c r="P311" s="15"/>
      <c r="Q311" s="34">
        <f t="shared" ca="1" si="620"/>
        <v>573659.14277367678</v>
      </c>
      <c r="R311" s="34">
        <f t="shared" ca="1" si="620"/>
        <v>74777.876997326588</v>
      </c>
      <c r="S311" s="34">
        <f t="shared" ca="1" si="620"/>
        <v>0</v>
      </c>
      <c r="T311" s="34">
        <f t="shared" ca="1" si="620"/>
        <v>648437.01977100328</v>
      </c>
      <c r="U311" s="15"/>
      <c r="V311" s="35">
        <f t="shared" ref="V311" ca="1" si="666">+IFERROR(W311/$G311,"N/A")</f>
        <v>0.31286289904274983</v>
      </c>
      <c r="W311" s="34">
        <f t="shared" ca="1" si="560"/>
        <v>44349.141910760263</v>
      </c>
      <c r="X311" s="35">
        <f t="shared" ref="X311" ca="1" si="667">+IFERROR(Y311/$G311,"N/A")</f>
        <v>0.36946350850802717</v>
      </c>
      <c r="Y311" s="34">
        <f t="shared" ca="1" si="561"/>
        <v>52372.427730495991</v>
      </c>
      <c r="Z311" s="35">
        <f t="shared" ref="Z311" ca="1" si="668">+IFERROR(AA311/$G311,"N/A")</f>
        <v>0.57915901333690756</v>
      </c>
      <c r="AA311" s="34">
        <f t="shared" ca="1" si="562"/>
        <v>82097.319145101836</v>
      </c>
      <c r="AB311" s="34">
        <f t="shared" ca="1" si="562"/>
        <v>178818.88878635809</v>
      </c>
      <c r="AC311" s="15"/>
      <c r="AD311" s="34">
        <f t="shared" ref="AD311:AF319" ca="1" si="669">+AD61+AD111+AD161+AD211+AD261</f>
        <v>469618.13098464522</v>
      </c>
      <c r="AE311" s="34">
        <f t="shared" ca="1" si="669"/>
        <v>0</v>
      </c>
      <c r="AF311" s="34">
        <f t="shared" ca="1" si="669"/>
        <v>469618.13098464522</v>
      </c>
      <c r="AG311" s="15"/>
      <c r="AH311" s="273"/>
      <c r="AI311" s="267"/>
      <c r="AJ311" s="267"/>
      <c r="AK311" s="34">
        <f t="shared" ca="1" si="564"/>
        <v>22960.243651337201</v>
      </c>
      <c r="AL311" s="233"/>
    </row>
    <row r="312" spans="2:38" x14ac:dyDescent="0.3">
      <c r="B312" s="232"/>
      <c r="C312" s="250">
        <f t="shared" si="554"/>
        <v>2046</v>
      </c>
      <c r="D312" s="263">
        <f t="shared" ref="D312:G321" ca="1" si="670">+D62+D112+D162+D212+D262</f>
        <v>129663.96509707859</v>
      </c>
      <c r="E312" s="263">
        <f t="shared" ca="1" si="670"/>
        <v>970.7014074246398</v>
      </c>
      <c r="F312" s="263">
        <f t="shared" ca="1" si="670"/>
        <v>0</v>
      </c>
      <c r="G312" s="263">
        <f t="shared" ca="1" si="670"/>
        <v>135488.17354162643</v>
      </c>
      <c r="H312" s="15"/>
      <c r="I312" s="35">
        <f t="shared" ref="I312:K319" ca="1" si="671">+I62</f>
        <v>4.5</v>
      </c>
      <c r="J312" s="35">
        <f t="shared" ca="1" si="671"/>
        <v>80</v>
      </c>
      <c r="K312" s="35">
        <f t="shared" ca="1" si="671"/>
        <v>40</v>
      </c>
      <c r="L312" s="15"/>
      <c r="M312" s="35">
        <f t="shared" ca="1" si="567"/>
        <v>4.2299999999999995</v>
      </c>
      <c r="N312" s="35">
        <f t="shared" ca="1" si="557"/>
        <v>73.188836873142833</v>
      </c>
      <c r="O312" s="35" t="str">
        <f t="shared" ca="1" si="558"/>
        <v>N/A</v>
      </c>
      <c r="P312" s="15"/>
      <c r="Q312" s="34">
        <f t="shared" ref="Q312:T319" ca="1" si="672">+Q62+Q112+Q162+Q212+Q262</f>
        <v>548478.57236064237</v>
      </c>
      <c r="R312" s="34">
        <f t="shared" ca="1" si="672"/>
        <v>71044.506960532119</v>
      </c>
      <c r="S312" s="34">
        <f t="shared" ca="1" si="672"/>
        <v>0</v>
      </c>
      <c r="T312" s="34">
        <f t="shared" ca="1" si="672"/>
        <v>619523.07932117453</v>
      </c>
      <c r="U312" s="15"/>
      <c r="V312" s="35">
        <f t="shared" ref="V312" ca="1" si="673">+IFERROR(W312/$G312,"N/A")</f>
        <v>0.3126957419100867</v>
      </c>
      <c r="W312" s="34">
        <f t="shared" ca="1" si="560"/>
        <v>42366.574945641456</v>
      </c>
      <c r="X312" s="35">
        <f t="shared" ref="X312" ca="1" si="674">+IFERROR(Y312/$G312,"N/A")</f>
        <v>0.36949483283283124</v>
      </c>
      <c r="Y312" s="34">
        <f t="shared" ca="1" si="561"/>
        <v>50062.180033588884</v>
      </c>
      <c r="Z312" s="35">
        <f t="shared" ref="Z312" ca="1" si="675">+IFERROR(AA312/$G312,"N/A")</f>
        <v>0.5792081163325461</v>
      </c>
      <c r="AA312" s="34">
        <f t="shared" ca="1" si="562"/>
        <v>78475.84978238256</v>
      </c>
      <c r="AB312" s="34">
        <f t="shared" ca="1" si="562"/>
        <v>170904.60476161289</v>
      </c>
      <c r="AC312" s="15"/>
      <c r="AD312" s="34">
        <f t="shared" ca="1" si="669"/>
        <v>448618.47455956158</v>
      </c>
      <c r="AE312" s="34">
        <f t="shared" ca="1" si="669"/>
        <v>0</v>
      </c>
      <c r="AF312" s="34">
        <f t="shared" ca="1" si="669"/>
        <v>448618.47455956158</v>
      </c>
      <c r="AG312" s="15"/>
      <c r="AH312" s="273"/>
      <c r="AI312" s="267"/>
      <c r="AJ312" s="267"/>
      <c r="AK312" s="34">
        <f t="shared" ca="1" si="564"/>
        <v>19939.584570324663</v>
      </c>
      <c r="AL312" s="233"/>
    </row>
    <row r="313" spans="2:38" x14ac:dyDescent="0.3">
      <c r="B313" s="232"/>
      <c r="C313" s="250">
        <f t="shared" si="554"/>
        <v>2047</v>
      </c>
      <c r="D313" s="263">
        <f t="shared" ca="1" si="670"/>
        <v>124139.63290089379</v>
      </c>
      <c r="E313" s="263">
        <f t="shared" ca="1" si="670"/>
        <v>922.85640922593143</v>
      </c>
      <c r="F313" s="263">
        <f t="shared" ca="1" si="670"/>
        <v>0</v>
      </c>
      <c r="G313" s="263">
        <f t="shared" ca="1" si="670"/>
        <v>129676.77135624937</v>
      </c>
      <c r="H313" s="15"/>
      <c r="I313" s="35">
        <f t="shared" ca="1" si="671"/>
        <v>4.5</v>
      </c>
      <c r="J313" s="35">
        <f t="shared" ca="1" si="671"/>
        <v>80</v>
      </c>
      <c r="K313" s="35">
        <f t="shared" ca="1" si="671"/>
        <v>40</v>
      </c>
      <c r="L313" s="15"/>
      <c r="M313" s="35">
        <f t="shared" ca="1" si="567"/>
        <v>4.2299999999999995</v>
      </c>
      <c r="N313" s="35">
        <f t="shared" ca="1" si="557"/>
        <v>73.253440290280395</v>
      </c>
      <c r="O313" s="35" t="str">
        <f t="shared" ca="1" si="558"/>
        <v>N/A</v>
      </c>
      <c r="P313" s="15"/>
      <c r="Q313" s="34">
        <f t="shared" ca="1" si="672"/>
        <v>525110.64717078069</v>
      </c>
      <c r="R313" s="34">
        <f t="shared" ca="1" si="672"/>
        <v>67602.406869734332</v>
      </c>
      <c r="S313" s="34">
        <f t="shared" ca="1" si="672"/>
        <v>0</v>
      </c>
      <c r="T313" s="34">
        <f t="shared" ca="1" si="672"/>
        <v>592713.0540405151</v>
      </c>
      <c r="U313" s="15"/>
      <c r="V313" s="35">
        <f t="shared" ref="V313" ca="1" si="676">+IFERROR(W313/$G313,"N/A")</f>
        <v>0.31253489525938677</v>
      </c>
      <c r="W313" s="34">
        <f t="shared" ca="1" si="560"/>
        <v>40528.516153400844</v>
      </c>
      <c r="X313" s="35">
        <f t="shared" ref="X313" ca="1" si="677">+IFERROR(Y313/$G313,"N/A")</f>
        <v>0.36952497460811717</v>
      </c>
      <c r="Y313" s="34">
        <f t="shared" ca="1" si="561"/>
        <v>47918.805642680665</v>
      </c>
      <c r="Z313" s="35">
        <f t="shared" ref="Z313" ca="1" si="678">+IFERROR(AA313/$G313,"N/A")</f>
        <v>0.57925536560191337</v>
      </c>
      <c r="AA313" s="34">
        <f t="shared" ca="1" si="562"/>
        <v>75115.965602039956</v>
      </c>
      <c r="AB313" s="34">
        <f t="shared" ca="1" si="562"/>
        <v>163563.28739812147</v>
      </c>
      <c r="AC313" s="15"/>
      <c r="AD313" s="34">
        <f t="shared" ca="1" si="669"/>
        <v>429149.76664239354</v>
      </c>
      <c r="AE313" s="34">
        <f t="shared" ca="1" si="669"/>
        <v>0</v>
      </c>
      <c r="AF313" s="34">
        <f t="shared" ca="1" si="669"/>
        <v>429149.76664239354</v>
      </c>
      <c r="AG313" s="15"/>
      <c r="AH313" s="273"/>
      <c r="AI313" s="267"/>
      <c r="AJ313" s="267"/>
      <c r="AK313" s="34">
        <f t="shared" ca="1" si="564"/>
        <v>17340.241714910801</v>
      </c>
      <c r="AL313" s="233"/>
    </row>
    <row r="314" spans="2:38" x14ac:dyDescent="0.3">
      <c r="B314" s="232"/>
      <c r="C314" s="250">
        <f t="shared" si="554"/>
        <v>2048</v>
      </c>
      <c r="D314" s="263">
        <f t="shared" ca="1" si="670"/>
        <v>118967.63390961051</v>
      </c>
      <c r="E314" s="263">
        <f t="shared" ca="1" si="670"/>
        <v>878.47235983591122</v>
      </c>
      <c r="F314" s="263">
        <f t="shared" ca="1" si="670"/>
        <v>0</v>
      </c>
      <c r="G314" s="263">
        <f t="shared" ca="1" si="670"/>
        <v>124238.46806862597</v>
      </c>
      <c r="H314" s="15"/>
      <c r="I314" s="35">
        <f t="shared" ca="1" si="671"/>
        <v>4.5</v>
      </c>
      <c r="J314" s="35">
        <f t="shared" ca="1" si="671"/>
        <v>80</v>
      </c>
      <c r="K314" s="35">
        <f t="shared" ca="1" si="671"/>
        <v>40</v>
      </c>
      <c r="L314" s="15"/>
      <c r="M314" s="35">
        <f t="shared" ca="1" si="567"/>
        <v>4.2299999999999995</v>
      </c>
      <c r="N314" s="35">
        <f t="shared" ca="1" si="557"/>
        <v>73.315960225333271</v>
      </c>
      <c r="O314" s="35" t="str">
        <f t="shared" ca="1" si="558"/>
        <v>N/A</v>
      </c>
      <c r="P314" s="15"/>
      <c r="Q314" s="34">
        <f t="shared" ca="1" si="672"/>
        <v>503233.09143765236</v>
      </c>
      <c r="R314" s="34">
        <f t="shared" ca="1" si="672"/>
        <v>64406.044592784318</v>
      </c>
      <c r="S314" s="34">
        <f t="shared" ca="1" si="672"/>
        <v>0</v>
      </c>
      <c r="T314" s="34">
        <f t="shared" ca="1" si="672"/>
        <v>567639.13603043673</v>
      </c>
      <c r="U314" s="15"/>
      <c r="V314" s="35">
        <f t="shared" ref="V314" ca="1" si="679">+IFERROR(W314/$G314,"N/A")</f>
        <v>0.31238126994212262</v>
      </c>
      <c r="W314" s="34">
        <f t="shared" ca="1" si="560"/>
        <v>38809.770430941229</v>
      </c>
      <c r="X314" s="35">
        <f t="shared" ref="X314" ca="1" si="680">+IFERROR(Y314/$G314,"N/A")</f>
        <v>0.36955376314534222</v>
      </c>
      <c r="Y314" s="34">
        <f t="shared" ca="1" si="561"/>
        <v>45912.793402173163</v>
      </c>
      <c r="Z314" s="35">
        <f t="shared" ref="Z314" ca="1" si="681">+IFERROR(AA314/$G314,"N/A")</f>
        <v>0.57930049357918512</v>
      </c>
      <c r="AA314" s="34">
        <f t="shared" ca="1" si="562"/>
        <v>71971.405873676849</v>
      </c>
      <c r="AB314" s="34">
        <f t="shared" ca="1" si="562"/>
        <v>156693.96970679125</v>
      </c>
      <c r="AC314" s="15"/>
      <c r="AD314" s="34">
        <f t="shared" ca="1" si="669"/>
        <v>410945.16632364551</v>
      </c>
      <c r="AE314" s="34">
        <f t="shared" ca="1" si="669"/>
        <v>0</v>
      </c>
      <c r="AF314" s="34">
        <f t="shared" ca="1" si="669"/>
        <v>410945.16632364551</v>
      </c>
      <c r="AG314" s="15"/>
      <c r="AH314" s="273"/>
      <c r="AI314" s="267"/>
      <c r="AJ314" s="267"/>
      <c r="AK314" s="34">
        <f t="shared" ca="1" si="564"/>
        <v>15095.150859418378</v>
      </c>
      <c r="AL314" s="233"/>
    </row>
    <row r="315" spans="2:38" x14ac:dyDescent="0.3">
      <c r="B315" s="232"/>
      <c r="C315" s="250">
        <f t="shared" si="554"/>
        <v>2049</v>
      </c>
      <c r="D315" s="263">
        <f t="shared" ca="1" si="670"/>
        <v>114093.5599386535</v>
      </c>
      <c r="E315" s="263">
        <f t="shared" ca="1" si="670"/>
        <v>837.0763332448621</v>
      </c>
      <c r="F315" s="263">
        <f t="shared" ca="1" si="670"/>
        <v>0</v>
      </c>
      <c r="G315" s="263">
        <f t="shared" ca="1" si="670"/>
        <v>119116.01793812268</v>
      </c>
      <c r="H315" s="15"/>
      <c r="I315" s="35">
        <f t="shared" ca="1" si="671"/>
        <v>4.5</v>
      </c>
      <c r="J315" s="35">
        <f t="shared" ca="1" si="671"/>
        <v>80</v>
      </c>
      <c r="K315" s="35">
        <f t="shared" ca="1" si="671"/>
        <v>40</v>
      </c>
      <c r="L315" s="15"/>
      <c r="M315" s="35">
        <f t="shared" ca="1" si="567"/>
        <v>4.2299999999999995</v>
      </c>
      <c r="N315" s="35">
        <f t="shared" ca="1" si="557"/>
        <v>73.376115980027336</v>
      </c>
      <c r="O315" s="35" t="str">
        <f t="shared" ca="1" si="558"/>
        <v>N/A</v>
      </c>
      <c r="P315" s="15"/>
      <c r="Q315" s="34">
        <f t="shared" ca="1" si="672"/>
        <v>482615.75854050426</v>
      </c>
      <c r="R315" s="34">
        <f t="shared" ca="1" si="672"/>
        <v>61421.410112311016</v>
      </c>
      <c r="S315" s="34">
        <f t="shared" ca="1" si="672"/>
        <v>0</v>
      </c>
      <c r="T315" s="34">
        <f t="shared" ca="1" si="672"/>
        <v>544037.16865281528</v>
      </c>
      <c r="U315" s="15"/>
      <c r="V315" s="35">
        <f t="shared" ref="V315" ca="1" si="682">+IFERROR(W315/$G315,"N/A")</f>
        <v>0.31223530639547392</v>
      </c>
      <c r="W315" s="34">
        <f t="shared" ca="1" si="560"/>
        <v>37192.226357518499</v>
      </c>
      <c r="X315" s="35">
        <f t="shared" ref="X315" ca="1" si="683">+IFERROR(Y315/$G315,"N/A")</f>
        <v>0.369581115909008</v>
      </c>
      <c r="Y315" s="34">
        <f t="shared" ca="1" si="561"/>
        <v>44023.030832208795</v>
      </c>
      <c r="Z315" s="35">
        <f t="shared" ref="Z315" ca="1" si="684">+IFERROR(AA315/$G315,"N/A")</f>
        <v>0.57934337088439092</v>
      </c>
      <c r="AA315" s="34">
        <f t="shared" ca="1" si="562"/>
        <v>69009.075358597562</v>
      </c>
      <c r="AB315" s="34">
        <f t="shared" ca="1" si="562"/>
        <v>150224.33254832486</v>
      </c>
      <c r="AC315" s="15"/>
      <c r="AD315" s="34">
        <f t="shared" ca="1" si="669"/>
        <v>393812.83610449044</v>
      </c>
      <c r="AE315" s="34">
        <f t="shared" ca="1" si="669"/>
        <v>0</v>
      </c>
      <c r="AF315" s="34">
        <f t="shared" ca="1" si="669"/>
        <v>393812.83610449044</v>
      </c>
      <c r="AG315" s="15"/>
      <c r="AH315" s="273"/>
      <c r="AI315" s="267"/>
      <c r="AJ315" s="267"/>
      <c r="AK315" s="34">
        <f t="shared" ca="1" si="564"/>
        <v>13150.757324000664</v>
      </c>
      <c r="AL315" s="233"/>
    </row>
    <row r="316" spans="2:38" x14ac:dyDescent="0.3">
      <c r="B316" s="232"/>
      <c r="C316" s="250">
        <f t="shared" si="554"/>
        <v>2050</v>
      </c>
      <c r="D316" s="263">
        <f t="shared" ca="1" si="670"/>
        <v>109476.05935143818</v>
      </c>
      <c r="E316" s="263">
        <f t="shared" ca="1" si="670"/>
        <v>798.29306988603332</v>
      </c>
      <c r="F316" s="263">
        <f t="shared" ca="1" si="670"/>
        <v>0</v>
      </c>
      <c r="G316" s="263">
        <f t="shared" ca="1" si="670"/>
        <v>114265.81777075438</v>
      </c>
      <c r="H316" s="15"/>
      <c r="I316" s="35">
        <f t="shared" ca="1" si="671"/>
        <v>4.5</v>
      </c>
      <c r="J316" s="35">
        <f t="shared" ca="1" si="671"/>
        <v>80</v>
      </c>
      <c r="K316" s="35">
        <f t="shared" ca="1" si="671"/>
        <v>40</v>
      </c>
      <c r="L316" s="15"/>
      <c r="M316" s="35">
        <f t="shared" ca="1" si="567"/>
        <v>4.2299999999999995</v>
      </c>
      <c r="N316" s="35">
        <f t="shared" ca="1" si="557"/>
        <v>73.433735601505106</v>
      </c>
      <c r="O316" s="35" t="str">
        <f t="shared" ca="1" si="558"/>
        <v>N/A</v>
      </c>
      <c r="P316" s="15"/>
      <c r="Q316" s="34">
        <f t="shared" ca="1" si="672"/>
        <v>463083.73105658346</v>
      </c>
      <c r="R316" s="34">
        <f t="shared" ca="1" si="672"/>
        <v>58621.642226524811</v>
      </c>
      <c r="S316" s="34">
        <f t="shared" ca="1" si="672"/>
        <v>0</v>
      </c>
      <c r="T316" s="34">
        <f t="shared" ca="1" si="672"/>
        <v>521705.37328310823</v>
      </c>
      <c r="U316" s="15"/>
      <c r="V316" s="35">
        <f t="shared" ref="V316" ca="1" si="685">+IFERROR(W316/$G316,"N/A")</f>
        <v>0.31209716887959604</v>
      </c>
      <c r="W316" s="34">
        <f t="shared" ca="1" si="560"/>
        <v>35662.038225964279</v>
      </c>
      <c r="X316" s="35">
        <f t="shared" ref="X316" ca="1" si="686">+IFERROR(Y316/$G316,"N/A")</f>
        <v>0.36960700211766712</v>
      </c>
      <c r="Y316" s="34">
        <f t="shared" ca="1" si="561"/>
        <v>42233.446350772181</v>
      </c>
      <c r="Z316" s="35">
        <f t="shared" ref="Z316" ca="1" si="687">+IFERROR(AA316/$G316,"N/A")</f>
        <v>0.57938394926553216</v>
      </c>
      <c r="AA316" s="34">
        <f t="shared" ca="1" si="562"/>
        <v>66203.780766075302</v>
      </c>
      <c r="AB316" s="34">
        <f t="shared" ca="1" si="562"/>
        <v>144099.26534281176</v>
      </c>
      <c r="AC316" s="15"/>
      <c r="AD316" s="34">
        <f t="shared" ca="1" si="669"/>
        <v>377606.10794029647</v>
      </c>
      <c r="AE316" s="34">
        <f t="shared" ca="1" si="669"/>
        <v>0</v>
      </c>
      <c r="AF316" s="34">
        <f t="shared" ca="1" si="669"/>
        <v>377606.10794029647</v>
      </c>
      <c r="AG316" s="15"/>
      <c r="AH316" s="273"/>
      <c r="AI316" s="267"/>
      <c r="AJ316" s="267"/>
      <c r="AK316" s="34">
        <f t="shared" ca="1" si="564"/>
        <v>11463.235680232581</v>
      </c>
      <c r="AL316" s="233"/>
    </row>
    <row r="317" spans="2:38" x14ac:dyDescent="0.3">
      <c r="B317" s="232"/>
      <c r="C317" s="250">
        <f t="shared" si="554"/>
        <v>2051</v>
      </c>
      <c r="D317" s="263">
        <f t="shared" ca="1" si="670"/>
        <v>105082.61375976281</v>
      </c>
      <c r="E317" s="263">
        <f t="shared" ca="1" si="670"/>
        <v>761.81591138338297</v>
      </c>
      <c r="F317" s="263">
        <f t="shared" ca="1" si="670"/>
        <v>0</v>
      </c>
      <c r="G317" s="263">
        <f t="shared" ca="1" si="670"/>
        <v>109653.50922806309</v>
      </c>
      <c r="H317" s="15"/>
      <c r="I317" s="35">
        <f t="shared" ca="1" si="671"/>
        <v>4.5</v>
      </c>
      <c r="J317" s="35">
        <f t="shared" ca="1" si="671"/>
        <v>80</v>
      </c>
      <c r="K317" s="35">
        <f t="shared" ca="1" si="671"/>
        <v>40</v>
      </c>
      <c r="L317" s="15"/>
      <c r="M317" s="35">
        <f t="shared" ca="1" si="567"/>
        <v>4.2299999999999995</v>
      </c>
      <c r="N317" s="35">
        <f t="shared" ca="1" si="557"/>
        <v>73.488722163290348</v>
      </c>
      <c r="O317" s="35" t="str">
        <f t="shared" ca="1" si="558"/>
        <v>N/A</v>
      </c>
      <c r="P317" s="15"/>
      <c r="Q317" s="34">
        <f t="shared" ca="1" si="672"/>
        <v>444499.45620379667</v>
      </c>
      <c r="R317" s="34">
        <f t="shared" ca="1" si="672"/>
        <v>55984.877851227247</v>
      </c>
      <c r="S317" s="34">
        <f t="shared" ca="1" si="672"/>
        <v>0</v>
      </c>
      <c r="T317" s="34">
        <f t="shared" ca="1" si="672"/>
        <v>500484.33405502385</v>
      </c>
      <c r="U317" s="15"/>
      <c r="V317" s="35">
        <f t="shared" ref="V317" ca="1" si="688">+IFERROR(W317/$G317,"N/A")</f>
        <v>0.31196684307548067</v>
      </c>
      <c r="W317" s="34">
        <f t="shared" ca="1" si="560"/>
        <v>34208.259106026933</v>
      </c>
      <c r="X317" s="35">
        <f t="shared" ref="X317" ca="1" si="689">+IFERROR(Y317/$G317,"N/A")</f>
        <v>0.36963142445462294</v>
      </c>
      <c r="Y317" s="34">
        <f t="shared" ca="1" si="561"/>
        <v>40531.382812417105</v>
      </c>
      <c r="Z317" s="35">
        <f t="shared" ref="Z317" ca="1" si="690">+IFERROR(AA317/$G317,"N/A")</f>
        <v>0.57942223292886841</v>
      </c>
      <c r="AA317" s="34">
        <f t="shared" ca="1" si="562"/>
        <v>63535.681165410591</v>
      </c>
      <c r="AB317" s="34">
        <f t="shared" ca="1" si="562"/>
        <v>138275.32308385463</v>
      </c>
      <c r="AC317" s="15"/>
      <c r="AD317" s="34">
        <f t="shared" ca="1" si="669"/>
        <v>362209.01097116922</v>
      </c>
      <c r="AE317" s="34">
        <f t="shared" ca="1" si="669"/>
        <v>0</v>
      </c>
      <c r="AF317" s="34">
        <f t="shared" ca="1" si="669"/>
        <v>362209.01097116922</v>
      </c>
      <c r="AG317" s="15"/>
      <c r="AH317" s="273"/>
      <c r="AI317" s="267"/>
      <c r="AJ317" s="267"/>
      <c r="AK317" s="34">
        <f t="shared" ca="1" si="564"/>
        <v>9996.1963031568503</v>
      </c>
      <c r="AL317" s="233"/>
    </row>
    <row r="318" spans="2:38" x14ac:dyDescent="0.3">
      <c r="B318" s="232"/>
      <c r="C318" s="250">
        <f t="shared" si="554"/>
        <v>2052</v>
      </c>
      <c r="D318" s="263">
        <f t="shared" ca="1" si="670"/>
        <v>100888.93011100226</v>
      </c>
      <c r="E318" s="263">
        <f t="shared" ca="1" si="670"/>
        <v>727.40176213089308</v>
      </c>
      <c r="F318" s="263">
        <f t="shared" ca="1" si="670"/>
        <v>0</v>
      </c>
      <c r="G318" s="263">
        <f t="shared" ca="1" si="670"/>
        <v>105253.34068378764</v>
      </c>
      <c r="H318" s="15"/>
      <c r="I318" s="35">
        <f t="shared" ca="1" si="671"/>
        <v>4.5</v>
      </c>
      <c r="J318" s="35">
        <f t="shared" ca="1" si="671"/>
        <v>80</v>
      </c>
      <c r="K318" s="35">
        <f t="shared" ca="1" si="671"/>
        <v>40</v>
      </c>
      <c r="L318" s="15"/>
      <c r="M318" s="35">
        <f t="shared" ca="1" si="567"/>
        <v>4.2299999999999995</v>
      </c>
      <c r="N318" s="35">
        <f t="shared" ca="1" si="557"/>
        <v>73.541047777645645</v>
      </c>
      <c r="O318" s="35" t="str">
        <f t="shared" ca="1" si="558"/>
        <v>N/A</v>
      </c>
      <c r="P318" s="15"/>
      <c r="Q318" s="34">
        <f t="shared" ca="1" si="672"/>
        <v>426760.17436953954</v>
      </c>
      <c r="R318" s="34">
        <f t="shared" ca="1" si="672"/>
        <v>53493.887742411636</v>
      </c>
      <c r="S318" s="34">
        <f t="shared" ca="1" si="672"/>
        <v>0</v>
      </c>
      <c r="T318" s="34">
        <f t="shared" ca="1" si="672"/>
        <v>480254.06211195118</v>
      </c>
      <c r="U318" s="15"/>
      <c r="V318" s="35">
        <f t="shared" ref="V318" ca="1" si="691">+IFERROR(W318/$G318,"N/A")</f>
        <v>0.31184416114047897</v>
      </c>
      <c r="W318" s="34">
        <f t="shared" ca="1" si="560"/>
        <v>32822.639732768803</v>
      </c>
      <c r="X318" s="35">
        <f t="shared" ref="X318" ca="1" si="692">+IFERROR(Y318/$G318,"N/A")</f>
        <v>0.369654414372662</v>
      </c>
      <c r="Y318" s="34">
        <f t="shared" ca="1" si="561"/>
        <v>38907.362011231802</v>
      </c>
      <c r="Z318" s="35">
        <f t="shared" ref="Z318" ca="1" si="693">+IFERROR(AA318/$G318,"N/A")</f>
        <v>0.57945827117876747</v>
      </c>
      <c r="AA318" s="34">
        <f t="shared" ca="1" si="562"/>
        <v>60989.918828417416</v>
      </c>
      <c r="AB318" s="34">
        <f t="shared" ca="1" si="562"/>
        <v>132719.92057241805</v>
      </c>
      <c r="AC318" s="15"/>
      <c r="AD318" s="34">
        <f t="shared" ca="1" si="669"/>
        <v>347534.14153953322</v>
      </c>
      <c r="AE318" s="34">
        <f t="shared" ca="1" si="669"/>
        <v>0</v>
      </c>
      <c r="AF318" s="34">
        <f t="shared" ca="1" si="669"/>
        <v>347534.14153953322</v>
      </c>
      <c r="AG318" s="15"/>
      <c r="AH318" s="273"/>
      <c r="AI318" s="267"/>
      <c r="AJ318" s="267"/>
      <c r="AK318" s="34">
        <f t="shared" ca="1" si="564"/>
        <v>8719.2738186857441</v>
      </c>
      <c r="AL318" s="233"/>
    </row>
    <row r="319" spans="2:38" x14ac:dyDescent="0.3">
      <c r="B319" s="232"/>
      <c r="C319" s="250">
        <f t="shared" si="554"/>
        <v>2053</v>
      </c>
      <c r="D319" s="263">
        <f t="shared" ca="1" si="670"/>
        <v>96877.814091697597</v>
      </c>
      <c r="E319" s="263">
        <f t="shared" ca="1" si="670"/>
        <v>694.8627218078351</v>
      </c>
      <c r="F319" s="263">
        <f t="shared" ca="1" si="670"/>
        <v>0</v>
      </c>
      <c r="G319" s="263">
        <f t="shared" ca="1" si="670"/>
        <v>101046.99042254461</v>
      </c>
      <c r="H319" s="15"/>
      <c r="I319" s="35">
        <f t="shared" ca="1" si="671"/>
        <v>4.5</v>
      </c>
      <c r="J319" s="35">
        <f t="shared" ca="1" si="671"/>
        <v>80</v>
      </c>
      <c r="K319" s="35">
        <f t="shared" ca="1" si="671"/>
        <v>40</v>
      </c>
      <c r="L319" s="15"/>
      <c r="M319" s="35">
        <f t="shared" ca="1" si="567"/>
        <v>4.2299999999999995</v>
      </c>
      <c r="N319" s="35">
        <f t="shared" ca="1" si="557"/>
        <v>73.590742276904535</v>
      </c>
      <c r="O319" s="35" t="str">
        <f t="shared" ca="1" si="558"/>
        <v>N/A</v>
      </c>
      <c r="P319" s="15"/>
      <c r="Q319" s="34">
        <f t="shared" ca="1" si="672"/>
        <v>409793.15360788075</v>
      </c>
      <c r="R319" s="34">
        <f t="shared" ca="1" si="672"/>
        <v>51135.463478388803</v>
      </c>
      <c r="S319" s="34">
        <f t="shared" ca="1" si="672"/>
        <v>0</v>
      </c>
      <c r="T319" s="34">
        <f t="shared" ca="1" si="672"/>
        <v>460928.61708626949</v>
      </c>
      <c r="U319" s="15"/>
      <c r="V319" s="35">
        <f t="shared" ref="V319" ca="1" si="694">+IFERROR(W319/$G319,"N/A")</f>
        <v>0.31172883633628928</v>
      </c>
      <c r="W319" s="34">
        <f t="shared" ca="1" si="560"/>
        <v>31499.260739703997</v>
      </c>
      <c r="X319" s="35">
        <f t="shared" ref="X319" ca="1" si="695">+IFERROR(Y319/$G319,"N/A")</f>
        <v>0.36967602560496088</v>
      </c>
      <c r="Y319" s="34">
        <f t="shared" ca="1" si="561"/>
        <v>37354.64981874884</v>
      </c>
      <c r="Z319" s="35">
        <f t="shared" ref="Z319" ca="1" si="696">+IFERROR(AA319/$G319,"N/A")</f>
        <v>0.57949214824561446</v>
      </c>
      <c r="AA319" s="34">
        <f t="shared" ca="1" si="562"/>
        <v>58555.937553714401</v>
      </c>
      <c r="AB319" s="34">
        <f t="shared" ca="1" si="562"/>
        <v>127409.84811216725</v>
      </c>
      <c r="AC319" s="15"/>
      <c r="AD319" s="34">
        <f t="shared" ca="1" si="669"/>
        <v>333518.76897410228</v>
      </c>
      <c r="AE319" s="34">
        <f t="shared" ca="1" si="669"/>
        <v>0</v>
      </c>
      <c r="AF319" s="34">
        <f t="shared" ca="1" si="669"/>
        <v>333518.76897410228</v>
      </c>
      <c r="AG319" s="15"/>
      <c r="AH319" s="273"/>
      <c r="AI319" s="267"/>
      <c r="AJ319" s="267"/>
      <c r="AK319" s="34">
        <f t="shared" ca="1" si="564"/>
        <v>7606.9477728116835</v>
      </c>
      <c r="AL319" s="233"/>
    </row>
    <row r="320" spans="2:38" x14ac:dyDescent="0.3">
      <c r="B320" s="232"/>
      <c r="C320" s="274" t="s">
        <v>302</v>
      </c>
      <c r="D320" s="39">
        <f ca="1">SUM(D279:D319)</f>
        <v>10083042.444422685</v>
      </c>
      <c r="E320" s="39">
        <f ca="1">SUM(E279:E319)</f>
        <v>101904.94056828406</v>
      </c>
      <c r="F320" s="39">
        <f ca="1">SUM(F279:F319)</f>
        <v>0</v>
      </c>
      <c r="G320" s="39">
        <f ca="1">SUM(G279:G319)</f>
        <v>10694472.087832389</v>
      </c>
      <c r="H320" s="15"/>
      <c r="I320" s="15"/>
      <c r="J320" s="15"/>
      <c r="K320" s="15"/>
      <c r="L320" s="15"/>
      <c r="M320" s="35"/>
      <c r="N320" s="35"/>
      <c r="O320" s="35"/>
      <c r="P320" s="15"/>
      <c r="Q320" s="8">
        <f ca="1">SUM(Q279:Q319)</f>
        <v>41745060.107377544</v>
      </c>
      <c r="R320" s="8">
        <f ca="1">SUM(R279:R319)</f>
        <v>7343241.8821262093</v>
      </c>
      <c r="S320" s="8">
        <f ca="1">SUM(S279:S319)</f>
        <v>0</v>
      </c>
      <c r="T320" s="8">
        <f ca="1">SUM(T279:T319)</f>
        <v>49088301.989503741</v>
      </c>
      <c r="U320" s="15"/>
      <c r="V320" s="275"/>
      <c r="W320" s="276">
        <f ca="1">SUM(W279:W319)</f>
        <v>3435273.8585794275</v>
      </c>
      <c r="X320" s="275"/>
      <c r="Y320" s="276">
        <f ca="1">SUM(Y279:Y319)</f>
        <v>3934469.6745913918</v>
      </c>
      <c r="Z320" s="275"/>
      <c r="AA320" s="276">
        <f ca="1">SUM(AA279:AA319)</f>
        <v>6167547.0574675845</v>
      </c>
      <c r="AB320" s="276">
        <f ca="1">SUM(AB279:AB319)</f>
        <v>13537290.590638407</v>
      </c>
      <c r="AC320" s="15"/>
      <c r="AD320" s="276">
        <f t="shared" ref="AD320:AF320" ca="1" si="697">SUM(AD279:AD319)</f>
        <v>35551011.39886532</v>
      </c>
      <c r="AE320" s="276">
        <f t="shared" ca="1" si="697"/>
        <v>9341520.1356527489</v>
      </c>
      <c r="AF320" s="276">
        <f t="shared" ca="1" si="697"/>
        <v>26209491.26321258</v>
      </c>
      <c r="AG320" s="15"/>
      <c r="AH320" s="277"/>
      <c r="AI320" s="278"/>
      <c r="AJ320" s="278"/>
      <c r="AK320" s="279">
        <f t="shared" ca="1" si="564"/>
        <v>7488972.5199341662</v>
      </c>
      <c r="AL320" s="233"/>
    </row>
    <row r="321" spans="2:38" x14ac:dyDescent="0.3">
      <c r="B321" s="232"/>
      <c r="C321" s="283" t="s">
        <v>303</v>
      </c>
      <c r="D321" s="263">
        <f t="shared" ca="1" si="670"/>
        <v>1278560.3796372144</v>
      </c>
      <c r="E321" s="263">
        <f t="shared" ca="1" si="670"/>
        <v>10058.495988491082</v>
      </c>
      <c r="F321" s="263">
        <f t="shared" ca="1" si="670"/>
        <v>0</v>
      </c>
      <c r="G321" s="263">
        <f t="shared" ca="1" si="670"/>
        <v>1338911.3555681584</v>
      </c>
      <c r="H321" s="15"/>
      <c r="I321" s="35">
        <f ca="1">+I319</f>
        <v>4.5</v>
      </c>
      <c r="J321" s="35">
        <f t="shared" ref="J321:K321" ca="1" si="698">+J319</f>
        <v>80</v>
      </c>
      <c r="K321" s="35">
        <f t="shared" ca="1" si="698"/>
        <v>40</v>
      </c>
      <c r="L321" s="15"/>
      <c r="M321" s="35">
        <f t="shared" ref="M321" ca="1" si="699">+IFERROR(Q321/D321,"N/A")</f>
        <v>4.2299999999999995</v>
      </c>
      <c r="N321" s="35">
        <f t="shared" ref="N321" ca="1" si="700">+IFERROR(R321/E321,"N/A")</f>
        <v>72.744099646315092</v>
      </c>
      <c r="O321" s="35" t="str">
        <f t="shared" ref="O321" ca="1" si="701">+IFERROR(S321/F321,"N/A")</f>
        <v>N/A</v>
      </c>
      <c r="P321" s="15"/>
      <c r="Q321" s="34">
        <f t="shared" ref="Q321:T321" ca="1" si="702">+Q71+Q121+Q171+Q221+Q271</f>
        <v>5408310.4058654159</v>
      </c>
      <c r="R321" s="34">
        <f t="shared" ca="1" si="702"/>
        <v>731696.23447885597</v>
      </c>
      <c r="S321" s="34">
        <f t="shared" ca="1" si="702"/>
        <v>0</v>
      </c>
      <c r="T321" s="34">
        <f t="shared" ca="1" si="702"/>
        <v>6140006.6403442714</v>
      </c>
      <c r="U321" s="15"/>
      <c r="V321" s="35">
        <f t="shared" ref="V321" ca="1" si="703">+IFERROR(W321/$G321,"N/A")</f>
        <v>0.31386462020439648</v>
      </c>
      <c r="W321" s="34">
        <f t="shared" ref="W321" ca="1" si="704">+W71+W121+W171+W221+W271</f>
        <v>420236.90410275373</v>
      </c>
      <c r="X321" s="35">
        <f t="shared" ref="X321" ca="1" si="705">+IFERROR(Y321/$G321,"N/A")</f>
        <v>0.36927579148673939</v>
      </c>
      <c r="Y321" s="34">
        <f t="shared" ref="Y321" ca="1" si="706">+Y71+Y121+Y171+Y221+Y271</f>
        <v>494427.55055801489</v>
      </c>
      <c r="Z321" s="35">
        <f t="shared" ref="Z321" ca="1" si="707">+IFERROR(AA321/$G321,"N/A")</f>
        <v>0.57886475422245631</v>
      </c>
      <c r="AA321" s="34">
        <f t="shared" ref="AA321:AB321" ca="1" si="708">+AA71+AA121+AA171+AA221+AA271</f>
        <v>775048.59276661789</v>
      </c>
      <c r="AB321" s="34">
        <f t="shared" ca="1" si="708"/>
        <v>1689713.0474273865</v>
      </c>
      <c r="AC321" s="15"/>
      <c r="AD321" s="34">
        <f t="shared" ref="AD321:AF321" ca="1" si="709">+AD71+AD121+AD171+AD221+AD271</f>
        <v>4450293.5929168854</v>
      </c>
      <c r="AE321" s="62">
        <f t="shared" ca="1" si="709"/>
        <v>406446.49445456924</v>
      </c>
      <c r="AF321" s="34">
        <f t="shared" ca="1" si="709"/>
        <v>4043847.0984623162</v>
      </c>
      <c r="AG321" s="15"/>
      <c r="AH321" s="266"/>
      <c r="AI321" s="267"/>
      <c r="AJ321" s="267"/>
      <c r="AK321" s="34">
        <f t="shared" ca="1" si="564"/>
        <v>92232.691353054004</v>
      </c>
      <c r="AL321" s="233"/>
    </row>
    <row r="322" spans="2:38" x14ac:dyDescent="0.3">
      <c r="B322" s="232"/>
      <c r="C322" s="60" t="s">
        <v>26</v>
      </c>
      <c r="D322" s="39">
        <f ca="1">D321+D320</f>
        <v>11361602.8240599</v>
      </c>
      <c r="E322" s="39">
        <f t="shared" ref="E322:G322" ca="1" si="710">E321+E320</f>
        <v>111963.43655677514</v>
      </c>
      <c r="F322" s="39">
        <f t="shared" ca="1" si="710"/>
        <v>0</v>
      </c>
      <c r="G322" s="39">
        <f t="shared" ca="1" si="710"/>
        <v>12033383.443400547</v>
      </c>
      <c r="H322" s="15"/>
      <c r="I322" s="15"/>
      <c r="J322" s="15"/>
      <c r="K322" s="15"/>
      <c r="L322" s="15"/>
      <c r="M322" s="15"/>
      <c r="N322" s="15"/>
      <c r="O322" s="15"/>
      <c r="P322" s="15"/>
      <c r="Q322" s="8">
        <f ca="1">Q321+Q320</f>
        <v>47153370.51324296</v>
      </c>
      <c r="R322" s="8">
        <f t="shared" ref="R322:T322" ca="1" si="711">R321+R320</f>
        <v>8074938.1166050658</v>
      </c>
      <c r="S322" s="8">
        <f t="shared" ca="1" si="711"/>
        <v>0</v>
      </c>
      <c r="T322" s="8">
        <f t="shared" ca="1" si="711"/>
        <v>55228308.629848011</v>
      </c>
      <c r="U322" s="15"/>
      <c r="V322" s="9"/>
      <c r="W322" s="8">
        <f t="shared" ref="W322" ca="1" si="712">W321+W320</f>
        <v>3855510.7626821813</v>
      </c>
      <c r="X322" s="9"/>
      <c r="Y322" s="8">
        <f t="shared" ref="Y322" ca="1" si="713">Y321+Y320</f>
        <v>4428897.2251494071</v>
      </c>
      <c r="Z322" s="9"/>
      <c r="AA322" s="8">
        <f t="shared" ref="AA322:AB322" ca="1" si="714">AA321+AA320</f>
        <v>6942595.6502342019</v>
      </c>
      <c r="AB322" s="8">
        <f t="shared" ca="1" si="714"/>
        <v>15227003.638065793</v>
      </c>
      <c r="AC322" s="15"/>
      <c r="AD322" s="8">
        <f t="shared" ref="AD322:AF322" ca="1" si="715">AD321+AD320</f>
        <v>40001304.991782203</v>
      </c>
      <c r="AE322" s="8">
        <f t="shared" ca="1" si="715"/>
        <v>9747966.630107319</v>
      </c>
      <c r="AF322" s="8">
        <f t="shared" ca="1" si="715"/>
        <v>30253338.361674897</v>
      </c>
      <c r="AG322" s="15"/>
      <c r="AH322" s="9"/>
      <c r="AI322" s="9"/>
      <c r="AJ322" s="9"/>
      <c r="AK322" s="65">
        <f t="shared" ca="1" si="564"/>
        <v>7581205.2112872209</v>
      </c>
      <c r="AL322" s="233"/>
    </row>
    <row r="323" spans="2:38" x14ac:dyDescent="0.3">
      <c r="B323" s="256"/>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258"/>
    </row>
    <row r="325" spans="2:38" x14ac:dyDescent="0.3">
      <c r="G325" s="208"/>
      <c r="AK325" s="65"/>
    </row>
  </sheetData>
  <pageMargins left="0.7" right="0.7" top="0.75" bottom="0.75" header="0.3" footer="0.3"/>
  <pageSetup orientation="portrait" r:id="rId1"/>
  <ignoredErrors>
    <ignoredError sqref="W29:AA72 D320:G32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showGridLines="0" workbookViewId="0">
      <selection activeCell="F40" sqref="F40"/>
    </sheetView>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C323"/>
  <sheetViews>
    <sheetView showGridLines="0" zoomScaleNormal="100" workbookViewId="0"/>
  </sheetViews>
  <sheetFormatPr defaultRowHeight="14.4" x14ac:dyDescent="0.3"/>
  <cols>
    <col min="1" max="2" width="2.6640625" customWidth="1"/>
    <col min="3" max="3" width="11.33203125" bestFit="1" customWidth="1"/>
    <col min="7" max="7" width="10.6640625" bestFit="1" customWidth="1"/>
    <col min="17" max="20" width="11.6640625" customWidth="1"/>
    <col min="22" max="28" width="10.6640625" customWidth="1"/>
    <col min="30" max="32" width="11.6640625" customWidth="1"/>
    <col min="34" max="36" width="10.6640625" customWidth="1"/>
    <col min="37" max="37" width="11.6640625" customWidth="1"/>
    <col min="38" max="40" width="2.6640625" customWidth="1"/>
    <col min="41" max="51" width="12.6640625" customWidth="1"/>
  </cols>
  <sheetData>
    <row r="2" spans="2:55" x14ac:dyDescent="0.3">
      <c r="B2" s="225" t="s">
        <v>238</v>
      </c>
      <c r="C2" s="31"/>
      <c r="D2" s="31"/>
      <c r="E2" s="31"/>
      <c r="F2" s="31"/>
      <c r="G2" s="31"/>
      <c r="H2" s="31"/>
      <c r="I2" s="31"/>
      <c r="J2" s="31"/>
      <c r="K2" s="31"/>
      <c r="L2" s="31"/>
      <c r="M2" s="31"/>
      <c r="N2" s="31"/>
      <c r="O2" s="31"/>
      <c r="P2" s="31"/>
      <c r="Q2" s="31"/>
      <c r="R2" s="31"/>
      <c r="S2" s="31"/>
      <c r="T2" s="31"/>
      <c r="U2" s="31"/>
      <c r="V2" s="31"/>
      <c r="W2" s="31"/>
      <c r="X2" s="31"/>
      <c r="Y2" s="31"/>
      <c r="Z2" s="226"/>
      <c r="AB2" s="299"/>
      <c r="AN2" s="225" t="s">
        <v>239</v>
      </c>
      <c r="AO2" s="31"/>
      <c r="AP2" s="31"/>
      <c r="AQ2" s="31"/>
      <c r="AR2" s="31"/>
      <c r="AS2" s="31"/>
      <c r="AT2" s="31"/>
      <c r="AU2" s="31"/>
      <c r="AV2" s="31"/>
      <c r="AW2" s="31"/>
      <c r="AX2" s="31"/>
      <c r="AY2" s="31"/>
      <c r="AZ2" s="31"/>
      <c r="BA2" s="31"/>
      <c r="BB2" s="31"/>
      <c r="BC2" s="226"/>
    </row>
    <row r="3" spans="2:55" x14ac:dyDescent="0.3">
      <c r="B3" s="227"/>
      <c r="C3" s="228" t="s">
        <v>240</v>
      </c>
      <c r="D3" s="54"/>
      <c r="E3" s="54"/>
      <c r="F3" s="54"/>
      <c r="G3" s="54"/>
      <c r="H3" s="54"/>
      <c r="I3" s="228" t="s">
        <v>241</v>
      </c>
      <c r="J3" s="54"/>
      <c r="K3" s="54"/>
      <c r="L3" s="54"/>
      <c r="M3" s="54"/>
      <c r="N3" s="54"/>
      <c r="O3" s="228" t="s">
        <v>242</v>
      </c>
      <c r="P3" s="54"/>
      <c r="Q3" s="54"/>
      <c r="R3" s="54"/>
      <c r="S3" s="54"/>
      <c r="T3" s="228" t="s">
        <v>243</v>
      </c>
      <c r="U3" s="54"/>
      <c r="V3" s="54"/>
      <c r="W3" s="54"/>
      <c r="X3" s="54"/>
      <c r="Y3" s="54"/>
      <c r="Z3" s="229"/>
      <c r="AN3" s="227"/>
      <c r="AO3" s="228" t="s">
        <v>244</v>
      </c>
      <c r="AP3" s="54"/>
      <c r="AQ3" s="54"/>
      <c r="AR3" s="54"/>
      <c r="AS3" s="54"/>
      <c r="AT3" s="54"/>
      <c r="AU3" s="228"/>
      <c r="AV3" s="54"/>
      <c r="AW3" s="54"/>
      <c r="AX3" s="54"/>
      <c r="AY3" s="54"/>
      <c r="AZ3" s="54"/>
      <c r="BA3" s="228"/>
      <c r="BB3" s="54"/>
      <c r="BC3" s="229"/>
    </row>
    <row r="4" spans="2:55" x14ac:dyDescent="0.3">
      <c r="B4" s="230"/>
      <c r="C4" s="9"/>
      <c r="D4" s="9"/>
      <c r="E4" s="9"/>
      <c r="F4" s="9"/>
      <c r="G4" s="9"/>
      <c r="H4" s="9"/>
      <c r="I4" s="7"/>
      <c r="J4" s="9"/>
      <c r="K4" s="9"/>
      <c r="L4" s="9"/>
      <c r="M4" s="9"/>
      <c r="N4" s="9"/>
      <c r="O4" s="7"/>
      <c r="P4" s="9"/>
      <c r="Q4" s="9"/>
      <c r="R4" s="9"/>
      <c r="S4" s="9"/>
      <c r="T4" s="9"/>
      <c r="U4" s="9"/>
      <c r="V4" s="32" t="s">
        <v>10</v>
      </c>
      <c r="W4" s="32" t="s">
        <v>11</v>
      </c>
      <c r="X4" s="32" t="s">
        <v>245</v>
      </c>
      <c r="Y4" s="32" t="s">
        <v>12</v>
      </c>
      <c r="Z4" s="231"/>
      <c r="AN4" s="232"/>
      <c r="AO4" s="15"/>
      <c r="AP4" s="15"/>
      <c r="AQ4" s="15"/>
      <c r="AR4" s="15"/>
      <c r="AS4" s="15"/>
      <c r="AT4" s="15"/>
      <c r="AU4" s="15"/>
      <c r="AV4" s="15"/>
      <c r="AW4" s="15"/>
      <c r="AX4" s="15"/>
      <c r="AY4" s="15"/>
      <c r="AZ4" s="15"/>
      <c r="BA4" s="15"/>
      <c r="BB4" s="15"/>
      <c r="BC4" s="233"/>
    </row>
    <row r="5" spans="2:55" x14ac:dyDescent="0.3">
      <c r="B5" s="232"/>
      <c r="C5" s="15" t="s">
        <v>246</v>
      </c>
      <c r="D5" s="15"/>
      <c r="E5" s="15"/>
      <c r="F5" s="15"/>
      <c r="G5" s="34">
        <f>Y8</f>
        <v>1988800</v>
      </c>
      <c r="H5" s="15"/>
      <c r="I5" s="78" t="str">
        <f>Assumptions!$N$27</f>
        <v>Working Interest:</v>
      </c>
      <c r="M5" s="234" t="str">
        <f t="shared" ref="M5:M6" ca="1" si="0">IFERROR(INDEX(Regional_Input_Range,MATCH($I5,Regional_Input_Var_Column,0),MATCH(MID(CELL("filename",$A$1),FIND("]",CELL("filename",$A$1))+1,255),Regional_Input_Region_Row,0)),"N/A")</f>
        <v>N/A</v>
      </c>
      <c r="N5" s="15"/>
      <c r="O5" s="33" t="s">
        <v>41</v>
      </c>
      <c r="P5" s="15"/>
      <c r="Q5" s="15"/>
      <c r="R5" s="235">
        <f>Gas_Price_Diff</f>
        <v>0.94</v>
      </c>
      <c r="T5" s="3" t="s">
        <v>247</v>
      </c>
      <c r="U5" s="4"/>
      <c r="V5" s="13" t="s">
        <v>307</v>
      </c>
      <c r="W5" s="13" t="s">
        <v>308</v>
      </c>
      <c r="X5" s="13" t="s">
        <v>308</v>
      </c>
      <c r="Y5" s="13" t="s">
        <v>248</v>
      </c>
      <c r="Z5" s="233"/>
      <c r="AB5" s="209"/>
      <c r="AN5" s="232"/>
      <c r="AQ5" s="177" t="s">
        <v>53</v>
      </c>
      <c r="AR5" s="38" t="s">
        <v>147</v>
      </c>
      <c r="AT5" s="236"/>
      <c r="AU5" s="237"/>
      <c r="AV5" s="37" t="s">
        <v>249</v>
      </c>
      <c r="AW5" s="23"/>
      <c r="AX5" s="37" t="s">
        <v>250</v>
      </c>
      <c r="AY5" s="23"/>
      <c r="AZ5" s="15"/>
      <c r="BA5" s="15"/>
      <c r="BB5" s="15"/>
      <c r="BC5" s="233"/>
    </row>
    <row r="6" spans="2:55" x14ac:dyDescent="0.3">
      <c r="B6" s="232"/>
      <c r="C6" s="15" t="s">
        <v>251</v>
      </c>
      <c r="D6" s="15"/>
      <c r="E6" s="15"/>
      <c r="F6" s="15"/>
      <c r="G6" s="34">
        <f>Y16</f>
        <v>631.89125274725279</v>
      </c>
      <c r="H6" s="15"/>
      <c r="I6" s="78" t="str">
        <f>Assumptions!$N$28</f>
        <v>Royalty Rate:</v>
      </c>
      <c r="M6" s="234" t="str">
        <f t="shared" ca="1" si="0"/>
        <v>N/A</v>
      </c>
      <c r="N6" s="15"/>
      <c r="O6" s="33" t="s">
        <v>13</v>
      </c>
      <c r="P6" s="15"/>
      <c r="Q6" s="15"/>
      <c r="R6" s="235">
        <f>Oil_Price_Diff</f>
        <v>0.93</v>
      </c>
      <c r="T6" s="33" t="s">
        <v>252</v>
      </c>
      <c r="U6" s="15"/>
      <c r="V6" s="238">
        <f>Data!D31</f>
        <v>1795000</v>
      </c>
      <c r="W6" s="238">
        <f>Data!E31</f>
        <v>10300</v>
      </c>
      <c r="X6" s="191">
        <v>0</v>
      </c>
      <c r="Y6" s="34">
        <f>V6+(W6+X6)*Bbl_to_Mcfe</f>
        <v>1856800</v>
      </c>
      <c r="Z6" s="233"/>
      <c r="AB6" s="295"/>
      <c r="AN6" s="232"/>
      <c r="AO6" s="188" t="s">
        <v>253</v>
      </c>
      <c r="AP6" s="4"/>
      <c r="AQ6" s="11" t="s">
        <v>54</v>
      </c>
      <c r="AR6" s="11" t="s">
        <v>254</v>
      </c>
      <c r="AS6" s="4"/>
      <c r="AT6" s="13"/>
      <c r="AU6" s="239"/>
      <c r="AV6" s="240" t="s">
        <v>164</v>
      </c>
      <c r="AW6" s="241" t="s">
        <v>178</v>
      </c>
      <c r="AX6" s="240" t="s">
        <v>164</v>
      </c>
      <c r="AY6" s="241" t="s">
        <v>178</v>
      </c>
      <c r="AZ6" s="15"/>
      <c r="BA6" s="15"/>
      <c r="BB6" s="15"/>
      <c r="BC6" s="233"/>
    </row>
    <row r="7" spans="2:55" x14ac:dyDescent="0.3">
      <c r="B7" s="232"/>
      <c r="C7" s="15" t="s">
        <v>255</v>
      </c>
      <c r="D7" s="15"/>
      <c r="E7" s="15"/>
      <c r="F7" s="15"/>
      <c r="G7" s="294">
        <v>0.115652861790777</v>
      </c>
      <c r="H7" s="15"/>
      <c r="I7" s="78" t="str">
        <f>Assumptions!$N$29</f>
        <v>EUR (Mmcfe):</v>
      </c>
      <c r="M7" s="242" t="str">
        <f ca="1">IFERROR(INDEX(Regional_Input_Range,MATCH($I7,Regional_Input_Var_Column,0),MATCH(MID(CELL("filename",$A$1),FIND("]",CELL("filename",$A$1))+1,255),Regional_Input_Region_Row,0)),"N/A")</f>
        <v>N/A</v>
      </c>
      <c r="N7" s="15"/>
      <c r="O7" s="33" t="s">
        <v>8</v>
      </c>
      <c r="P7" s="15"/>
      <c r="Q7" s="15"/>
      <c r="R7" s="235">
        <f>NGL_Price_Diff_vs_Oil</f>
        <v>0.5</v>
      </c>
      <c r="T7" s="33" t="s">
        <v>256</v>
      </c>
      <c r="U7" s="15"/>
      <c r="V7" s="238">
        <f>Data!D32</f>
        <v>129000</v>
      </c>
      <c r="W7" s="238">
        <f>Data!E32</f>
        <v>500</v>
      </c>
      <c r="X7" s="191">
        <v>0</v>
      </c>
      <c r="Y7" s="34">
        <f>V7+(W7+X7)*Bbl_to_Mcfe</f>
        <v>132000</v>
      </c>
      <c r="Z7" s="233"/>
      <c r="AB7" s="209"/>
      <c r="AN7" s="232"/>
      <c r="AO7" s="243" t="str">
        <f>Assumptions!$N$44</f>
        <v>PDP</v>
      </c>
      <c r="AP7" s="15"/>
      <c r="AQ7" s="244">
        <f ca="1">IFERROR(INDEX(Reserve_Credit_Range,MATCH($AO7,Reserve_Credit_Categories_Col,0),MATCH(MID(CELL("filename",$A$1),FIND("]",CELL("filename",$A$1))+1,255),Reserve_Credit_Regions_Row,0)),"N/A")</f>
        <v>1</v>
      </c>
      <c r="AR7" s="293" t="str">
        <f>Assumptions!$R$14</f>
        <v>N/A</v>
      </c>
      <c r="AT7" s="15"/>
      <c r="AU7" s="15"/>
      <c r="AV7" s="34"/>
      <c r="AW7" s="34">
        <f>+Y6</f>
        <v>1856800</v>
      </c>
      <c r="AX7" s="34"/>
      <c r="AY7" s="34">
        <f ca="1">+AW7*AQ7</f>
        <v>1856800</v>
      </c>
      <c r="AZ7" s="15"/>
      <c r="BA7" s="15"/>
      <c r="BB7" s="15"/>
      <c r="BC7" s="233"/>
    </row>
    <row r="8" spans="2:55" x14ac:dyDescent="0.3">
      <c r="B8" s="232"/>
      <c r="C8" s="15" t="s">
        <v>257</v>
      </c>
      <c r="D8" s="15"/>
      <c r="E8" s="15"/>
      <c r="F8" s="15"/>
      <c r="G8" s="245">
        <f>$AQ$26</f>
        <v>22</v>
      </c>
      <c r="H8" s="15"/>
      <c r="I8" s="78" t="str">
        <f>Assumptions!$N$30</f>
        <v>IP Rate (Mmcfe / d):</v>
      </c>
      <c r="M8" s="242" t="str">
        <f ca="1">IFERROR(INDEX(Regional_Input_Range,MATCH($I8,Regional_Input_Var_Column,0),MATCH(MID(CELL("filename",$A$1),FIND("]",CELL("filename",$A$1))+1,255),Regional_Input_Region_Row,0)),"N/A")</f>
        <v>N/A</v>
      </c>
      <c r="N8" s="15"/>
      <c r="O8" s="15"/>
      <c r="P8" s="15"/>
      <c r="Q8" s="15"/>
      <c r="R8" s="15"/>
      <c r="S8" s="15"/>
      <c r="T8" s="7" t="s">
        <v>258</v>
      </c>
      <c r="U8" s="9"/>
      <c r="V8" s="185">
        <f>SUM(V6:V7)</f>
        <v>1924000</v>
      </c>
      <c r="W8" s="185">
        <f>SUM(W6:W7)</f>
        <v>10800</v>
      </c>
      <c r="X8" s="185">
        <f>SUM(X6:X7)</f>
        <v>0</v>
      </c>
      <c r="Y8" s="8">
        <f>SUM(Y6:Y7)</f>
        <v>1988800</v>
      </c>
      <c r="Z8" s="233"/>
      <c r="AB8" s="223"/>
      <c r="AN8" s="232"/>
      <c r="AO8" s="243" t="str">
        <f>Assumptions!$N$45</f>
        <v>PDNP</v>
      </c>
      <c r="AP8" s="15"/>
      <c r="AQ8" s="244">
        <f ca="1">IFERROR(INDEX(Reserve_Credit_Range,MATCH($AO8,Reserve_Credit_Categories_Col,0),MATCH(MID(CELL("filename",$A$1),FIND("]",CELL("filename",$A$1))+1,255),Reserve_Credit_Regions_Row,0)),"N/A")</f>
        <v>1</v>
      </c>
      <c r="AR8" s="293" t="str">
        <f>Assumptions!$R$14</f>
        <v>N/A</v>
      </c>
      <c r="AT8" s="15"/>
      <c r="AU8" s="15"/>
      <c r="AV8" s="34"/>
      <c r="AW8" s="34">
        <f>+Y7</f>
        <v>132000</v>
      </c>
      <c r="AX8" s="34"/>
      <c r="AY8" s="34">
        <f ca="1">+AW8*AQ8</f>
        <v>132000</v>
      </c>
      <c r="AZ8" s="15"/>
      <c r="BA8" s="15"/>
      <c r="BB8" s="15"/>
      <c r="BC8" s="233"/>
    </row>
    <row r="9" spans="2:55" x14ac:dyDescent="0.3">
      <c r="B9" s="232"/>
      <c r="C9" s="15" t="s">
        <v>259</v>
      </c>
      <c r="D9" s="15"/>
      <c r="E9" s="15"/>
      <c r="F9" s="15"/>
      <c r="G9" s="235">
        <f>Stub_Per_Adj</f>
        <v>0.25</v>
      </c>
      <c r="H9" s="15"/>
      <c r="I9" s="78" t="str">
        <f>Assumptions!$N$31</f>
        <v>D&amp;C Cost Per Well ($ in MMs):</v>
      </c>
      <c r="M9" s="246" t="str">
        <f ca="1">IFERROR(INDEX(Regional_Input_Range,MATCH($I9,Regional_Input_Var_Column,0),MATCH(MID(CELL("filename",$A$1),FIND("]",CELL("filename",$A$1))+1,255),Regional_Input_Region_Row,0)),"N/A")</f>
        <v>N/A</v>
      </c>
      <c r="N9" s="15"/>
      <c r="S9" s="15"/>
      <c r="T9" s="15"/>
      <c r="U9" s="15"/>
      <c r="V9" s="238"/>
      <c r="W9" s="238"/>
      <c r="X9" s="191"/>
      <c r="Y9" s="34"/>
      <c r="Z9" s="233"/>
      <c r="AB9" s="296"/>
      <c r="AC9" s="1"/>
      <c r="AN9" s="232"/>
      <c r="AO9" s="243" t="str">
        <f>Assumptions!$N$46</f>
        <v>PUD</v>
      </c>
      <c r="AP9" s="15"/>
      <c r="AQ9" s="244">
        <f ca="1">IFERROR(INDEX(Reserve_Credit_Range,MATCH($AO9,Reserve_Credit_Categories_Col,0),MATCH(MID(CELL("filename",$A$1),FIND("]",CELL("filename",$A$1))+1,255),Reserve_Credit_Regions_Row,0)),"N/A")</f>
        <v>1</v>
      </c>
      <c r="AR9" s="293" t="str">
        <f>Assumptions!$R$14</f>
        <v>N/A</v>
      </c>
      <c r="AT9" s="247"/>
      <c r="AU9" s="247"/>
      <c r="AV9" s="34"/>
      <c r="AW9" s="34"/>
      <c r="AX9" s="34"/>
      <c r="AY9" s="34"/>
      <c r="AZ9" s="15"/>
      <c r="BA9" s="15"/>
      <c r="BB9" s="15"/>
      <c r="BC9" s="233"/>
    </row>
    <row r="10" spans="2:55" x14ac:dyDescent="0.3">
      <c r="B10" s="232"/>
      <c r="C10" s="15"/>
      <c r="D10" s="15"/>
      <c r="E10" s="15"/>
      <c r="F10" s="15"/>
      <c r="G10" s="15"/>
      <c r="H10" s="15"/>
      <c r="I10" s="33" t="s">
        <v>260</v>
      </c>
      <c r="J10" s="15"/>
      <c r="K10" s="15"/>
      <c r="L10" s="15"/>
      <c r="M10" s="248">
        <v>205</v>
      </c>
      <c r="N10" s="15"/>
      <c r="S10" s="15"/>
      <c r="T10" s="249"/>
      <c r="U10" s="15"/>
      <c r="V10" s="250" t="s">
        <v>10</v>
      </c>
      <c r="W10" s="250" t="s">
        <v>11</v>
      </c>
      <c r="X10" s="250" t="s">
        <v>245</v>
      </c>
      <c r="Y10" s="61" t="s">
        <v>12</v>
      </c>
      <c r="Z10" s="233"/>
      <c r="AB10" s="300"/>
      <c r="AC10" s="1"/>
      <c r="AN10" s="232"/>
      <c r="AO10" s="243" t="str">
        <f>Assumptions!$N$47</f>
        <v>PROB</v>
      </c>
      <c r="AP10" s="15"/>
      <c r="AQ10" s="244">
        <f ca="1">IFERROR(INDEX(Reserve_Credit_Range,MATCH($AO10,Reserve_Credit_Categories_Col,0),MATCH(MID(CELL("filename",$A$1),FIND("]",CELL("filename",$A$1))+1,255),Reserve_Credit_Regions_Row,0)),"N/A")</f>
        <v>0.75</v>
      </c>
      <c r="AR10" s="293" t="str">
        <f>Assumptions!$R$14</f>
        <v>N/A</v>
      </c>
      <c r="AT10" s="247"/>
      <c r="AU10" s="247"/>
      <c r="AV10" s="34"/>
      <c r="AW10" s="34"/>
      <c r="AX10" s="34"/>
      <c r="AY10" s="34"/>
      <c r="AZ10" s="15"/>
      <c r="BA10" s="15"/>
      <c r="BB10" s="15"/>
      <c r="BC10" s="233"/>
    </row>
    <row r="11" spans="2:55" x14ac:dyDescent="0.3">
      <c r="B11" s="232"/>
      <c r="C11" s="18"/>
      <c r="D11" s="18"/>
      <c r="E11" s="18"/>
      <c r="F11" s="18"/>
      <c r="G11" s="61"/>
      <c r="H11" s="15"/>
      <c r="I11" s="33" t="s">
        <v>261</v>
      </c>
      <c r="J11" s="15"/>
      <c r="K11" s="15"/>
      <c r="L11" s="15"/>
      <c r="M11" s="248">
        <v>71</v>
      </c>
      <c r="N11" s="15"/>
      <c r="S11" s="15"/>
      <c r="T11" s="251" t="s">
        <v>262</v>
      </c>
      <c r="U11" s="4"/>
      <c r="V11" s="13" t="s">
        <v>307</v>
      </c>
      <c r="W11" s="13" t="s">
        <v>308</v>
      </c>
      <c r="X11" s="13" t="s">
        <v>308</v>
      </c>
      <c r="Y11" s="13" t="s">
        <v>248</v>
      </c>
      <c r="Z11" s="233"/>
      <c r="AB11" s="296"/>
      <c r="AN11" s="232"/>
      <c r="AO11" s="243" t="str">
        <f>Assumptions!$N$48</f>
        <v>POSS</v>
      </c>
      <c r="AP11" s="15"/>
      <c r="AQ11" s="244">
        <f ca="1">IFERROR(INDEX(Reserve_Credit_Range,MATCH($AO11,Reserve_Credit_Categories_Col,0),MATCH(MID(CELL("filename",$A$1),FIND("]",CELL("filename",$A$1))+1,255),Reserve_Credit_Regions_Row,0)),"N/A")</f>
        <v>0.75</v>
      </c>
      <c r="AR11" s="293" t="str">
        <f>Assumptions!$R$14</f>
        <v>N/A</v>
      </c>
      <c r="AT11" s="247"/>
      <c r="AU11" s="247"/>
      <c r="AV11" s="34"/>
      <c r="AW11" s="34"/>
      <c r="AX11" s="34"/>
      <c r="AY11" s="34"/>
      <c r="AZ11" s="15"/>
      <c r="BA11" s="15"/>
      <c r="BB11" s="15"/>
      <c r="BC11" s="233"/>
    </row>
    <row r="12" spans="2:55" x14ac:dyDescent="0.3">
      <c r="B12" s="232"/>
      <c r="C12" s="33"/>
      <c r="D12" s="15"/>
      <c r="E12" s="15"/>
      <c r="F12" s="15"/>
      <c r="G12" s="252"/>
      <c r="H12" s="15"/>
      <c r="I12" s="78" t="str">
        <f>Assumptions!$N$32</f>
        <v>% Gas:</v>
      </c>
      <c r="J12" s="15"/>
      <c r="K12" s="15"/>
      <c r="M12" s="234">
        <f ca="1">IFERROR(INDEX(Regional_Input_Range,MATCH($I12,Regional_Input_Var_Column,0),MATCH(MID(CELL("filename",$A$1),FIND("]",CELL("filename",$A$1))+1,255),Regional_Input_Region_Row,0)),"N/A")</f>
        <v>0.96741753821399834</v>
      </c>
      <c r="N12" s="15"/>
      <c r="O12" s="16"/>
      <c r="P12" s="15"/>
      <c r="Q12" s="15"/>
      <c r="R12" s="15"/>
      <c r="S12" s="15"/>
      <c r="T12" s="114" t="s">
        <v>263</v>
      </c>
      <c r="U12" s="15"/>
      <c r="V12" s="191">
        <v>55718.13</v>
      </c>
      <c r="W12" s="191">
        <v>297.32900000000001</v>
      </c>
      <c r="X12" s="191">
        <v>0</v>
      </c>
      <c r="Y12" s="34">
        <f>V12+(W12+X12)*Bbl_to_Mcfe</f>
        <v>57502.103999999999</v>
      </c>
      <c r="Z12" s="233"/>
      <c r="AB12" s="296"/>
      <c r="AN12" s="232"/>
      <c r="AO12" s="96" t="s">
        <v>26</v>
      </c>
      <c r="AP12" s="9"/>
      <c r="AQ12" s="9"/>
      <c r="AR12" s="9"/>
      <c r="AS12" s="9"/>
      <c r="AT12" s="207"/>
      <c r="AU12" s="207"/>
      <c r="AV12" s="8"/>
      <c r="AW12" s="8">
        <f>SUM(AW7:AW11)</f>
        <v>1988800</v>
      </c>
      <c r="AX12" s="8"/>
      <c r="AY12" s="8">
        <f ca="1">SUM(AY7:AY11)</f>
        <v>1988800</v>
      </c>
      <c r="AZ12" s="15"/>
      <c r="BA12" s="15"/>
      <c r="BB12" s="15"/>
      <c r="BC12" s="233"/>
    </row>
    <row r="13" spans="2:55" x14ac:dyDescent="0.3">
      <c r="B13" s="232"/>
      <c r="C13" s="33"/>
      <c r="D13" s="15"/>
      <c r="E13" s="15"/>
      <c r="F13" s="15"/>
      <c r="G13" s="252"/>
      <c r="H13" s="15"/>
      <c r="I13" s="78" t="str">
        <f>Assumptions!$N$33</f>
        <v>% NGLs:</v>
      </c>
      <c r="J13" s="15"/>
      <c r="K13" s="15"/>
      <c r="M13" s="234">
        <f ca="1">IFERROR(INDEX(Regional_Input_Range,MATCH($I13,Regional_Input_Var_Column,0),MATCH(MID(CELL("filename",$A$1),FIND("]",CELL("filename",$A$1))+1,255),Regional_Input_Region_Row,0)),"N/A")</f>
        <v>0</v>
      </c>
      <c r="N13" s="15"/>
      <c r="S13" s="15"/>
      <c r="T13" s="128" t="s">
        <v>264</v>
      </c>
      <c r="U13" s="15"/>
      <c r="V13" s="15"/>
      <c r="W13" s="15"/>
      <c r="X13" s="15"/>
      <c r="Y13" s="252">
        <v>91</v>
      </c>
      <c r="Z13" s="233"/>
      <c r="AB13" s="298"/>
      <c r="AN13" s="232"/>
      <c r="AO13" s="15"/>
      <c r="AP13" s="15"/>
      <c r="AQ13" s="15"/>
      <c r="AR13" s="15"/>
      <c r="AS13" s="15"/>
      <c r="AT13" s="15"/>
      <c r="AU13" s="15"/>
      <c r="AV13" s="15"/>
      <c r="AW13" s="15"/>
      <c r="AX13" s="15"/>
      <c r="AY13" s="15"/>
      <c r="AZ13" s="15"/>
      <c r="BA13" s="15"/>
      <c r="BB13" s="15"/>
      <c r="BC13" s="233"/>
    </row>
    <row r="14" spans="2:55" x14ac:dyDescent="0.3">
      <c r="B14" s="232"/>
      <c r="H14" s="15"/>
      <c r="I14" s="78" t="str">
        <f>Assumptions!$N$34</f>
        <v>% Oil:</v>
      </c>
      <c r="J14" s="15"/>
      <c r="K14" s="15"/>
      <c r="M14" s="234">
        <f ca="1">IFERROR(INDEX(Regional_Input_Range,MATCH($I14,Regional_Input_Var_Column,0),MATCH(MID(CELL("filename",$A$1),FIND("]",CELL("filename",$A$1))+1,255),Regional_Input_Region_Row,0)),"N/A")</f>
        <v>3.258246178600166E-2</v>
      </c>
      <c r="N14" s="15"/>
      <c r="S14" s="15"/>
      <c r="T14" s="15"/>
      <c r="U14" s="15"/>
      <c r="V14" s="15"/>
      <c r="W14" s="15"/>
      <c r="X14" s="15"/>
      <c r="Y14" s="15"/>
      <c r="Z14" s="233"/>
      <c r="AB14" s="297"/>
      <c r="AE14" s="55"/>
      <c r="AN14" s="232"/>
      <c r="AP14" s="15"/>
      <c r="AQ14" s="15"/>
      <c r="AR14" s="15"/>
      <c r="AS14" s="15"/>
      <c r="AT14" s="15"/>
      <c r="AU14" s="15"/>
      <c r="AV14" s="15"/>
      <c r="AW14" s="15"/>
      <c r="AX14" s="15"/>
      <c r="AY14" s="15"/>
      <c r="AZ14" s="15"/>
      <c r="BA14" s="15"/>
      <c r="BB14" s="15"/>
      <c r="BC14" s="233"/>
    </row>
    <row r="15" spans="2:55" x14ac:dyDescent="0.3">
      <c r="B15" s="232"/>
      <c r="H15" s="15"/>
      <c r="N15" s="15"/>
      <c r="O15" s="15"/>
      <c r="P15" s="15"/>
      <c r="Q15" s="15"/>
      <c r="R15" s="15"/>
      <c r="S15" s="15"/>
      <c r="T15" s="3" t="s">
        <v>265</v>
      </c>
      <c r="U15" s="4"/>
      <c r="V15" s="4"/>
      <c r="W15" s="4"/>
      <c r="X15" s="4"/>
      <c r="Y15" s="4"/>
      <c r="Z15" s="233"/>
      <c r="AB15" s="301"/>
      <c r="AN15" s="232"/>
      <c r="AO15" s="16"/>
      <c r="AP15" s="15"/>
      <c r="AQ15" s="15"/>
      <c r="AR15" s="15"/>
      <c r="AS15" s="15"/>
      <c r="AT15" s="15"/>
      <c r="AU15" s="15"/>
      <c r="AV15" s="15"/>
      <c r="AW15" s="15"/>
      <c r="AX15" s="15"/>
      <c r="AY15" s="15"/>
      <c r="AZ15" s="15"/>
      <c r="BA15" s="15"/>
      <c r="BB15" s="15"/>
      <c r="BC15" s="233"/>
    </row>
    <row r="16" spans="2:55" x14ac:dyDescent="0.3">
      <c r="B16" s="232"/>
      <c r="H16" s="15"/>
      <c r="I16" s="251" t="s">
        <v>266</v>
      </c>
      <c r="J16" s="4"/>
      <c r="K16" s="4"/>
      <c r="L16" s="4"/>
      <c r="M16" s="4"/>
      <c r="N16" s="15"/>
      <c r="O16" s="15"/>
      <c r="P16" s="15"/>
      <c r="Q16" s="15"/>
      <c r="R16" s="15"/>
      <c r="S16" s="15"/>
      <c r="T16" s="33" t="s">
        <v>267</v>
      </c>
      <c r="U16" s="15"/>
      <c r="V16" s="15"/>
      <c r="W16" s="15"/>
      <c r="X16" s="15"/>
      <c r="Y16" s="35">
        <f>Y12/Y13</f>
        <v>631.89125274725279</v>
      </c>
      <c r="Z16" s="233"/>
      <c r="AN16" s="232"/>
      <c r="AO16" s="15"/>
      <c r="AP16" s="15"/>
      <c r="AQ16" s="15"/>
      <c r="AR16" s="15"/>
      <c r="AS16" s="15"/>
      <c r="AT16" s="15"/>
      <c r="AU16" s="15"/>
      <c r="AV16" s="15"/>
      <c r="AW16" s="15"/>
      <c r="AX16" s="15"/>
      <c r="AY16" s="18"/>
      <c r="AZ16" s="15"/>
      <c r="BA16" s="15"/>
      <c r="BB16" s="15"/>
      <c r="BC16" s="233"/>
    </row>
    <row r="17" spans="2:55" x14ac:dyDescent="0.3">
      <c r="B17" s="232"/>
      <c r="C17" s="33"/>
      <c r="D17" s="15"/>
      <c r="E17" s="15"/>
      <c r="F17" s="15"/>
      <c r="G17" s="253"/>
      <c r="H17" s="15"/>
      <c r="I17" s="33" t="str">
        <f>Assumptions!$N$8</f>
        <v>LOE per Mcfe:</v>
      </c>
      <c r="J17" s="15"/>
      <c r="K17" s="15"/>
      <c r="L17" s="15"/>
      <c r="M17" s="254">
        <f>LOE_Per_Mcfe</f>
        <v>0.37</v>
      </c>
      <c r="N17" s="15"/>
      <c r="O17" s="15"/>
      <c r="P17" s="15"/>
      <c r="Q17" s="15"/>
      <c r="R17" s="15"/>
      <c r="S17" s="15"/>
      <c r="T17" s="33" t="s">
        <v>268</v>
      </c>
      <c r="U17" s="15"/>
      <c r="V17" s="15"/>
      <c r="W17" s="15"/>
      <c r="X17" s="15"/>
      <c r="Y17" s="35">
        <f>Data!I22/(PD!Y16*365/Units)</f>
        <v>13.333606066653246</v>
      </c>
      <c r="Z17" s="233"/>
      <c r="AB17" s="223"/>
      <c r="AN17" s="232"/>
      <c r="AO17" s="15"/>
      <c r="AP17" s="15"/>
      <c r="AQ17" s="15"/>
      <c r="AR17" s="15"/>
      <c r="AS17" s="15"/>
      <c r="AT17" s="15"/>
      <c r="AU17" s="15"/>
      <c r="AV17" s="15"/>
      <c r="AW17" s="15"/>
      <c r="AX17" s="15"/>
      <c r="AZ17" s="15"/>
      <c r="BA17" s="15"/>
      <c r="BB17" s="15"/>
      <c r="BC17" s="233"/>
    </row>
    <row r="18" spans="2:55" x14ac:dyDescent="0.3">
      <c r="B18" s="232"/>
      <c r="H18" s="15"/>
      <c r="I18" s="33" t="str">
        <f>Assumptions!$N$9</f>
        <v>Production Taxes per Mcfe:</v>
      </c>
      <c r="J18" s="15"/>
      <c r="K18" s="15"/>
      <c r="L18" s="15"/>
      <c r="M18" s="255">
        <f>Prod_Taxes_Per_Mcfe</f>
        <v>0.31</v>
      </c>
      <c r="N18" s="15"/>
      <c r="O18" s="15"/>
      <c r="P18" s="15"/>
      <c r="Q18" s="15"/>
      <c r="R18" s="15"/>
      <c r="S18" s="15"/>
      <c r="T18" s="33" t="s">
        <v>269</v>
      </c>
      <c r="U18" s="15"/>
      <c r="V18" s="15"/>
      <c r="W18" s="15"/>
      <c r="X18" s="15"/>
      <c r="Y18" s="35">
        <f>Y8/(Y16*365)</f>
        <v>8.6229507048851293</v>
      </c>
      <c r="Z18" s="233"/>
      <c r="AB18" s="296"/>
      <c r="AN18" s="232"/>
      <c r="AO18" s="16"/>
      <c r="AP18" s="15"/>
      <c r="AQ18" s="15"/>
      <c r="AR18" s="15"/>
      <c r="AS18" s="15"/>
      <c r="AT18" s="15"/>
      <c r="AU18" s="15"/>
      <c r="AV18" s="15"/>
      <c r="AW18" s="15"/>
      <c r="AX18" s="15"/>
      <c r="AZ18" s="15"/>
      <c r="BA18" s="15"/>
      <c r="BB18" s="15"/>
      <c r="BC18" s="233"/>
    </row>
    <row r="19" spans="2:55" x14ac:dyDescent="0.3">
      <c r="B19" s="232"/>
      <c r="H19" s="15"/>
      <c r="I19" s="33" t="str">
        <f>Assumptions!$N$10</f>
        <v>Other Operating Expenses per Mcfe:</v>
      </c>
      <c r="J19" s="15"/>
      <c r="K19" s="15"/>
      <c r="L19" s="15"/>
      <c r="M19" s="255">
        <f>Other_OpEx_Per_Mcfe</f>
        <v>0.57999999999999996</v>
      </c>
      <c r="N19" s="15"/>
      <c r="O19" s="15"/>
      <c r="P19" s="15"/>
      <c r="Q19" s="15"/>
      <c r="R19" s="15"/>
      <c r="S19" s="15"/>
      <c r="T19" s="33" t="s">
        <v>270</v>
      </c>
      <c r="U19" s="15"/>
      <c r="V19" s="15"/>
      <c r="W19" s="15"/>
      <c r="X19" s="15"/>
      <c r="Y19" s="235">
        <f>Data!G34</f>
        <v>0.96532009800841867</v>
      </c>
      <c r="Z19" s="233"/>
      <c r="AB19" s="78"/>
      <c r="AN19" s="232"/>
      <c r="AO19" s="73"/>
      <c r="AP19" s="15"/>
      <c r="AQ19" s="15"/>
      <c r="AR19" s="15"/>
      <c r="AS19" s="15"/>
      <c r="AT19" s="15"/>
      <c r="AU19" s="15"/>
      <c r="AV19" s="15"/>
      <c r="AW19" s="15"/>
      <c r="AX19" s="15"/>
      <c r="AY19" s="15"/>
      <c r="AZ19" s="15"/>
      <c r="BA19" s="15"/>
      <c r="BB19" s="15"/>
      <c r="BC19" s="233"/>
    </row>
    <row r="20" spans="2:55" x14ac:dyDescent="0.3">
      <c r="B20" s="232"/>
      <c r="C20" s="15"/>
      <c r="D20" s="15"/>
      <c r="E20" s="15"/>
      <c r="F20" s="15"/>
      <c r="G20" s="15"/>
      <c r="H20" s="15"/>
      <c r="N20" s="15"/>
      <c r="O20" s="15"/>
      <c r="P20" s="15"/>
      <c r="Q20" s="15"/>
      <c r="R20" s="15"/>
      <c r="S20" s="15"/>
      <c r="T20" s="33" t="s">
        <v>271</v>
      </c>
      <c r="U20" s="15"/>
      <c r="V20" s="15"/>
      <c r="W20" s="15"/>
      <c r="X20" s="15"/>
      <c r="Y20" s="235">
        <f>Data!H34</f>
        <v>3.467990199158133E-2</v>
      </c>
      <c r="Z20" s="233"/>
      <c r="AN20" s="232"/>
      <c r="AO20" s="73"/>
      <c r="AP20" s="15"/>
      <c r="AQ20" s="15"/>
      <c r="AR20" s="15"/>
      <c r="AS20" s="15"/>
      <c r="AT20" s="15"/>
      <c r="AU20" s="15"/>
      <c r="AV20" s="15"/>
      <c r="AW20" s="15"/>
      <c r="AX20" s="15"/>
      <c r="AY20" s="15"/>
      <c r="AZ20" s="15"/>
      <c r="BA20" s="15"/>
      <c r="BB20" s="15"/>
      <c r="BC20" s="233"/>
    </row>
    <row r="21" spans="2:55" x14ac:dyDescent="0.3">
      <c r="B21" s="256"/>
      <c r="C21" s="4"/>
      <c r="D21" s="4"/>
      <c r="E21" s="4"/>
      <c r="F21" s="4"/>
      <c r="G21" s="4"/>
      <c r="H21" s="4"/>
      <c r="I21" s="4"/>
      <c r="J21" s="4"/>
      <c r="K21" s="4"/>
      <c r="L21" s="4"/>
      <c r="M21" s="4"/>
      <c r="N21" s="4"/>
      <c r="O21" s="4"/>
      <c r="P21" s="4"/>
      <c r="Q21" s="4"/>
      <c r="R21" s="4"/>
      <c r="S21" s="4"/>
      <c r="T21" s="36" t="s">
        <v>272</v>
      </c>
      <c r="U21" s="4"/>
      <c r="V21" s="4"/>
      <c r="W21" s="4"/>
      <c r="X21" s="4"/>
      <c r="Y21" s="257">
        <f>1-Y19-Y20</f>
        <v>0</v>
      </c>
      <c r="Z21" s="258"/>
      <c r="AB21" s="297"/>
      <c r="AN21" s="256"/>
      <c r="AO21" s="4"/>
      <c r="AP21" s="4"/>
      <c r="AQ21" s="4"/>
      <c r="AR21" s="4"/>
      <c r="AS21" s="4"/>
      <c r="AT21" s="4"/>
      <c r="AU21" s="4"/>
      <c r="AV21" s="4"/>
      <c r="AW21" s="4"/>
      <c r="AX21" s="4"/>
      <c r="AY21" s="4"/>
      <c r="AZ21" s="4"/>
      <c r="BA21" s="4"/>
      <c r="BB21" s="4"/>
      <c r="BC21" s="258"/>
    </row>
    <row r="23" spans="2:55" x14ac:dyDescent="0.3">
      <c r="B23" s="225" t="s">
        <v>273</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226"/>
      <c r="AN23" s="225" t="s">
        <v>274</v>
      </c>
      <c r="AO23" s="31"/>
      <c r="AP23" s="31"/>
      <c r="AQ23" s="31"/>
      <c r="AR23" s="31"/>
      <c r="AS23" s="31"/>
      <c r="AT23" s="31"/>
      <c r="AU23" s="31"/>
      <c r="AV23" s="31"/>
      <c r="AW23" s="31"/>
      <c r="AX23" s="31"/>
      <c r="AY23" s="31"/>
      <c r="AZ23" s="31"/>
      <c r="BA23" s="31"/>
      <c r="BB23" s="31"/>
      <c r="BC23" s="226"/>
    </row>
    <row r="24" spans="2:55" x14ac:dyDescent="0.3">
      <c r="B24" s="259" t="s">
        <v>27</v>
      </c>
      <c r="C24" s="259"/>
      <c r="D24" s="54"/>
      <c r="E24" s="54"/>
      <c r="F24" s="54"/>
      <c r="G24" s="54"/>
      <c r="H24" s="54"/>
      <c r="I24" s="54"/>
      <c r="J24" s="54"/>
      <c r="K24" s="54"/>
      <c r="L24" s="54"/>
      <c r="M24" s="54"/>
      <c r="N24" s="54"/>
      <c r="O24" s="54"/>
      <c r="P24" s="54"/>
      <c r="Q24" s="228" t="str">
        <f>B24</f>
        <v>PDP</v>
      </c>
      <c r="R24" s="54"/>
      <c r="S24" s="54"/>
      <c r="T24" s="54"/>
      <c r="U24" s="54"/>
      <c r="V24" s="54"/>
      <c r="W24" s="54"/>
      <c r="X24" s="54"/>
      <c r="Y24" s="54"/>
      <c r="Z24" s="54"/>
      <c r="AA24" s="54"/>
      <c r="AB24" s="54"/>
      <c r="AC24" s="54"/>
      <c r="AD24" s="228" t="str">
        <f>Q24</f>
        <v>PDP</v>
      </c>
      <c r="AE24" s="54"/>
      <c r="AF24" s="54"/>
      <c r="AG24" s="54"/>
      <c r="AH24" s="54"/>
      <c r="AI24" s="54"/>
      <c r="AJ24" s="54"/>
      <c r="AK24" s="54"/>
      <c r="AL24" s="229"/>
      <c r="AN24" s="259" t="s">
        <v>275</v>
      </c>
      <c r="AO24" s="228"/>
      <c r="AP24" s="54"/>
      <c r="AQ24" s="54"/>
      <c r="AR24" s="54"/>
      <c r="AS24" s="54"/>
      <c r="AT24" s="54"/>
      <c r="AU24" s="54"/>
      <c r="AV24" s="54"/>
      <c r="AW24" s="54"/>
      <c r="AX24" s="54"/>
      <c r="AY24" s="54"/>
      <c r="AZ24" s="54"/>
      <c r="BA24" s="54"/>
      <c r="BB24" s="54"/>
      <c r="BC24" s="229"/>
    </row>
    <row r="25" spans="2:55" x14ac:dyDescent="0.3">
      <c r="B25" s="232"/>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233"/>
      <c r="AN25" s="232"/>
      <c r="AO25" t="s">
        <v>276</v>
      </c>
      <c r="AQ25" s="260">
        <f>$G$7</f>
        <v>0.115652861790777</v>
      </c>
      <c r="AS25" s="15"/>
      <c r="AY25" s="15"/>
      <c r="AZ25" s="15"/>
      <c r="BA25" s="15"/>
      <c r="BB25" s="15"/>
      <c r="BC25" s="233"/>
    </row>
    <row r="26" spans="2:55" x14ac:dyDescent="0.3">
      <c r="B26" s="232"/>
      <c r="C26" s="37" t="s">
        <v>277</v>
      </c>
      <c r="D26" s="23"/>
      <c r="E26" s="23"/>
      <c r="F26" s="23"/>
      <c r="G26" s="23"/>
      <c r="H26" s="261"/>
      <c r="I26" s="37" t="s">
        <v>15</v>
      </c>
      <c r="J26" s="23"/>
      <c r="K26" s="23"/>
      <c r="L26" s="15"/>
      <c r="M26" s="37" t="s">
        <v>278</v>
      </c>
      <c r="N26" s="23"/>
      <c r="O26" s="23"/>
      <c r="P26" s="15"/>
      <c r="Q26" s="37" t="s">
        <v>279</v>
      </c>
      <c r="R26" s="23"/>
      <c r="S26" s="23"/>
      <c r="T26" s="23"/>
      <c r="U26" s="15"/>
      <c r="V26" s="37" t="s">
        <v>280</v>
      </c>
      <c r="W26" s="23"/>
      <c r="X26" s="23"/>
      <c r="Y26" s="23"/>
      <c r="Z26" s="23"/>
      <c r="AA26" s="23"/>
      <c r="AB26" s="4"/>
      <c r="AC26" s="15"/>
      <c r="AD26" s="37" t="s">
        <v>281</v>
      </c>
      <c r="AE26" s="23"/>
      <c r="AF26" s="23"/>
      <c r="AG26" s="15"/>
      <c r="AH26" s="37" t="s">
        <v>282</v>
      </c>
      <c r="AI26" s="23"/>
      <c r="AJ26" s="23"/>
      <c r="AK26" s="23"/>
      <c r="AL26" s="233"/>
      <c r="AN26" s="232"/>
      <c r="AO26" s="15" t="s">
        <v>257</v>
      </c>
      <c r="AP26" s="15"/>
      <c r="AQ26" s="245">
        <f>COUNTIF(AT29:AT69,"&gt;0")</f>
        <v>22</v>
      </c>
      <c r="AW26" s="15"/>
      <c r="AY26" s="15"/>
      <c r="AZ26" s="15"/>
      <c r="BA26" s="15"/>
      <c r="BB26" s="15"/>
      <c r="BC26" s="233"/>
    </row>
    <row r="27" spans="2:55" x14ac:dyDescent="0.3">
      <c r="B27" s="232"/>
      <c r="C27" s="250"/>
      <c r="D27" s="250" t="s">
        <v>10</v>
      </c>
      <c r="E27" s="250" t="s">
        <v>11</v>
      </c>
      <c r="F27" s="250" t="s">
        <v>245</v>
      </c>
      <c r="G27" s="250" t="s">
        <v>12</v>
      </c>
      <c r="H27" s="261"/>
      <c r="I27" s="262" t="s">
        <v>10</v>
      </c>
      <c r="J27" s="262" t="s">
        <v>11</v>
      </c>
      <c r="K27" s="262" t="s">
        <v>245</v>
      </c>
      <c r="L27" s="15"/>
      <c r="M27" s="262" t="s">
        <v>10</v>
      </c>
      <c r="N27" s="262" t="s">
        <v>11</v>
      </c>
      <c r="O27" s="262" t="s">
        <v>245</v>
      </c>
      <c r="P27" s="15"/>
      <c r="Q27" s="262" t="s">
        <v>10</v>
      </c>
      <c r="R27" s="262" t="s">
        <v>11</v>
      </c>
      <c r="S27" s="262" t="s">
        <v>245</v>
      </c>
      <c r="T27" s="262" t="s">
        <v>12</v>
      </c>
      <c r="U27" s="15"/>
      <c r="V27" s="262" t="s">
        <v>283</v>
      </c>
      <c r="W27" s="262" t="s">
        <v>283</v>
      </c>
      <c r="X27" s="262" t="s">
        <v>284</v>
      </c>
      <c r="Y27" s="262" t="s">
        <v>284</v>
      </c>
      <c r="Z27" s="262" t="s">
        <v>285</v>
      </c>
      <c r="AA27" s="262" t="s">
        <v>285</v>
      </c>
      <c r="AB27" s="262" t="s">
        <v>12</v>
      </c>
      <c r="AC27" s="15"/>
      <c r="AD27" s="262" t="s">
        <v>286</v>
      </c>
      <c r="AE27" s="262" t="s">
        <v>287</v>
      </c>
      <c r="AF27" s="262" t="s">
        <v>281</v>
      </c>
      <c r="AG27" s="15"/>
      <c r="AH27" s="262"/>
      <c r="AI27" s="262" t="s">
        <v>288</v>
      </c>
      <c r="AJ27" s="262" t="s">
        <v>288</v>
      </c>
      <c r="AK27" s="262" t="s">
        <v>289</v>
      </c>
      <c r="AL27" s="233"/>
      <c r="AN27" s="232"/>
      <c r="AO27" s="15"/>
      <c r="AP27" s="15"/>
      <c r="AQ27" s="15"/>
      <c r="AR27" s="38" t="s">
        <v>290</v>
      </c>
      <c r="AS27" s="37" t="s">
        <v>291</v>
      </c>
      <c r="AT27" s="23"/>
      <c r="AU27" s="38" t="s">
        <v>292</v>
      </c>
      <c r="AV27" s="15"/>
      <c r="AW27" s="15"/>
      <c r="AX27" s="15"/>
      <c r="AY27" s="15"/>
      <c r="AZ27" s="15"/>
      <c r="BA27" s="15"/>
      <c r="BB27" s="15"/>
      <c r="BC27" s="233"/>
    </row>
    <row r="28" spans="2:55" x14ac:dyDescent="0.3">
      <c r="B28" s="232"/>
      <c r="C28" s="13" t="s">
        <v>9</v>
      </c>
      <c r="D28" s="13" t="s">
        <v>307</v>
      </c>
      <c r="E28" s="13" t="s">
        <v>308</v>
      </c>
      <c r="F28" s="13" t="s">
        <v>308</v>
      </c>
      <c r="G28" s="13" t="s">
        <v>248</v>
      </c>
      <c r="H28" s="4"/>
      <c r="I28" s="13" t="s">
        <v>24</v>
      </c>
      <c r="J28" s="13" t="s">
        <v>25</v>
      </c>
      <c r="K28" s="13" t="s">
        <v>25</v>
      </c>
      <c r="L28" s="4"/>
      <c r="M28" s="13" t="s">
        <v>24</v>
      </c>
      <c r="N28" s="13" t="s">
        <v>25</v>
      </c>
      <c r="O28" s="13" t="s">
        <v>25</v>
      </c>
      <c r="P28" s="4"/>
      <c r="Q28" s="13" t="s">
        <v>293</v>
      </c>
      <c r="R28" s="13" t="s">
        <v>293</v>
      </c>
      <c r="S28" s="13" t="s">
        <v>293</v>
      </c>
      <c r="T28" s="13" t="s">
        <v>293</v>
      </c>
      <c r="U28" s="4"/>
      <c r="V28" s="13" t="s">
        <v>294</v>
      </c>
      <c r="W28" s="13" t="s">
        <v>293</v>
      </c>
      <c r="X28" s="13" t="s">
        <v>294</v>
      </c>
      <c r="Y28" s="13" t="s">
        <v>293</v>
      </c>
      <c r="Z28" s="13" t="s">
        <v>294</v>
      </c>
      <c r="AA28" s="13" t="s">
        <v>293</v>
      </c>
      <c r="AB28" s="13" t="s">
        <v>293</v>
      </c>
      <c r="AC28" s="4"/>
      <c r="AD28" s="13" t="s">
        <v>293</v>
      </c>
      <c r="AE28" s="13" t="s">
        <v>293</v>
      </c>
      <c r="AF28" s="13" t="s">
        <v>293</v>
      </c>
      <c r="AG28" s="4"/>
      <c r="AH28" s="13" t="s">
        <v>295</v>
      </c>
      <c r="AI28" s="13" t="s">
        <v>296</v>
      </c>
      <c r="AJ28" s="13" t="s">
        <v>297</v>
      </c>
      <c r="AK28" s="13" t="s">
        <v>293</v>
      </c>
      <c r="AL28" s="258"/>
      <c r="AN28" s="232"/>
      <c r="AO28" s="11" t="s">
        <v>296</v>
      </c>
      <c r="AP28" s="11" t="s">
        <v>9</v>
      </c>
      <c r="AQ28" s="11" t="s">
        <v>298</v>
      </c>
      <c r="AR28" s="11" t="s">
        <v>299</v>
      </c>
      <c r="AS28" s="11" t="s">
        <v>300</v>
      </c>
      <c r="AT28" s="11" t="s">
        <v>301</v>
      </c>
      <c r="AU28" s="11" t="s">
        <v>299</v>
      </c>
      <c r="AV28" s="15"/>
      <c r="AW28" s="15"/>
      <c r="AX28" s="15"/>
      <c r="AY28" s="15"/>
      <c r="AZ28" s="15"/>
      <c r="BA28" s="15"/>
      <c r="BB28" s="15"/>
      <c r="BC28" s="233"/>
    </row>
    <row r="29" spans="2:55" x14ac:dyDescent="0.3">
      <c r="B29" s="232"/>
      <c r="C29" s="250">
        <f>YEAR(FY_Date)</f>
        <v>2013</v>
      </c>
      <c r="D29" s="263">
        <f ca="1">$G29*$M$12</f>
        <v>223125.47825537296</v>
      </c>
      <c r="E29" s="263">
        <f t="shared" ref="E29:E69" ca="1" si="1">$G29*$M$14/Bbl_to_Mcfe</f>
        <v>1252.4714995623865</v>
      </c>
      <c r="F29" s="263">
        <f t="shared" ref="F29:F69" ca="1" si="2">$G29*$M$13/Bbl_to_Mcfe</f>
        <v>0</v>
      </c>
      <c r="G29" s="263">
        <f ca="1">AT29*$AQ$7</f>
        <v>230640.30725274727</v>
      </c>
      <c r="H29" s="15"/>
      <c r="I29" s="264">
        <f ca="1">Assumptions!$O$63</f>
        <v>3.7</v>
      </c>
      <c r="J29" s="264">
        <f ca="1">Assumptions!$P$63</f>
        <v>101</v>
      </c>
      <c r="K29" s="264">
        <f ca="1">J29*$R$7</f>
        <v>50.5</v>
      </c>
      <c r="L29" s="15"/>
      <c r="M29" s="51">
        <f ca="1">I29*$R$5</f>
        <v>3.4779999999999998</v>
      </c>
      <c r="N29" s="51">
        <f ca="1">J29*$R$6</f>
        <v>93.93</v>
      </c>
      <c r="O29" s="51">
        <f ca="1">N29*$R$7</f>
        <v>46.965000000000003</v>
      </c>
      <c r="P29" s="15"/>
      <c r="Q29" s="265">
        <f ca="1">D29*M29</f>
        <v>776030.41337218706</v>
      </c>
      <c r="R29" s="265">
        <f ca="1">E29*N29</f>
        <v>117644.64795389498</v>
      </c>
      <c r="S29" s="265">
        <f ca="1">F29*O29</f>
        <v>0</v>
      </c>
      <c r="T29" s="265">
        <f ca="1">SUM(Q29:S29)</f>
        <v>893675.0613260821</v>
      </c>
      <c r="U29" s="15"/>
      <c r="V29" s="51">
        <f>$M$18</f>
        <v>0.31</v>
      </c>
      <c r="W29" s="265">
        <f ca="1">V29*$G29</f>
        <v>71498.495248351654</v>
      </c>
      <c r="X29" s="51">
        <f>$M$17</f>
        <v>0.37</v>
      </c>
      <c r="Y29" s="265">
        <f ca="1">X29*$G29</f>
        <v>85336.913683516483</v>
      </c>
      <c r="Z29" s="51">
        <f>$M$19</f>
        <v>0.57999999999999996</v>
      </c>
      <c r="AA29" s="265">
        <f ca="1">Z29*$G29</f>
        <v>133771.37820659342</v>
      </c>
      <c r="AB29" s="265">
        <f ca="1">W29+Y29+AA29</f>
        <v>290606.7871384616</v>
      </c>
      <c r="AC29" s="15"/>
      <c r="AD29" s="265">
        <f ca="1">T29-AB29</f>
        <v>603068.2741876205</v>
      </c>
      <c r="AE29" s="265">
        <f t="shared" ref="AE29:AE69" ca="1" si="3">$M$10*(G29/$G$72)*Units</f>
        <v>25463.842625384095</v>
      </c>
      <c r="AF29" s="265">
        <f ca="1">AD29-AE29</f>
        <v>577604.43156223639</v>
      </c>
      <c r="AG29" s="15"/>
      <c r="AH29" s="266">
        <f>FY_Date</f>
        <v>41639</v>
      </c>
      <c r="AI29" s="267">
        <f t="shared" ref="AI29:AI69" si="4">DAYS360(Valuation_Date,AH29)/360-MIN(0.5,0.5*DAYS360(Valuation_Date,AH29)/360)</f>
        <v>8.3333333333333329E-2</v>
      </c>
      <c r="AJ29" s="267">
        <f t="shared" ref="AJ29:AJ69" si="5">1/((1+Discount_Rate)^AI29)</f>
        <v>0.99208894344699095</v>
      </c>
      <c r="AK29" s="265">
        <f ca="1">AF29*AJ29*Stub_Per_Adj</f>
        <v>143258.74255971971</v>
      </c>
      <c r="AL29" s="233"/>
      <c r="AN29" s="232"/>
      <c r="AO29" s="268">
        <v>0</v>
      </c>
      <c r="AP29" s="250">
        <f t="shared" ref="AP29:AP69" si="6">C29</f>
        <v>2013</v>
      </c>
      <c r="AQ29" s="250">
        <f>_xlfn.DAYS(AH29,EOMONTH(AH29,-12))</f>
        <v>365</v>
      </c>
      <c r="AR29" s="184">
        <f>$Y$6</f>
        <v>1856800</v>
      </c>
      <c r="AS29" s="269">
        <f>$Y$16</f>
        <v>631.89125274725279</v>
      </c>
      <c r="AT29" s="263">
        <f>MIN(AS29*AQ29,AR29)</f>
        <v>230640.30725274727</v>
      </c>
      <c r="AU29" s="34">
        <f>AR29-AT29</f>
        <v>1626159.6927472528</v>
      </c>
      <c r="AV29" s="15"/>
      <c r="AW29" s="15"/>
      <c r="AX29" s="15"/>
      <c r="AY29" s="15"/>
      <c r="AZ29" s="15"/>
      <c r="BA29" s="15"/>
      <c r="BB29" s="15"/>
      <c r="BC29" s="233"/>
    </row>
    <row r="30" spans="2:55" x14ac:dyDescent="0.3">
      <c r="B30" s="232"/>
      <c r="C30" s="270">
        <f>C29+1</f>
        <v>2014</v>
      </c>
      <c r="D30" s="263">
        <f t="shared" ref="D30:D72" ca="1" si="7">$G30*$M$12</f>
        <v>197320.37815670331</v>
      </c>
      <c r="E30" s="263">
        <f t="shared" ca="1" si="1"/>
        <v>1107.6195863266107</v>
      </c>
      <c r="F30" s="263">
        <f t="shared" ca="1" si="2"/>
        <v>0</v>
      </c>
      <c r="G30" s="263">
        <f t="shared" ref="G30:G69" ca="1" si="8">AT30*$AQ$7</f>
        <v>203966.09567466297</v>
      </c>
      <c r="H30" s="15"/>
      <c r="I30" s="271">
        <f ca="1">Assumptions!$O$64</f>
        <v>3.8</v>
      </c>
      <c r="J30" s="271">
        <f ca="1">Assumptions!$P$64</f>
        <v>92</v>
      </c>
      <c r="K30" s="271">
        <f t="shared" ref="K30:K69" ca="1" si="9">J30*$R$7</f>
        <v>46</v>
      </c>
      <c r="L30" s="15"/>
      <c r="M30" s="35">
        <f t="shared" ref="M30:M69" ca="1" si="10">I30*$R$5</f>
        <v>3.5719999999999996</v>
      </c>
      <c r="N30" s="35">
        <f t="shared" ref="N30:N69" ca="1" si="11">J30*$R$6</f>
        <v>85.56</v>
      </c>
      <c r="O30" s="35">
        <f t="shared" ref="O30:O69" ca="1" si="12">N30*$R$7</f>
        <v>42.78</v>
      </c>
      <c r="P30" s="15"/>
      <c r="Q30" s="34">
        <f t="shared" ref="Q30:Q69" ca="1" si="13">D30*M30</f>
        <v>704828.39077574422</v>
      </c>
      <c r="R30" s="34">
        <f t="shared" ref="R30:R69" ca="1" si="14">E30*N30</f>
        <v>94767.931806104811</v>
      </c>
      <c r="S30" s="34">
        <f t="shared" ref="S30:S69" ca="1" si="15">F30*O30</f>
        <v>0</v>
      </c>
      <c r="T30" s="34">
        <f t="shared" ref="T30:T70" ca="1" si="16">SUM(Q30:S30)</f>
        <v>799596.32258184906</v>
      </c>
      <c r="U30" s="15"/>
      <c r="V30" s="35">
        <f t="shared" ref="V30:V69" si="17">$M$18</f>
        <v>0.31</v>
      </c>
      <c r="W30" s="34">
        <f t="shared" ref="W30:W69" ca="1" si="18">V30*$G30</f>
        <v>63229.489659145518</v>
      </c>
      <c r="X30" s="35">
        <f t="shared" ref="X30:X69" si="19">$M$17</f>
        <v>0.37</v>
      </c>
      <c r="Y30" s="34">
        <f t="shared" ref="Y30:Y69" ca="1" si="20">X30*$G30</f>
        <v>75467.455399625294</v>
      </c>
      <c r="Z30" s="35">
        <f t="shared" ref="Z30:Z69" si="21">$M$19</f>
        <v>0.57999999999999996</v>
      </c>
      <c r="AA30" s="34">
        <f t="shared" ref="AA30:AA69" ca="1" si="22">Z30*$G30</f>
        <v>118300.33549130452</v>
      </c>
      <c r="AB30" s="34">
        <f t="shared" ref="AB30:AB69" ca="1" si="23">W30+Y30+AA30</f>
        <v>256997.28055007535</v>
      </c>
      <c r="AC30" s="15"/>
      <c r="AD30" s="34">
        <f t="shared" ref="AD30:AD69" ca="1" si="24">T30-AB30</f>
        <v>542599.04203177372</v>
      </c>
      <c r="AE30" s="34">
        <f t="shared" ca="1" si="3"/>
        <v>22518.876353568456</v>
      </c>
      <c r="AF30" s="34">
        <f t="shared" ref="AF30:AF69" ca="1" si="25">AD30-AE30</f>
        <v>520080.16567820526</v>
      </c>
      <c r="AG30" s="15"/>
      <c r="AH30" s="272">
        <f>EOMONTH(AH29,12)</f>
        <v>42004</v>
      </c>
      <c r="AI30" s="267">
        <f t="shared" si="4"/>
        <v>0.66666666666666674</v>
      </c>
      <c r="AJ30" s="267">
        <f t="shared" si="5"/>
        <v>0.93843646859669738</v>
      </c>
      <c r="AK30" s="34">
        <f ca="1">AF30*AJ30</f>
        <v>488062.19406624022</v>
      </c>
      <c r="AL30" s="233"/>
      <c r="AN30" s="232"/>
      <c r="AO30" s="250">
        <f>AO29+1</f>
        <v>1</v>
      </c>
      <c r="AP30" s="237">
        <f t="shared" si="6"/>
        <v>2014</v>
      </c>
      <c r="AQ30" s="250">
        <f t="shared" ref="AQ30:AQ69" si="26">_xlfn.DAYS(AH30,AH29)</f>
        <v>365</v>
      </c>
      <c r="AR30" s="34">
        <f>AU29</f>
        <v>1626159.6927472528</v>
      </c>
      <c r="AS30" s="269">
        <f>AS29*(1-$AQ$25)</f>
        <v>558.81122102647385</v>
      </c>
      <c r="AT30" s="263">
        <f>MIN(AS30*AQ30,AR30)</f>
        <v>203966.09567466297</v>
      </c>
      <c r="AU30" s="34">
        <f>AR30-AT30</f>
        <v>1422193.5970725897</v>
      </c>
      <c r="AV30" s="15"/>
      <c r="AW30" s="15"/>
      <c r="AX30" s="15"/>
      <c r="AY30" s="15"/>
      <c r="AZ30" s="15"/>
      <c r="BA30" s="15"/>
      <c r="BB30" s="15"/>
      <c r="BC30" s="233"/>
    </row>
    <row r="31" spans="2:55" x14ac:dyDescent="0.3">
      <c r="B31" s="232"/>
      <c r="C31" s="250">
        <f t="shared" ref="C31:C69" si="27">C30+1</f>
        <v>2015</v>
      </c>
      <c r="D31" s="263">
        <f t="shared" ca="1" si="7"/>
        <v>174499.71173324221</v>
      </c>
      <c r="E31" s="263">
        <f t="shared" ca="1" si="1"/>
        <v>979.52021139242152</v>
      </c>
      <c r="F31" s="263">
        <f t="shared" ca="1" si="2"/>
        <v>0</v>
      </c>
      <c r="G31" s="263">
        <f t="shared" ca="1" si="8"/>
        <v>180376.83300159674</v>
      </c>
      <c r="H31" s="15"/>
      <c r="I31" s="271">
        <f ca="1">Assumptions!$O$65</f>
        <v>4</v>
      </c>
      <c r="J31" s="271">
        <f ca="1">Assumptions!$P$65</f>
        <v>88</v>
      </c>
      <c r="K31" s="271">
        <f t="shared" ca="1" si="9"/>
        <v>44</v>
      </c>
      <c r="L31" s="15"/>
      <c r="M31" s="35">
        <f t="shared" ca="1" si="10"/>
        <v>3.76</v>
      </c>
      <c r="N31" s="35">
        <f t="shared" ca="1" si="11"/>
        <v>81.84</v>
      </c>
      <c r="O31" s="35">
        <f t="shared" ca="1" si="12"/>
        <v>40.92</v>
      </c>
      <c r="P31" s="15"/>
      <c r="Q31" s="34">
        <f t="shared" ca="1" si="13"/>
        <v>656118.91611699061</v>
      </c>
      <c r="R31" s="34">
        <f t="shared" ca="1" si="14"/>
        <v>80163.934100355778</v>
      </c>
      <c r="S31" s="34">
        <f t="shared" ca="1" si="15"/>
        <v>0</v>
      </c>
      <c r="T31" s="34">
        <f t="shared" ca="1" si="16"/>
        <v>736282.85021734633</v>
      </c>
      <c r="U31" s="15"/>
      <c r="V31" s="35">
        <f t="shared" si="17"/>
        <v>0.31</v>
      </c>
      <c r="W31" s="34">
        <f t="shared" ca="1" si="18"/>
        <v>55916.818230494988</v>
      </c>
      <c r="X31" s="35">
        <f t="shared" si="19"/>
        <v>0.37</v>
      </c>
      <c r="Y31" s="34">
        <f t="shared" ca="1" si="20"/>
        <v>66739.428210590791</v>
      </c>
      <c r="Z31" s="35">
        <f t="shared" si="21"/>
        <v>0.57999999999999996</v>
      </c>
      <c r="AA31" s="34">
        <f t="shared" ca="1" si="22"/>
        <v>104618.5631409261</v>
      </c>
      <c r="AB31" s="34">
        <f t="shared" ca="1" si="23"/>
        <v>227274.80958201189</v>
      </c>
      <c r="AC31" s="15"/>
      <c r="AD31" s="34">
        <f t="shared" ca="1" si="24"/>
        <v>509008.04063533444</v>
      </c>
      <c r="AE31" s="34">
        <f t="shared" ca="1" si="3"/>
        <v>19914.503858965603</v>
      </c>
      <c r="AF31" s="34">
        <f t="shared" ca="1" si="25"/>
        <v>489093.53677636886</v>
      </c>
      <c r="AG31" s="15"/>
      <c r="AH31" s="273">
        <f t="shared" ref="AH31:AH69" si="28">EOMONTH(AH30,12)</f>
        <v>42369</v>
      </c>
      <c r="AI31" s="267">
        <f t="shared" si="4"/>
        <v>1.6666666666666665</v>
      </c>
      <c r="AJ31" s="267">
        <f t="shared" si="5"/>
        <v>0.85312406236063398</v>
      </c>
      <c r="AK31" s="34">
        <f t="shared" ref="AK31:AK71" ca="1" si="29">AF31*AJ31</f>
        <v>417257.46496898594</v>
      </c>
      <c r="AL31" s="233"/>
      <c r="AN31" s="232"/>
      <c r="AO31" s="237">
        <f t="shared" ref="AO31:AO69" si="30">AO30+1</f>
        <v>2</v>
      </c>
      <c r="AP31" s="237">
        <f t="shared" si="6"/>
        <v>2015</v>
      </c>
      <c r="AQ31" s="250">
        <f t="shared" si="26"/>
        <v>365</v>
      </c>
      <c r="AR31" s="34">
        <f t="shared" ref="AR31:AR50" si="31">AU30</f>
        <v>1422193.5970725897</v>
      </c>
      <c r="AS31" s="269">
        <f t="shared" ref="AS31:AS50" si="32">AS30*(1-$AQ$25)</f>
        <v>494.18310411396368</v>
      </c>
      <c r="AT31" s="263">
        <f t="shared" ref="AT31:AT50" si="33">MIN(AS31*AQ31,AR31)</f>
        <v>180376.83300159674</v>
      </c>
      <c r="AU31" s="34">
        <f t="shared" ref="AU31:AU50" si="34">AR31-AT31</f>
        <v>1241816.7640709928</v>
      </c>
      <c r="AV31" s="15"/>
      <c r="AW31" s="15"/>
      <c r="AX31" s="15"/>
      <c r="AY31" s="15"/>
      <c r="AZ31" s="15"/>
      <c r="BA31" s="15"/>
      <c r="BB31" s="15"/>
      <c r="BC31" s="233"/>
    </row>
    <row r="32" spans="2:55" x14ac:dyDescent="0.3">
      <c r="B32" s="232"/>
      <c r="C32" s="250">
        <f t="shared" si="27"/>
        <v>2016</v>
      </c>
      <c r="D32" s="263">
        <f t="shared" ca="1" si="7"/>
        <v>154741.11060932474</v>
      </c>
      <c r="E32" s="263">
        <f t="shared" ca="1" si="1"/>
        <v>868.60914479246878</v>
      </c>
      <c r="F32" s="263">
        <f t="shared" ca="1" si="2"/>
        <v>0</v>
      </c>
      <c r="G32" s="263">
        <f t="shared" ca="1" si="8"/>
        <v>159952.76547807956</v>
      </c>
      <c r="H32" s="15"/>
      <c r="I32" s="271">
        <f ca="1">Assumptions!$O$66</f>
        <v>4.0999999999999996</v>
      </c>
      <c r="J32" s="271">
        <f ca="1">Assumptions!$P$66</f>
        <v>84</v>
      </c>
      <c r="K32" s="271">
        <f t="shared" ca="1" si="9"/>
        <v>42</v>
      </c>
      <c r="L32" s="15"/>
      <c r="M32" s="35">
        <f t="shared" ca="1" si="10"/>
        <v>3.8539999999999996</v>
      </c>
      <c r="N32" s="35">
        <f t="shared" ca="1" si="11"/>
        <v>78.12</v>
      </c>
      <c r="O32" s="35">
        <f t="shared" ca="1" si="12"/>
        <v>39.06</v>
      </c>
      <c r="P32" s="15"/>
      <c r="Q32" s="34">
        <f t="shared" ca="1" si="13"/>
        <v>596372.24028833746</v>
      </c>
      <c r="R32" s="34">
        <f t="shared" ca="1" si="14"/>
        <v>67855.746391187669</v>
      </c>
      <c r="S32" s="34">
        <f t="shared" ca="1" si="15"/>
        <v>0</v>
      </c>
      <c r="T32" s="34">
        <f t="shared" ca="1" si="16"/>
        <v>664227.98667952511</v>
      </c>
      <c r="U32" s="15"/>
      <c r="V32" s="35">
        <f t="shared" si="17"/>
        <v>0.31</v>
      </c>
      <c r="W32" s="34">
        <f t="shared" ca="1" si="18"/>
        <v>49585.357298204661</v>
      </c>
      <c r="X32" s="35">
        <f t="shared" si="19"/>
        <v>0.37</v>
      </c>
      <c r="Y32" s="34">
        <f t="shared" ca="1" si="20"/>
        <v>59182.523226889432</v>
      </c>
      <c r="Z32" s="35">
        <f t="shared" si="21"/>
        <v>0.57999999999999996</v>
      </c>
      <c r="AA32" s="34">
        <f t="shared" ca="1" si="22"/>
        <v>92772.60397728614</v>
      </c>
      <c r="AB32" s="34">
        <f t="shared" ca="1" si="23"/>
        <v>201540.48450238025</v>
      </c>
      <c r="AC32" s="15"/>
      <c r="AD32" s="34">
        <f t="shared" ca="1" si="24"/>
        <v>462687.50217714487</v>
      </c>
      <c r="AE32" s="34">
        <f t="shared" ca="1" si="3"/>
        <v>17659.584728030113</v>
      </c>
      <c r="AF32" s="34">
        <f t="shared" ca="1" si="25"/>
        <v>445027.91744911473</v>
      </c>
      <c r="AG32" s="15"/>
      <c r="AH32" s="273">
        <f t="shared" si="28"/>
        <v>42735</v>
      </c>
      <c r="AI32" s="267">
        <f t="shared" si="4"/>
        <v>2.6666666666666665</v>
      </c>
      <c r="AJ32" s="267">
        <f t="shared" si="5"/>
        <v>0.77556732941875806</v>
      </c>
      <c r="AK32" s="34">
        <f t="shared" ca="1" si="29"/>
        <v>345149.11345280142</v>
      </c>
      <c r="AL32" s="233"/>
      <c r="AN32" s="232"/>
      <c r="AO32" s="237">
        <f t="shared" si="30"/>
        <v>3</v>
      </c>
      <c r="AP32" s="237">
        <f t="shared" si="6"/>
        <v>2016</v>
      </c>
      <c r="AQ32" s="250">
        <f t="shared" si="26"/>
        <v>366</v>
      </c>
      <c r="AR32" s="34">
        <f t="shared" si="31"/>
        <v>1241816.7640709928</v>
      </c>
      <c r="AS32" s="269">
        <f t="shared" si="32"/>
        <v>437.02941387453427</v>
      </c>
      <c r="AT32" s="263">
        <f t="shared" si="33"/>
        <v>159952.76547807956</v>
      </c>
      <c r="AU32" s="34">
        <f t="shared" si="34"/>
        <v>1081863.9985929132</v>
      </c>
      <c r="AV32" s="15"/>
      <c r="AW32" s="15"/>
      <c r="AX32" s="15"/>
      <c r="AY32" s="15"/>
      <c r="AZ32" s="15"/>
      <c r="BA32" s="15"/>
      <c r="BB32" s="15"/>
      <c r="BC32" s="233"/>
    </row>
    <row r="33" spans="2:55" x14ac:dyDescent="0.3">
      <c r="B33" s="232"/>
      <c r="C33" s="250">
        <f t="shared" si="27"/>
        <v>2017</v>
      </c>
      <c r="D33" s="263">
        <f t="shared" ca="1" si="7"/>
        <v>136470.96527512488</v>
      </c>
      <c r="E33" s="263">
        <f t="shared" ca="1" si="1"/>
        <v>766.05323543209522</v>
      </c>
      <c r="F33" s="263">
        <f t="shared" ca="1" si="2"/>
        <v>0</v>
      </c>
      <c r="G33" s="263">
        <f t="shared" ca="1" si="8"/>
        <v>141067.28468771745</v>
      </c>
      <c r="H33" s="15"/>
      <c r="I33" s="271">
        <f ca="1">Assumptions!$O$67</f>
        <v>4.2</v>
      </c>
      <c r="J33" s="271">
        <f ca="1">Assumptions!$P$67</f>
        <v>82</v>
      </c>
      <c r="K33" s="271">
        <f t="shared" ca="1" si="9"/>
        <v>41</v>
      </c>
      <c r="L33" s="15"/>
      <c r="M33" s="35">
        <f t="shared" ca="1" si="10"/>
        <v>3.948</v>
      </c>
      <c r="N33" s="35">
        <f t="shared" ca="1" si="11"/>
        <v>76.260000000000005</v>
      </c>
      <c r="O33" s="35">
        <f t="shared" ca="1" si="12"/>
        <v>38.130000000000003</v>
      </c>
      <c r="P33" s="15"/>
      <c r="Q33" s="34">
        <f t="shared" ca="1" si="13"/>
        <v>538787.37090619304</v>
      </c>
      <c r="R33" s="34">
        <f t="shared" ca="1" si="14"/>
        <v>58419.219734051585</v>
      </c>
      <c r="S33" s="34">
        <f t="shared" ca="1" si="15"/>
        <v>0</v>
      </c>
      <c r="T33" s="34">
        <f t="shared" ca="1" si="16"/>
        <v>597206.59064024466</v>
      </c>
      <c r="U33" s="15"/>
      <c r="V33" s="35">
        <f t="shared" si="17"/>
        <v>0.31</v>
      </c>
      <c r="W33" s="34">
        <f t="shared" ca="1" si="18"/>
        <v>43730.858253192411</v>
      </c>
      <c r="X33" s="35">
        <f t="shared" si="19"/>
        <v>0.37</v>
      </c>
      <c r="Y33" s="34">
        <f t="shared" ca="1" si="20"/>
        <v>52194.895334455454</v>
      </c>
      <c r="Z33" s="35">
        <f t="shared" si="21"/>
        <v>0.57999999999999996</v>
      </c>
      <c r="AA33" s="34">
        <f t="shared" ca="1" si="22"/>
        <v>81819.025118876118</v>
      </c>
      <c r="AB33" s="34">
        <f t="shared" ca="1" si="23"/>
        <v>177744.778706524</v>
      </c>
      <c r="AC33" s="15"/>
      <c r="AD33" s="34">
        <f t="shared" ca="1" si="24"/>
        <v>419461.81193372066</v>
      </c>
      <c r="AE33" s="34">
        <f t="shared" ca="1" si="3"/>
        <v>15574.533262054112</v>
      </c>
      <c r="AF33" s="34">
        <f t="shared" ca="1" si="25"/>
        <v>403887.27867166657</v>
      </c>
      <c r="AG33" s="15"/>
      <c r="AH33" s="273">
        <f t="shared" si="28"/>
        <v>43100</v>
      </c>
      <c r="AI33" s="267">
        <f t="shared" si="4"/>
        <v>3.666666666666667</v>
      </c>
      <c r="AJ33" s="267">
        <f t="shared" si="5"/>
        <v>0.7050612085625072</v>
      </c>
      <c r="AK33" s="34">
        <f t="shared" ca="1" si="29"/>
        <v>284765.25282326736</v>
      </c>
      <c r="AL33" s="233"/>
      <c r="AN33" s="232"/>
      <c r="AO33" s="237">
        <f t="shared" si="30"/>
        <v>4</v>
      </c>
      <c r="AP33" s="237">
        <f t="shared" si="6"/>
        <v>2017</v>
      </c>
      <c r="AQ33" s="250">
        <f t="shared" si="26"/>
        <v>365</v>
      </c>
      <c r="AR33" s="34">
        <f t="shared" si="31"/>
        <v>1081863.9985929132</v>
      </c>
      <c r="AS33" s="269">
        <f t="shared" si="32"/>
        <v>386.48571147319848</v>
      </c>
      <c r="AT33" s="263">
        <f t="shared" si="33"/>
        <v>141067.28468771745</v>
      </c>
      <c r="AU33" s="34">
        <f t="shared" si="34"/>
        <v>940796.71390519571</v>
      </c>
      <c r="AV33" s="15"/>
      <c r="AW33" s="15"/>
      <c r="AX33" s="15"/>
      <c r="AY33" s="15"/>
      <c r="AZ33" s="15"/>
      <c r="BA33" s="15"/>
      <c r="BB33" s="15"/>
      <c r="BC33" s="233"/>
    </row>
    <row r="34" spans="2:55" x14ac:dyDescent="0.3">
      <c r="B34" s="232"/>
      <c r="C34" s="250">
        <f t="shared" si="27"/>
        <v>2018</v>
      </c>
      <c r="D34" s="263">
        <f t="shared" ca="1" si="7"/>
        <v>120687.70758970693</v>
      </c>
      <c r="E34" s="263">
        <f t="shared" ca="1" si="1"/>
        <v>677.45698647028951</v>
      </c>
      <c r="F34" s="263">
        <f t="shared" ca="1" si="2"/>
        <v>0</v>
      </c>
      <c r="G34" s="263">
        <f t="shared" ca="1" si="8"/>
        <v>124752.44950852866</v>
      </c>
      <c r="H34" s="15"/>
      <c r="I34" s="271">
        <f ca="1">Assumptions!$O$68</f>
        <v>4.5</v>
      </c>
      <c r="J34" s="271">
        <f ca="1">Assumptions!$P$68</f>
        <v>80</v>
      </c>
      <c r="K34" s="271">
        <f t="shared" ca="1" si="9"/>
        <v>40</v>
      </c>
      <c r="L34" s="15"/>
      <c r="M34" s="35">
        <f t="shared" ca="1" si="10"/>
        <v>4.2299999999999995</v>
      </c>
      <c r="N34" s="35">
        <f t="shared" ca="1" si="11"/>
        <v>74.400000000000006</v>
      </c>
      <c r="O34" s="35">
        <f t="shared" ca="1" si="12"/>
        <v>37.200000000000003</v>
      </c>
      <c r="P34" s="15"/>
      <c r="Q34" s="34">
        <f t="shared" ca="1" si="13"/>
        <v>510509.00310446025</v>
      </c>
      <c r="R34" s="34">
        <f t="shared" ca="1" si="14"/>
        <v>50402.799793389546</v>
      </c>
      <c r="S34" s="34">
        <f t="shared" ca="1" si="15"/>
        <v>0</v>
      </c>
      <c r="T34" s="34">
        <f t="shared" ca="1" si="16"/>
        <v>560911.80289784982</v>
      </c>
      <c r="U34" s="15"/>
      <c r="V34" s="35">
        <f t="shared" si="17"/>
        <v>0.31</v>
      </c>
      <c r="W34" s="34">
        <f t="shared" ca="1" si="18"/>
        <v>38673.259347643885</v>
      </c>
      <c r="X34" s="35">
        <f t="shared" si="19"/>
        <v>0.37</v>
      </c>
      <c r="Y34" s="34">
        <f t="shared" ca="1" si="20"/>
        <v>46158.406318155605</v>
      </c>
      <c r="Z34" s="35">
        <f t="shared" si="21"/>
        <v>0.57999999999999996</v>
      </c>
      <c r="AA34" s="34">
        <f t="shared" ca="1" si="22"/>
        <v>72356.420714946624</v>
      </c>
      <c r="AB34" s="34">
        <f t="shared" ca="1" si="23"/>
        <v>157188.0863807461</v>
      </c>
      <c r="AC34" s="15"/>
      <c r="AD34" s="34">
        <f t="shared" ca="1" si="24"/>
        <v>403723.71651710372</v>
      </c>
      <c r="AE34" s="34">
        <f t="shared" ca="1" si="3"/>
        <v>13773.293919241907</v>
      </c>
      <c r="AF34" s="34">
        <f t="shared" ca="1" si="25"/>
        <v>389950.42259786179</v>
      </c>
      <c r="AG34" s="15"/>
      <c r="AH34" s="273">
        <f t="shared" si="28"/>
        <v>43465</v>
      </c>
      <c r="AI34" s="267">
        <f t="shared" si="4"/>
        <v>4.666666666666667</v>
      </c>
      <c r="AJ34" s="267">
        <f t="shared" si="5"/>
        <v>0.64096473505682472</v>
      </c>
      <c r="AK34" s="34">
        <f t="shared" ca="1" si="29"/>
        <v>249944.46930573531</v>
      </c>
      <c r="AL34" s="233"/>
      <c r="AN34" s="232"/>
      <c r="AO34" s="237">
        <f t="shared" si="30"/>
        <v>5</v>
      </c>
      <c r="AP34" s="237">
        <f t="shared" si="6"/>
        <v>2018</v>
      </c>
      <c r="AQ34" s="250">
        <f t="shared" si="26"/>
        <v>365</v>
      </c>
      <c r="AR34" s="34">
        <f t="shared" si="31"/>
        <v>940796.71390519571</v>
      </c>
      <c r="AS34" s="269">
        <f t="shared" si="32"/>
        <v>341.78753290007853</v>
      </c>
      <c r="AT34" s="263">
        <f t="shared" si="33"/>
        <v>124752.44950852866</v>
      </c>
      <c r="AU34" s="34">
        <f t="shared" si="34"/>
        <v>816044.26439666701</v>
      </c>
      <c r="AV34" s="15"/>
      <c r="AW34" s="15"/>
      <c r="AX34" s="15"/>
      <c r="AY34" s="15"/>
      <c r="AZ34" s="15"/>
      <c r="BA34" s="15"/>
      <c r="BB34" s="15"/>
      <c r="BC34" s="233"/>
    </row>
    <row r="35" spans="2:55" x14ac:dyDescent="0.3">
      <c r="B35" s="232"/>
      <c r="C35" s="250">
        <f t="shared" si="27"/>
        <v>2019</v>
      </c>
      <c r="D35" s="263">
        <f t="shared" ca="1" si="7"/>
        <v>106729.82882398884</v>
      </c>
      <c r="E35" s="263">
        <f t="shared" ca="1" si="1"/>
        <v>599.10714724484478</v>
      </c>
      <c r="F35" s="263">
        <f t="shared" ca="1" si="2"/>
        <v>0</v>
      </c>
      <c r="G35" s="263">
        <f t="shared" ca="1" si="8"/>
        <v>110324.47170745791</v>
      </c>
      <c r="H35" s="15"/>
      <c r="I35" s="271">
        <f ca="1">Assumptions!$O$68</f>
        <v>4.5</v>
      </c>
      <c r="J35" s="271">
        <f ca="1">Assumptions!$P$68</f>
        <v>80</v>
      </c>
      <c r="K35" s="271">
        <f t="shared" ca="1" si="9"/>
        <v>40</v>
      </c>
      <c r="L35" s="15"/>
      <c r="M35" s="35">
        <f t="shared" ca="1" si="10"/>
        <v>4.2299999999999995</v>
      </c>
      <c r="N35" s="35">
        <f t="shared" ca="1" si="11"/>
        <v>74.400000000000006</v>
      </c>
      <c r="O35" s="35">
        <f t="shared" ca="1" si="12"/>
        <v>37.200000000000003</v>
      </c>
      <c r="P35" s="15"/>
      <c r="Q35" s="34">
        <f t="shared" ca="1" si="13"/>
        <v>451467.17592547275</v>
      </c>
      <c r="R35" s="34">
        <f t="shared" ca="1" si="14"/>
        <v>44573.571755016455</v>
      </c>
      <c r="S35" s="34">
        <f t="shared" ca="1" si="15"/>
        <v>0</v>
      </c>
      <c r="T35" s="34">
        <f t="shared" ca="1" si="16"/>
        <v>496040.74768048921</v>
      </c>
      <c r="U35" s="15"/>
      <c r="V35" s="35">
        <f t="shared" si="17"/>
        <v>0.31</v>
      </c>
      <c r="W35" s="34">
        <f t="shared" ca="1" si="18"/>
        <v>34200.58622931195</v>
      </c>
      <c r="X35" s="35">
        <f t="shared" si="19"/>
        <v>0.37</v>
      </c>
      <c r="Y35" s="34">
        <f t="shared" ca="1" si="20"/>
        <v>40820.054531759422</v>
      </c>
      <c r="Z35" s="35">
        <f t="shared" si="21"/>
        <v>0.57999999999999996</v>
      </c>
      <c r="AA35" s="34">
        <f t="shared" ca="1" si="22"/>
        <v>63988.19359032558</v>
      </c>
      <c r="AB35" s="34">
        <f t="shared" ca="1" si="23"/>
        <v>139008.83435139694</v>
      </c>
      <c r="AC35" s="15"/>
      <c r="AD35" s="34">
        <f t="shared" ca="1" si="24"/>
        <v>357031.91332909226</v>
      </c>
      <c r="AE35" s="34">
        <f t="shared" ca="1" si="3"/>
        <v>12180.373061196073</v>
      </c>
      <c r="AF35" s="34">
        <f t="shared" ca="1" si="25"/>
        <v>344851.5402678962</v>
      </c>
      <c r="AG35" s="15"/>
      <c r="AH35" s="273">
        <f t="shared" si="28"/>
        <v>43830</v>
      </c>
      <c r="AI35" s="267">
        <f t="shared" si="4"/>
        <v>5.666666666666667</v>
      </c>
      <c r="AJ35" s="267">
        <f t="shared" si="5"/>
        <v>0.58269521368802246</v>
      </c>
      <c r="AK35" s="34">
        <f t="shared" ca="1" si="29"/>
        <v>200943.34194704547</v>
      </c>
      <c r="AL35" s="233"/>
      <c r="AN35" s="232"/>
      <c r="AO35" s="237">
        <f t="shared" si="30"/>
        <v>6</v>
      </c>
      <c r="AP35" s="237">
        <f t="shared" si="6"/>
        <v>2019</v>
      </c>
      <c r="AQ35" s="250">
        <f t="shared" si="26"/>
        <v>365</v>
      </c>
      <c r="AR35" s="34">
        <f t="shared" si="31"/>
        <v>816044.26439666701</v>
      </c>
      <c r="AS35" s="269">
        <f t="shared" si="32"/>
        <v>302.25882659577508</v>
      </c>
      <c r="AT35" s="263">
        <f t="shared" si="33"/>
        <v>110324.47170745791</v>
      </c>
      <c r="AU35" s="34">
        <f t="shared" si="34"/>
        <v>705719.79268920911</v>
      </c>
      <c r="AV35" s="15"/>
      <c r="AW35" s="15"/>
      <c r="AX35" s="15"/>
      <c r="AY35" s="15"/>
      <c r="AZ35" s="15"/>
      <c r="BA35" s="15"/>
      <c r="BB35" s="15"/>
      <c r="BC35" s="233"/>
    </row>
    <row r="36" spans="2:55" x14ac:dyDescent="0.3">
      <c r="B36" s="232"/>
      <c r="C36" s="250">
        <f t="shared" si="27"/>
        <v>2020</v>
      </c>
      <c r="D36" s="263">
        <f t="shared" ca="1" si="7"/>
        <v>94644.811062005596</v>
      </c>
      <c r="E36" s="263">
        <f t="shared" ca="1" si="1"/>
        <v>531.2702492046061</v>
      </c>
      <c r="F36" s="263">
        <f t="shared" ca="1" si="2"/>
        <v>0</v>
      </c>
      <c r="G36" s="263">
        <f t="shared" ca="1" si="8"/>
        <v>97832.432557233231</v>
      </c>
      <c r="H36" s="15"/>
      <c r="I36" s="271">
        <f ca="1">Assumptions!$O$68</f>
        <v>4.5</v>
      </c>
      <c r="J36" s="271">
        <f ca="1">Assumptions!$P$68</f>
        <v>80</v>
      </c>
      <c r="K36" s="271">
        <f t="shared" ca="1" si="9"/>
        <v>40</v>
      </c>
      <c r="L36" s="15"/>
      <c r="M36" s="35">
        <f t="shared" ca="1" si="10"/>
        <v>4.2299999999999995</v>
      </c>
      <c r="N36" s="35">
        <f t="shared" ca="1" si="11"/>
        <v>74.400000000000006</v>
      </c>
      <c r="O36" s="35">
        <f t="shared" ca="1" si="12"/>
        <v>37.200000000000003</v>
      </c>
      <c r="P36" s="15"/>
      <c r="Q36" s="34">
        <f t="shared" ca="1" si="13"/>
        <v>400347.55079228361</v>
      </c>
      <c r="R36" s="34">
        <f t="shared" ca="1" si="14"/>
        <v>39526.506540822695</v>
      </c>
      <c r="S36" s="34">
        <f t="shared" ca="1" si="15"/>
        <v>0</v>
      </c>
      <c r="T36" s="34">
        <f t="shared" ca="1" si="16"/>
        <v>439874.05733310629</v>
      </c>
      <c r="U36" s="15"/>
      <c r="V36" s="35">
        <f t="shared" si="17"/>
        <v>0.31</v>
      </c>
      <c r="W36" s="34">
        <f t="shared" ca="1" si="18"/>
        <v>30328.054092742303</v>
      </c>
      <c r="X36" s="35">
        <f t="shared" si="19"/>
        <v>0.37</v>
      </c>
      <c r="Y36" s="34">
        <f t="shared" ca="1" si="20"/>
        <v>36198.000046176297</v>
      </c>
      <c r="Z36" s="35">
        <f t="shared" si="21"/>
        <v>0.57999999999999996</v>
      </c>
      <c r="AA36" s="34">
        <f t="shared" ca="1" si="22"/>
        <v>56742.81088319527</v>
      </c>
      <c r="AB36" s="34">
        <f t="shared" ca="1" si="23"/>
        <v>123268.86502211387</v>
      </c>
      <c r="AC36" s="15"/>
      <c r="AD36" s="34">
        <f t="shared" ca="1" si="24"/>
        <v>316605.1923109924</v>
      </c>
      <c r="AE36" s="34">
        <f t="shared" ca="1" si="3"/>
        <v>10801.189505726417</v>
      </c>
      <c r="AF36" s="34">
        <f t="shared" ca="1" si="25"/>
        <v>305804.00280526601</v>
      </c>
      <c r="AG36" s="15"/>
      <c r="AH36" s="273">
        <f t="shared" si="28"/>
        <v>44196</v>
      </c>
      <c r="AI36" s="267">
        <f t="shared" si="4"/>
        <v>6.666666666666667</v>
      </c>
      <c r="AJ36" s="267">
        <f t="shared" si="5"/>
        <v>0.52972292153456579</v>
      </c>
      <c r="AK36" s="34">
        <f t="shared" ca="1" si="29"/>
        <v>161991.38978297007</v>
      </c>
      <c r="AL36" s="233"/>
      <c r="AN36" s="232"/>
      <c r="AO36" s="237">
        <f t="shared" si="30"/>
        <v>7</v>
      </c>
      <c r="AP36" s="237">
        <f t="shared" si="6"/>
        <v>2020</v>
      </c>
      <c r="AQ36" s="250">
        <f t="shared" si="26"/>
        <v>366</v>
      </c>
      <c r="AR36" s="34">
        <f t="shared" si="31"/>
        <v>705719.79268920911</v>
      </c>
      <c r="AS36" s="269">
        <f t="shared" si="32"/>
        <v>267.30172829845145</v>
      </c>
      <c r="AT36" s="263">
        <f t="shared" si="33"/>
        <v>97832.432557233231</v>
      </c>
      <c r="AU36" s="34">
        <f t="shared" si="34"/>
        <v>607887.36013197585</v>
      </c>
      <c r="AV36" s="15"/>
      <c r="AW36" s="15"/>
      <c r="AX36" s="15"/>
      <c r="AY36" s="15"/>
      <c r="AZ36" s="15"/>
      <c r="BA36" s="15"/>
      <c r="BB36" s="15"/>
      <c r="BC36" s="233"/>
    </row>
    <row r="37" spans="2:55" x14ac:dyDescent="0.3">
      <c r="B37" s="232"/>
      <c r="C37" s="250">
        <f t="shared" si="27"/>
        <v>2021</v>
      </c>
      <c r="D37" s="263">
        <f t="shared" ca="1" si="7"/>
        <v>83470.182377865014</v>
      </c>
      <c r="E37" s="263">
        <f t="shared" ca="1" si="1"/>
        <v>468.54364328531375</v>
      </c>
      <c r="F37" s="263">
        <f t="shared" ca="1" si="2"/>
        <v>0</v>
      </c>
      <c r="G37" s="263">
        <f t="shared" ca="1" si="8"/>
        <v>86281.444237576899</v>
      </c>
      <c r="H37" s="15"/>
      <c r="I37" s="271">
        <f ca="1">Assumptions!$O$68</f>
        <v>4.5</v>
      </c>
      <c r="J37" s="271">
        <f ca="1">Assumptions!$P$68</f>
        <v>80</v>
      </c>
      <c r="K37" s="271">
        <f t="shared" ca="1" si="9"/>
        <v>40</v>
      </c>
      <c r="L37" s="15"/>
      <c r="M37" s="35">
        <f t="shared" ca="1" si="10"/>
        <v>4.2299999999999995</v>
      </c>
      <c r="N37" s="35">
        <f t="shared" ca="1" si="11"/>
        <v>74.400000000000006</v>
      </c>
      <c r="O37" s="35">
        <f t="shared" ca="1" si="12"/>
        <v>37.200000000000003</v>
      </c>
      <c r="P37" s="15"/>
      <c r="Q37" s="34">
        <f t="shared" ca="1" si="13"/>
        <v>353078.87145836896</v>
      </c>
      <c r="R37" s="34">
        <f t="shared" ca="1" si="14"/>
        <v>34859.647060427349</v>
      </c>
      <c r="S37" s="34">
        <f t="shared" ca="1" si="15"/>
        <v>0</v>
      </c>
      <c r="T37" s="34">
        <f t="shared" ca="1" si="16"/>
        <v>387938.51851879631</v>
      </c>
      <c r="U37" s="15"/>
      <c r="V37" s="35">
        <f t="shared" si="17"/>
        <v>0.31</v>
      </c>
      <c r="W37" s="34">
        <f t="shared" ca="1" si="18"/>
        <v>26747.247713648838</v>
      </c>
      <c r="X37" s="35">
        <f t="shared" si="19"/>
        <v>0.37</v>
      </c>
      <c r="Y37" s="34">
        <f t="shared" ca="1" si="20"/>
        <v>31924.134367903451</v>
      </c>
      <c r="Z37" s="35">
        <f t="shared" si="21"/>
        <v>0.57999999999999996</v>
      </c>
      <c r="AA37" s="34">
        <f t="shared" ca="1" si="22"/>
        <v>50043.237657794598</v>
      </c>
      <c r="AB37" s="34">
        <f t="shared" ca="1" si="23"/>
        <v>108714.61973934689</v>
      </c>
      <c r="AC37" s="15"/>
      <c r="AD37" s="34">
        <f t="shared" ca="1" si="24"/>
        <v>279223.8987794494</v>
      </c>
      <c r="AE37" s="34">
        <f t="shared" ca="1" si="3"/>
        <v>9525.9026651784061</v>
      </c>
      <c r="AF37" s="34">
        <f t="shared" ca="1" si="25"/>
        <v>269697.99611427099</v>
      </c>
      <c r="AG37" s="15"/>
      <c r="AH37" s="273">
        <f t="shared" si="28"/>
        <v>44561</v>
      </c>
      <c r="AI37" s="267">
        <f t="shared" si="4"/>
        <v>7.6666666666666661</v>
      </c>
      <c r="AJ37" s="267">
        <f t="shared" si="5"/>
        <v>0.48156629230415066</v>
      </c>
      <c r="AK37" s="34">
        <f t="shared" ca="1" si="29"/>
        <v>129877.46403060871</v>
      </c>
      <c r="AL37" s="233"/>
      <c r="AN37" s="232"/>
      <c r="AO37" s="237">
        <f t="shared" si="30"/>
        <v>8</v>
      </c>
      <c r="AP37" s="237">
        <f t="shared" si="6"/>
        <v>2021</v>
      </c>
      <c r="AQ37" s="250">
        <f t="shared" si="26"/>
        <v>365</v>
      </c>
      <c r="AR37" s="34">
        <f t="shared" si="31"/>
        <v>607887.36013197585</v>
      </c>
      <c r="AS37" s="269">
        <f t="shared" si="32"/>
        <v>236.3875184591148</v>
      </c>
      <c r="AT37" s="263">
        <f t="shared" si="33"/>
        <v>86281.444237576899</v>
      </c>
      <c r="AU37" s="34">
        <f t="shared" si="34"/>
        <v>521605.91589439893</v>
      </c>
      <c r="AV37" s="15"/>
      <c r="AW37" s="15"/>
      <c r="AX37" s="15"/>
      <c r="AY37" s="15"/>
      <c r="AZ37" s="15"/>
      <c r="BA37" s="15"/>
      <c r="BB37" s="15"/>
      <c r="BC37" s="233"/>
    </row>
    <row r="38" spans="2:55" x14ac:dyDescent="0.3">
      <c r="B38" s="232"/>
      <c r="C38" s="250">
        <f t="shared" si="27"/>
        <v>2022</v>
      </c>
      <c r="D38" s="263">
        <f t="shared" ca="1" si="7"/>
        <v>73816.616911666846</v>
      </c>
      <c r="E38" s="263">
        <f t="shared" ca="1" si="1"/>
        <v>414.35523006549016</v>
      </c>
      <c r="F38" s="263">
        <f t="shared" ca="1" si="2"/>
        <v>0</v>
      </c>
      <c r="G38" s="263">
        <f t="shared" ca="1" si="8"/>
        <v>76302.748292059783</v>
      </c>
      <c r="H38" s="15"/>
      <c r="I38" s="271">
        <f ca="1">Assumptions!$O$68</f>
        <v>4.5</v>
      </c>
      <c r="J38" s="271">
        <f ca="1">Assumptions!$P$68</f>
        <v>80</v>
      </c>
      <c r="K38" s="271">
        <f t="shared" ca="1" si="9"/>
        <v>40</v>
      </c>
      <c r="L38" s="15"/>
      <c r="M38" s="35">
        <f t="shared" ca="1" si="10"/>
        <v>4.2299999999999995</v>
      </c>
      <c r="N38" s="35">
        <f t="shared" ca="1" si="11"/>
        <v>74.400000000000006</v>
      </c>
      <c r="O38" s="35">
        <f t="shared" ca="1" si="12"/>
        <v>37.200000000000003</v>
      </c>
      <c r="P38" s="15"/>
      <c r="Q38" s="34">
        <f t="shared" ca="1" si="13"/>
        <v>312244.2895363507</v>
      </c>
      <c r="R38" s="34">
        <f t="shared" ca="1" si="14"/>
        <v>30828.029116872469</v>
      </c>
      <c r="S38" s="34">
        <f t="shared" ca="1" si="15"/>
        <v>0</v>
      </c>
      <c r="T38" s="34">
        <f t="shared" ca="1" si="16"/>
        <v>343072.31865322316</v>
      </c>
      <c r="U38" s="15"/>
      <c r="V38" s="35">
        <f t="shared" si="17"/>
        <v>0.31</v>
      </c>
      <c r="W38" s="34">
        <f t="shared" ca="1" si="18"/>
        <v>23653.851970538533</v>
      </c>
      <c r="X38" s="35">
        <f t="shared" si="19"/>
        <v>0.37</v>
      </c>
      <c r="Y38" s="34">
        <f t="shared" ca="1" si="20"/>
        <v>28232.016868062121</v>
      </c>
      <c r="Z38" s="35">
        <f t="shared" si="21"/>
        <v>0.57999999999999996</v>
      </c>
      <c r="AA38" s="34">
        <f t="shared" ca="1" si="22"/>
        <v>44255.59400939467</v>
      </c>
      <c r="AB38" s="34">
        <f t="shared" ca="1" si="23"/>
        <v>96141.462847995324</v>
      </c>
      <c r="AC38" s="15"/>
      <c r="AD38" s="34">
        <f t="shared" ca="1" si="24"/>
        <v>246930.85580522782</v>
      </c>
      <c r="AE38" s="34">
        <f t="shared" ca="1" si="3"/>
        <v>8424.2047608101348</v>
      </c>
      <c r="AF38" s="34">
        <f t="shared" ca="1" si="25"/>
        <v>238506.6510444177</v>
      </c>
      <c r="AG38" s="15"/>
      <c r="AH38" s="273">
        <f t="shared" si="28"/>
        <v>44926</v>
      </c>
      <c r="AI38" s="267">
        <f t="shared" si="4"/>
        <v>8.6666666666666661</v>
      </c>
      <c r="AJ38" s="267">
        <f t="shared" si="5"/>
        <v>0.4377875384583188</v>
      </c>
      <c r="AK38" s="34">
        <f t="shared" ca="1" si="29"/>
        <v>104415.23966667283</v>
      </c>
      <c r="AL38" s="233"/>
      <c r="AN38" s="232"/>
      <c r="AO38" s="237">
        <f t="shared" si="30"/>
        <v>9</v>
      </c>
      <c r="AP38" s="237">
        <f t="shared" si="6"/>
        <v>2022</v>
      </c>
      <c r="AQ38" s="250">
        <f t="shared" si="26"/>
        <v>365</v>
      </c>
      <c r="AR38" s="34">
        <f t="shared" si="31"/>
        <v>521605.91589439893</v>
      </c>
      <c r="AS38" s="269">
        <f t="shared" si="32"/>
        <v>209.04862545769805</v>
      </c>
      <c r="AT38" s="263">
        <f t="shared" si="33"/>
        <v>76302.748292059783</v>
      </c>
      <c r="AU38" s="34">
        <f t="shared" si="34"/>
        <v>445303.16760233918</v>
      </c>
      <c r="AV38" s="15"/>
      <c r="AW38" s="15"/>
      <c r="AX38" s="15"/>
      <c r="AY38" s="15"/>
      <c r="AZ38" s="15"/>
      <c r="BA38" s="15"/>
      <c r="BB38" s="15"/>
      <c r="BC38" s="233"/>
    </row>
    <row r="39" spans="2:55" x14ac:dyDescent="0.3">
      <c r="B39" s="232"/>
      <c r="C39" s="250">
        <f t="shared" si="27"/>
        <v>2023</v>
      </c>
      <c r="D39" s="263">
        <f t="shared" ca="1" si="7"/>
        <v>65279.513918119104</v>
      </c>
      <c r="E39" s="263">
        <f t="shared" ca="1" si="1"/>
        <v>366.4338619104405</v>
      </c>
      <c r="F39" s="263">
        <f t="shared" ca="1" si="2"/>
        <v>0</v>
      </c>
      <c r="G39" s="263">
        <f t="shared" ca="1" si="8"/>
        <v>67478.117089581749</v>
      </c>
      <c r="H39" s="15"/>
      <c r="I39" s="271">
        <f ca="1">Assumptions!$O$68</f>
        <v>4.5</v>
      </c>
      <c r="J39" s="271">
        <f ca="1">Assumptions!$P$68</f>
        <v>80</v>
      </c>
      <c r="K39" s="271">
        <f t="shared" ca="1" si="9"/>
        <v>40</v>
      </c>
      <c r="L39" s="15"/>
      <c r="M39" s="35">
        <f t="shared" ca="1" si="10"/>
        <v>4.2299999999999995</v>
      </c>
      <c r="N39" s="35">
        <f t="shared" ca="1" si="11"/>
        <v>74.400000000000006</v>
      </c>
      <c r="O39" s="35">
        <f t="shared" ca="1" si="12"/>
        <v>37.200000000000003</v>
      </c>
      <c r="P39" s="15"/>
      <c r="Q39" s="34">
        <f t="shared" ca="1" si="13"/>
        <v>276132.34387364378</v>
      </c>
      <c r="R39" s="34">
        <f t="shared" ca="1" si="14"/>
        <v>27262.679326136775</v>
      </c>
      <c r="S39" s="34">
        <f t="shared" ca="1" si="15"/>
        <v>0</v>
      </c>
      <c r="T39" s="34">
        <f t="shared" ca="1" si="16"/>
        <v>303395.02319978055</v>
      </c>
      <c r="U39" s="15"/>
      <c r="V39" s="35">
        <f t="shared" si="17"/>
        <v>0.31</v>
      </c>
      <c r="W39" s="34">
        <f t="shared" ca="1" si="18"/>
        <v>20918.216297770341</v>
      </c>
      <c r="X39" s="35">
        <f t="shared" si="19"/>
        <v>0.37</v>
      </c>
      <c r="Y39" s="34">
        <f t="shared" ca="1" si="20"/>
        <v>24966.903323145245</v>
      </c>
      <c r="Z39" s="35">
        <f t="shared" si="21"/>
        <v>0.57999999999999996</v>
      </c>
      <c r="AA39" s="34">
        <f t="shared" ca="1" si="22"/>
        <v>39137.30791195741</v>
      </c>
      <c r="AB39" s="34">
        <f t="shared" ca="1" si="23"/>
        <v>85022.427532873</v>
      </c>
      <c r="AC39" s="15"/>
      <c r="AD39" s="34">
        <f t="shared" ca="1" si="24"/>
        <v>218372.59566690755</v>
      </c>
      <c r="AE39" s="34">
        <f t="shared" ca="1" si="3"/>
        <v>7449.921371910953</v>
      </c>
      <c r="AF39" s="34">
        <f t="shared" ca="1" si="25"/>
        <v>210922.6742949966</v>
      </c>
      <c r="AG39" s="15"/>
      <c r="AH39" s="273">
        <f t="shared" si="28"/>
        <v>45291</v>
      </c>
      <c r="AI39" s="267">
        <f t="shared" si="4"/>
        <v>9.6666666666666661</v>
      </c>
      <c r="AJ39" s="267">
        <f t="shared" si="5"/>
        <v>0.39798867132574434</v>
      </c>
      <c r="AK39" s="34">
        <f t="shared" ca="1" si="29"/>
        <v>83944.834895138425</v>
      </c>
      <c r="AL39" s="233"/>
      <c r="AN39" s="232"/>
      <c r="AO39" s="237">
        <f t="shared" si="30"/>
        <v>10</v>
      </c>
      <c r="AP39" s="237">
        <f t="shared" si="6"/>
        <v>2023</v>
      </c>
      <c r="AQ39" s="250">
        <f t="shared" si="26"/>
        <v>365</v>
      </c>
      <c r="AR39" s="34">
        <f t="shared" si="31"/>
        <v>445303.16760233918</v>
      </c>
      <c r="AS39" s="269">
        <f t="shared" si="32"/>
        <v>184.87155367008697</v>
      </c>
      <c r="AT39" s="263">
        <f t="shared" si="33"/>
        <v>67478.117089581749</v>
      </c>
      <c r="AU39" s="34">
        <f t="shared" si="34"/>
        <v>377825.05051275744</v>
      </c>
      <c r="AV39" s="15"/>
      <c r="AW39" s="15"/>
      <c r="AX39" s="15"/>
      <c r="AY39" s="15"/>
      <c r="AZ39" s="15"/>
      <c r="BA39" s="15"/>
      <c r="BB39" s="15"/>
      <c r="BC39" s="233"/>
    </row>
    <row r="40" spans="2:55" x14ac:dyDescent="0.3">
      <c r="B40" s="232"/>
      <c r="C40" s="250">
        <f t="shared" si="27"/>
        <v>2024</v>
      </c>
      <c r="D40" s="263">
        <f t="shared" ca="1" si="7"/>
        <v>57887.915019416614</v>
      </c>
      <c r="E40" s="263">
        <f t="shared" ca="1" si="1"/>
        <v>324.94255832105017</v>
      </c>
      <c r="F40" s="263">
        <f t="shared" ca="1" si="2"/>
        <v>0</v>
      </c>
      <c r="G40" s="263">
        <f t="shared" ca="1" si="8"/>
        <v>59837.570369342917</v>
      </c>
      <c r="H40" s="15"/>
      <c r="I40" s="271">
        <f ca="1">Assumptions!$O$68</f>
        <v>4.5</v>
      </c>
      <c r="J40" s="271">
        <f ca="1">Assumptions!$P$68</f>
        <v>80</v>
      </c>
      <c r="K40" s="271">
        <f t="shared" ca="1" si="9"/>
        <v>40</v>
      </c>
      <c r="L40" s="15"/>
      <c r="M40" s="35">
        <f t="shared" ca="1" si="10"/>
        <v>4.2299999999999995</v>
      </c>
      <c r="N40" s="35">
        <f t="shared" ca="1" si="11"/>
        <v>74.400000000000006</v>
      </c>
      <c r="O40" s="35">
        <f t="shared" ca="1" si="12"/>
        <v>37.200000000000003</v>
      </c>
      <c r="P40" s="15"/>
      <c r="Q40" s="34">
        <f t="shared" ca="1" si="13"/>
        <v>244865.88053213226</v>
      </c>
      <c r="R40" s="34">
        <f t="shared" ca="1" si="14"/>
        <v>24175.726339086134</v>
      </c>
      <c r="S40" s="34">
        <f t="shared" ca="1" si="15"/>
        <v>0</v>
      </c>
      <c r="T40" s="34">
        <f t="shared" ca="1" si="16"/>
        <v>269041.60687121842</v>
      </c>
      <c r="U40" s="15"/>
      <c r="V40" s="35">
        <f t="shared" si="17"/>
        <v>0.31</v>
      </c>
      <c r="W40" s="34">
        <f t="shared" ca="1" si="18"/>
        <v>18549.646814496304</v>
      </c>
      <c r="X40" s="35">
        <f t="shared" si="19"/>
        <v>0.37</v>
      </c>
      <c r="Y40" s="34">
        <f t="shared" ca="1" si="20"/>
        <v>22139.90103665688</v>
      </c>
      <c r="Z40" s="35">
        <f t="shared" si="21"/>
        <v>0.57999999999999996</v>
      </c>
      <c r="AA40" s="34">
        <f t="shared" ca="1" si="22"/>
        <v>34705.79081421889</v>
      </c>
      <c r="AB40" s="34">
        <f t="shared" ca="1" si="23"/>
        <v>75395.338665372081</v>
      </c>
      <c r="AC40" s="15"/>
      <c r="AD40" s="34">
        <f t="shared" ca="1" si="24"/>
        <v>193646.26820584634</v>
      </c>
      <c r="AE40" s="34">
        <f t="shared" ca="1" si="3"/>
        <v>6606.366827722587</v>
      </c>
      <c r="AF40" s="34">
        <f t="shared" ca="1" si="25"/>
        <v>187039.90137812376</v>
      </c>
      <c r="AG40" s="15"/>
      <c r="AH40" s="273">
        <f t="shared" si="28"/>
        <v>45657</v>
      </c>
      <c r="AI40" s="267">
        <f t="shared" si="4"/>
        <v>10.666666666666666</v>
      </c>
      <c r="AJ40" s="267">
        <f t="shared" si="5"/>
        <v>0.36180788302340394</v>
      </c>
      <c r="AK40" s="34">
        <f t="shared" ca="1" si="29"/>
        <v>67672.510758525212</v>
      </c>
      <c r="AL40" s="233"/>
      <c r="AN40" s="232"/>
      <c r="AO40" s="237">
        <f t="shared" si="30"/>
        <v>11</v>
      </c>
      <c r="AP40" s="237">
        <f t="shared" si="6"/>
        <v>2024</v>
      </c>
      <c r="AQ40" s="250">
        <f t="shared" si="26"/>
        <v>366</v>
      </c>
      <c r="AR40" s="34">
        <f t="shared" si="31"/>
        <v>377825.05051275744</v>
      </c>
      <c r="AS40" s="269">
        <f t="shared" si="32"/>
        <v>163.49062942443419</v>
      </c>
      <c r="AT40" s="263">
        <f t="shared" si="33"/>
        <v>59837.570369342917</v>
      </c>
      <c r="AU40" s="34">
        <f t="shared" si="34"/>
        <v>317987.48014341452</v>
      </c>
      <c r="AV40" s="15"/>
      <c r="AW40" s="15"/>
      <c r="AX40" s="15"/>
      <c r="AY40" s="15"/>
      <c r="AZ40" s="15"/>
      <c r="BA40" s="15"/>
      <c r="BB40" s="15"/>
      <c r="BC40" s="233"/>
    </row>
    <row r="41" spans="2:55" x14ac:dyDescent="0.3">
      <c r="B41" s="232"/>
      <c r="C41" s="250">
        <f t="shared" si="27"/>
        <v>2025</v>
      </c>
      <c r="D41" s="263">
        <f t="shared" ca="1" si="7"/>
        <v>51053.14036687628</v>
      </c>
      <c r="E41" s="263">
        <f t="shared" ca="1" si="1"/>
        <v>286.5768793982665</v>
      </c>
      <c r="F41" s="263">
        <f t="shared" ca="1" si="2"/>
        <v>0</v>
      </c>
      <c r="G41" s="263">
        <f t="shared" ca="1" si="8"/>
        <v>52772.60164326588</v>
      </c>
      <c r="H41" s="15"/>
      <c r="I41" s="271">
        <f ca="1">Assumptions!$O$68</f>
        <v>4.5</v>
      </c>
      <c r="J41" s="271">
        <f ca="1">Assumptions!$P$68</f>
        <v>80</v>
      </c>
      <c r="K41" s="271">
        <f t="shared" ca="1" si="9"/>
        <v>40</v>
      </c>
      <c r="L41" s="15"/>
      <c r="M41" s="35">
        <f t="shared" ca="1" si="10"/>
        <v>4.2299999999999995</v>
      </c>
      <c r="N41" s="35">
        <f t="shared" ca="1" si="11"/>
        <v>74.400000000000006</v>
      </c>
      <c r="O41" s="35">
        <f t="shared" ca="1" si="12"/>
        <v>37.200000000000003</v>
      </c>
      <c r="P41" s="15"/>
      <c r="Q41" s="34">
        <f t="shared" ca="1" si="13"/>
        <v>215954.78375188663</v>
      </c>
      <c r="R41" s="34">
        <f t="shared" ca="1" si="14"/>
        <v>21321.319827231029</v>
      </c>
      <c r="S41" s="34">
        <f t="shared" ca="1" si="15"/>
        <v>0</v>
      </c>
      <c r="T41" s="34">
        <f t="shared" ca="1" si="16"/>
        <v>237276.10357911765</v>
      </c>
      <c r="U41" s="15"/>
      <c r="V41" s="35">
        <f t="shared" si="17"/>
        <v>0.31</v>
      </c>
      <c r="W41" s="34">
        <f t="shared" ca="1" si="18"/>
        <v>16359.506509412422</v>
      </c>
      <c r="X41" s="35">
        <f t="shared" si="19"/>
        <v>0.37</v>
      </c>
      <c r="Y41" s="34">
        <f t="shared" ca="1" si="20"/>
        <v>19525.862608008374</v>
      </c>
      <c r="Z41" s="35">
        <f t="shared" si="21"/>
        <v>0.57999999999999996</v>
      </c>
      <c r="AA41" s="34">
        <f t="shared" ca="1" si="22"/>
        <v>30608.108953094208</v>
      </c>
      <c r="AB41" s="34">
        <f t="shared" ca="1" si="23"/>
        <v>66493.478070515004</v>
      </c>
      <c r="AC41" s="15"/>
      <c r="AD41" s="34">
        <f t="shared" ca="1" si="24"/>
        <v>170782.62550860265</v>
      </c>
      <c r="AE41" s="34">
        <f t="shared" ca="1" si="3"/>
        <v>5826.3589707397159</v>
      </c>
      <c r="AF41" s="34">
        <f t="shared" ca="1" si="25"/>
        <v>164956.26653786295</v>
      </c>
      <c r="AG41" s="15"/>
      <c r="AH41" s="273">
        <f t="shared" si="28"/>
        <v>46022</v>
      </c>
      <c r="AI41" s="267">
        <f t="shared" si="4"/>
        <v>11.666666666666666</v>
      </c>
      <c r="AJ41" s="267">
        <f t="shared" si="5"/>
        <v>0.32891625729400353</v>
      </c>
      <c r="AK41" s="34">
        <f t="shared" ca="1" si="29"/>
        <v>54256.797806825954</v>
      </c>
      <c r="AL41" s="233"/>
      <c r="AN41" s="232"/>
      <c r="AO41" s="237">
        <f t="shared" si="30"/>
        <v>12</v>
      </c>
      <c r="AP41" s="237">
        <f t="shared" si="6"/>
        <v>2025</v>
      </c>
      <c r="AQ41" s="250">
        <f t="shared" si="26"/>
        <v>365</v>
      </c>
      <c r="AR41" s="34">
        <f t="shared" si="31"/>
        <v>317987.48014341452</v>
      </c>
      <c r="AS41" s="269">
        <f t="shared" si="32"/>
        <v>144.58247025552296</v>
      </c>
      <c r="AT41" s="263">
        <f t="shared" si="33"/>
        <v>52772.60164326588</v>
      </c>
      <c r="AU41" s="34">
        <f t="shared" si="34"/>
        <v>265214.87850014865</v>
      </c>
      <c r="AV41" s="15"/>
      <c r="AW41" s="15"/>
      <c r="AX41" s="15"/>
      <c r="AY41" s="15"/>
      <c r="AZ41" s="15"/>
      <c r="BA41" s="15"/>
      <c r="BB41" s="15"/>
      <c r="BC41" s="233"/>
    </row>
    <row r="42" spans="2:55" x14ac:dyDescent="0.3">
      <c r="B42" s="232"/>
      <c r="C42" s="250">
        <f t="shared" si="27"/>
        <v>2026</v>
      </c>
      <c r="D42" s="263">
        <f t="shared" ca="1" si="7"/>
        <v>45148.6985800408</v>
      </c>
      <c r="E42" s="263">
        <f t="shared" ca="1" si="1"/>
        <v>253.43344317278661</v>
      </c>
      <c r="F42" s="263">
        <f t="shared" ca="1" si="2"/>
        <v>0</v>
      </c>
      <c r="G42" s="263">
        <f t="shared" ca="1" si="8"/>
        <v>46669.299239077518</v>
      </c>
      <c r="H42" s="15"/>
      <c r="I42" s="271">
        <f ca="1">Assumptions!$O$68</f>
        <v>4.5</v>
      </c>
      <c r="J42" s="271">
        <f ca="1">Assumptions!$P$68</f>
        <v>80</v>
      </c>
      <c r="K42" s="271">
        <f t="shared" ca="1" si="9"/>
        <v>40</v>
      </c>
      <c r="L42" s="15"/>
      <c r="M42" s="35">
        <f t="shared" ca="1" si="10"/>
        <v>4.2299999999999995</v>
      </c>
      <c r="N42" s="35">
        <f t="shared" ca="1" si="11"/>
        <v>74.400000000000006</v>
      </c>
      <c r="O42" s="35">
        <f t="shared" ca="1" si="12"/>
        <v>37.200000000000003</v>
      </c>
      <c r="P42" s="15"/>
      <c r="Q42" s="34">
        <f t="shared" ca="1" si="13"/>
        <v>190978.99499357256</v>
      </c>
      <c r="R42" s="34">
        <f t="shared" ca="1" si="14"/>
        <v>18855.448172055327</v>
      </c>
      <c r="S42" s="34">
        <f t="shared" ca="1" si="15"/>
        <v>0</v>
      </c>
      <c r="T42" s="34">
        <f t="shared" ca="1" si="16"/>
        <v>209834.44316562789</v>
      </c>
      <c r="U42" s="15"/>
      <c r="V42" s="35">
        <f t="shared" si="17"/>
        <v>0.31</v>
      </c>
      <c r="W42" s="34">
        <f t="shared" ca="1" si="18"/>
        <v>14467.482764114031</v>
      </c>
      <c r="X42" s="35">
        <f t="shared" si="19"/>
        <v>0.37</v>
      </c>
      <c r="Y42" s="34">
        <f t="shared" ca="1" si="20"/>
        <v>17267.640718458682</v>
      </c>
      <c r="Z42" s="35">
        <f t="shared" si="21"/>
        <v>0.57999999999999996</v>
      </c>
      <c r="AA42" s="34">
        <f t="shared" ca="1" si="22"/>
        <v>27068.19355866496</v>
      </c>
      <c r="AB42" s="34">
        <f t="shared" ca="1" si="23"/>
        <v>58803.317041237678</v>
      </c>
      <c r="AC42" s="15"/>
      <c r="AD42" s="34">
        <f t="shared" ca="1" si="24"/>
        <v>151031.12612439023</v>
      </c>
      <c r="AE42" s="34">
        <f t="shared" ca="1" si="3"/>
        <v>5152.5238819533015</v>
      </c>
      <c r="AF42" s="34">
        <f t="shared" ca="1" si="25"/>
        <v>145878.60224243693</v>
      </c>
      <c r="AG42" s="15"/>
      <c r="AH42" s="273">
        <f t="shared" si="28"/>
        <v>46387</v>
      </c>
      <c r="AI42" s="267">
        <f t="shared" si="4"/>
        <v>12.666666666666666</v>
      </c>
      <c r="AJ42" s="267">
        <f t="shared" si="5"/>
        <v>0.29901477935818499</v>
      </c>
      <c r="AK42" s="34">
        <f t="shared" ca="1" si="29"/>
        <v>43619.858062602711</v>
      </c>
      <c r="AL42" s="233"/>
      <c r="AN42" s="232"/>
      <c r="AO42" s="237">
        <f t="shared" si="30"/>
        <v>13</v>
      </c>
      <c r="AP42" s="237">
        <f t="shared" si="6"/>
        <v>2026</v>
      </c>
      <c r="AQ42" s="250">
        <f t="shared" si="26"/>
        <v>365</v>
      </c>
      <c r="AR42" s="34">
        <f t="shared" si="31"/>
        <v>265214.87850014865</v>
      </c>
      <c r="AS42" s="269">
        <f t="shared" si="32"/>
        <v>127.86109380569184</v>
      </c>
      <c r="AT42" s="263">
        <f t="shared" si="33"/>
        <v>46669.299239077518</v>
      </c>
      <c r="AU42" s="34">
        <f t="shared" si="34"/>
        <v>218545.57926107114</v>
      </c>
      <c r="AV42" s="15"/>
      <c r="AW42" s="15"/>
      <c r="AX42" s="15"/>
      <c r="AY42" s="15"/>
      <c r="AZ42" s="15"/>
      <c r="BA42" s="15"/>
      <c r="BB42" s="15"/>
      <c r="BC42" s="233"/>
    </row>
    <row r="43" spans="2:55" x14ac:dyDescent="0.3">
      <c r="B43" s="232"/>
      <c r="C43" s="250">
        <f t="shared" si="27"/>
        <v>2027</v>
      </c>
      <c r="D43" s="263">
        <f t="shared" ca="1" si="7"/>
        <v>39927.122383129892</v>
      </c>
      <c r="E43" s="263">
        <f t="shared" ca="1" si="1"/>
        <v>224.12314019636358</v>
      </c>
      <c r="F43" s="263">
        <f t="shared" ca="1" si="2"/>
        <v>0</v>
      </c>
      <c r="G43" s="263">
        <f t="shared" ca="1" si="8"/>
        <v>41271.861224308072</v>
      </c>
      <c r="H43" s="15"/>
      <c r="I43" s="271">
        <f ca="1">Assumptions!$O$68</f>
        <v>4.5</v>
      </c>
      <c r="J43" s="271">
        <f ca="1">Assumptions!$P$68</f>
        <v>80</v>
      </c>
      <c r="K43" s="271">
        <f t="shared" ca="1" si="9"/>
        <v>40</v>
      </c>
      <c r="L43" s="15"/>
      <c r="M43" s="35">
        <f t="shared" ca="1" si="10"/>
        <v>4.2299999999999995</v>
      </c>
      <c r="N43" s="35">
        <f t="shared" ca="1" si="11"/>
        <v>74.400000000000006</v>
      </c>
      <c r="O43" s="35">
        <f t="shared" ca="1" si="12"/>
        <v>37.200000000000003</v>
      </c>
      <c r="P43" s="15"/>
      <c r="Q43" s="34">
        <f t="shared" ca="1" si="13"/>
        <v>168891.72768063942</v>
      </c>
      <c r="R43" s="34">
        <f t="shared" ca="1" si="14"/>
        <v>16674.761630609453</v>
      </c>
      <c r="S43" s="34">
        <f t="shared" ca="1" si="15"/>
        <v>0</v>
      </c>
      <c r="T43" s="34">
        <f t="shared" ca="1" si="16"/>
        <v>185566.48931124888</v>
      </c>
      <c r="U43" s="15"/>
      <c r="V43" s="35">
        <f t="shared" si="17"/>
        <v>0.31</v>
      </c>
      <c r="W43" s="34">
        <f t="shared" ca="1" si="18"/>
        <v>12794.276979535502</v>
      </c>
      <c r="X43" s="35">
        <f t="shared" si="19"/>
        <v>0.37</v>
      </c>
      <c r="Y43" s="34">
        <f t="shared" ca="1" si="20"/>
        <v>15270.588652993987</v>
      </c>
      <c r="Z43" s="35">
        <f t="shared" si="21"/>
        <v>0.57999999999999996</v>
      </c>
      <c r="AA43" s="34">
        <f t="shared" ca="1" si="22"/>
        <v>23937.679510098678</v>
      </c>
      <c r="AB43" s="34">
        <f t="shared" ca="1" si="23"/>
        <v>52002.545142628165</v>
      </c>
      <c r="AC43" s="15"/>
      <c r="AD43" s="34">
        <f t="shared" ca="1" si="24"/>
        <v>133563.94416862071</v>
      </c>
      <c r="AE43" s="34">
        <f t="shared" ca="1" si="3"/>
        <v>4556.6197495600791</v>
      </c>
      <c r="AF43" s="34">
        <f t="shared" ca="1" si="25"/>
        <v>129007.32441906063</v>
      </c>
      <c r="AG43" s="15"/>
      <c r="AH43" s="273">
        <f t="shared" si="28"/>
        <v>46752</v>
      </c>
      <c r="AI43" s="267">
        <f t="shared" si="4"/>
        <v>13.666666666666666</v>
      </c>
      <c r="AJ43" s="267">
        <f t="shared" si="5"/>
        <v>0.27183161759835001</v>
      </c>
      <c r="AK43" s="34">
        <f t="shared" ca="1" si="29"/>
        <v>35068.269678868368</v>
      </c>
      <c r="AL43" s="233"/>
      <c r="AN43" s="232"/>
      <c r="AO43" s="237">
        <f t="shared" si="30"/>
        <v>14</v>
      </c>
      <c r="AP43" s="237">
        <f t="shared" si="6"/>
        <v>2027</v>
      </c>
      <c r="AQ43" s="250">
        <f t="shared" si="26"/>
        <v>365</v>
      </c>
      <c r="AR43" s="34">
        <f t="shared" si="31"/>
        <v>218545.57926107114</v>
      </c>
      <c r="AS43" s="269">
        <f t="shared" si="32"/>
        <v>113.07359239536459</v>
      </c>
      <c r="AT43" s="263">
        <f t="shared" si="33"/>
        <v>41271.861224308072</v>
      </c>
      <c r="AU43" s="34">
        <f t="shared" si="34"/>
        <v>177273.71803676308</v>
      </c>
      <c r="AV43" s="15"/>
      <c r="AW43" s="15"/>
      <c r="AX43" s="15"/>
      <c r="AY43" s="15"/>
      <c r="AZ43" s="15"/>
      <c r="BA43" s="15"/>
      <c r="BB43" s="15"/>
      <c r="BC43" s="233"/>
    </row>
    <row r="44" spans="2:55" x14ac:dyDescent="0.3">
      <c r="B44" s="232"/>
      <c r="C44" s="250">
        <f t="shared" si="27"/>
        <v>2028</v>
      </c>
      <c r="D44" s="263">
        <f t="shared" ca="1" si="7"/>
        <v>35406.174598413207</v>
      </c>
      <c r="E44" s="263">
        <f t="shared" ca="1" si="1"/>
        <v>198.74567861895181</v>
      </c>
      <c r="F44" s="263">
        <f t="shared" ca="1" si="2"/>
        <v>0</v>
      </c>
      <c r="G44" s="263">
        <f t="shared" ca="1" si="8"/>
        <v>36598.648670126917</v>
      </c>
      <c r="H44" s="15"/>
      <c r="I44" s="271">
        <f ca="1">Assumptions!$O$68</f>
        <v>4.5</v>
      </c>
      <c r="J44" s="271">
        <f ca="1">Assumptions!$P$68</f>
        <v>80</v>
      </c>
      <c r="K44" s="271">
        <f t="shared" ca="1" si="9"/>
        <v>40</v>
      </c>
      <c r="L44" s="15"/>
      <c r="M44" s="35">
        <f t="shared" ca="1" si="10"/>
        <v>4.2299999999999995</v>
      </c>
      <c r="N44" s="35">
        <f t="shared" ca="1" si="11"/>
        <v>74.400000000000006</v>
      </c>
      <c r="O44" s="35">
        <f t="shared" ca="1" si="12"/>
        <v>37.200000000000003</v>
      </c>
      <c r="P44" s="15"/>
      <c r="Q44" s="34">
        <f t="shared" ca="1" si="13"/>
        <v>149768.11855128786</v>
      </c>
      <c r="R44" s="34">
        <f t="shared" ca="1" si="14"/>
        <v>14786.678489250016</v>
      </c>
      <c r="S44" s="34">
        <f t="shared" ca="1" si="15"/>
        <v>0</v>
      </c>
      <c r="T44" s="34">
        <f t="shared" ca="1" si="16"/>
        <v>164554.79704053787</v>
      </c>
      <c r="U44" s="15"/>
      <c r="V44" s="35">
        <f t="shared" si="17"/>
        <v>0.31</v>
      </c>
      <c r="W44" s="34">
        <f t="shared" ca="1" si="18"/>
        <v>11345.581087739343</v>
      </c>
      <c r="X44" s="35">
        <f t="shared" si="19"/>
        <v>0.37</v>
      </c>
      <c r="Y44" s="34">
        <f t="shared" ca="1" si="20"/>
        <v>13541.500007946959</v>
      </c>
      <c r="Z44" s="35">
        <f t="shared" si="21"/>
        <v>0.57999999999999996</v>
      </c>
      <c r="AA44" s="34">
        <f t="shared" ca="1" si="22"/>
        <v>21227.216228673609</v>
      </c>
      <c r="AB44" s="34">
        <f t="shared" ca="1" si="23"/>
        <v>46114.297324359912</v>
      </c>
      <c r="AC44" s="15"/>
      <c r="AD44" s="34">
        <f t="shared" ca="1" si="24"/>
        <v>118440.49971617796</v>
      </c>
      <c r="AE44" s="34">
        <f t="shared" ca="1" si="3"/>
        <v>4040.6737275829487</v>
      </c>
      <c r="AF44" s="34">
        <f t="shared" ca="1" si="25"/>
        <v>114399.82598859501</v>
      </c>
      <c r="AG44" s="15"/>
      <c r="AH44" s="273">
        <f t="shared" si="28"/>
        <v>47118</v>
      </c>
      <c r="AI44" s="267">
        <f t="shared" si="4"/>
        <v>14.666666666666666</v>
      </c>
      <c r="AJ44" s="267">
        <f t="shared" si="5"/>
        <v>0.24711965236213634</v>
      </c>
      <c r="AK44" s="34">
        <f t="shared" ca="1" si="29"/>
        <v>28270.445228590488</v>
      </c>
      <c r="AL44" s="233"/>
      <c r="AN44" s="232"/>
      <c r="AO44" s="237">
        <f t="shared" si="30"/>
        <v>15</v>
      </c>
      <c r="AP44" s="237">
        <f t="shared" si="6"/>
        <v>2028</v>
      </c>
      <c r="AQ44" s="250">
        <f t="shared" si="26"/>
        <v>366</v>
      </c>
      <c r="AR44" s="34">
        <f t="shared" si="31"/>
        <v>177273.71803676308</v>
      </c>
      <c r="AS44" s="269">
        <f t="shared" si="32"/>
        <v>99.996307841876828</v>
      </c>
      <c r="AT44" s="263">
        <f t="shared" si="33"/>
        <v>36598.648670126917</v>
      </c>
      <c r="AU44" s="34">
        <f t="shared" si="34"/>
        <v>140675.06936663616</v>
      </c>
      <c r="AV44" s="15"/>
      <c r="AW44" s="15"/>
      <c r="AX44" s="15"/>
      <c r="AY44" s="15"/>
      <c r="AZ44" s="15"/>
      <c r="BA44" s="15"/>
      <c r="BB44" s="15"/>
      <c r="BC44" s="233"/>
    </row>
    <row r="45" spans="2:55" x14ac:dyDescent="0.3">
      <c r="B45" s="232"/>
      <c r="C45" s="250">
        <f t="shared" si="27"/>
        <v>2029</v>
      </c>
      <c r="D45" s="263">
        <f t="shared" ca="1" si="7"/>
        <v>31225.799046668366</v>
      </c>
      <c r="E45" s="263">
        <f t="shared" ca="1" si="1"/>
        <v>175.27995306861689</v>
      </c>
      <c r="F45" s="263">
        <f t="shared" ca="1" si="2"/>
        <v>0</v>
      </c>
      <c r="G45" s="263">
        <f t="shared" ca="1" si="8"/>
        <v>32277.478765080068</v>
      </c>
      <c r="H45" s="15"/>
      <c r="I45" s="271">
        <f ca="1">Assumptions!$O$68</f>
        <v>4.5</v>
      </c>
      <c r="J45" s="271">
        <f ca="1">Assumptions!$P$68</f>
        <v>80</v>
      </c>
      <c r="K45" s="271">
        <f t="shared" ca="1" si="9"/>
        <v>40</v>
      </c>
      <c r="L45" s="15"/>
      <c r="M45" s="35">
        <f t="shared" ca="1" si="10"/>
        <v>4.2299999999999995</v>
      </c>
      <c r="N45" s="35">
        <f t="shared" ca="1" si="11"/>
        <v>74.400000000000006</v>
      </c>
      <c r="O45" s="35">
        <f t="shared" ca="1" si="12"/>
        <v>37.200000000000003</v>
      </c>
      <c r="P45" s="15"/>
      <c r="Q45" s="34">
        <f t="shared" ca="1" si="13"/>
        <v>132085.12996740718</v>
      </c>
      <c r="R45" s="34">
        <f t="shared" ca="1" si="14"/>
        <v>13040.828508305098</v>
      </c>
      <c r="S45" s="34">
        <f t="shared" ca="1" si="15"/>
        <v>0</v>
      </c>
      <c r="T45" s="34">
        <f t="shared" ca="1" si="16"/>
        <v>145125.95847571228</v>
      </c>
      <c r="U45" s="15"/>
      <c r="V45" s="35">
        <f t="shared" si="17"/>
        <v>0.31</v>
      </c>
      <c r="W45" s="34">
        <f t="shared" ca="1" si="18"/>
        <v>10006.018417174821</v>
      </c>
      <c r="X45" s="35">
        <f t="shared" si="19"/>
        <v>0.37</v>
      </c>
      <c r="Y45" s="34">
        <f t="shared" ca="1" si="20"/>
        <v>11942.667143079625</v>
      </c>
      <c r="Z45" s="35">
        <f t="shared" si="21"/>
        <v>0.57999999999999996</v>
      </c>
      <c r="AA45" s="34">
        <f t="shared" ca="1" si="22"/>
        <v>18720.937683746437</v>
      </c>
      <c r="AB45" s="34">
        <f t="shared" ca="1" si="23"/>
        <v>40669.623244000883</v>
      </c>
      <c r="AC45" s="15"/>
      <c r="AD45" s="34">
        <f t="shared" ca="1" si="24"/>
        <v>104456.33523171139</v>
      </c>
      <c r="AE45" s="34">
        <f t="shared" ca="1" si="3"/>
        <v>3563.5949735251043</v>
      </c>
      <c r="AF45" s="34">
        <f t="shared" ca="1" si="25"/>
        <v>100892.74025818628</v>
      </c>
      <c r="AG45" s="15"/>
      <c r="AH45" s="273">
        <f t="shared" si="28"/>
        <v>47483</v>
      </c>
      <c r="AI45" s="267">
        <f t="shared" si="4"/>
        <v>15.666666666666668</v>
      </c>
      <c r="AJ45" s="267">
        <f t="shared" si="5"/>
        <v>0.22465422942012386</v>
      </c>
      <c r="AK45" s="34">
        <f t="shared" ca="1" si="29"/>
        <v>22665.980816787549</v>
      </c>
      <c r="AL45" s="233"/>
      <c r="AN45" s="232"/>
      <c r="AO45" s="237">
        <f t="shared" si="30"/>
        <v>16</v>
      </c>
      <c r="AP45" s="237">
        <f t="shared" si="6"/>
        <v>2029</v>
      </c>
      <c r="AQ45" s="250">
        <f t="shared" si="26"/>
        <v>365</v>
      </c>
      <c r="AR45" s="34">
        <f t="shared" si="31"/>
        <v>140675.06936663616</v>
      </c>
      <c r="AS45" s="269">
        <f t="shared" si="32"/>
        <v>88.431448671452245</v>
      </c>
      <c r="AT45" s="263">
        <f t="shared" si="33"/>
        <v>32277.478765080068</v>
      </c>
      <c r="AU45" s="34">
        <f t="shared" si="34"/>
        <v>108397.59060155609</v>
      </c>
      <c r="AV45" s="15"/>
      <c r="AW45" s="15"/>
      <c r="AX45" s="15"/>
      <c r="AY45" s="15"/>
      <c r="AZ45" s="15"/>
      <c r="BA45" s="15"/>
      <c r="BB45" s="15"/>
      <c r="BC45" s="233"/>
    </row>
    <row r="46" spans="2:55" x14ac:dyDescent="0.3">
      <c r="B46" s="232"/>
      <c r="C46" s="250">
        <f t="shared" si="27"/>
        <v>2030</v>
      </c>
      <c r="D46" s="263">
        <f t="shared" ca="1" si="7"/>
        <v>27614.44602521745</v>
      </c>
      <c r="E46" s="263">
        <f t="shared" ca="1" si="1"/>
        <v>155.00832488167825</v>
      </c>
      <c r="F46" s="263">
        <f t="shared" ca="1" si="2"/>
        <v>0</v>
      </c>
      <c r="G46" s="263">
        <f t="shared" ca="1" si="8"/>
        <v>28544.495974507521</v>
      </c>
      <c r="H46" s="15"/>
      <c r="I46" s="271">
        <f ca="1">Assumptions!$O$68</f>
        <v>4.5</v>
      </c>
      <c r="J46" s="271">
        <f ca="1">Assumptions!$P$68</f>
        <v>80</v>
      </c>
      <c r="K46" s="271">
        <f t="shared" ca="1" si="9"/>
        <v>40</v>
      </c>
      <c r="L46" s="15"/>
      <c r="M46" s="35">
        <f t="shared" ca="1" si="10"/>
        <v>4.2299999999999995</v>
      </c>
      <c r="N46" s="35">
        <f t="shared" ca="1" si="11"/>
        <v>74.400000000000006</v>
      </c>
      <c r="O46" s="35">
        <f t="shared" ca="1" si="12"/>
        <v>37.200000000000003</v>
      </c>
      <c r="P46" s="15"/>
      <c r="Q46" s="34">
        <f t="shared" ca="1" si="13"/>
        <v>116809.10668666981</v>
      </c>
      <c r="R46" s="34">
        <f t="shared" ca="1" si="14"/>
        <v>11532.619371196863</v>
      </c>
      <c r="S46" s="34">
        <f t="shared" ca="1" si="15"/>
        <v>0</v>
      </c>
      <c r="T46" s="34">
        <f t="shared" ca="1" si="16"/>
        <v>128341.72605786668</v>
      </c>
      <c r="U46" s="15"/>
      <c r="V46" s="35">
        <f t="shared" si="17"/>
        <v>0.31</v>
      </c>
      <c r="W46" s="34">
        <f t="shared" ca="1" si="18"/>
        <v>8848.7937520973319</v>
      </c>
      <c r="X46" s="35">
        <f t="shared" si="19"/>
        <v>0.37</v>
      </c>
      <c r="Y46" s="34">
        <f t="shared" ca="1" si="20"/>
        <v>10561.463510567783</v>
      </c>
      <c r="Z46" s="35">
        <f t="shared" si="21"/>
        <v>0.57999999999999996</v>
      </c>
      <c r="AA46" s="34">
        <f t="shared" ca="1" si="22"/>
        <v>16555.807665214361</v>
      </c>
      <c r="AB46" s="34">
        <f t="shared" ca="1" si="23"/>
        <v>35966.064927879474</v>
      </c>
      <c r="AC46" s="15"/>
      <c r="AD46" s="34">
        <f t="shared" ca="1" si="24"/>
        <v>92375.661129987202</v>
      </c>
      <c r="AE46" s="34">
        <f t="shared" ca="1" si="3"/>
        <v>3151.4550165736973</v>
      </c>
      <c r="AF46" s="34">
        <f t="shared" ca="1" si="25"/>
        <v>89224.2061134135</v>
      </c>
      <c r="AG46" s="15"/>
      <c r="AH46" s="273">
        <f t="shared" si="28"/>
        <v>47848</v>
      </c>
      <c r="AI46" s="267">
        <f t="shared" si="4"/>
        <v>16.666666666666668</v>
      </c>
      <c r="AJ46" s="267">
        <f t="shared" si="5"/>
        <v>0.2042311176546581</v>
      </c>
      <c r="AK46" s="34">
        <f t="shared" ca="1" si="29"/>
        <v>18222.359336392015</v>
      </c>
      <c r="AL46" s="233"/>
      <c r="AN46" s="232"/>
      <c r="AO46" s="237">
        <f t="shared" si="30"/>
        <v>17</v>
      </c>
      <c r="AP46" s="237">
        <f t="shared" si="6"/>
        <v>2030</v>
      </c>
      <c r="AQ46" s="250">
        <f t="shared" si="26"/>
        <v>365</v>
      </c>
      <c r="AR46" s="34">
        <f t="shared" si="31"/>
        <v>108397.59060155609</v>
      </c>
      <c r="AS46" s="269">
        <f t="shared" si="32"/>
        <v>78.204098560294582</v>
      </c>
      <c r="AT46" s="263">
        <f t="shared" si="33"/>
        <v>28544.495974507521</v>
      </c>
      <c r="AU46" s="34">
        <f t="shared" si="34"/>
        <v>79853.094627048573</v>
      </c>
      <c r="AV46" s="15"/>
      <c r="AW46" s="15"/>
      <c r="AX46" s="15"/>
      <c r="AY46" s="15"/>
      <c r="AZ46" s="15"/>
      <c r="BA46" s="15"/>
      <c r="BB46" s="15"/>
      <c r="BC46" s="233"/>
    </row>
    <row r="47" spans="2:55" x14ac:dyDescent="0.3">
      <c r="B47" s="232"/>
      <c r="C47" s="250">
        <f t="shared" si="27"/>
        <v>2031</v>
      </c>
      <c r="D47" s="263">
        <f t="shared" ca="1" si="7"/>
        <v>24420.756315634106</v>
      </c>
      <c r="E47" s="263">
        <f t="shared" ca="1" si="1"/>
        <v>137.08116850771765</v>
      </c>
      <c r="F47" s="263">
        <f t="shared" ca="1" si="2"/>
        <v>0</v>
      </c>
      <c r="G47" s="263">
        <f t="shared" ca="1" si="8"/>
        <v>25243.243326680411</v>
      </c>
      <c r="H47" s="15"/>
      <c r="I47" s="271">
        <f ca="1">Assumptions!$O$68</f>
        <v>4.5</v>
      </c>
      <c r="J47" s="271">
        <f ca="1">Assumptions!$P$68</f>
        <v>80</v>
      </c>
      <c r="K47" s="271">
        <f t="shared" ca="1" si="9"/>
        <v>40</v>
      </c>
      <c r="L47" s="15"/>
      <c r="M47" s="35">
        <f t="shared" ca="1" si="10"/>
        <v>4.2299999999999995</v>
      </c>
      <c r="N47" s="35">
        <f t="shared" ca="1" si="11"/>
        <v>74.400000000000006</v>
      </c>
      <c r="O47" s="35">
        <f t="shared" ca="1" si="12"/>
        <v>37.200000000000003</v>
      </c>
      <c r="P47" s="15"/>
      <c r="Q47" s="34">
        <f t="shared" ca="1" si="13"/>
        <v>103299.79921513225</v>
      </c>
      <c r="R47" s="34">
        <f t="shared" ca="1" si="14"/>
        <v>10198.838936974194</v>
      </c>
      <c r="S47" s="34">
        <f t="shared" ca="1" si="15"/>
        <v>0</v>
      </c>
      <c r="T47" s="34">
        <f t="shared" ca="1" si="16"/>
        <v>113498.63815210645</v>
      </c>
      <c r="U47" s="15"/>
      <c r="V47" s="35">
        <f t="shared" si="17"/>
        <v>0.31</v>
      </c>
      <c r="W47" s="34">
        <f t="shared" ca="1" si="18"/>
        <v>7825.4054312709277</v>
      </c>
      <c r="X47" s="35">
        <f t="shared" si="19"/>
        <v>0.37</v>
      </c>
      <c r="Y47" s="34">
        <f t="shared" ca="1" si="20"/>
        <v>9340.0000308717517</v>
      </c>
      <c r="Z47" s="35">
        <f t="shared" si="21"/>
        <v>0.57999999999999996</v>
      </c>
      <c r="AA47" s="34">
        <f t="shared" ca="1" si="22"/>
        <v>14641.081129474638</v>
      </c>
      <c r="AB47" s="34">
        <f t="shared" ca="1" si="23"/>
        <v>31806.486591617318</v>
      </c>
      <c r="AC47" s="15"/>
      <c r="AD47" s="34">
        <f t="shared" ca="1" si="24"/>
        <v>81692.151560489132</v>
      </c>
      <c r="AE47" s="34">
        <f t="shared" ca="1" si="3"/>
        <v>2786.9802251020487</v>
      </c>
      <c r="AF47" s="34">
        <f t="shared" ca="1" si="25"/>
        <v>78905.171335387087</v>
      </c>
      <c r="AG47" s="15"/>
      <c r="AH47" s="273">
        <f t="shared" si="28"/>
        <v>48213</v>
      </c>
      <c r="AI47" s="267">
        <f t="shared" si="4"/>
        <v>17.666666666666668</v>
      </c>
      <c r="AJ47" s="267">
        <f t="shared" si="5"/>
        <v>0.1856646524133255</v>
      </c>
      <c r="AK47" s="34">
        <f t="shared" ca="1" si="29"/>
        <v>14649.901209598538</v>
      </c>
      <c r="AL47" s="233"/>
      <c r="AN47" s="232"/>
      <c r="AO47" s="237">
        <f t="shared" si="30"/>
        <v>18</v>
      </c>
      <c r="AP47" s="237">
        <f t="shared" si="6"/>
        <v>2031</v>
      </c>
      <c r="AQ47" s="250">
        <f t="shared" si="26"/>
        <v>365</v>
      </c>
      <c r="AR47" s="34">
        <f t="shared" si="31"/>
        <v>79853.094627048573</v>
      </c>
      <c r="AS47" s="269">
        <f t="shared" si="32"/>
        <v>69.159570758028522</v>
      </c>
      <c r="AT47" s="263">
        <f t="shared" si="33"/>
        <v>25243.243326680411</v>
      </c>
      <c r="AU47" s="34">
        <f t="shared" si="34"/>
        <v>54609.851300368158</v>
      </c>
      <c r="AV47" s="15"/>
      <c r="AW47" s="15"/>
      <c r="AX47" s="15"/>
      <c r="AY47" s="15"/>
      <c r="AZ47" s="15"/>
      <c r="BA47" s="15"/>
      <c r="BB47" s="15"/>
      <c r="BC47" s="233"/>
    </row>
    <row r="48" spans="2:55" x14ac:dyDescent="0.3">
      <c r="B48" s="232"/>
      <c r="C48" s="250">
        <f t="shared" si="27"/>
        <v>2032</v>
      </c>
      <c r="D48" s="263">
        <f t="shared" ca="1" si="7"/>
        <v>21655.594250938939</v>
      </c>
      <c r="E48" s="263">
        <f t="shared" ca="1" si="1"/>
        <v>121.55946876826452</v>
      </c>
      <c r="F48" s="263">
        <f t="shared" ca="1" si="2"/>
        <v>0</v>
      </c>
      <c r="G48" s="263">
        <f t="shared" ca="1" si="8"/>
        <v>22384.951063548528</v>
      </c>
      <c r="H48" s="15"/>
      <c r="I48" s="271">
        <f ca="1">Assumptions!$O$68</f>
        <v>4.5</v>
      </c>
      <c r="J48" s="271">
        <f ca="1">Assumptions!$P$68</f>
        <v>80</v>
      </c>
      <c r="K48" s="271">
        <f t="shared" ca="1" si="9"/>
        <v>40</v>
      </c>
      <c r="L48" s="15"/>
      <c r="M48" s="35">
        <f t="shared" ca="1" si="10"/>
        <v>4.2299999999999995</v>
      </c>
      <c r="N48" s="35">
        <f t="shared" ca="1" si="11"/>
        <v>74.400000000000006</v>
      </c>
      <c r="O48" s="35">
        <f t="shared" ca="1" si="12"/>
        <v>37.200000000000003</v>
      </c>
      <c r="P48" s="15"/>
      <c r="Q48" s="34">
        <f t="shared" ca="1" si="13"/>
        <v>91603.163681471706</v>
      </c>
      <c r="R48" s="34">
        <f t="shared" ca="1" si="14"/>
        <v>9044.0244763588817</v>
      </c>
      <c r="S48" s="34">
        <f t="shared" ca="1" si="15"/>
        <v>0</v>
      </c>
      <c r="T48" s="34">
        <f t="shared" ca="1" si="16"/>
        <v>100647.18815783059</v>
      </c>
      <c r="U48" s="15"/>
      <c r="V48" s="35">
        <f t="shared" si="17"/>
        <v>0.31</v>
      </c>
      <c r="W48" s="34">
        <f t="shared" ca="1" si="18"/>
        <v>6939.3348297000439</v>
      </c>
      <c r="X48" s="35">
        <f t="shared" si="19"/>
        <v>0.37</v>
      </c>
      <c r="Y48" s="34">
        <f t="shared" ca="1" si="20"/>
        <v>8282.4318935129559</v>
      </c>
      <c r="Z48" s="35">
        <f t="shared" si="21"/>
        <v>0.57999999999999996</v>
      </c>
      <c r="AA48" s="34">
        <f t="shared" ca="1" si="22"/>
        <v>12983.271616858145</v>
      </c>
      <c r="AB48" s="34">
        <f t="shared" ca="1" si="23"/>
        <v>28205.038340071143</v>
      </c>
      <c r="AC48" s="15"/>
      <c r="AD48" s="34">
        <f t="shared" ca="1" si="24"/>
        <v>72442.149817759448</v>
      </c>
      <c r="AE48" s="34">
        <f t="shared" ca="1" si="3"/>
        <v>2471.4104739484319</v>
      </c>
      <c r="AF48" s="34">
        <f t="shared" ca="1" si="25"/>
        <v>69970.739343811016</v>
      </c>
      <c r="AG48" s="15"/>
      <c r="AH48" s="273">
        <f t="shared" si="28"/>
        <v>48579</v>
      </c>
      <c r="AI48" s="267">
        <f t="shared" si="4"/>
        <v>18.666666666666668</v>
      </c>
      <c r="AJ48" s="267">
        <f t="shared" si="5"/>
        <v>0.16878604764847771</v>
      </c>
      <c r="AK48" s="34">
        <f t="shared" ca="1" si="29"/>
        <v>11810.084544883701</v>
      </c>
      <c r="AL48" s="233"/>
      <c r="AN48" s="232"/>
      <c r="AO48" s="237">
        <f t="shared" si="30"/>
        <v>19</v>
      </c>
      <c r="AP48" s="237">
        <f t="shared" si="6"/>
        <v>2032</v>
      </c>
      <c r="AQ48" s="250">
        <f t="shared" si="26"/>
        <v>366</v>
      </c>
      <c r="AR48" s="34">
        <f t="shared" si="31"/>
        <v>54609.851300368158</v>
      </c>
      <c r="AS48" s="269">
        <f t="shared" si="32"/>
        <v>61.161068479640782</v>
      </c>
      <c r="AT48" s="263">
        <f t="shared" si="33"/>
        <v>22384.951063548528</v>
      </c>
      <c r="AU48" s="34">
        <f t="shared" si="34"/>
        <v>32224.900236819631</v>
      </c>
      <c r="AV48" s="15"/>
      <c r="AW48" s="15"/>
      <c r="AX48" s="15"/>
      <c r="AY48" s="15"/>
      <c r="AZ48" s="15"/>
      <c r="BA48" s="15"/>
      <c r="BB48" s="15"/>
      <c r="BC48" s="233"/>
    </row>
    <row r="49" spans="2:55" x14ac:dyDescent="0.3">
      <c r="B49" s="232"/>
      <c r="C49" s="250">
        <f t="shared" si="27"/>
        <v>2033</v>
      </c>
      <c r="D49" s="263">
        <f t="shared" ca="1" si="7"/>
        <v>19098.737493835662</v>
      </c>
      <c r="E49" s="263">
        <f t="shared" ca="1" si="1"/>
        <v>107.20705038119827</v>
      </c>
      <c r="F49" s="263">
        <f t="shared" ca="1" si="2"/>
        <v>0</v>
      </c>
      <c r="G49" s="263">
        <f t="shared" ca="1" si="8"/>
        <v>19741.979796122851</v>
      </c>
      <c r="H49" s="15"/>
      <c r="I49" s="271">
        <f ca="1">Assumptions!$O$68</f>
        <v>4.5</v>
      </c>
      <c r="J49" s="271">
        <f ca="1">Assumptions!$P$68</f>
        <v>80</v>
      </c>
      <c r="K49" s="271">
        <f t="shared" ca="1" si="9"/>
        <v>40</v>
      </c>
      <c r="L49" s="15"/>
      <c r="M49" s="35">
        <f t="shared" ca="1" si="10"/>
        <v>4.2299999999999995</v>
      </c>
      <c r="N49" s="35">
        <f t="shared" ca="1" si="11"/>
        <v>74.400000000000006</v>
      </c>
      <c r="O49" s="35">
        <f t="shared" ca="1" si="12"/>
        <v>37.200000000000003</v>
      </c>
      <c r="P49" s="15"/>
      <c r="Q49" s="34">
        <f t="shared" ca="1" si="13"/>
        <v>80787.659598924845</v>
      </c>
      <c r="R49" s="34">
        <f t="shared" ca="1" si="14"/>
        <v>7976.2045483611519</v>
      </c>
      <c r="S49" s="34">
        <f t="shared" ca="1" si="15"/>
        <v>0</v>
      </c>
      <c r="T49" s="34">
        <f t="shared" ca="1" si="16"/>
        <v>88763.864147286004</v>
      </c>
      <c r="U49" s="15"/>
      <c r="V49" s="35">
        <f t="shared" si="17"/>
        <v>0.31</v>
      </c>
      <c r="W49" s="34">
        <f t="shared" ca="1" si="18"/>
        <v>6120.0137367980833</v>
      </c>
      <c r="X49" s="35">
        <f t="shared" si="19"/>
        <v>0.37</v>
      </c>
      <c r="Y49" s="34">
        <f t="shared" ca="1" si="20"/>
        <v>7304.5325245654549</v>
      </c>
      <c r="Z49" s="35">
        <f t="shared" si="21"/>
        <v>0.57999999999999996</v>
      </c>
      <c r="AA49" s="34">
        <f t="shared" ca="1" si="22"/>
        <v>11450.348281751252</v>
      </c>
      <c r="AB49" s="34">
        <f t="shared" ca="1" si="23"/>
        <v>24874.894543114791</v>
      </c>
      <c r="AC49" s="15"/>
      <c r="AD49" s="34">
        <f t="shared" ca="1" si="24"/>
        <v>63888.969604171216</v>
      </c>
      <c r="AE49" s="34">
        <f t="shared" ca="1" si="3"/>
        <v>2179.6132368619046</v>
      </c>
      <c r="AF49" s="34">
        <f t="shared" ca="1" si="25"/>
        <v>61709.356367309309</v>
      </c>
      <c r="AG49" s="15"/>
      <c r="AH49" s="273">
        <f t="shared" si="28"/>
        <v>48944</v>
      </c>
      <c r="AI49" s="267">
        <f t="shared" si="4"/>
        <v>19.666666666666668</v>
      </c>
      <c r="AJ49" s="267">
        <f t="shared" si="5"/>
        <v>0.15344186149861608</v>
      </c>
      <c r="AK49" s="34">
        <f t="shared" ca="1" si="29"/>
        <v>9468.798512881418</v>
      </c>
      <c r="AL49" s="233"/>
      <c r="AN49" s="232"/>
      <c r="AO49" s="237">
        <f t="shared" si="30"/>
        <v>20</v>
      </c>
      <c r="AP49" s="237">
        <f t="shared" si="6"/>
        <v>2033</v>
      </c>
      <c r="AQ49" s="250">
        <f t="shared" si="26"/>
        <v>365</v>
      </c>
      <c r="AR49" s="34">
        <f t="shared" si="31"/>
        <v>32224.900236819631</v>
      </c>
      <c r="AS49" s="269">
        <f t="shared" si="32"/>
        <v>54.087615879788636</v>
      </c>
      <c r="AT49" s="263">
        <f t="shared" si="33"/>
        <v>19741.979796122851</v>
      </c>
      <c r="AU49" s="34">
        <f t="shared" si="34"/>
        <v>12482.92044069678</v>
      </c>
      <c r="AV49" s="15"/>
      <c r="AW49" s="15"/>
      <c r="AX49" s="15"/>
      <c r="AY49" s="15"/>
      <c r="AZ49" s="15"/>
      <c r="BA49" s="15"/>
      <c r="BB49" s="15"/>
      <c r="BC49" s="233"/>
    </row>
    <row r="50" spans="2:55" x14ac:dyDescent="0.3">
      <c r="B50" s="232"/>
      <c r="C50" s="250">
        <f t="shared" si="27"/>
        <v>2034</v>
      </c>
      <c r="D50" s="263">
        <f t="shared" ca="1" si="7"/>
        <v>12076.196162460079</v>
      </c>
      <c r="E50" s="263">
        <f t="shared" ca="1" si="1"/>
        <v>67.787379706116965</v>
      </c>
      <c r="F50" s="263">
        <f t="shared" ca="1" si="2"/>
        <v>0</v>
      </c>
      <c r="G50" s="263">
        <f t="shared" ca="1" si="8"/>
        <v>12482.92044069678</v>
      </c>
      <c r="H50" s="15"/>
      <c r="I50" s="271">
        <f ca="1">Assumptions!$O$68</f>
        <v>4.5</v>
      </c>
      <c r="J50" s="271">
        <f ca="1">Assumptions!$P$68</f>
        <v>80</v>
      </c>
      <c r="K50" s="271">
        <f t="shared" ca="1" si="9"/>
        <v>40</v>
      </c>
      <c r="L50" s="15"/>
      <c r="M50" s="35">
        <f t="shared" ca="1" si="10"/>
        <v>4.2299999999999995</v>
      </c>
      <c r="N50" s="35">
        <f t="shared" ca="1" si="11"/>
        <v>74.400000000000006</v>
      </c>
      <c r="O50" s="35">
        <f t="shared" ca="1" si="12"/>
        <v>37.200000000000003</v>
      </c>
      <c r="P50" s="15"/>
      <c r="Q50" s="34">
        <f t="shared" ca="1" si="13"/>
        <v>51082.309767206127</v>
      </c>
      <c r="R50" s="34">
        <f t="shared" ca="1" si="14"/>
        <v>5043.3810501351027</v>
      </c>
      <c r="S50" s="34">
        <f t="shared" ca="1" si="15"/>
        <v>0</v>
      </c>
      <c r="T50" s="34">
        <f t="shared" ca="1" si="16"/>
        <v>56125.69081734123</v>
      </c>
      <c r="U50" s="15"/>
      <c r="V50" s="35">
        <f t="shared" si="17"/>
        <v>0.31</v>
      </c>
      <c r="W50" s="34">
        <f t="shared" ca="1" si="18"/>
        <v>3869.7053366160017</v>
      </c>
      <c r="X50" s="35">
        <f t="shared" si="19"/>
        <v>0.37</v>
      </c>
      <c r="Y50" s="34">
        <f t="shared" ca="1" si="20"/>
        <v>4618.6805630578083</v>
      </c>
      <c r="Z50" s="35">
        <f t="shared" si="21"/>
        <v>0.57999999999999996</v>
      </c>
      <c r="AA50" s="34">
        <f t="shared" ca="1" si="22"/>
        <v>7240.0938556041319</v>
      </c>
      <c r="AB50" s="34">
        <f t="shared" ca="1" si="23"/>
        <v>15728.479755277942</v>
      </c>
      <c r="AC50" s="15"/>
      <c r="AD50" s="34">
        <f t="shared" ca="1" si="24"/>
        <v>40397.211062063288</v>
      </c>
      <c r="AE50" s="34">
        <f t="shared" ca="1" si="3"/>
        <v>1378.1768043638733</v>
      </c>
      <c r="AF50" s="34">
        <f t="shared" ca="1" si="25"/>
        <v>39019.034257699415</v>
      </c>
      <c r="AG50" s="15"/>
      <c r="AH50" s="273">
        <f t="shared" si="28"/>
        <v>49309</v>
      </c>
      <c r="AI50" s="267">
        <f t="shared" si="4"/>
        <v>20.666666666666668</v>
      </c>
      <c r="AJ50" s="267">
        <f t="shared" si="5"/>
        <v>0.13949260136237826</v>
      </c>
      <c r="AK50" s="34">
        <f t="shared" ca="1" si="29"/>
        <v>5442.8665912542456</v>
      </c>
      <c r="AL50" s="233"/>
      <c r="AN50" s="232"/>
      <c r="AO50" s="237">
        <f t="shared" si="30"/>
        <v>21</v>
      </c>
      <c r="AP50" s="237">
        <f t="shared" si="6"/>
        <v>2034</v>
      </c>
      <c r="AQ50" s="250">
        <f t="shared" si="26"/>
        <v>365</v>
      </c>
      <c r="AR50" s="34">
        <f t="shared" si="31"/>
        <v>12482.92044069678</v>
      </c>
      <c r="AS50" s="269">
        <f t="shared" si="32"/>
        <v>47.832228315850806</v>
      </c>
      <c r="AT50" s="263">
        <f t="shared" si="33"/>
        <v>12482.92044069678</v>
      </c>
      <c r="AU50" s="34">
        <f t="shared" si="34"/>
        <v>0</v>
      </c>
      <c r="AV50" s="15"/>
      <c r="AW50" s="15"/>
      <c r="AX50" s="15"/>
      <c r="AY50" s="15"/>
      <c r="AZ50" s="15"/>
      <c r="BA50" s="15"/>
      <c r="BB50" s="15"/>
      <c r="BC50" s="233"/>
    </row>
    <row r="51" spans="2:55" x14ac:dyDescent="0.3">
      <c r="B51" s="232"/>
      <c r="C51" s="250">
        <f t="shared" si="27"/>
        <v>2035</v>
      </c>
      <c r="D51" s="263">
        <f t="shared" ca="1" si="7"/>
        <v>0</v>
      </c>
      <c r="E51" s="263">
        <f t="shared" ca="1" si="1"/>
        <v>0</v>
      </c>
      <c r="F51" s="263">
        <f t="shared" ca="1" si="2"/>
        <v>0</v>
      </c>
      <c r="G51" s="263">
        <f t="shared" ca="1" si="8"/>
        <v>0</v>
      </c>
      <c r="H51" s="15"/>
      <c r="I51" s="271">
        <f ca="1">Assumptions!$O$68</f>
        <v>4.5</v>
      </c>
      <c r="J51" s="271">
        <f ca="1">Assumptions!$P$68</f>
        <v>80</v>
      </c>
      <c r="K51" s="271">
        <f t="shared" ca="1" si="9"/>
        <v>40</v>
      </c>
      <c r="L51" s="15"/>
      <c r="M51" s="35">
        <f t="shared" ca="1" si="10"/>
        <v>4.2299999999999995</v>
      </c>
      <c r="N51" s="35">
        <f t="shared" ca="1" si="11"/>
        <v>74.400000000000006</v>
      </c>
      <c r="O51" s="35">
        <f t="shared" ca="1" si="12"/>
        <v>37.200000000000003</v>
      </c>
      <c r="P51" s="15"/>
      <c r="Q51" s="34">
        <f t="shared" ca="1" si="13"/>
        <v>0</v>
      </c>
      <c r="R51" s="34">
        <f t="shared" ca="1" si="14"/>
        <v>0</v>
      </c>
      <c r="S51" s="34">
        <f t="shared" ca="1" si="15"/>
        <v>0</v>
      </c>
      <c r="T51" s="34">
        <f t="shared" ca="1" si="16"/>
        <v>0</v>
      </c>
      <c r="U51" s="15"/>
      <c r="V51" s="35">
        <f t="shared" si="17"/>
        <v>0.31</v>
      </c>
      <c r="W51" s="34">
        <f t="shared" ca="1" si="18"/>
        <v>0</v>
      </c>
      <c r="X51" s="35">
        <f t="shared" si="19"/>
        <v>0.37</v>
      </c>
      <c r="Y51" s="34">
        <f t="shared" ca="1" si="20"/>
        <v>0</v>
      </c>
      <c r="Z51" s="35">
        <f t="shared" si="21"/>
        <v>0.57999999999999996</v>
      </c>
      <c r="AA51" s="34">
        <f t="shared" ca="1" si="22"/>
        <v>0</v>
      </c>
      <c r="AB51" s="34">
        <f t="shared" ca="1" si="23"/>
        <v>0</v>
      </c>
      <c r="AC51" s="15"/>
      <c r="AD51" s="34">
        <f t="shared" ca="1" si="24"/>
        <v>0</v>
      </c>
      <c r="AE51" s="34">
        <f t="shared" ca="1" si="3"/>
        <v>0</v>
      </c>
      <c r="AF51" s="34">
        <f t="shared" ca="1" si="25"/>
        <v>0</v>
      </c>
      <c r="AG51" s="15"/>
      <c r="AH51" s="273">
        <f t="shared" si="28"/>
        <v>49674</v>
      </c>
      <c r="AI51" s="267">
        <f t="shared" si="4"/>
        <v>21.666666666666668</v>
      </c>
      <c r="AJ51" s="267">
        <f t="shared" si="5"/>
        <v>0.12681145578398023</v>
      </c>
      <c r="AK51" s="34">
        <f t="shared" ca="1" si="29"/>
        <v>0</v>
      </c>
      <c r="AL51" s="233"/>
      <c r="AN51" s="232"/>
      <c r="AO51" s="237">
        <f t="shared" si="30"/>
        <v>22</v>
      </c>
      <c r="AP51" s="237">
        <f t="shared" si="6"/>
        <v>2035</v>
      </c>
      <c r="AQ51" s="250">
        <f t="shared" si="26"/>
        <v>365</v>
      </c>
      <c r="AR51" s="34">
        <f t="shared" ref="AR51:AR69" si="35">AU50</f>
        <v>0</v>
      </c>
      <c r="AS51" s="269">
        <f t="shared" ref="AS51:AS69" si="36">AS50*(1-$AQ$25)</f>
        <v>42.300294225292816</v>
      </c>
      <c r="AT51" s="263">
        <f t="shared" ref="AT51:AT69" si="37">MIN(AS51*AQ51,AR51)</f>
        <v>0</v>
      </c>
      <c r="AU51" s="34">
        <f t="shared" ref="AU51:AU69" si="38">AR51-AT51</f>
        <v>0</v>
      </c>
      <c r="AV51" s="15"/>
      <c r="AW51" s="15"/>
      <c r="AX51" s="15"/>
      <c r="AY51" s="15"/>
      <c r="AZ51" s="15"/>
      <c r="BA51" s="15"/>
      <c r="BB51" s="15"/>
      <c r="BC51" s="233"/>
    </row>
    <row r="52" spans="2:55" x14ac:dyDescent="0.3">
      <c r="B52" s="232"/>
      <c r="C52" s="250">
        <f t="shared" si="27"/>
        <v>2036</v>
      </c>
      <c r="D52" s="263">
        <f t="shared" ca="1" si="7"/>
        <v>0</v>
      </c>
      <c r="E52" s="263">
        <f t="shared" ca="1" si="1"/>
        <v>0</v>
      </c>
      <c r="F52" s="263">
        <f t="shared" ca="1" si="2"/>
        <v>0</v>
      </c>
      <c r="G52" s="263">
        <f t="shared" ca="1" si="8"/>
        <v>0</v>
      </c>
      <c r="H52" s="15"/>
      <c r="I52" s="271">
        <f ca="1">Assumptions!$O$68</f>
        <v>4.5</v>
      </c>
      <c r="J52" s="271">
        <f ca="1">Assumptions!$P$68</f>
        <v>80</v>
      </c>
      <c r="K52" s="271">
        <f t="shared" ca="1" si="9"/>
        <v>40</v>
      </c>
      <c r="L52" s="15"/>
      <c r="M52" s="35">
        <f t="shared" ca="1" si="10"/>
        <v>4.2299999999999995</v>
      </c>
      <c r="N52" s="35">
        <f t="shared" ca="1" si="11"/>
        <v>74.400000000000006</v>
      </c>
      <c r="O52" s="35">
        <f t="shared" ca="1" si="12"/>
        <v>37.200000000000003</v>
      </c>
      <c r="P52" s="15"/>
      <c r="Q52" s="34">
        <f t="shared" ca="1" si="13"/>
        <v>0</v>
      </c>
      <c r="R52" s="34">
        <f t="shared" ca="1" si="14"/>
        <v>0</v>
      </c>
      <c r="S52" s="34">
        <f t="shared" ca="1" si="15"/>
        <v>0</v>
      </c>
      <c r="T52" s="34">
        <f t="shared" ca="1" si="16"/>
        <v>0</v>
      </c>
      <c r="U52" s="15"/>
      <c r="V52" s="35">
        <f t="shared" si="17"/>
        <v>0.31</v>
      </c>
      <c r="W52" s="34">
        <f t="shared" ca="1" si="18"/>
        <v>0</v>
      </c>
      <c r="X52" s="35">
        <f t="shared" si="19"/>
        <v>0.37</v>
      </c>
      <c r="Y52" s="34">
        <f t="shared" ca="1" si="20"/>
        <v>0</v>
      </c>
      <c r="Z52" s="35">
        <f t="shared" si="21"/>
        <v>0.57999999999999996</v>
      </c>
      <c r="AA52" s="34">
        <f t="shared" ca="1" si="22"/>
        <v>0</v>
      </c>
      <c r="AB52" s="34">
        <f t="shared" ca="1" si="23"/>
        <v>0</v>
      </c>
      <c r="AC52" s="15"/>
      <c r="AD52" s="34">
        <f t="shared" ca="1" si="24"/>
        <v>0</v>
      </c>
      <c r="AE52" s="34">
        <f t="shared" ca="1" si="3"/>
        <v>0</v>
      </c>
      <c r="AF52" s="34">
        <f t="shared" ca="1" si="25"/>
        <v>0</v>
      </c>
      <c r="AG52" s="15"/>
      <c r="AH52" s="273">
        <f t="shared" si="28"/>
        <v>50040</v>
      </c>
      <c r="AI52" s="267">
        <f t="shared" si="4"/>
        <v>22.666666666666668</v>
      </c>
      <c r="AJ52" s="267">
        <f t="shared" si="5"/>
        <v>0.11528314162180023</v>
      </c>
      <c r="AK52" s="34">
        <f t="shared" ca="1" si="29"/>
        <v>0</v>
      </c>
      <c r="AL52" s="233"/>
      <c r="AN52" s="232"/>
      <c r="AO52" s="237">
        <f t="shared" si="30"/>
        <v>23</v>
      </c>
      <c r="AP52" s="237">
        <f t="shared" si="6"/>
        <v>2036</v>
      </c>
      <c r="AQ52" s="250">
        <f t="shared" si="26"/>
        <v>366</v>
      </c>
      <c r="AR52" s="34">
        <f t="shared" si="35"/>
        <v>0</v>
      </c>
      <c r="AS52" s="269">
        <f t="shared" si="36"/>
        <v>37.408144143545819</v>
      </c>
      <c r="AT52" s="263">
        <f t="shared" si="37"/>
        <v>0</v>
      </c>
      <c r="AU52" s="34">
        <f t="shared" si="38"/>
        <v>0</v>
      </c>
      <c r="AV52" s="15"/>
      <c r="AW52" s="15"/>
      <c r="AX52" s="15"/>
      <c r="AY52" s="15"/>
      <c r="AZ52" s="15"/>
      <c r="BA52" s="15"/>
      <c r="BB52" s="15"/>
      <c r="BC52" s="233"/>
    </row>
    <row r="53" spans="2:55" x14ac:dyDescent="0.3">
      <c r="B53" s="232"/>
      <c r="C53" s="250">
        <f t="shared" si="27"/>
        <v>2037</v>
      </c>
      <c r="D53" s="263">
        <f t="shared" ca="1" si="7"/>
        <v>0</v>
      </c>
      <c r="E53" s="263">
        <f t="shared" ca="1" si="1"/>
        <v>0</v>
      </c>
      <c r="F53" s="263">
        <f t="shared" ca="1" si="2"/>
        <v>0</v>
      </c>
      <c r="G53" s="263">
        <f t="shared" ca="1" si="8"/>
        <v>0</v>
      </c>
      <c r="H53" s="15"/>
      <c r="I53" s="271">
        <f ca="1">Assumptions!$O$68</f>
        <v>4.5</v>
      </c>
      <c r="J53" s="271">
        <f ca="1">Assumptions!$P$68</f>
        <v>80</v>
      </c>
      <c r="K53" s="271">
        <f t="shared" ca="1" si="9"/>
        <v>40</v>
      </c>
      <c r="L53" s="15"/>
      <c r="M53" s="35">
        <f t="shared" ca="1" si="10"/>
        <v>4.2299999999999995</v>
      </c>
      <c r="N53" s="35">
        <f t="shared" ca="1" si="11"/>
        <v>74.400000000000006</v>
      </c>
      <c r="O53" s="35">
        <f t="shared" ca="1" si="12"/>
        <v>37.200000000000003</v>
      </c>
      <c r="P53" s="15"/>
      <c r="Q53" s="34">
        <f t="shared" ca="1" si="13"/>
        <v>0</v>
      </c>
      <c r="R53" s="34">
        <f t="shared" ca="1" si="14"/>
        <v>0</v>
      </c>
      <c r="S53" s="34">
        <f t="shared" ca="1" si="15"/>
        <v>0</v>
      </c>
      <c r="T53" s="34">
        <f t="shared" ca="1" si="16"/>
        <v>0</v>
      </c>
      <c r="U53" s="15"/>
      <c r="V53" s="35">
        <f t="shared" si="17"/>
        <v>0.31</v>
      </c>
      <c r="W53" s="34">
        <f t="shared" ca="1" si="18"/>
        <v>0</v>
      </c>
      <c r="X53" s="35">
        <f t="shared" si="19"/>
        <v>0.37</v>
      </c>
      <c r="Y53" s="34">
        <f t="shared" ca="1" si="20"/>
        <v>0</v>
      </c>
      <c r="Z53" s="35">
        <f t="shared" si="21"/>
        <v>0.57999999999999996</v>
      </c>
      <c r="AA53" s="34">
        <f t="shared" ca="1" si="22"/>
        <v>0</v>
      </c>
      <c r="AB53" s="34">
        <f t="shared" ca="1" si="23"/>
        <v>0</v>
      </c>
      <c r="AC53" s="15"/>
      <c r="AD53" s="34">
        <f t="shared" ca="1" si="24"/>
        <v>0</v>
      </c>
      <c r="AE53" s="34">
        <f t="shared" ca="1" si="3"/>
        <v>0</v>
      </c>
      <c r="AF53" s="34">
        <f t="shared" ca="1" si="25"/>
        <v>0</v>
      </c>
      <c r="AG53" s="15"/>
      <c r="AH53" s="273">
        <f t="shared" si="28"/>
        <v>50405</v>
      </c>
      <c r="AI53" s="267">
        <f t="shared" si="4"/>
        <v>23.666666666666668</v>
      </c>
      <c r="AJ53" s="267">
        <f t="shared" si="5"/>
        <v>0.10480285601981834</v>
      </c>
      <c r="AK53" s="34">
        <f t="shared" ca="1" si="29"/>
        <v>0</v>
      </c>
      <c r="AL53" s="233"/>
      <c r="AN53" s="232"/>
      <c r="AO53" s="237">
        <f t="shared" si="30"/>
        <v>24</v>
      </c>
      <c r="AP53" s="237">
        <f t="shared" si="6"/>
        <v>2037</v>
      </c>
      <c r="AQ53" s="250">
        <f t="shared" si="26"/>
        <v>365</v>
      </c>
      <c r="AR53" s="34">
        <f t="shared" si="35"/>
        <v>0</v>
      </c>
      <c r="AS53" s="269">
        <f t="shared" si="36"/>
        <v>33.081785219062851</v>
      </c>
      <c r="AT53" s="263">
        <f t="shared" si="37"/>
        <v>0</v>
      </c>
      <c r="AU53" s="34">
        <f t="shared" si="38"/>
        <v>0</v>
      </c>
      <c r="AV53" s="15"/>
      <c r="AW53" s="15"/>
      <c r="AX53" s="15"/>
      <c r="AY53" s="15"/>
      <c r="AZ53" s="15"/>
      <c r="BA53" s="15"/>
      <c r="BB53" s="15"/>
      <c r="BC53" s="233"/>
    </row>
    <row r="54" spans="2:55" x14ac:dyDescent="0.3">
      <c r="B54" s="232"/>
      <c r="C54" s="250">
        <f t="shared" si="27"/>
        <v>2038</v>
      </c>
      <c r="D54" s="263">
        <f t="shared" ca="1" si="7"/>
        <v>0</v>
      </c>
      <c r="E54" s="263">
        <f t="shared" ca="1" si="1"/>
        <v>0</v>
      </c>
      <c r="F54" s="263">
        <f t="shared" ca="1" si="2"/>
        <v>0</v>
      </c>
      <c r="G54" s="263">
        <f t="shared" ca="1" si="8"/>
        <v>0</v>
      </c>
      <c r="H54" s="15"/>
      <c r="I54" s="271">
        <f ca="1">Assumptions!$O$68</f>
        <v>4.5</v>
      </c>
      <c r="J54" s="271">
        <f ca="1">Assumptions!$P$68</f>
        <v>80</v>
      </c>
      <c r="K54" s="271">
        <f t="shared" ca="1" si="9"/>
        <v>40</v>
      </c>
      <c r="L54" s="15"/>
      <c r="M54" s="35">
        <f t="shared" ca="1" si="10"/>
        <v>4.2299999999999995</v>
      </c>
      <c r="N54" s="35">
        <f t="shared" ca="1" si="11"/>
        <v>74.400000000000006</v>
      </c>
      <c r="O54" s="35">
        <f t="shared" ca="1" si="12"/>
        <v>37.200000000000003</v>
      </c>
      <c r="P54" s="15"/>
      <c r="Q54" s="34">
        <f t="shared" ca="1" si="13"/>
        <v>0</v>
      </c>
      <c r="R54" s="34">
        <f t="shared" ca="1" si="14"/>
        <v>0</v>
      </c>
      <c r="S54" s="34">
        <f t="shared" ca="1" si="15"/>
        <v>0</v>
      </c>
      <c r="T54" s="34">
        <f t="shared" ca="1" si="16"/>
        <v>0</v>
      </c>
      <c r="U54" s="15"/>
      <c r="V54" s="35">
        <f t="shared" si="17"/>
        <v>0.31</v>
      </c>
      <c r="W54" s="34">
        <f t="shared" ca="1" si="18"/>
        <v>0</v>
      </c>
      <c r="X54" s="35">
        <f t="shared" si="19"/>
        <v>0.37</v>
      </c>
      <c r="Y54" s="34">
        <f t="shared" ca="1" si="20"/>
        <v>0</v>
      </c>
      <c r="Z54" s="35">
        <f t="shared" si="21"/>
        <v>0.57999999999999996</v>
      </c>
      <c r="AA54" s="34">
        <f t="shared" ca="1" si="22"/>
        <v>0</v>
      </c>
      <c r="AB54" s="34">
        <f t="shared" ca="1" si="23"/>
        <v>0</v>
      </c>
      <c r="AC54" s="15"/>
      <c r="AD54" s="34">
        <f t="shared" ca="1" si="24"/>
        <v>0</v>
      </c>
      <c r="AE54" s="34">
        <f t="shared" ca="1" si="3"/>
        <v>0</v>
      </c>
      <c r="AF54" s="34">
        <f t="shared" ca="1" si="25"/>
        <v>0</v>
      </c>
      <c r="AG54" s="15"/>
      <c r="AH54" s="273">
        <f t="shared" si="28"/>
        <v>50770</v>
      </c>
      <c r="AI54" s="267">
        <f t="shared" si="4"/>
        <v>24.666666666666668</v>
      </c>
      <c r="AJ54" s="267">
        <f t="shared" si="5"/>
        <v>9.5275323654380323E-2</v>
      </c>
      <c r="AK54" s="34">
        <f t="shared" ca="1" si="29"/>
        <v>0</v>
      </c>
      <c r="AL54" s="233"/>
      <c r="AN54" s="232"/>
      <c r="AO54" s="237">
        <f t="shared" si="30"/>
        <v>25</v>
      </c>
      <c r="AP54" s="237">
        <f t="shared" si="6"/>
        <v>2038</v>
      </c>
      <c r="AQ54" s="250">
        <f t="shared" si="26"/>
        <v>365</v>
      </c>
      <c r="AR54" s="34">
        <f t="shared" si="35"/>
        <v>0</v>
      </c>
      <c r="AS54" s="269">
        <f t="shared" si="36"/>
        <v>29.255782085330406</v>
      </c>
      <c r="AT54" s="263">
        <f t="shared" si="37"/>
        <v>0</v>
      </c>
      <c r="AU54" s="34">
        <f t="shared" si="38"/>
        <v>0</v>
      </c>
      <c r="AV54" s="15"/>
      <c r="AW54" s="15"/>
      <c r="AX54" s="15"/>
      <c r="AY54" s="15"/>
      <c r="AZ54" s="15"/>
      <c r="BA54" s="15"/>
      <c r="BB54" s="15"/>
      <c r="BC54" s="233"/>
    </row>
    <row r="55" spans="2:55" x14ac:dyDescent="0.3">
      <c r="B55" s="232"/>
      <c r="C55" s="250">
        <f t="shared" si="27"/>
        <v>2039</v>
      </c>
      <c r="D55" s="263">
        <f t="shared" ca="1" si="7"/>
        <v>0</v>
      </c>
      <c r="E55" s="263">
        <f t="shared" ca="1" si="1"/>
        <v>0</v>
      </c>
      <c r="F55" s="263">
        <f t="shared" ca="1" si="2"/>
        <v>0</v>
      </c>
      <c r="G55" s="263">
        <f t="shared" ca="1" si="8"/>
        <v>0</v>
      </c>
      <c r="H55" s="15"/>
      <c r="I55" s="271">
        <f ca="1">Assumptions!$O$68</f>
        <v>4.5</v>
      </c>
      <c r="J55" s="271">
        <f ca="1">Assumptions!$P$68</f>
        <v>80</v>
      </c>
      <c r="K55" s="271">
        <f t="shared" ca="1" si="9"/>
        <v>40</v>
      </c>
      <c r="L55" s="15"/>
      <c r="M55" s="35">
        <f t="shared" ca="1" si="10"/>
        <v>4.2299999999999995</v>
      </c>
      <c r="N55" s="35">
        <f t="shared" ca="1" si="11"/>
        <v>74.400000000000006</v>
      </c>
      <c r="O55" s="35">
        <f t="shared" ca="1" si="12"/>
        <v>37.200000000000003</v>
      </c>
      <c r="P55" s="15"/>
      <c r="Q55" s="34">
        <f t="shared" ca="1" si="13"/>
        <v>0</v>
      </c>
      <c r="R55" s="34">
        <f t="shared" ca="1" si="14"/>
        <v>0</v>
      </c>
      <c r="S55" s="34">
        <f t="shared" ca="1" si="15"/>
        <v>0</v>
      </c>
      <c r="T55" s="34">
        <f t="shared" ca="1" si="16"/>
        <v>0</v>
      </c>
      <c r="U55" s="15"/>
      <c r="V55" s="35">
        <f t="shared" si="17"/>
        <v>0.31</v>
      </c>
      <c r="W55" s="34">
        <f t="shared" ca="1" si="18"/>
        <v>0</v>
      </c>
      <c r="X55" s="35">
        <f t="shared" si="19"/>
        <v>0.37</v>
      </c>
      <c r="Y55" s="34">
        <f t="shared" ca="1" si="20"/>
        <v>0</v>
      </c>
      <c r="Z55" s="35">
        <f t="shared" si="21"/>
        <v>0.57999999999999996</v>
      </c>
      <c r="AA55" s="34">
        <f t="shared" ca="1" si="22"/>
        <v>0</v>
      </c>
      <c r="AB55" s="34">
        <f t="shared" ca="1" si="23"/>
        <v>0</v>
      </c>
      <c r="AC55" s="15"/>
      <c r="AD55" s="34">
        <f t="shared" ca="1" si="24"/>
        <v>0</v>
      </c>
      <c r="AE55" s="34">
        <f t="shared" ca="1" si="3"/>
        <v>0</v>
      </c>
      <c r="AF55" s="34">
        <f t="shared" ca="1" si="25"/>
        <v>0</v>
      </c>
      <c r="AG55" s="15"/>
      <c r="AH55" s="273">
        <f t="shared" si="28"/>
        <v>51135</v>
      </c>
      <c r="AI55" s="267">
        <f t="shared" si="4"/>
        <v>25.666666666666668</v>
      </c>
      <c r="AJ55" s="267">
        <f t="shared" si="5"/>
        <v>8.661393059489117E-2</v>
      </c>
      <c r="AK55" s="34">
        <f t="shared" ca="1" si="29"/>
        <v>0</v>
      </c>
      <c r="AL55" s="233"/>
      <c r="AN55" s="232"/>
      <c r="AO55" s="237">
        <f t="shared" si="30"/>
        <v>26</v>
      </c>
      <c r="AP55" s="237">
        <f t="shared" si="6"/>
        <v>2039</v>
      </c>
      <c r="AQ55" s="250">
        <f t="shared" si="26"/>
        <v>365</v>
      </c>
      <c r="AR55" s="34">
        <f t="shared" si="35"/>
        <v>0</v>
      </c>
      <c r="AS55" s="269">
        <f t="shared" si="36"/>
        <v>25.872267163234596</v>
      </c>
      <c r="AT55" s="263">
        <f t="shared" si="37"/>
        <v>0</v>
      </c>
      <c r="AU55" s="34">
        <f t="shared" si="38"/>
        <v>0</v>
      </c>
      <c r="AV55" s="15"/>
      <c r="AW55" s="15"/>
      <c r="AX55" s="15"/>
      <c r="AY55" s="15"/>
      <c r="AZ55" s="15"/>
      <c r="BA55" s="15"/>
      <c r="BB55" s="15"/>
      <c r="BC55" s="233"/>
    </row>
    <row r="56" spans="2:55" x14ac:dyDescent="0.3">
      <c r="B56" s="232"/>
      <c r="C56" s="250">
        <f t="shared" si="27"/>
        <v>2040</v>
      </c>
      <c r="D56" s="263">
        <f t="shared" ca="1" si="7"/>
        <v>0</v>
      </c>
      <c r="E56" s="263">
        <f t="shared" ca="1" si="1"/>
        <v>0</v>
      </c>
      <c r="F56" s="263">
        <f t="shared" ca="1" si="2"/>
        <v>0</v>
      </c>
      <c r="G56" s="263">
        <f t="shared" ca="1" si="8"/>
        <v>0</v>
      </c>
      <c r="H56" s="15"/>
      <c r="I56" s="271">
        <f ca="1">Assumptions!$O$68</f>
        <v>4.5</v>
      </c>
      <c r="J56" s="271">
        <f ca="1">Assumptions!$P$68</f>
        <v>80</v>
      </c>
      <c r="K56" s="271">
        <f t="shared" ca="1" si="9"/>
        <v>40</v>
      </c>
      <c r="L56" s="15"/>
      <c r="M56" s="35">
        <f t="shared" ca="1" si="10"/>
        <v>4.2299999999999995</v>
      </c>
      <c r="N56" s="35">
        <f t="shared" ca="1" si="11"/>
        <v>74.400000000000006</v>
      </c>
      <c r="O56" s="35">
        <f t="shared" ca="1" si="12"/>
        <v>37.200000000000003</v>
      </c>
      <c r="P56" s="15"/>
      <c r="Q56" s="34">
        <f t="shared" ca="1" si="13"/>
        <v>0</v>
      </c>
      <c r="R56" s="34">
        <f t="shared" ca="1" si="14"/>
        <v>0</v>
      </c>
      <c r="S56" s="34">
        <f t="shared" ca="1" si="15"/>
        <v>0</v>
      </c>
      <c r="T56" s="34">
        <f t="shared" ca="1" si="16"/>
        <v>0</v>
      </c>
      <c r="U56" s="15"/>
      <c r="V56" s="35">
        <f t="shared" si="17"/>
        <v>0.31</v>
      </c>
      <c r="W56" s="34">
        <f t="shared" ca="1" si="18"/>
        <v>0</v>
      </c>
      <c r="X56" s="35">
        <f t="shared" si="19"/>
        <v>0.37</v>
      </c>
      <c r="Y56" s="34">
        <f t="shared" ca="1" si="20"/>
        <v>0</v>
      </c>
      <c r="Z56" s="35">
        <f t="shared" si="21"/>
        <v>0.57999999999999996</v>
      </c>
      <c r="AA56" s="34">
        <f t="shared" ca="1" si="22"/>
        <v>0</v>
      </c>
      <c r="AB56" s="34">
        <f t="shared" ca="1" si="23"/>
        <v>0</v>
      </c>
      <c r="AC56" s="15"/>
      <c r="AD56" s="34">
        <f t="shared" ca="1" si="24"/>
        <v>0</v>
      </c>
      <c r="AE56" s="34">
        <f t="shared" ca="1" si="3"/>
        <v>0</v>
      </c>
      <c r="AF56" s="34">
        <f t="shared" ca="1" si="25"/>
        <v>0</v>
      </c>
      <c r="AG56" s="15"/>
      <c r="AH56" s="273">
        <f t="shared" si="28"/>
        <v>51501</v>
      </c>
      <c r="AI56" s="267">
        <f t="shared" si="4"/>
        <v>26.666666666666668</v>
      </c>
      <c r="AJ56" s="267">
        <f t="shared" si="5"/>
        <v>7.8739936904446528E-2</v>
      </c>
      <c r="AK56" s="34">
        <f t="shared" ca="1" si="29"/>
        <v>0</v>
      </c>
      <c r="AL56" s="233"/>
      <c r="AN56" s="232"/>
      <c r="AO56" s="237">
        <f t="shared" si="30"/>
        <v>27</v>
      </c>
      <c r="AP56" s="237">
        <f t="shared" si="6"/>
        <v>2040</v>
      </c>
      <c r="AQ56" s="250">
        <f t="shared" si="26"/>
        <v>366</v>
      </c>
      <c r="AR56" s="34">
        <f t="shared" si="35"/>
        <v>0</v>
      </c>
      <c r="AS56" s="269">
        <f t="shared" si="36"/>
        <v>22.880065424790967</v>
      </c>
      <c r="AT56" s="263">
        <f t="shared" si="37"/>
        <v>0</v>
      </c>
      <c r="AU56" s="34">
        <f t="shared" si="38"/>
        <v>0</v>
      </c>
      <c r="AV56" s="15"/>
      <c r="AW56" s="15"/>
      <c r="AX56" s="15"/>
      <c r="AY56" s="15"/>
      <c r="AZ56" s="15"/>
      <c r="BA56" s="15"/>
      <c r="BB56" s="15"/>
      <c r="BC56" s="233"/>
    </row>
    <row r="57" spans="2:55" x14ac:dyDescent="0.3">
      <c r="B57" s="232"/>
      <c r="C57" s="250">
        <f t="shared" si="27"/>
        <v>2041</v>
      </c>
      <c r="D57" s="263">
        <f t="shared" ca="1" si="7"/>
        <v>0</v>
      </c>
      <c r="E57" s="263">
        <f t="shared" ca="1" si="1"/>
        <v>0</v>
      </c>
      <c r="F57" s="263">
        <f t="shared" ca="1" si="2"/>
        <v>0</v>
      </c>
      <c r="G57" s="263">
        <f t="shared" ca="1" si="8"/>
        <v>0</v>
      </c>
      <c r="H57" s="15"/>
      <c r="I57" s="271">
        <f ca="1">Assumptions!$O$68</f>
        <v>4.5</v>
      </c>
      <c r="J57" s="271">
        <f ca="1">Assumptions!$P$68</f>
        <v>80</v>
      </c>
      <c r="K57" s="271">
        <f t="shared" ca="1" si="9"/>
        <v>40</v>
      </c>
      <c r="L57" s="15"/>
      <c r="M57" s="35">
        <f t="shared" ca="1" si="10"/>
        <v>4.2299999999999995</v>
      </c>
      <c r="N57" s="35">
        <f t="shared" ca="1" si="11"/>
        <v>74.400000000000006</v>
      </c>
      <c r="O57" s="35">
        <f t="shared" ca="1" si="12"/>
        <v>37.200000000000003</v>
      </c>
      <c r="P57" s="15"/>
      <c r="Q57" s="34">
        <f t="shared" ca="1" si="13"/>
        <v>0</v>
      </c>
      <c r="R57" s="34">
        <f t="shared" ca="1" si="14"/>
        <v>0</v>
      </c>
      <c r="S57" s="34">
        <f t="shared" ca="1" si="15"/>
        <v>0</v>
      </c>
      <c r="T57" s="34">
        <f t="shared" ca="1" si="16"/>
        <v>0</v>
      </c>
      <c r="U57" s="15"/>
      <c r="V57" s="35">
        <f t="shared" si="17"/>
        <v>0.31</v>
      </c>
      <c r="W57" s="34">
        <f t="shared" ca="1" si="18"/>
        <v>0</v>
      </c>
      <c r="X57" s="35">
        <f t="shared" si="19"/>
        <v>0.37</v>
      </c>
      <c r="Y57" s="34">
        <f t="shared" ca="1" si="20"/>
        <v>0</v>
      </c>
      <c r="Z57" s="35">
        <f t="shared" si="21"/>
        <v>0.57999999999999996</v>
      </c>
      <c r="AA57" s="34">
        <f t="shared" ca="1" si="22"/>
        <v>0</v>
      </c>
      <c r="AB57" s="34">
        <f t="shared" ca="1" si="23"/>
        <v>0</v>
      </c>
      <c r="AC57" s="15"/>
      <c r="AD57" s="34">
        <f t="shared" ca="1" si="24"/>
        <v>0</v>
      </c>
      <c r="AE57" s="34">
        <f t="shared" ca="1" si="3"/>
        <v>0</v>
      </c>
      <c r="AF57" s="34">
        <f t="shared" ca="1" si="25"/>
        <v>0</v>
      </c>
      <c r="AG57" s="15"/>
      <c r="AH57" s="273">
        <f t="shared" si="28"/>
        <v>51866</v>
      </c>
      <c r="AI57" s="267">
        <f t="shared" si="4"/>
        <v>27.666666666666668</v>
      </c>
      <c r="AJ57" s="267">
        <f t="shared" si="5"/>
        <v>7.1581760822224116E-2</v>
      </c>
      <c r="AK57" s="34">
        <f t="shared" ca="1" si="29"/>
        <v>0</v>
      </c>
      <c r="AL57" s="233"/>
      <c r="AN57" s="232"/>
      <c r="AO57" s="237">
        <f t="shared" si="30"/>
        <v>28</v>
      </c>
      <c r="AP57" s="237">
        <f t="shared" si="6"/>
        <v>2041</v>
      </c>
      <c r="AQ57" s="250">
        <f t="shared" si="26"/>
        <v>365</v>
      </c>
      <c r="AR57" s="34">
        <f t="shared" si="35"/>
        <v>0</v>
      </c>
      <c r="AS57" s="269">
        <f t="shared" si="36"/>
        <v>20.233920380453682</v>
      </c>
      <c r="AT57" s="263">
        <f t="shared" si="37"/>
        <v>0</v>
      </c>
      <c r="AU57" s="34">
        <f t="shared" si="38"/>
        <v>0</v>
      </c>
      <c r="AV57" s="15"/>
      <c r="AW57" s="15"/>
      <c r="AX57" s="15"/>
      <c r="AY57" s="15"/>
      <c r="AZ57" s="15"/>
      <c r="BA57" s="15"/>
      <c r="BB57" s="15"/>
      <c r="BC57" s="233"/>
    </row>
    <row r="58" spans="2:55" x14ac:dyDescent="0.3">
      <c r="B58" s="232"/>
      <c r="C58" s="250">
        <f t="shared" si="27"/>
        <v>2042</v>
      </c>
      <c r="D58" s="263">
        <f t="shared" ca="1" si="7"/>
        <v>0</v>
      </c>
      <c r="E58" s="263">
        <f t="shared" ca="1" si="1"/>
        <v>0</v>
      </c>
      <c r="F58" s="263">
        <f t="shared" ca="1" si="2"/>
        <v>0</v>
      </c>
      <c r="G58" s="263">
        <f t="shared" ca="1" si="8"/>
        <v>0</v>
      </c>
      <c r="H58" s="15"/>
      <c r="I58" s="271">
        <f ca="1">Assumptions!$O$68</f>
        <v>4.5</v>
      </c>
      <c r="J58" s="271">
        <f ca="1">Assumptions!$P$68</f>
        <v>80</v>
      </c>
      <c r="K58" s="271">
        <f t="shared" ca="1" si="9"/>
        <v>40</v>
      </c>
      <c r="L58" s="15"/>
      <c r="M58" s="35">
        <f t="shared" ca="1" si="10"/>
        <v>4.2299999999999995</v>
      </c>
      <c r="N58" s="35">
        <f t="shared" ca="1" si="11"/>
        <v>74.400000000000006</v>
      </c>
      <c r="O58" s="35">
        <f t="shared" ca="1" si="12"/>
        <v>37.200000000000003</v>
      </c>
      <c r="P58" s="15"/>
      <c r="Q58" s="34">
        <f t="shared" ca="1" si="13"/>
        <v>0</v>
      </c>
      <c r="R58" s="34">
        <f t="shared" ca="1" si="14"/>
        <v>0</v>
      </c>
      <c r="S58" s="34">
        <f t="shared" ca="1" si="15"/>
        <v>0</v>
      </c>
      <c r="T58" s="34">
        <f t="shared" ca="1" si="16"/>
        <v>0</v>
      </c>
      <c r="U58" s="15"/>
      <c r="V58" s="35">
        <f t="shared" si="17"/>
        <v>0.31</v>
      </c>
      <c r="W58" s="34">
        <f t="shared" ca="1" si="18"/>
        <v>0</v>
      </c>
      <c r="X58" s="35">
        <f t="shared" si="19"/>
        <v>0.37</v>
      </c>
      <c r="Y58" s="34">
        <f t="shared" ca="1" si="20"/>
        <v>0</v>
      </c>
      <c r="Z58" s="35">
        <f t="shared" si="21"/>
        <v>0.57999999999999996</v>
      </c>
      <c r="AA58" s="34">
        <f t="shared" ca="1" si="22"/>
        <v>0</v>
      </c>
      <c r="AB58" s="34">
        <f t="shared" ca="1" si="23"/>
        <v>0</v>
      </c>
      <c r="AC58" s="15"/>
      <c r="AD58" s="34">
        <f t="shared" ca="1" si="24"/>
        <v>0</v>
      </c>
      <c r="AE58" s="34">
        <f t="shared" ca="1" si="3"/>
        <v>0</v>
      </c>
      <c r="AF58" s="34">
        <f t="shared" ca="1" si="25"/>
        <v>0</v>
      </c>
      <c r="AG58" s="15"/>
      <c r="AH58" s="273">
        <f t="shared" si="28"/>
        <v>52231</v>
      </c>
      <c r="AI58" s="267">
        <f t="shared" si="4"/>
        <v>28.666666666666668</v>
      </c>
      <c r="AJ58" s="267">
        <f t="shared" si="5"/>
        <v>6.5074328020203728E-2</v>
      </c>
      <c r="AK58" s="34">
        <f t="shared" ca="1" si="29"/>
        <v>0</v>
      </c>
      <c r="AL58" s="233"/>
      <c r="AN58" s="232"/>
      <c r="AO58" s="237">
        <f t="shared" si="30"/>
        <v>29</v>
      </c>
      <c r="AP58" s="237">
        <f t="shared" si="6"/>
        <v>2042</v>
      </c>
      <c r="AQ58" s="250">
        <f t="shared" si="26"/>
        <v>365</v>
      </c>
      <c r="AR58" s="34">
        <f t="shared" si="35"/>
        <v>0</v>
      </c>
      <c r="AS58" s="269">
        <f t="shared" si="36"/>
        <v>17.893809583207485</v>
      </c>
      <c r="AT58" s="263">
        <f t="shared" si="37"/>
        <v>0</v>
      </c>
      <c r="AU58" s="34">
        <f t="shared" si="38"/>
        <v>0</v>
      </c>
      <c r="AV58" s="15"/>
      <c r="AW58" s="15"/>
      <c r="AX58" s="15"/>
      <c r="AY58" s="15"/>
      <c r="AZ58" s="15"/>
      <c r="BA58" s="15"/>
      <c r="BB58" s="15"/>
      <c r="BC58" s="233"/>
    </row>
    <row r="59" spans="2:55" x14ac:dyDescent="0.3">
      <c r="B59" s="232"/>
      <c r="C59" s="250">
        <f t="shared" si="27"/>
        <v>2043</v>
      </c>
      <c r="D59" s="263">
        <f t="shared" ca="1" si="7"/>
        <v>0</v>
      </c>
      <c r="E59" s="263">
        <f t="shared" ca="1" si="1"/>
        <v>0</v>
      </c>
      <c r="F59" s="263">
        <f t="shared" ca="1" si="2"/>
        <v>0</v>
      </c>
      <c r="G59" s="263">
        <f t="shared" ca="1" si="8"/>
        <v>0</v>
      </c>
      <c r="H59" s="15"/>
      <c r="I59" s="271">
        <f ca="1">Assumptions!$O$68</f>
        <v>4.5</v>
      </c>
      <c r="J59" s="271">
        <f ca="1">Assumptions!$P$68</f>
        <v>80</v>
      </c>
      <c r="K59" s="271">
        <f t="shared" ca="1" si="9"/>
        <v>40</v>
      </c>
      <c r="L59" s="15"/>
      <c r="M59" s="35">
        <f t="shared" ca="1" si="10"/>
        <v>4.2299999999999995</v>
      </c>
      <c r="N59" s="35">
        <f t="shared" ca="1" si="11"/>
        <v>74.400000000000006</v>
      </c>
      <c r="O59" s="35">
        <f t="shared" ca="1" si="12"/>
        <v>37.200000000000003</v>
      </c>
      <c r="P59" s="15"/>
      <c r="Q59" s="34">
        <f t="shared" ca="1" si="13"/>
        <v>0</v>
      </c>
      <c r="R59" s="34">
        <f t="shared" ca="1" si="14"/>
        <v>0</v>
      </c>
      <c r="S59" s="34">
        <f t="shared" ca="1" si="15"/>
        <v>0</v>
      </c>
      <c r="T59" s="34">
        <f t="shared" ca="1" si="16"/>
        <v>0</v>
      </c>
      <c r="U59" s="15"/>
      <c r="V59" s="35">
        <f t="shared" si="17"/>
        <v>0.31</v>
      </c>
      <c r="W59" s="34">
        <f t="shared" ca="1" si="18"/>
        <v>0</v>
      </c>
      <c r="X59" s="35">
        <f t="shared" si="19"/>
        <v>0.37</v>
      </c>
      <c r="Y59" s="34">
        <f t="shared" ca="1" si="20"/>
        <v>0</v>
      </c>
      <c r="Z59" s="35">
        <f t="shared" si="21"/>
        <v>0.57999999999999996</v>
      </c>
      <c r="AA59" s="34">
        <f t="shared" ca="1" si="22"/>
        <v>0</v>
      </c>
      <c r="AB59" s="34">
        <f t="shared" ca="1" si="23"/>
        <v>0</v>
      </c>
      <c r="AC59" s="15"/>
      <c r="AD59" s="34">
        <f t="shared" ca="1" si="24"/>
        <v>0</v>
      </c>
      <c r="AE59" s="34">
        <f t="shared" ca="1" si="3"/>
        <v>0</v>
      </c>
      <c r="AF59" s="34">
        <f t="shared" ca="1" si="25"/>
        <v>0</v>
      </c>
      <c r="AG59" s="15"/>
      <c r="AH59" s="273">
        <f t="shared" si="28"/>
        <v>52596</v>
      </c>
      <c r="AI59" s="267">
        <f t="shared" si="4"/>
        <v>29.666666666666668</v>
      </c>
      <c r="AJ59" s="267">
        <f t="shared" si="5"/>
        <v>5.915848001836703E-2</v>
      </c>
      <c r="AK59" s="34">
        <f t="shared" ca="1" si="29"/>
        <v>0</v>
      </c>
      <c r="AL59" s="233"/>
      <c r="AN59" s="232"/>
      <c r="AO59" s="237">
        <f t="shared" si="30"/>
        <v>30</v>
      </c>
      <c r="AP59" s="237">
        <f t="shared" si="6"/>
        <v>2043</v>
      </c>
      <c r="AQ59" s="250">
        <f t="shared" si="26"/>
        <v>365</v>
      </c>
      <c r="AR59" s="34">
        <f t="shared" si="35"/>
        <v>0</v>
      </c>
      <c r="AS59" s="269">
        <f t="shared" si="36"/>
        <v>15.824339296570308</v>
      </c>
      <c r="AT59" s="263">
        <f t="shared" si="37"/>
        <v>0</v>
      </c>
      <c r="AU59" s="34">
        <f t="shared" si="38"/>
        <v>0</v>
      </c>
      <c r="AV59" s="15"/>
      <c r="AW59" s="15"/>
      <c r="AX59" s="15"/>
      <c r="AY59" s="15"/>
      <c r="AZ59" s="15"/>
      <c r="BA59" s="15"/>
      <c r="BB59" s="15"/>
      <c r="BC59" s="233"/>
    </row>
    <row r="60" spans="2:55" x14ac:dyDescent="0.3">
      <c r="B60" s="232"/>
      <c r="C60" s="250">
        <f t="shared" si="27"/>
        <v>2044</v>
      </c>
      <c r="D60" s="263">
        <f t="shared" ca="1" si="7"/>
        <v>0</v>
      </c>
      <c r="E60" s="263">
        <f t="shared" ca="1" si="1"/>
        <v>0</v>
      </c>
      <c r="F60" s="263">
        <f t="shared" ca="1" si="2"/>
        <v>0</v>
      </c>
      <c r="G60" s="263">
        <f t="shared" ca="1" si="8"/>
        <v>0</v>
      </c>
      <c r="H60" s="15"/>
      <c r="I60" s="271">
        <f ca="1">Assumptions!$O$68</f>
        <v>4.5</v>
      </c>
      <c r="J60" s="271">
        <f ca="1">Assumptions!$P$68</f>
        <v>80</v>
      </c>
      <c r="K60" s="271">
        <f t="shared" ca="1" si="9"/>
        <v>40</v>
      </c>
      <c r="L60" s="15"/>
      <c r="M60" s="35">
        <f t="shared" ca="1" si="10"/>
        <v>4.2299999999999995</v>
      </c>
      <c r="N60" s="35">
        <f t="shared" ca="1" si="11"/>
        <v>74.400000000000006</v>
      </c>
      <c r="O60" s="35">
        <f t="shared" ca="1" si="12"/>
        <v>37.200000000000003</v>
      </c>
      <c r="P60" s="15"/>
      <c r="Q60" s="34">
        <f t="shared" ca="1" si="13"/>
        <v>0</v>
      </c>
      <c r="R60" s="34">
        <f t="shared" ca="1" si="14"/>
        <v>0</v>
      </c>
      <c r="S60" s="34">
        <f t="shared" ca="1" si="15"/>
        <v>0</v>
      </c>
      <c r="T60" s="34">
        <f t="shared" ca="1" si="16"/>
        <v>0</v>
      </c>
      <c r="U60" s="15"/>
      <c r="V60" s="35">
        <f t="shared" si="17"/>
        <v>0.31</v>
      </c>
      <c r="W60" s="34">
        <f t="shared" ca="1" si="18"/>
        <v>0</v>
      </c>
      <c r="X60" s="35">
        <f t="shared" si="19"/>
        <v>0.37</v>
      </c>
      <c r="Y60" s="34">
        <f t="shared" ca="1" si="20"/>
        <v>0</v>
      </c>
      <c r="Z60" s="35">
        <f t="shared" si="21"/>
        <v>0.57999999999999996</v>
      </c>
      <c r="AA60" s="34">
        <f t="shared" ca="1" si="22"/>
        <v>0</v>
      </c>
      <c r="AB60" s="34">
        <f t="shared" ca="1" si="23"/>
        <v>0</v>
      </c>
      <c r="AC60" s="15"/>
      <c r="AD60" s="34">
        <f t="shared" ca="1" si="24"/>
        <v>0</v>
      </c>
      <c r="AE60" s="34">
        <f t="shared" ca="1" si="3"/>
        <v>0</v>
      </c>
      <c r="AF60" s="34">
        <f t="shared" ca="1" si="25"/>
        <v>0</v>
      </c>
      <c r="AG60" s="15"/>
      <c r="AH60" s="273">
        <f t="shared" si="28"/>
        <v>52962</v>
      </c>
      <c r="AI60" s="267">
        <f t="shared" si="4"/>
        <v>30.666666666666668</v>
      </c>
      <c r="AJ60" s="267">
        <f t="shared" si="5"/>
        <v>5.3780436380333668E-2</v>
      </c>
      <c r="AK60" s="34">
        <f t="shared" ca="1" si="29"/>
        <v>0</v>
      </c>
      <c r="AL60" s="233"/>
      <c r="AN60" s="232"/>
      <c r="AO60" s="237">
        <f t="shared" si="30"/>
        <v>31</v>
      </c>
      <c r="AP60" s="237">
        <f t="shared" si="6"/>
        <v>2044</v>
      </c>
      <c r="AQ60" s="250">
        <f t="shared" si="26"/>
        <v>366</v>
      </c>
      <c r="AR60" s="34">
        <f t="shared" si="35"/>
        <v>0</v>
      </c>
      <c r="AS60" s="269">
        <f t="shared" si="36"/>
        <v>13.994209170973701</v>
      </c>
      <c r="AT60" s="263">
        <f t="shared" si="37"/>
        <v>0</v>
      </c>
      <c r="AU60" s="34">
        <f t="shared" si="38"/>
        <v>0</v>
      </c>
      <c r="AV60" s="15"/>
      <c r="AW60" s="15"/>
      <c r="AX60" s="15"/>
      <c r="AY60" s="15"/>
      <c r="AZ60" s="15"/>
      <c r="BA60" s="15"/>
      <c r="BB60" s="15"/>
      <c r="BC60" s="233"/>
    </row>
    <row r="61" spans="2:55" x14ac:dyDescent="0.3">
      <c r="B61" s="232"/>
      <c r="C61" s="250">
        <f t="shared" si="27"/>
        <v>2045</v>
      </c>
      <c r="D61" s="263">
        <f t="shared" ca="1" si="7"/>
        <v>0</v>
      </c>
      <c r="E61" s="263">
        <f t="shared" ca="1" si="1"/>
        <v>0</v>
      </c>
      <c r="F61" s="263">
        <f t="shared" ca="1" si="2"/>
        <v>0</v>
      </c>
      <c r="G61" s="263">
        <f t="shared" ca="1" si="8"/>
        <v>0</v>
      </c>
      <c r="H61" s="15"/>
      <c r="I61" s="271">
        <f ca="1">Assumptions!$O$68</f>
        <v>4.5</v>
      </c>
      <c r="J61" s="271">
        <f ca="1">Assumptions!$P$68</f>
        <v>80</v>
      </c>
      <c r="K61" s="271">
        <f t="shared" ca="1" si="9"/>
        <v>40</v>
      </c>
      <c r="L61" s="15"/>
      <c r="M61" s="35">
        <f t="shared" ca="1" si="10"/>
        <v>4.2299999999999995</v>
      </c>
      <c r="N61" s="35">
        <f t="shared" ca="1" si="11"/>
        <v>74.400000000000006</v>
      </c>
      <c r="O61" s="35">
        <f t="shared" ca="1" si="12"/>
        <v>37.200000000000003</v>
      </c>
      <c r="P61" s="15"/>
      <c r="Q61" s="34">
        <f t="shared" ca="1" si="13"/>
        <v>0</v>
      </c>
      <c r="R61" s="34">
        <f t="shared" ca="1" si="14"/>
        <v>0</v>
      </c>
      <c r="S61" s="34">
        <f t="shared" ca="1" si="15"/>
        <v>0</v>
      </c>
      <c r="T61" s="34">
        <f t="shared" ca="1" si="16"/>
        <v>0</v>
      </c>
      <c r="U61" s="15"/>
      <c r="V61" s="35">
        <f t="shared" si="17"/>
        <v>0.31</v>
      </c>
      <c r="W61" s="34">
        <f t="shared" ca="1" si="18"/>
        <v>0</v>
      </c>
      <c r="X61" s="35">
        <f t="shared" si="19"/>
        <v>0.37</v>
      </c>
      <c r="Y61" s="34">
        <f t="shared" ca="1" si="20"/>
        <v>0</v>
      </c>
      <c r="Z61" s="35">
        <f t="shared" si="21"/>
        <v>0.57999999999999996</v>
      </c>
      <c r="AA61" s="34">
        <f t="shared" ca="1" si="22"/>
        <v>0</v>
      </c>
      <c r="AB61" s="34">
        <f t="shared" ca="1" si="23"/>
        <v>0</v>
      </c>
      <c r="AC61" s="15"/>
      <c r="AD61" s="34">
        <f t="shared" ca="1" si="24"/>
        <v>0</v>
      </c>
      <c r="AE61" s="34">
        <f t="shared" ca="1" si="3"/>
        <v>0</v>
      </c>
      <c r="AF61" s="34">
        <f t="shared" ca="1" si="25"/>
        <v>0</v>
      </c>
      <c r="AG61" s="15"/>
      <c r="AH61" s="273">
        <f t="shared" si="28"/>
        <v>53327</v>
      </c>
      <c r="AI61" s="267">
        <f t="shared" si="4"/>
        <v>31.666666666666664</v>
      </c>
      <c r="AJ61" s="267">
        <f t="shared" si="5"/>
        <v>4.889130580030334E-2</v>
      </c>
      <c r="AK61" s="34">
        <f t="shared" ca="1" si="29"/>
        <v>0</v>
      </c>
      <c r="AL61" s="233"/>
      <c r="AN61" s="232"/>
      <c r="AO61" s="237">
        <f t="shared" si="30"/>
        <v>32</v>
      </c>
      <c r="AP61" s="237">
        <f t="shared" si="6"/>
        <v>2045</v>
      </c>
      <c r="AQ61" s="250">
        <f t="shared" si="26"/>
        <v>365</v>
      </c>
      <c r="AR61" s="34">
        <f t="shared" si="35"/>
        <v>0</v>
      </c>
      <c r="AS61" s="269">
        <f t="shared" si="36"/>
        <v>12.375738831851855</v>
      </c>
      <c r="AT61" s="263">
        <f t="shared" si="37"/>
        <v>0</v>
      </c>
      <c r="AU61" s="34">
        <f t="shared" si="38"/>
        <v>0</v>
      </c>
      <c r="AV61" s="15"/>
      <c r="AW61" s="15"/>
      <c r="AX61" s="15"/>
      <c r="AY61" s="15"/>
      <c r="AZ61" s="15"/>
      <c r="BA61" s="15"/>
      <c r="BB61" s="15"/>
      <c r="BC61" s="233"/>
    </row>
    <row r="62" spans="2:55" x14ac:dyDescent="0.3">
      <c r="B62" s="232"/>
      <c r="C62" s="250">
        <f t="shared" si="27"/>
        <v>2046</v>
      </c>
      <c r="D62" s="263">
        <f t="shared" ca="1" si="7"/>
        <v>0</v>
      </c>
      <c r="E62" s="263">
        <f t="shared" ca="1" si="1"/>
        <v>0</v>
      </c>
      <c r="F62" s="263">
        <f t="shared" ca="1" si="2"/>
        <v>0</v>
      </c>
      <c r="G62" s="263">
        <f t="shared" ca="1" si="8"/>
        <v>0</v>
      </c>
      <c r="H62" s="15"/>
      <c r="I62" s="271">
        <f ca="1">Assumptions!$O$68</f>
        <v>4.5</v>
      </c>
      <c r="J62" s="271">
        <f ca="1">Assumptions!$P$68</f>
        <v>80</v>
      </c>
      <c r="K62" s="271">
        <f t="shared" ca="1" si="9"/>
        <v>40</v>
      </c>
      <c r="L62" s="15"/>
      <c r="M62" s="35">
        <f t="shared" ca="1" si="10"/>
        <v>4.2299999999999995</v>
      </c>
      <c r="N62" s="35">
        <f t="shared" ca="1" si="11"/>
        <v>74.400000000000006</v>
      </c>
      <c r="O62" s="35">
        <f t="shared" ca="1" si="12"/>
        <v>37.200000000000003</v>
      </c>
      <c r="P62" s="15"/>
      <c r="Q62" s="34">
        <f t="shared" ca="1" si="13"/>
        <v>0</v>
      </c>
      <c r="R62" s="34">
        <f t="shared" ca="1" si="14"/>
        <v>0</v>
      </c>
      <c r="S62" s="34">
        <f t="shared" ca="1" si="15"/>
        <v>0</v>
      </c>
      <c r="T62" s="34">
        <f t="shared" ca="1" si="16"/>
        <v>0</v>
      </c>
      <c r="U62" s="15"/>
      <c r="V62" s="35">
        <f t="shared" si="17"/>
        <v>0.31</v>
      </c>
      <c r="W62" s="34">
        <f t="shared" ca="1" si="18"/>
        <v>0</v>
      </c>
      <c r="X62" s="35">
        <f t="shared" si="19"/>
        <v>0.37</v>
      </c>
      <c r="Y62" s="34">
        <f t="shared" ca="1" si="20"/>
        <v>0</v>
      </c>
      <c r="Z62" s="35">
        <f t="shared" si="21"/>
        <v>0.57999999999999996</v>
      </c>
      <c r="AA62" s="34">
        <f t="shared" ca="1" si="22"/>
        <v>0</v>
      </c>
      <c r="AB62" s="34">
        <f t="shared" ca="1" si="23"/>
        <v>0</v>
      </c>
      <c r="AC62" s="15"/>
      <c r="AD62" s="34">
        <f t="shared" ca="1" si="24"/>
        <v>0</v>
      </c>
      <c r="AE62" s="34">
        <f t="shared" ca="1" si="3"/>
        <v>0</v>
      </c>
      <c r="AF62" s="34">
        <f t="shared" ca="1" si="25"/>
        <v>0</v>
      </c>
      <c r="AG62" s="15"/>
      <c r="AH62" s="273">
        <f t="shared" si="28"/>
        <v>53692</v>
      </c>
      <c r="AI62" s="267">
        <f t="shared" si="4"/>
        <v>32.666666666666664</v>
      </c>
      <c r="AJ62" s="267">
        <f t="shared" si="5"/>
        <v>4.4446641636639403E-2</v>
      </c>
      <c r="AK62" s="34">
        <f t="shared" ca="1" si="29"/>
        <v>0</v>
      </c>
      <c r="AL62" s="233"/>
      <c r="AN62" s="232"/>
      <c r="AO62" s="237">
        <f t="shared" si="30"/>
        <v>33</v>
      </c>
      <c r="AP62" s="237">
        <f t="shared" si="6"/>
        <v>2046</v>
      </c>
      <c r="AQ62" s="250">
        <f t="shared" si="26"/>
        <v>365</v>
      </c>
      <c r="AR62" s="34">
        <f t="shared" si="35"/>
        <v>0</v>
      </c>
      <c r="AS62" s="269">
        <f t="shared" si="36"/>
        <v>10.94444921917294</v>
      </c>
      <c r="AT62" s="263">
        <f t="shared" si="37"/>
        <v>0</v>
      </c>
      <c r="AU62" s="34">
        <f t="shared" si="38"/>
        <v>0</v>
      </c>
      <c r="AV62" s="15"/>
      <c r="AW62" s="15"/>
      <c r="AX62" s="15"/>
      <c r="AY62" s="15"/>
      <c r="AZ62" s="15"/>
      <c r="BA62" s="15"/>
      <c r="BB62" s="15"/>
      <c r="BC62" s="233"/>
    </row>
    <row r="63" spans="2:55" x14ac:dyDescent="0.3">
      <c r="B63" s="232"/>
      <c r="C63" s="250">
        <f t="shared" si="27"/>
        <v>2047</v>
      </c>
      <c r="D63" s="263">
        <f t="shared" ca="1" si="7"/>
        <v>0</v>
      </c>
      <c r="E63" s="263">
        <f t="shared" ca="1" si="1"/>
        <v>0</v>
      </c>
      <c r="F63" s="263">
        <f t="shared" ca="1" si="2"/>
        <v>0</v>
      </c>
      <c r="G63" s="263">
        <f t="shared" ca="1" si="8"/>
        <v>0</v>
      </c>
      <c r="H63" s="15"/>
      <c r="I63" s="271">
        <f ca="1">Assumptions!$O$68</f>
        <v>4.5</v>
      </c>
      <c r="J63" s="271">
        <f ca="1">Assumptions!$P$68</f>
        <v>80</v>
      </c>
      <c r="K63" s="271">
        <f t="shared" ca="1" si="9"/>
        <v>40</v>
      </c>
      <c r="L63" s="15"/>
      <c r="M63" s="35">
        <f t="shared" ca="1" si="10"/>
        <v>4.2299999999999995</v>
      </c>
      <c r="N63" s="35">
        <f t="shared" ca="1" si="11"/>
        <v>74.400000000000006</v>
      </c>
      <c r="O63" s="35">
        <f t="shared" ca="1" si="12"/>
        <v>37.200000000000003</v>
      </c>
      <c r="P63" s="15"/>
      <c r="Q63" s="34">
        <f t="shared" ca="1" si="13"/>
        <v>0</v>
      </c>
      <c r="R63" s="34">
        <f t="shared" ca="1" si="14"/>
        <v>0</v>
      </c>
      <c r="S63" s="34">
        <f t="shared" ca="1" si="15"/>
        <v>0</v>
      </c>
      <c r="T63" s="34">
        <f t="shared" ca="1" si="16"/>
        <v>0</v>
      </c>
      <c r="U63" s="15"/>
      <c r="V63" s="35">
        <f t="shared" si="17"/>
        <v>0.31</v>
      </c>
      <c r="W63" s="34">
        <f t="shared" ca="1" si="18"/>
        <v>0</v>
      </c>
      <c r="X63" s="35">
        <f t="shared" si="19"/>
        <v>0.37</v>
      </c>
      <c r="Y63" s="34">
        <f t="shared" ca="1" si="20"/>
        <v>0</v>
      </c>
      <c r="Z63" s="35">
        <f t="shared" si="21"/>
        <v>0.57999999999999996</v>
      </c>
      <c r="AA63" s="34">
        <f t="shared" ca="1" si="22"/>
        <v>0</v>
      </c>
      <c r="AB63" s="34">
        <f t="shared" ca="1" si="23"/>
        <v>0</v>
      </c>
      <c r="AC63" s="15"/>
      <c r="AD63" s="34">
        <f t="shared" ca="1" si="24"/>
        <v>0</v>
      </c>
      <c r="AE63" s="34">
        <f t="shared" ca="1" si="3"/>
        <v>0</v>
      </c>
      <c r="AF63" s="34">
        <f t="shared" ca="1" si="25"/>
        <v>0</v>
      </c>
      <c r="AG63" s="15"/>
      <c r="AH63" s="273">
        <f t="shared" si="28"/>
        <v>54057</v>
      </c>
      <c r="AI63" s="267">
        <f t="shared" si="4"/>
        <v>33.666666666666664</v>
      </c>
      <c r="AJ63" s="267">
        <f t="shared" si="5"/>
        <v>4.0406037851490349E-2</v>
      </c>
      <c r="AK63" s="34">
        <f t="shared" ca="1" si="29"/>
        <v>0</v>
      </c>
      <c r="AL63" s="233"/>
      <c r="AN63" s="232"/>
      <c r="AO63" s="237">
        <f t="shared" si="30"/>
        <v>34</v>
      </c>
      <c r="AP63" s="237">
        <f t="shared" si="6"/>
        <v>2047</v>
      </c>
      <c r="AQ63" s="250">
        <f t="shared" si="26"/>
        <v>365</v>
      </c>
      <c r="AR63" s="34">
        <f t="shared" si="35"/>
        <v>0</v>
      </c>
      <c r="AS63" s="269">
        <f t="shared" si="36"/>
        <v>9.6786923462517542</v>
      </c>
      <c r="AT63" s="263">
        <f t="shared" si="37"/>
        <v>0</v>
      </c>
      <c r="AU63" s="34">
        <f t="shared" si="38"/>
        <v>0</v>
      </c>
      <c r="AV63" s="15"/>
      <c r="AW63" s="15"/>
      <c r="AX63" s="15"/>
      <c r="AY63" s="15"/>
      <c r="AZ63" s="15"/>
      <c r="BA63" s="15"/>
      <c r="BB63" s="15"/>
      <c r="BC63" s="233"/>
    </row>
    <row r="64" spans="2:55" x14ac:dyDescent="0.3">
      <c r="B64" s="232"/>
      <c r="C64" s="250">
        <f t="shared" si="27"/>
        <v>2048</v>
      </c>
      <c r="D64" s="263">
        <f t="shared" ca="1" si="7"/>
        <v>0</v>
      </c>
      <c r="E64" s="263">
        <f t="shared" ca="1" si="1"/>
        <v>0</v>
      </c>
      <c r="F64" s="263">
        <f t="shared" ca="1" si="2"/>
        <v>0</v>
      </c>
      <c r="G64" s="263">
        <f t="shared" ca="1" si="8"/>
        <v>0</v>
      </c>
      <c r="H64" s="15"/>
      <c r="I64" s="271">
        <f ca="1">Assumptions!$O$68</f>
        <v>4.5</v>
      </c>
      <c r="J64" s="271">
        <f ca="1">Assumptions!$P$68</f>
        <v>80</v>
      </c>
      <c r="K64" s="271">
        <f t="shared" ca="1" si="9"/>
        <v>40</v>
      </c>
      <c r="L64" s="15"/>
      <c r="M64" s="35">
        <f t="shared" ca="1" si="10"/>
        <v>4.2299999999999995</v>
      </c>
      <c r="N64" s="35">
        <f t="shared" ca="1" si="11"/>
        <v>74.400000000000006</v>
      </c>
      <c r="O64" s="35">
        <f t="shared" ca="1" si="12"/>
        <v>37.200000000000003</v>
      </c>
      <c r="P64" s="15"/>
      <c r="Q64" s="34">
        <f t="shared" ca="1" si="13"/>
        <v>0</v>
      </c>
      <c r="R64" s="34">
        <f t="shared" ca="1" si="14"/>
        <v>0</v>
      </c>
      <c r="S64" s="34">
        <f t="shared" ca="1" si="15"/>
        <v>0</v>
      </c>
      <c r="T64" s="34">
        <f t="shared" ca="1" si="16"/>
        <v>0</v>
      </c>
      <c r="U64" s="15"/>
      <c r="V64" s="35">
        <f t="shared" si="17"/>
        <v>0.31</v>
      </c>
      <c r="W64" s="34">
        <f t="shared" ca="1" si="18"/>
        <v>0</v>
      </c>
      <c r="X64" s="35">
        <f t="shared" si="19"/>
        <v>0.37</v>
      </c>
      <c r="Y64" s="34">
        <f t="shared" ca="1" si="20"/>
        <v>0</v>
      </c>
      <c r="Z64" s="35">
        <f t="shared" si="21"/>
        <v>0.57999999999999996</v>
      </c>
      <c r="AA64" s="34">
        <f t="shared" ca="1" si="22"/>
        <v>0</v>
      </c>
      <c r="AB64" s="34">
        <f t="shared" ca="1" si="23"/>
        <v>0</v>
      </c>
      <c r="AC64" s="15"/>
      <c r="AD64" s="34">
        <f t="shared" ca="1" si="24"/>
        <v>0</v>
      </c>
      <c r="AE64" s="34">
        <f t="shared" ca="1" si="3"/>
        <v>0</v>
      </c>
      <c r="AF64" s="34">
        <f t="shared" ca="1" si="25"/>
        <v>0</v>
      </c>
      <c r="AG64" s="15"/>
      <c r="AH64" s="273">
        <f t="shared" si="28"/>
        <v>54423</v>
      </c>
      <c r="AI64" s="267">
        <f t="shared" si="4"/>
        <v>34.666666666666664</v>
      </c>
      <c r="AJ64" s="267">
        <f t="shared" si="5"/>
        <v>3.6732761683173049E-2</v>
      </c>
      <c r="AK64" s="34">
        <f t="shared" ca="1" si="29"/>
        <v>0</v>
      </c>
      <c r="AL64" s="233"/>
      <c r="AN64" s="232"/>
      <c r="AO64" s="237">
        <f t="shared" si="30"/>
        <v>35</v>
      </c>
      <c r="AP64" s="237">
        <f t="shared" si="6"/>
        <v>2048</v>
      </c>
      <c r="AQ64" s="250">
        <f t="shared" si="26"/>
        <v>366</v>
      </c>
      <c r="AR64" s="34">
        <f t="shared" si="35"/>
        <v>0</v>
      </c>
      <c r="AS64" s="269">
        <f t="shared" si="36"/>
        <v>8.559323878015249</v>
      </c>
      <c r="AT64" s="263">
        <f t="shared" si="37"/>
        <v>0</v>
      </c>
      <c r="AU64" s="34">
        <f t="shared" si="38"/>
        <v>0</v>
      </c>
      <c r="AV64" s="15"/>
      <c r="AW64" s="15"/>
      <c r="AX64" s="15"/>
      <c r="AY64" s="15"/>
      <c r="AZ64" s="15"/>
      <c r="BA64" s="15"/>
      <c r="BB64" s="15"/>
      <c r="BC64" s="233"/>
    </row>
    <row r="65" spans="2:55" x14ac:dyDescent="0.3">
      <c r="B65" s="232"/>
      <c r="C65" s="250">
        <f t="shared" si="27"/>
        <v>2049</v>
      </c>
      <c r="D65" s="263">
        <f t="shared" ca="1" si="7"/>
        <v>0</v>
      </c>
      <c r="E65" s="263">
        <f t="shared" ca="1" si="1"/>
        <v>0</v>
      </c>
      <c r="F65" s="263">
        <f t="shared" ca="1" si="2"/>
        <v>0</v>
      </c>
      <c r="G65" s="263">
        <f t="shared" ca="1" si="8"/>
        <v>0</v>
      </c>
      <c r="H65" s="15"/>
      <c r="I65" s="271">
        <f ca="1">Assumptions!$O$68</f>
        <v>4.5</v>
      </c>
      <c r="J65" s="271">
        <f ca="1">Assumptions!$P$68</f>
        <v>80</v>
      </c>
      <c r="K65" s="271">
        <f t="shared" ca="1" si="9"/>
        <v>40</v>
      </c>
      <c r="L65" s="15"/>
      <c r="M65" s="35">
        <f t="shared" ca="1" si="10"/>
        <v>4.2299999999999995</v>
      </c>
      <c r="N65" s="35">
        <f t="shared" ca="1" si="11"/>
        <v>74.400000000000006</v>
      </c>
      <c r="O65" s="35">
        <f t="shared" ca="1" si="12"/>
        <v>37.200000000000003</v>
      </c>
      <c r="P65" s="15"/>
      <c r="Q65" s="34">
        <f t="shared" ca="1" si="13"/>
        <v>0</v>
      </c>
      <c r="R65" s="34">
        <f t="shared" ca="1" si="14"/>
        <v>0</v>
      </c>
      <c r="S65" s="34">
        <f t="shared" ca="1" si="15"/>
        <v>0</v>
      </c>
      <c r="T65" s="34">
        <f t="shared" ca="1" si="16"/>
        <v>0</v>
      </c>
      <c r="U65" s="15"/>
      <c r="V65" s="35">
        <f t="shared" si="17"/>
        <v>0.31</v>
      </c>
      <c r="W65" s="34">
        <f t="shared" ca="1" si="18"/>
        <v>0</v>
      </c>
      <c r="X65" s="35">
        <f t="shared" si="19"/>
        <v>0.37</v>
      </c>
      <c r="Y65" s="34">
        <f t="shared" ca="1" si="20"/>
        <v>0</v>
      </c>
      <c r="Z65" s="35">
        <f t="shared" si="21"/>
        <v>0.57999999999999996</v>
      </c>
      <c r="AA65" s="34">
        <f t="shared" ca="1" si="22"/>
        <v>0</v>
      </c>
      <c r="AB65" s="34">
        <f t="shared" ca="1" si="23"/>
        <v>0</v>
      </c>
      <c r="AC65" s="15"/>
      <c r="AD65" s="34">
        <f t="shared" ca="1" si="24"/>
        <v>0</v>
      </c>
      <c r="AE65" s="34">
        <f t="shared" ca="1" si="3"/>
        <v>0</v>
      </c>
      <c r="AF65" s="34">
        <f t="shared" ca="1" si="25"/>
        <v>0</v>
      </c>
      <c r="AG65" s="15"/>
      <c r="AH65" s="273">
        <f t="shared" si="28"/>
        <v>54788</v>
      </c>
      <c r="AI65" s="267">
        <f t="shared" si="4"/>
        <v>35.666666666666664</v>
      </c>
      <c r="AJ65" s="267">
        <f t="shared" si="5"/>
        <v>3.3393419711975486E-2</v>
      </c>
      <c r="AK65" s="34">
        <f t="shared" ca="1" si="29"/>
        <v>0</v>
      </c>
      <c r="AL65" s="233"/>
      <c r="AN65" s="232"/>
      <c r="AO65" s="237">
        <f t="shared" si="30"/>
        <v>36</v>
      </c>
      <c r="AP65" s="237">
        <f t="shared" si="6"/>
        <v>2049</v>
      </c>
      <c r="AQ65" s="250">
        <f t="shared" si="26"/>
        <v>365</v>
      </c>
      <c r="AR65" s="34">
        <f t="shared" si="35"/>
        <v>0</v>
      </c>
      <c r="AS65" s="269">
        <f t="shared" si="36"/>
        <v>7.5694135765286532</v>
      </c>
      <c r="AT65" s="263">
        <f t="shared" si="37"/>
        <v>0</v>
      </c>
      <c r="AU65" s="34">
        <f t="shared" si="38"/>
        <v>0</v>
      </c>
      <c r="AV65" s="15"/>
      <c r="AW65" s="15"/>
      <c r="AX65" s="15"/>
      <c r="AY65" s="15"/>
      <c r="AZ65" s="15"/>
      <c r="BA65" s="15"/>
      <c r="BB65" s="15"/>
      <c r="BC65" s="233"/>
    </row>
    <row r="66" spans="2:55" x14ac:dyDescent="0.3">
      <c r="B66" s="232"/>
      <c r="C66" s="250">
        <f t="shared" si="27"/>
        <v>2050</v>
      </c>
      <c r="D66" s="263">
        <f t="shared" ca="1" si="7"/>
        <v>0</v>
      </c>
      <c r="E66" s="263">
        <f t="shared" ca="1" si="1"/>
        <v>0</v>
      </c>
      <c r="F66" s="263">
        <f t="shared" ca="1" si="2"/>
        <v>0</v>
      </c>
      <c r="G66" s="263">
        <f t="shared" ca="1" si="8"/>
        <v>0</v>
      </c>
      <c r="H66" s="15"/>
      <c r="I66" s="271">
        <f ca="1">Assumptions!$O$68</f>
        <v>4.5</v>
      </c>
      <c r="J66" s="271">
        <f ca="1">Assumptions!$P$68</f>
        <v>80</v>
      </c>
      <c r="K66" s="271">
        <f t="shared" ca="1" si="9"/>
        <v>40</v>
      </c>
      <c r="L66" s="15"/>
      <c r="M66" s="35">
        <f t="shared" ca="1" si="10"/>
        <v>4.2299999999999995</v>
      </c>
      <c r="N66" s="35">
        <f t="shared" ca="1" si="11"/>
        <v>74.400000000000006</v>
      </c>
      <c r="O66" s="35">
        <f t="shared" ca="1" si="12"/>
        <v>37.200000000000003</v>
      </c>
      <c r="P66" s="15"/>
      <c r="Q66" s="34">
        <f t="shared" ca="1" si="13"/>
        <v>0</v>
      </c>
      <c r="R66" s="34">
        <f t="shared" ca="1" si="14"/>
        <v>0</v>
      </c>
      <c r="S66" s="34">
        <f t="shared" ca="1" si="15"/>
        <v>0</v>
      </c>
      <c r="T66" s="34">
        <f t="shared" ca="1" si="16"/>
        <v>0</v>
      </c>
      <c r="U66" s="15"/>
      <c r="V66" s="35">
        <f t="shared" si="17"/>
        <v>0.31</v>
      </c>
      <c r="W66" s="34">
        <f t="shared" ca="1" si="18"/>
        <v>0</v>
      </c>
      <c r="X66" s="35">
        <f t="shared" si="19"/>
        <v>0.37</v>
      </c>
      <c r="Y66" s="34">
        <f t="shared" ca="1" si="20"/>
        <v>0</v>
      </c>
      <c r="Z66" s="35">
        <f t="shared" si="21"/>
        <v>0.57999999999999996</v>
      </c>
      <c r="AA66" s="34">
        <f t="shared" ca="1" si="22"/>
        <v>0</v>
      </c>
      <c r="AB66" s="34">
        <f t="shared" ca="1" si="23"/>
        <v>0</v>
      </c>
      <c r="AC66" s="15"/>
      <c r="AD66" s="34">
        <f t="shared" ca="1" si="24"/>
        <v>0</v>
      </c>
      <c r="AE66" s="34">
        <f t="shared" ca="1" si="3"/>
        <v>0</v>
      </c>
      <c r="AF66" s="34">
        <f t="shared" ca="1" si="25"/>
        <v>0</v>
      </c>
      <c r="AG66" s="15"/>
      <c r="AH66" s="273">
        <f t="shared" si="28"/>
        <v>55153</v>
      </c>
      <c r="AI66" s="267">
        <f t="shared" si="4"/>
        <v>36.666666666666664</v>
      </c>
      <c r="AJ66" s="267">
        <f t="shared" si="5"/>
        <v>3.0357654283614078E-2</v>
      </c>
      <c r="AK66" s="34">
        <f t="shared" ca="1" si="29"/>
        <v>0</v>
      </c>
      <c r="AL66" s="233"/>
      <c r="AN66" s="232"/>
      <c r="AO66" s="237">
        <f t="shared" si="30"/>
        <v>37</v>
      </c>
      <c r="AP66" s="237">
        <f t="shared" si="6"/>
        <v>2050</v>
      </c>
      <c r="AQ66" s="250">
        <f t="shared" si="26"/>
        <v>365</v>
      </c>
      <c r="AR66" s="34">
        <f t="shared" si="35"/>
        <v>0</v>
      </c>
      <c r="AS66" s="269">
        <f t="shared" si="36"/>
        <v>6.6939892343251532</v>
      </c>
      <c r="AT66" s="263">
        <f t="shared" si="37"/>
        <v>0</v>
      </c>
      <c r="AU66" s="34">
        <f t="shared" si="38"/>
        <v>0</v>
      </c>
      <c r="AV66" s="15"/>
      <c r="AW66" s="15"/>
      <c r="AX66" s="15"/>
      <c r="AY66" s="15"/>
      <c r="AZ66" s="15"/>
      <c r="BA66" s="15"/>
      <c r="BB66" s="15"/>
      <c r="BC66" s="233"/>
    </row>
    <row r="67" spans="2:55" x14ac:dyDescent="0.3">
      <c r="B67" s="232"/>
      <c r="C67" s="250">
        <f t="shared" si="27"/>
        <v>2051</v>
      </c>
      <c r="D67" s="263">
        <f t="shared" ca="1" si="7"/>
        <v>0</v>
      </c>
      <c r="E67" s="263">
        <f t="shared" ca="1" si="1"/>
        <v>0</v>
      </c>
      <c r="F67" s="263">
        <f t="shared" ca="1" si="2"/>
        <v>0</v>
      </c>
      <c r="G67" s="263">
        <f t="shared" ca="1" si="8"/>
        <v>0</v>
      </c>
      <c r="H67" s="15"/>
      <c r="I67" s="271">
        <f ca="1">Assumptions!$O$68</f>
        <v>4.5</v>
      </c>
      <c r="J67" s="271">
        <f ca="1">Assumptions!$P$68</f>
        <v>80</v>
      </c>
      <c r="K67" s="271">
        <f t="shared" ca="1" si="9"/>
        <v>40</v>
      </c>
      <c r="L67" s="15"/>
      <c r="M67" s="35">
        <f t="shared" ca="1" si="10"/>
        <v>4.2299999999999995</v>
      </c>
      <c r="N67" s="35">
        <f t="shared" ca="1" si="11"/>
        <v>74.400000000000006</v>
      </c>
      <c r="O67" s="35">
        <f t="shared" ca="1" si="12"/>
        <v>37.200000000000003</v>
      </c>
      <c r="P67" s="15"/>
      <c r="Q67" s="34">
        <f t="shared" ca="1" si="13"/>
        <v>0</v>
      </c>
      <c r="R67" s="34">
        <f t="shared" ca="1" si="14"/>
        <v>0</v>
      </c>
      <c r="S67" s="34">
        <f t="shared" ca="1" si="15"/>
        <v>0</v>
      </c>
      <c r="T67" s="34">
        <f t="shared" ca="1" si="16"/>
        <v>0</v>
      </c>
      <c r="U67" s="15"/>
      <c r="V67" s="35">
        <f t="shared" si="17"/>
        <v>0.31</v>
      </c>
      <c r="W67" s="34">
        <f t="shared" ca="1" si="18"/>
        <v>0</v>
      </c>
      <c r="X67" s="35">
        <f t="shared" si="19"/>
        <v>0.37</v>
      </c>
      <c r="Y67" s="34">
        <f t="shared" ca="1" si="20"/>
        <v>0</v>
      </c>
      <c r="Z67" s="35">
        <f t="shared" si="21"/>
        <v>0.57999999999999996</v>
      </c>
      <c r="AA67" s="34">
        <f t="shared" ca="1" si="22"/>
        <v>0</v>
      </c>
      <c r="AB67" s="34">
        <f t="shared" ca="1" si="23"/>
        <v>0</v>
      </c>
      <c r="AC67" s="15"/>
      <c r="AD67" s="34">
        <f t="shared" ca="1" si="24"/>
        <v>0</v>
      </c>
      <c r="AE67" s="34">
        <f t="shared" ca="1" si="3"/>
        <v>0</v>
      </c>
      <c r="AF67" s="34">
        <f t="shared" ca="1" si="25"/>
        <v>0</v>
      </c>
      <c r="AG67" s="15"/>
      <c r="AH67" s="273">
        <f t="shared" si="28"/>
        <v>55518</v>
      </c>
      <c r="AI67" s="267">
        <f t="shared" si="4"/>
        <v>37.666666666666664</v>
      </c>
      <c r="AJ67" s="267">
        <f t="shared" si="5"/>
        <v>2.7597867530558259E-2</v>
      </c>
      <c r="AK67" s="34">
        <f t="shared" ca="1" si="29"/>
        <v>0</v>
      </c>
      <c r="AL67" s="233"/>
      <c r="AN67" s="232"/>
      <c r="AO67" s="237">
        <f t="shared" si="30"/>
        <v>38</v>
      </c>
      <c r="AP67" s="237">
        <f t="shared" si="6"/>
        <v>2051</v>
      </c>
      <c r="AQ67" s="250">
        <f t="shared" si="26"/>
        <v>365</v>
      </c>
      <c r="AR67" s="34">
        <f t="shared" si="35"/>
        <v>0</v>
      </c>
      <c r="AS67" s="269">
        <f t="shared" si="36"/>
        <v>5.9198102225787972</v>
      </c>
      <c r="AT67" s="263">
        <f t="shared" si="37"/>
        <v>0</v>
      </c>
      <c r="AU67" s="34">
        <f t="shared" si="38"/>
        <v>0</v>
      </c>
      <c r="AV67" s="15"/>
      <c r="AW67" s="15"/>
      <c r="AX67" s="15"/>
      <c r="AY67" s="15"/>
      <c r="AZ67" s="15"/>
      <c r="BA67" s="15"/>
      <c r="BB67" s="15"/>
      <c r="BC67" s="233"/>
    </row>
    <row r="68" spans="2:55" x14ac:dyDescent="0.3">
      <c r="B68" s="232"/>
      <c r="C68" s="250">
        <f t="shared" si="27"/>
        <v>2052</v>
      </c>
      <c r="D68" s="263">
        <f t="shared" ca="1" si="7"/>
        <v>0</v>
      </c>
      <c r="E68" s="263">
        <f t="shared" ca="1" si="1"/>
        <v>0</v>
      </c>
      <c r="F68" s="263">
        <f t="shared" ca="1" si="2"/>
        <v>0</v>
      </c>
      <c r="G68" s="263">
        <f t="shared" ca="1" si="8"/>
        <v>0</v>
      </c>
      <c r="H68" s="15"/>
      <c r="I68" s="271">
        <f ca="1">Assumptions!$O$68</f>
        <v>4.5</v>
      </c>
      <c r="J68" s="271">
        <f ca="1">Assumptions!$P$68</f>
        <v>80</v>
      </c>
      <c r="K68" s="271">
        <f t="shared" ca="1" si="9"/>
        <v>40</v>
      </c>
      <c r="L68" s="15"/>
      <c r="M68" s="35">
        <f t="shared" ca="1" si="10"/>
        <v>4.2299999999999995</v>
      </c>
      <c r="N68" s="35">
        <f t="shared" ca="1" si="11"/>
        <v>74.400000000000006</v>
      </c>
      <c r="O68" s="35">
        <f t="shared" ca="1" si="12"/>
        <v>37.200000000000003</v>
      </c>
      <c r="P68" s="15"/>
      <c r="Q68" s="34">
        <f t="shared" ca="1" si="13"/>
        <v>0</v>
      </c>
      <c r="R68" s="34">
        <f t="shared" ca="1" si="14"/>
        <v>0</v>
      </c>
      <c r="S68" s="34">
        <f t="shared" ca="1" si="15"/>
        <v>0</v>
      </c>
      <c r="T68" s="34">
        <f t="shared" ca="1" si="16"/>
        <v>0</v>
      </c>
      <c r="U68" s="15"/>
      <c r="V68" s="35">
        <f t="shared" si="17"/>
        <v>0.31</v>
      </c>
      <c r="W68" s="34">
        <f t="shared" ca="1" si="18"/>
        <v>0</v>
      </c>
      <c r="X68" s="35">
        <f t="shared" si="19"/>
        <v>0.37</v>
      </c>
      <c r="Y68" s="34">
        <f t="shared" ca="1" si="20"/>
        <v>0</v>
      </c>
      <c r="Z68" s="35">
        <f t="shared" si="21"/>
        <v>0.57999999999999996</v>
      </c>
      <c r="AA68" s="34">
        <f t="shared" ca="1" si="22"/>
        <v>0</v>
      </c>
      <c r="AB68" s="34">
        <f t="shared" ca="1" si="23"/>
        <v>0</v>
      </c>
      <c r="AC68" s="15"/>
      <c r="AD68" s="34">
        <f t="shared" ca="1" si="24"/>
        <v>0</v>
      </c>
      <c r="AE68" s="34">
        <f t="shared" ca="1" si="3"/>
        <v>0</v>
      </c>
      <c r="AF68" s="34">
        <f t="shared" ca="1" si="25"/>
        <v>0</v>
      </c>
      <c r="AG68" s="15"/>
      <c r="AH68" s="273">
        <f t="shared" si="28"/>
        <v>55884</v>
      </c>
      <c r="AI68" s="267">
        <f t="shared" si="4"/>
        <v>38.666666666666664</v>
      </c>
      <c r="AJ68" s="267">
        <f t="shared" si="5"/>
        <v>2.5088970482325681E-2</v>
      </c>
      <c r="AK68" s="34">
        <f t="shared" ca="1" si="29"/>
        <v>0</v>
      </c>
      <c r="AL68" s="233"/>
      <c r="AN68" s="232"/>
      <c r="AO68" s="237">
        <f t="shared" si="30"/>
        <v>39</v>
      </c>
      <c r="AP68" s="237">
        <f t="shared" si="6"/>
        <v>2052</v>
      </c>
      <c r="AQ68" s="250">
        <f t="shared" si="26"/>
        <v>366</v>
      </c>
      <c r="AR68" s="34">
        <f t="shared" si="35"/>
        <v>0</v>
      </c>
      <c r="AS68" s="269">
        <f t="shared" si="36"/>
        <v>5.2351672290792628</v>
      </c>
      <c r="AT68" s="263">
        <f t="shared" si="37"/>
        <v>0</v>
      </c>
      <c r="AU68" s="34">
        <f t="shared" si="38"/>
        <v>0</v>
      </c>
      <c r="AV68" s="15"/>
      <c r="AW68" s="15"/>
      <c r="AX68" s="15"/>
      <c r="AY68" s="15"/>
      <c r="AZ68" s="15"/>
      <c r="BA68" s="15"/>
      <c r="BB68" s="15"/>
      <c r="BC68" s="233"/>
    </row>
    <row r="69" spans="2:55" x14ac:dyDescent="0.3">
      <c r="B69" s="232"/>
      <c r="C69" s="250">
        <f t="shared" si="27"/>
        <v>2053</v>
      </c>
      <c r="D69" s="263">
        <f t="shared" ca="1" si="7"/>
        <v>0</v>
      </c>
      <c r="E69" s="263">
        <f t="shared" ca="1" si="1"/>
        <v>0</v>
      </c>
      <c r="F69" s="263">
        <f t="shared" ca="1" si="2"/>
        <v>0</v>
      </c>
      <c r="G69" s="263">
        <f t="shared" ca="1" si="8"/>
        <v>0</v>
      </c>
      <c r="H69" s="15"/>
      <c r="I69" s="271">
        <f ca="1">Assumptions!$O$68</f>
        <v>4.5</v>
      </c>
      <c r="J69" s="271">
        <f ca="1">Assumptions!$P$68</f>
        <v>80</v>
      </c>
      <c r="K69" s="271">
        <f t="shared" ca="1" si="9"/>
        <v>40</v>
      </c>
      <c r="L69" s="15"/>
      <c r="M69" s="35">
        <f t="shared" ca="1" si="10"/>
        <v>4.2299999999999995</v>
      </c>
      <c r="N69" s="35">
        <f t="shared" ca="1" si="11"/>
        <v>74.400000000000006</v>
      </c>
      <c r="O69" s="35">
        <f t="shared" ca="1" si="12"/>
        <v>37.200000000000003</v>
      </c>
      <c r="P69" s="15"/>
      <c r="Q69" s="34">
        <f t="shared" ca="1" si="13"/>
        <v>0</v>
      </c>
      <c r="R69" s="34">
        <f t="shared" ca="1" si="14"/>
        <v>0</v>
      </c>
      <c r="S69" s="34">
        <f t="shared" ca="1" si="15"/>
        <v>0</v>
      </c>
      <c r="T69" s="34">
        <f t="shared" ca="1" si="16"/>
        <v>0</v>
      </c>
      <c r="U69" s="15"/>
      <c r="V69" s="35">
        <f t="shared" si="17"/>
        <v>0.31</v>
      </c>
      <c r="W69" s="34">
        <f t="shared" ca="1" si="18"/>
        <v>0</v>
      </c>
      <c r="X69" s="35">
        <f t="shared" si="19"/>
        <v>0.37</v>
      </c>
      <c r="Y69" s="34">
        <f t="shared" ca="1" si="20"/>
        <v>0</v>
      </c>
      <c r="Z69" s="35">
        <f t="shared" si="21"/>
        <v>0.57999999999999996</v>
      </c>
      <c r="AA69" s="34">
        <f t="shared" ca="1" si="22"/>
        <v>0</v>
      </c>
      <c r="AB69" s="34">
        <f t="shared" ca="1" si="23"/>
        <v>0</v>
      </c>
      <c r="AC69" s="15"/>
      <c r="AD69" s="34">
        <f t="shared" ca="1" si="24"/>
        <v>0</v>
      </c>
      <c r="AE69" s="34">
        <f t="shared" ca="1" si="3"/>
        <v>0</v>
      </c>
      <c r="AF69" s="34">
        <f t="shared" ca="1" si="25"/>
        <v>0</v>
      </c>
      <c r="AG69" s="15"/>
      <c r="AH69" s="273">
        <f t="shared" si="28"/>
        <v>56249</v>
      </c>
      <c r="AI69" s="267">
        <f t="shared" si="4"/>
        <v>39.666666666666664</v>
      </c>
      <c r="AJ69" s="267">
        <f t="shared" si="5"/>
        <v>2.280815498393244E-2</v>
      </c>
      <c r="AK69" s="34">
        <f t="shared" ca="1" si="29"/>
        <v>0</v>
      </c>
      <c r="AL69" s="233"/>
      <c r="AN69" s="232"/>
      <c r="AO69" s="237">
        <f t="shared" si="30"/>
        <v>40</v>
      </c>
      <c r="AP69" s="237">
        <f t="shared" si="6"/>
        <v>2053</v>
      </c>
      <c r="AQ69" s="250">
        <f t="shared" si="26"/>
        <v>365</v>
      </c>
      <c r="AR69" s="34">
        <f t="shared" si="35"/>
        <v>0</v>
      </c>
      <c r="AS69" s="269">
        <f t="shared" si="36"/>
        <v>4.6297051570829533</v>
      </c>
      <c r="AT69" s="263">
        <f t="shared" si="37"/>
        <v>0</v>
      </c>
      <c r="AU69" s="180">
        <f t="shared" si="38"/>
        <v>0</v>
      </c>
      <c r="AV69" s="15"/>
      <c r="AW69" s="15"/>
      <c r="AX69" s="15"/>
      <c r="AY69" s="15"/>
      <c r="AZ69" s="15"/>
      <c r="BA69" s="15"/>
      <c r="BB69" s="15"/>
      <c r="BC69" s="233"/>
    </row>
    <row r="70" spans="2:55" x14ac:dyDescent="0.3">
      <c r="B70" s="232"/>
      <c r="C70" s="274" t="s">
        <v>302</v>
      </c>
      <c r="D70" s="39">
        <f ca="1">SUM(D29:D69)</f>
        <v>1796300.8849557519</v>
      </c>
      <c r="E70" s="39">
        <f t="shared" ref="E70:F70" ca="1" si="39">SUM(E29:E69)</f>
        <v>10083.185840707978</v>
      </c>
      <c r="F70" s="39">
        <f t="shared" ca="1" si="39"/>
        <v>0</v>
      </c>
      <c r="G70" s="39">
        <f ca="1">SUM(G29:G69)</f>
        <v>1856799.9999999995</v>
      </c>
      <c r="H70" s="15"/>
      <c r="I70" s="35"/>
      <c r="J70" s="35"/>
      <c r="K70" s="35"/>
      <c r="L70" s="15"/>
      <c r="M70" s="35"/>
      <c r="N70" s="35"/>
      <c r="O70" s="35"/>
      <c r="P70" s="15"/>
      <c r="Q70" s="8">
        <f ca="1">SUM(Q29:Q69)</f>
        <v>7122043.2405763622</v>
      </c>
      <c r="R70" s="8">
        <f ca="1">SUM(R29:R69)</f>
        <v>798954.54492782347</v>
      </c>
      <c r="S70" s="8">
        <f ca="1">SUM(S29:S69)</f>
        <v>0</v>
      </c>
      <c r="T70" s="8">
        <f t="shared" ca="1" si="16"/>
        <v>7920997.7855041856</v>
      </c>
      <c r="U70" s="15"/>
      <c r="V70" s="275"/>
      <c r="W70" s="276">
        <f ca="1">SUM(W29:W69)</f>
        <v>575608</v>
      </c>
      <c r="X70" s="275"/>
      <c r="Y70" s="276">
        <f ca="1">SUM(Y29:Y69)</f>
        <v>687015.99999999988</v>
      </c>
      <c r="Z70" s="275"/>
      <c r="AA70" s="276">
        <f ca="1">SUM(AA29:AA69)</f>
        <v>1076943.9999999995</v>
      </c>
      <c r="AB70" s="276">
        <f ca="1">SUM(AB29:AB69)</f>
        <v>2339567.9999999986</v>
      </c>
      <c r="AC70" s="15"/>
      <c r="AD70" s="276">
        <f ca="1">SUM(AD29:AD69)</f>
        <v>5581429.7855041865</v>
      </c>
      <c r="AE70" s="276">
        <f ca="1">SUM(AE29:AE69)</f>
        <v>204999.99999999988</v>
      </c>
      <c r="AF70" s="276">
        <f ca="1">SUM(AF29:AF69)</f>
        <v>5376429.7855041884</v>
      </c>
      <c r="AG70" s="15"/>
      <c r="AH70" s="277"/>
      <c r="AI70" s="278"/>
      <c r="AJ70" s="278"/>
      <c r="AK70" s="279">
        <f ca="1">SUM(AK29:AK69)</f>
        <v>2920757.3800463961</v>
      </c>
      <c r="AL70" s="233"/>
      <c r="AN70" s="232"/>
      <c r="AO70" s="274" t="s">
        <v>302</v>
      </c>
      <c r="AP70" s="280"/>
      <c r="AQ70" s="32"/>
      <c r="AR70" s="281"/>
      <c r="AS70" s="282"/>
      <c r="AT70" s="39">
        <f>SUM(AT29:AT69)</f>
        <v>1856799.9999999995</v>
      </c>
      <c r="AU70" s="15"/>
      <c r="AV70" s="15"/>
      <c r="AW70" s="15"/>
      <c r="AX70" s="15"/>
      <c r="AY70" s="15"/>
      <c r="AZ70" s="15"/>
      <c r="BA70" s="15"/>
      <c r="BB70" s="15"/>
      <c r="BC70" s="233"/>
    </row>
    <row r="71" spans="2:55" x14ac:dyDescent="0.3">
      <c r="B71" s="232"/>
      <c r="C71" s="283" t="s">
        <v>303</v>
      </c>
      <c r="D71" s="263">
        <f t="shared" ref="D71:F71" ca="1" si="40">D72-D70</f>
        <v>0</v>
      </c>
      <c r="E71" s="263">
        <f t="shared" ca="1" si="40"/>
        <v>0</v>
      </c>
      <c r="F71" s="263">
        <f t="shared" ca="1" si="40"/>
        <v>0</v>
      </c>
      <c r="G71" s="263">
        <f ca="1">G72-G70</f>
        <v>0</v>
      </c>
      <c r="H71" s="15"/>
      <c r="I71" s="35">
        <f ca="1">I69</f>
        <v>4.5</v>
      </c>
      <c r="J71" s="35">
        <f t="shared" ref="J71:K71" ca="1" si="41">J69</f>
        <v>80</v>
      </c>
      <c r="K71" s="35">
        <f t="shared" ca="1" si="41"/>
        <v>40</v>
      </c>
      <c r="L71" s="15"/>
      <c r="M71" s="35">
        <f ca="1">M69</f>
        <v>4.2299999999999995</v>
      </c>
      <c r="N71" s="35">
        <f t="shared" ref="N71:O71" ca="1" si="42">N69</f>
        <v>74.400000000000006</v>
      </c>
      <c r="O71" s="35">
        <f t="shared" ca="1" si="42"/>
        <v>37.200000000000003</v>
      </c>
      <c r="P71" s="15"/>
      <c r="Q71" s="34">
        <f t="shared" ref="Q71" ca="1" si="43">D71*M71</f>
        <v>0</v>
      </c>
      <c r="R71" s="34">
        <f t="shared" ref="R71" ca="1" si="44">E71*N71</f>
        <v>0</v>
      </c>
      <c r="S71" s="34">
        <f t="shared" ref="S71" ca="1" si="45">F71*O71</f>
        <v>0</v>
      </c>
      <c r="T71" s="34">
        <f t="shared" ref="T71" ca="1" si="46">SUM(Q71:S71)</f>
        <v>0</v>
      </c>
      <c r="U71" s="15"/>
      <c r="V71" s="35">
        <f>V69</f>
        <v>0.31</v>
      </c>
      <c r="W71" s="34">
        <f ca="1">V71*$G71</f>
        <v>0</v>
      </c>
      <c r="X71" s="35">
        <f>X69</f>
        <v>0.37</v>
      </c>
      <c r="Y71" s="34">
        <f ca="1">X71*$G71</f>
        <v>0</v>
      </c>
      <c r="Z71" s="35">
        <f>Z69</f>
        <v>0.57999999999999996</v>
      </c>
      <c r="AA71" s="34">
        <f ca="1">Z71*$G71</f>
        <v>0</v>
      </c>
      <c r="AB71" s="34">
        <f ca="1">W71+Y71+AA71</f>
        <v>0</v>
      </c>
      <c r="AC71" s="15"/>
      <c r="AD71" s="34">
        <f ca="1">T71-AB71</f>
        <v>0</v>
      </c>
      <c r="AE71" s="34">
        <f ca="1">$M$10*(G71/$G$72)*Units</f>
        <v>0</v>
      </c>
      <c r="AF71" s="34">
        <f ca="1">AD71-AE71</f>
        <v>0</v>
      </c>
      <c r="AG71" s="15"/>
      <c r="AH71" s="266">
        <f>Remainder_Date</f>
        <v>56249</v>
      </c>
      <c r="AI71" s="267">
        <f>DAYS360(Valuation_Date,AH71)/360-MIN(0.5,0.5*DAYS360(Valuation_Date,AH71)/360)</f>
        <v>39.666666666666664</v>
      </c>
      <c r="AJ71" s="267">
        <f>1/((1+Discount_Rate)^AI71)</f>
        <v>2.280815498393244E-2</v>
      </c>
      <c r="AK71" s="34">
        <f t="shared" ca="1" si="29"/>
        <v>0</v>
      </c>
      <c r="AL71" s="233"/>
      <c r="AN71" s="232"/>
      <c r="AO71" s="283" t="s">
        <v>303</v>
      </c>
      <c r="AP71" s="237"/>
      <c r="AQ71" s="250"/>
      <c r="AR71" s="34"/>
      <c r="AS71" s="269"/>
      <c r="AT71" s="284">
        <f>AT72-AT70</f>
        <v>0</v>
      </c>
      <c r="AU71" s="15"/>
      <c r="AV71" s="15"/>
      <c r="AW71" s="15"/>
      <c r="AX71" s="15"/>
      <c r="AY71" s="15"/>
      <c r="AZ71" s="15"/>
      <c r="BA71" s="15"/>
      <c r="BB71" s="15"/>
      <c r="BC71" s="233"/>
    </row>
    <row r="72" spans="2:55" x14ac:dyDescent="0.3">
      <c r="B72" s="232"/>
      <c r="C72" s="60" t="s">
        <v>26</v>
      </c>
      <c r="D72" s="39">
        <f t="shared" ca="1" si="7"/>
        <v>1796300.8849557522</v>
      </c>
      <c r="E72" s="39">
        <f ca="1">$G72*$M$14/Bbl_to_Mcfe</f>
        <v>10083.18584070798</v>
      </c>
      <c r="F72" s="39">
        <f ca="1">$G72*$M$13/Bbl_to_Mcfe</f>
        <v>0</v>
      </c>
      <c r="G72" s="39">
        <f ca="1">$Y$6*$AQ$7</f>
        <v>1856800</v>
      </c>
      <c r="H72" s="15"/>
      <c r="I72" s="15"/>
      <c r="J72" s="15"/>
      <c r="K72" s="15"/>
      <c r="L72" s="15"/>
      <c r="M72" s="15"/>
      <c r="N72" s="15"/>
      <c r="O72" s="15"/>
      <c r="P72" s="15"/>
      <c r="Q72" s="8">
        <f ca="1">Q71+Q70</f>
        <v>7122043.2405763622</v>
      </c>
      <c r="R72" s="8">
        <f t="shared" ref="R72:T72" ca="1" si="47">R71+R70</f>
        <v>798954.54492782347</v>
      </c>
      <c r="S72" s="8">
        <f t="shared" ca="1" si="47"/>
        <v>0</v>
      </c>
      <c r="T72" s="8">
        <f t="shared" ca="1" si="47"/>
        <v>7920997.7855041856</v>
      </c>
      <c r="U72" s="15"/>
      <c r="V72" s="9"/>
      <c r="W72" s="8">
        <f ca="1">W71+W70</f>
        <v>575608</v>
      </c>
      <c r="X72" s="9"/>
      <c r="Y72" s="8">
        <f ca="1">Y71+Y70</f>
        <v>687015.99999999988</v>
      </c>
      <c r="Z72" s="9"/>
      <c r="AA72" s="8">
        <f ca="1">AA71+AA70</f>
        <v>1076943.9999999995</v>
      </c>
      <c r="AB72" s="8">
        <f ca="1">AB71+AB70</f>
        <v>2339567.9999999986</v>
      </c>
      <c r="AC72" s="15"/>
      <c r="AD72" s="8">
        <f ca="1">AD71+AD70</f>
        <v>5581429.7855041865</v>
      </c>
      <c r="AE72" s="8">
        <f ca="1">AE71+AE70</f>
        <v>204999.99999999988</v>
      </c>
      <c r="AF72" s="8">
        <f ca="1">AF71+AF70</f>
        <v>5376429.7855041884</v>
      </c>
      <c r="AG72" s="15"/>
      <c r="AH72" s="9"/>
      <c r="AI72" s="9"/>
      <c r="AJ72" s="9"/>
      <c r="AK72" s="65">
        <f ca="1">AK71+AK70</f>
        <v>2920757.3800463961</v>
      </c>
      <c r="AL72" s="233"/>
      <c r="AN72" s="232"/>
      <c r="AO72" s="60" t="s">
        <v>26</v>
      </c>
      <c r="AP72" s="9"/>
      <c r="AQ72" s="9"/>
      <c r="AR72" s="9"/>
      <c r="AS72" s="9"/>
      <c r="AT72" s="39">
        <f>$Y$6</f>
        <v>1856800</v>
      </c>
      <c r="AU72" s="281"/>
      <c r="AV72" s="15"/>
      <c r="AW72" s="15"/>
      <c r="AX72" s="15"/>
      <c r="AY72" s="15"/>
      <c r="AZ72" s="15"/>
      <c r="BA72" s="15"/>
      <c r="BB72" s="15"/>
      <c r="BC72" s="233"/>
    </row>
    <row r="73" spans="2:55" x14ac:dyDescent="0.3">
      <c r="B73" s="232"/>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233"/>
      <c r="AN73" s="232"/>
      <c r="AY73" s="15"/>
      <c r="AZ73" s="15"/>
      <c r="BA73" s="15"/>
      <c r="BB73" s="15"/>
      <c r="BC73" s="233"/>
    </row>
    <row r="74" spans="2:55" x14ac:dyDescent="0.3">
      <c r="B74" s="285" t="s">
        <v>28</v>
      </c>
      <c r="C74" s="286"/>
      <c r="D74" s="287"/>
      <c r="E74" s="287"/>
      <c r="F74" s="287"/>
      <c r="G74" s="287"/>
      <c r="H74" s="287"/>
      <c r="I74" s="287"/>
      <c r="J74" s="287"/>
      <c r="K74" s="287"/>
      <c r="L74" s="287"/>
      <c r="M74" s="287"/>
      <c r="N74" s="287"/>
      <c r="O74" s="287"/>
      <c r="P74" s="287"/>
      <c r="Q74" s="286" t="str">
        <f>B74</f>
        <v>PDNP</v>
      </c>
      <c r="R74" s="287"/>
      <c r="S74" s="287"/>
      <c r="T74" s="287"/>
      <c r="U74" s="287"/>
      <c r="V74" s="287"/>
      <c r="W74" s="287"/>
      <c r="X74" s="287"/>
      <c r="Y74" s="287"/>
      <c r="Z74" s="287"/>
      <c r="AA74" s="287"/>
      <c r="AB74" s="287"/>
      <c r="AC74" s="287"/>
      <c r="AD74" s="286" t="str">
        <f>Q74</f>
        <v>PDNP</v>
      </c>
      <c r="AE74" s="287"/>
      <c r="AF74" s="287"/>
      <c r="AG74" s="287"/>
      <c r="AH74" s="287"/>
      <c r="AI74" s="287"/>
      <c r="AJ74" s="287"/>
      <c r="AK74" s="287"/>
      <c r="AL74" s="288"/>
      <c r="AN74" s="285" t="s">
        <v>304</v>
      </c>
      <c r="AO74" s="286"/>
      <c r="AP74" s="287"/>
      <c r="AQ74" s="287"/>
      <c r="AR74" s="287"/>
      <c r="AS74" s="287"/>
      <c r="AT74" s="287"/>
      <c r="AU74" s="287"/>
      <c r="AV74" s="287"/>
      <c r="AW74" s="287"/>
      <c r="AX74" s="287"/>
      <c r="AY74" s="287"/>
      <c r="AZ74" s="287"/>
      <c r="BA74" s="287"/>
      <c r="BB74" s="287"/>
      <c r="BC74" s="288"/>
    </row>
    <row r="75" spans="2:55" x14ac:dyDescent="0.3">
      <c r="B75" s="232"/>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233"/>
      <c r="AN75" s="232"/>
      <c r="AQ75" s="289"/>
      <c r="AR75" s="15"/>
      <c r="AS75" s="15"/>
      <c r="AT75" s="15"/>
      <c r="AU75" s="15"/>
      <c r="AV75" s="15"/>
      <c r="AW75" s="15"/>
      <c r="AX75" s="15"/>
      <c r="AY75" s="15"/>
      <c r="AZ75" s="15"/>
      <c r="BA75" s="15"/>
      <c r="BB75" s="15"/>
      <c r="BC75" s="233"/>
    </row>
    <row r="76" spans="2:55" x14ac:dyDescent="0.3">
      <c r="B76" s="232"/>
      <c r="C76" s="37" t="s">
        <v>277</v>
      </c>
      <c r="D76" s="23"/>
      <c r="E76" s="23"/>
      <c r="F76" s="23"/>
      <c r="G76" s="23"/>
      <c r="H76" s="261"/>
      <c r="I76" s="37" t="s">
        <v>15</v>
      </c>
      <c r="J76" s="23"/>
      <c r="K76" s="23"/>
      <c r="L76" s="15"/>
      <c r="M76" s="37" t="s">
        <v>278</v>
      </c>
      <c r="N76" s="23"/>
      <c r="O76" s="23"/>
      <c r="P76" s="15"/>
      <c r="Q76" s="37" t="s">
        <v>279</v>
      </c>
      <c r="R76" s="23"/>
      <c r="S76" s="23"/>
      <c r="T76" s="23"/>
      <c r="U76" s="15"/>
      <c r="V76" s="37" t="s">
        <v>280</v>
      </c>
      <c r="W76" s="23"/>
      <c r="X76" s="23"/>
      <c r="Y76" s="23"/>
      <c r="Z76" s="23"/>
      <c r="AA76" s="23"/>
      <c r="AB76" s="4"/>
      <c r="AC76" s="15"/>
      <c r="AD76" s="37" t="s">
        <v>281</v>
      </c>
      <c r="AE76" s="23"/>
      <c r="AF76" s="23"/>
      <c r="AG76" s="15"/>
      <c r="AH76" s="37" t="s">
        <v>282</v>
      </c>
      <c r="AI76" s="23"/>
      <c r="AJ76" s="23"/>
      <c r="AK76" s="23"/>
      <c r="AL76" s="233"/>
      <c r="AN76" s="232"/>
      <c r="AO76" s="15"/>
      <c r="AP76" s="15"/>
      <c r="AQ76" s="245"/>
      <c r="AR76" s="15"/>
      <c r="AS76" s="15"/>
      <c r="AT76" s="15"/>
      <c r="AU76" s="15"/>
      <c r="AV76" s="15"/>
      <c r="AW76" s="15"/>
      <c r="AX76" s="15"/>
      <c r="AY76" s="15"/>
      <c r="AZ76" s="15"/>
      <c r="BA76" s="15"/>
      <c r="BB76" s="15"/>
      <c r="BC76" s="233"/>
    </row>
    <row r="77" spans="2:55" x14ac:dyDescent="0.3">
      <c r="B77" s="232"/>
      <c r="C77" s="250"/>
      <c r="D77" s="250" t="s">
        <v>10</v>
      </c>
      <c r="E77" s="250" t="s">
        <v>11</v>
      </c>
      <c r="F77" s="250" t="s">
        <v>245</v>
      </c>
      <c r="G77" s="250" t="s">
        <v>12</v>
      </c>
      <c r="H77" s="261"/>
      <c r="I77" s="262" t="s">
        <v>10</v>
      </c>
      <c r="J77" s="262" t="s">
        <v>11</v>
      </c>
      <c r="K77" s="262" t="s">
        <v>245</v>
      </c>
      <c r="L77" s="15"/>
      <c r="M77" s="262" t="s">
        <v>10</v>
      </c>
      <c r="N77" s="262" t="s">
        <v>11</v>
      </c>
      <c r="O77" s="262" t="s">
        <v>245</v>
      </c>
      <c r="P77" s="15"/>
      <c r="Q77" s="262" t="s">
        <v>10</v>
      </c>
      <c r="R77" s="262" t="s">
        <v>11</v>
      </c>
      <c r="S77" s="262" t="s">
        <v>245</v>
      </c>
      <c r="T77" s="262" t="s">
        <v>12</v>
      </c>
      <c r="U77" s="15"/>
      <c r="V77" s="262" t="s">
        <v>283</v>
      </c>
      <c r="W77" s="262" t="s">
        <v>283</v>
      </c>
      <c r="X77" s="262" t="s">
        <v>284</v>
      </c>
      <c r="Y77" s="262" t="s">
        <v>284</v>
      </c>
      <c r="Z77" s="262" t="s">
        <v>285</v>
      </c>
      <c r="AA77" s="262" t="s">
        <v>285</v>
      </c>
      <c r="AB77" s="262" t="s">
        <v>12</v>
      </c>
      <c r="AC77" s="15"/>
      <c r="AD77" s="262" t="s">
        <v>286</v>
      </c>
      <c r="AE77" s="262" t="s">
        <v>287</v>
      </c>
      <c r="AF77" s="262" t="s">
        <v>281</v>
      </c>
      <c r="AG77" s="15"/>
      <c r="AH77" s="262"/>
      <c r="AI77" s="262" t="s">
        <v>288</v>
      </c>
      <c r="AJ77" s="262" t="s">
        <v>288</v>
      </c>
      <c r="AK77" s="262" t="s">
        <v>289</v>
      </c>
      <c r="AL77" s="233"/>
      <c r="AN77" s="232"/>
      <c r="AO77" s="15"/>
      <c r="AP77" s="15"/>
      <c r="AQ77" s="15"/>
      <c r="AR77" s="38" t="s">
        <v>290</v>
      </c>
      <c r="AS77" s="37" t="s">
        <v>291</v>
      </c>
      <c r="AT77" s="23"/>
      <c r="AU77" s="38" t="s">
        <v>292</v>
      </c>
      <c r="AV77" s="15"/>
      <c r="AW77" s="15"/>
      <c r="AX77" s="15"/>
      <c r="AY77" s="15"/>
      <c r="AZ77" s="15"/>
      <c r="BA77" s="15"/>
      <c r="BB77" s="15"/>
      <c r="BC77" s="233"/>
    </row>
    <row r="78" spans="2:55" x14ac:dyDescent="0.3">
      <c r="B78" s="232"/>
      <c r="C78" s="13" t="s">
        <v>9</v>
      </c>
      <c r="D78" s="13" t="s">
        <v>307</v>
      </c>
      <c r="E78" s="13" t="s">
        <v>308</v>
      </c>
      <c r="F78" s="13" t="s">
        <v>308</v>
      </c>
      <c r="G78" s="13" t="s">
        <v>248</v>
      </c>
      <c r="H78" s="4"/>
      <c r="I78" s="13" t="s">
        <v>24</v>
      </c>
      <c r="J78" s="13" t="s">
        <v>25</v>
      </c>
      <c r="K78" s="13" t="s">
        <v>25</v>
      </c>
      <c r="L78" s="4"/>
      <c r="M78" s="13" t="s">
        <v>24</v>
      </c>
      <c r="N78" s="13" t="s">
        <v>25</v>
      </c>
      <c r="O78" s="13" t="s">
        <v>25</v>
      </c>
      <c r="P78" s="4"/>
      <c r="Q78" s="13" t="s">
        <v>293</v>
      </c>
      <c r="R78" s="13" t="s">
        <v>293</v>
      </c>
      <c r="S78" s="13" t="s">
        <v>293</v>
      </c>
      <c r="T78" s="13" t="s">
        <v>293</v>
      </c>
      <c r="U78" s="4"/>
      <c r="V78" s="13" t="s">
        <v>294</v>
      </c>
      <c r="W78" s="13" t="s">
        <v>293</v>
      </c>
      <c r="X78" s="13" t="s">
        <v>294</v>
      </c>
      <c r="Y78" s="13" t="s">
        <v>293</v>
      </c>
      <c r="Z78" s="13" t="s">
        <v>294</v>
      </c>
      <c r="AA78" s="13" t="s">
        <v>293</v>
      </c>
      <c r="AB78" s="13" t="s">
        <v>293</v>
      </c>
      <c r="AC78" s="4"/>
      <c r="AD78" s="13" t="s">
        <v>293</v>
      </c>
      <c r="AE78" s="13" t="s">
        <v>293</v>
      </c>
      <c r="AF78" s="13" t="s">
        <v>293</v>
      </c>
      <c r="AG78" s="4"/>
      <c r="AH78" s="13" t="s">
        <v>295</v>
      </c>
      <c r="AI78" s="13" t="s">
        <v>296</v>
      </c>
      <c r="AJ78" s="13" t="s">
        <v>297</v>
      </c>
      <c r="AK78" s="13" t="s">
        <v>293</v>
      </c>
      <c r="AL78" s="258"/>
      <c r="AN78" s="232"/>
      <c r="AO78" s="11" t="s">
        <v>296</v>
      </c>
      <c r="AP78" s="11" t="s">
        <v>9</v>
      </c>
      <c r="AQ78" s="11" t="s">
        <v>298</v>
      </c>
      <c r="AR78" s="11" t="s">
        <v>299</v>
      </c>
      <c r="AS78" s="11" t="s">
        <v>300</v>
      </c>
      <c r="AT78" s="11" t="s">
        <v>296</v>
      </c>
      <c r="AU78" s="11" t="s">
        <v>299</v>
      </c>
      <c r="AV78" s="15"/>
      <c r="AW78" s="15"/>
      <c r="AX78" s="15"/>
      <c r="AY78" s="15"/>
      <c r="AZ78" s="15"/>
      <c r="BA78" s="15"/>
      <c r="BB78" s="15"/>
      <c r="BC78" s="233"/>
    </row>
    <row r="79" spans="2:55" x14ac:dyDescent="0.3">
      <c r="B79" s="232"/>
      <c r="C79" s="250">
        <f>YEAR(FY_Date)</f>
        <v>2013</v>
      </c>
      <c r="D79" s="263">
        <f ca="1">$G79*$M$12</f>
        <v>0</v>
      </c>
      <c r="E79" s="263">
        <f t="shared" ref="E79:E119" ca="1" si="48">$G79*$M$14/Bbl_to_Mcfe</f>
        <v>0</v>
      </c>
      <c r="F79" s="263">
        <f t="shared" ref="F79:F119" ca="1" si="49">$G79*$M$13/Bbl_to_Mcfe</f>
        <v>0</v>
      </c>
      <c r="G79" s="263">
        <f ca="1">AT79*$AQ$8</f>
        <v>0</v>
      </c>
      <c r="H79" s="15"/>
      <c r="I79" s="264">
        <f ca="1">Assumptions!$O$63</f>
        <v>3.7</v>
      </c>
      <c r="J79" s="264">
        <f ca="1">Assumptions!$P$63</f>
        <v>101</v>
      </c>
      <c r="K79" s="264">
        <f ca="1">J79*$R$7</f>
        <v>50.5</v>
      </c>
      <c r="L79" s="15"/>
      <c r="M79" s="51">
        <f ca="1">I79*$R$5</f>
        <v>3.4779999999999998</v>
      </c>
      <c r="N79" s="51">
        <f ca="1">J79*$R$6</f>
        <v>93.93</v>
      </c>
      <c r="O79" s="51">
        <f ca="1">N79*$R$7</f>
        <v>46.965000000000003</v>
      </c>
      <c r="P79" s="15"/>
      <c r="Q79" s="265">
        <f ca="1">D79*M79</f>
        <v>0</v>
      </c>
      <c r="R79" s="265">
        <f ca="1">E79*N79</f>
        <v>0</v>
      </c>
      <c r="S79" s="265">
        <f ca="1">F79*O79</f>
        <v>0</v>
      </c>
      <c r="T79" s="265">
        <f ca="1">SUM(Q79:S79)</f>
        <v>0</v>
      </c>
      <c r="U79" s="15"/>
      <c r="V79" s="51">
        <f>$M$18</f>
        <v>0.31</v>
      </c>
      <c r="W79" s="265">
        <f ca="1">V79*$G79</f>
        <v>0</v>
      </c>
      <c r="X79" s="51">
        <f>$M$17</f>
        <v>0.37</v>
      </c>
      <c r="Y79" s="265">
        <f ca="1">X79*$G79</f>
        <v>0</v>
      </c>
      <c r="Z79" s="51">
        <f>$M$19</f>
        <v>0.57999999999999996</v>
      </c>
      <c r="AA79" s="265">
        <f ca="1">Z79*$G79</f>
        <v>0</v>
      </c>
      <c r="AB79" s="265">
        <f ca="1">W79+Y79+AA79</f>
        <v>0</v>
      </c>
      <c r="AC79" s="15"/>
      <c r="AD79" s="265">
        <f ca="1">T79-AB79</f>
        <v>0</v>
      </c>
      <c r="AE79" s="265">
        <f t="shared" ref="AE79:AE119" ca="1" si="50">$M$11*(G79/$G$122)*Units</f>
        <v>0</v>
      </c>
      <c r="AF79" s="265">
        <f ca="1">AD79-AE79</f>
        <v>0</v>
      </c>
      <c r="AG79" s="15"/>
      <c r="AH79" s="266">
        <f>FY_Date</f>
        <v>41639</v>
      </c>
      <c r="AI79" s="267">
        <f t="shared" ref="AI79:AI119" si="51">DAYS360(Valuation_Date,AH79)/360-MIN(0.5,0.5*DAYS360(Valuation_Date,AH79)/360)</f>
        <v>8.3333333333333329E-2</v>
      </c>
      <c r="AJ79" s="267">
        <f t="shared" ref="AJ79:AJ119" si="52">1/((1+Discount_Rate)^AI79)</f>
        <v>0.99208894344699095</v>
      </c>
      <c r="AK79" s="265">
        <f ca="1">AF79*AJ79*Stub_Per_Adj</f>
        <v>0</v>
      </c>
      <c r="AL79" s="233"/>
      <c r="AN79" s="232"/>
      <c r="AO79" s="290">
        <f t="shared" ref="AO79:AQ94" si="53">AO29</f>
        <v>0</v>
      </c>
      <c r="AP79" s="250">
        <f t="shared" si="53"/>
        <v>2013</v>
      </c>
      <c r="AQ79" s="250">
        <f t="shared" si="53"/>
        <v>365</v>
      </c>
      <c r="AR79" s="184">
        <f>$Y$7</f>
        <v>132000</v>
      </c>
      <c r="AS79" s="269">
        <f>$Y$16</f>
        <v>631.89125274725279</v>
      </c>
      <c r="AT79" s="302">
        <v>0</v>
      </c>
      <c r="AU79" s="34">
        <f>AR79-AT79</f>
        <v>132000</v>
      </c>
      <c r="AV79" s="15"/>
      <c r="AW79" s="15"/>
      <c r="AX79" s="15"/>
      <c r="AY79" s="15"/>
      <c r="AZ79" s="15"/>
      <c r="BA79" s="15"/>
      <c r="BB79" s="15"/>
      <c r="BC79" s="233"/>
    </row>
    <row r="80" spans="2:55" x14ac:dyDescent="0.3">
      <c r="B80" s="232"/>
      <c r="C80" s="270">
        <f>C79+1</f>
        <v>2014</v>
      </c>
      <c r="D80" s="263">
        <f t="shared" ref="D80:D119" ca="1" si="54">$G80*$M$12</f>
        <v>127699.11504424778</v>
      </c>
      <c r="E80" s="263">
        <f t="shared" ca="1" si="48"/>
        <v>716.81415929203649</v>
      </c>
      <c r="F80" s="263">
        <f t="shared" ca="1" si="49"/>
        <v>0</v>
      </c>
      <c r="G80" s="263">
        <f t="shared" ref="G80:G119" ca="1" si="55">AT80*$AQ$8</f>
        <v>132000</v>
      </c>
      <c r="H80" s="15"/>
      <c r="I80" s="271">
        <f ca="1">Assumptions!$O$64</f>
        <v>3.8</v>
      </c>
      <c r="J80" s="271">
        <f ca="1">Assumptions!$P$64</f>
        <v>92</v>
      </c>
      <c r="K80" s="271">
        <f t="shared" ref="K80:K119" ca="1" si="56">J80*$R$7</f>
        <v>46</v>
      </c>
      <c r="L80" s="15"/>
      <c r="M80" s="35">
        <f t="shared" ref="M80:M119" ca="1" si="57">I80*$R$5</f>
        <v>3.5719999999999996</v>
      </c>
      <c r="N80" s="35">
        <f t="shared" ref="N80:N119" ca="1" si="58">J80*$R$6</f>
        <v>85.56</v>
      </c>
      <c r="O80" s="35">
        <f t="shared" ref="O80:O119" ca="1" si="59">N80*$R$7</f>
        <v>42.78</v>
      </c>
      <c r="P80" s="15"/>
      <c r="Q80" s="34">
        <f t="shared" ref="Q80:Q119" ca="1" si="60">D80*M80</f>
        <v>456141.23893805302</v>
      </c>
      <c r="R80" s="34">
        <f t="shared" ref="R80:R119" ca="1" si="61">E80*N80</f>
        <v>61330.619469026642</v>
      </c>
      <c r="S80" s="34">
        <f t="shared" ref="S80:S119" ca="1" si="62">F80*O80</f>
        <v>0</v>
      </c>
      <c r="T80" s="34">
        <f t="shared" ref="T80:T120" ca="1" si="63">SUM(Q80:S80)</f>
        <v>517471.85840707965</v>
      </c>
      <c r="U80" s="15"/>
      <c r="V80" s="35">
        <f t="shared" ref="V80:V119" si="64">$M$18</f>
        <v>0.31</v>
      </c>
      <c r="W80" s="34">
        <f t="shared" ref="W80:W119" ca="1" si="65">V80*$G80</f>
        <v>40920</v>
      </c>
      <c r="X80" s="35">
        <f t="shared" ref="X80:X119" si="66">$M$17</f>
        <v>0.37</v>
      </c>
      <c r="Y80" s="34">
        <f t="shared" ref="Y80:Y119" ca="1" si="67">X80*$G80</f>
        <v>48840</v>
      </c>
      <c r="Z80" s="35">
        <f t="shared" ref="Z80:Z119" si="68">$M$19</f>
        <v>0.57999999999999996</v>
      </c>
      <c r="AA80" s="34">
        <f t="shared" ref="AA80:AA119" ca="1" si="69">Z80*$G80</f>
        <v>76560</v>
      </c>
      <c r="AB80" s="34">
        <f t="shared" ref="AB80:AB119" ca="1" si="70">W80+Y80+AA80</f>
        <v>166320</v>
      </c>
      <c r="AC80" s="15"/>
      <c r="AD80" s="34">
        <f t="shared" ref="AD80:AD119" ca="1" si="71">T80-AB80</f>
        <v>351151.85840707965</v>
      </c>
      <c r="AE80" s="34">
        <f t="shared" ca="1" si="50"/>
        <v>71000</v>
      </c>
      <c r="AF80" s="34">
        <f t="shared" ref="AF80:AF119" ca="1" si="72">AD80-AE80</f>
        <v>280151.85840707965</v>
      </c>
      <c r="AG80" s="15"/>
      <c r="AH80" s="272">
        <f>EOMONTH(AH79,12)</f>
        <v>42004</v>
      </c>
      <c r="AI80" s="267">
        <f t="shared" si="51"/>
        <v>0.66666666666666674</v>
      </c>
      <c r="AJ80" s="267">
        <f t="shared" si="52"/>
        <v>0.93843646859669738</v>
      </c>
      <c r="AK80" s="34">
        <f ca="1">AF80*AJ80</f>
        <v>262904.72067434184</v>
      </c>
      <c r="AL80" s="233"/>
      <c r="AN80" s="232"/>
      <c r="AO80" s="250">
        <f t="shared" si="53"/>
        <v>1</v>
      </c>
      <c r="AP80" s="237">
        <f t="shared" si="53"/>
        <v>2014</v>
      </c>
      <c r="AQ80" s="250">
        <f t="shared" si="53"/>
        <v>365</v>
      </c>
      <c r="AR80" s="34">
        <f>AU79</f>
        <v>132000</v>
      </c>
      <c r="AS80" s="269">
        <f>AS79*(1-$AQ$25)</f>
        <v>558.81122102647385</v>
      </c>
      <c r="AT80" s="263">
        <f>MIN(AS80*AQ80,AR80)</f>
        <v>132000</v>
      </c>
      <c r="AU80" s="34">
        <f>AR80-AT80</f>
        <v>0</v>
      </c>
      <c r="AV80" s="15"/>
      <c r="AW80" s="15"/>
      <c r="AX80" s="15"/>
      <c r="AY80" s="15"/>
      <c r="AZ80" s="15"/>
      <c r="BA80" s="15"/>
      <c r="BB80" s="15"/>
      <c r="BC80" s="233"/>
    </row>
    <row r="81" spans="2:55" x14ac:dyDescent="0.3">
      <c r="B81" s="232"/>
      <c r="C81" s="250">
        <f t="shared" ref="C81:C119" si="73">C80+1</f>
        <v>2015</v>
      </c>
      <c r="D81" s="263">
        <f t="shared" ca="1" si="54"/>
        <v>0</v>
      </c>
      <c r="E81" s="263">
        <f t="shared" ca="1" si="48"/>
        <v>0</v>
      </c>
      <c r="F81" s="263">
        <f t="shared" ca="1" si="49"/>
        <v>0</v>
      </c>
      <c r="G81" s="263">
        <f t="shared" ca="1" si="55"/>
        <v>0</v>
      </c>
      <c r="H81" s="15"/>
      <c r="I81" s="271">
        <f ca="1">Assumptions!$O$65</f>
        <v>4</v>
      </c>
      <c r="J81" s="271">
        <f ca="1">Assumptions!$P$65</f>
        <v>88</v>
      </c>
      <c r="K81" s="271">
        <f t="shared" ca="1" si="56"/>
        <v>44</v>
      </c>
      <c r="L81" s="15"/>
      <c r="M81" s="35">
        <f t="shared" ca="1" si="57"/>
        <v>3.76</v>
      </c>
      <c r="N81" s="35">
        <f t="shared" ca="1" si="58"/>
        <v>81.84</v>
      </c>
      <c r="O81" s="35">
        <f t="shared" ca="1" si="59"/>
        <v>40.92</v>
      </c>
      <c r="P81" s="15"/>
      <c r="Q81" s="34">
        <f t="shared" ca="1" si="60"/>
        <v>0</v>
      </c>
      <c r="R81" s="34">
        <f t="shared" ca="1" si="61"/>
        <v>0</v>
      </c>
      <c r="S81" s="34">
        <f t="shared" ca="1" si="62"/>
        <v>0</v>
      </c>
      <c r="T81" s="34">
        <f t="shared" ca="1" si="63"/>
        <v>0</v>
      </c>
      <c r="U81" s="15"/>
      <c r="V81" s="35">
        <f t="shared" si="64"/>
        <v>0.31</v>
      </c>
      <c r="W81" s="34">
        <f t="shared" ca="1" si="65"/>
        <v>0</v>
      </c>
      <c r="X81" s="35">
        <f t="shared" si="66"/>
        <v>0.37</v>
      </c>
      <c r="Y81" s="34">
        <f t="shared" ca="1" si="67"/>
        <v>0</v>
      </c>
      <c r="Z81" s="35">
        <f t="shared" si="68"/>
        <v>0.57999999999999996</v>
      </c>
      <c r="AA81" s="34">
        <f t="shared" ca="1" si="69"/>
        <v>0</v>
      </c>
      <c r="AB81" s="34">
        <f t="shared" ca="1" si="70"/>
        <v>0</v>
      </c>
      <c r="AC81" s="15"/>
      <c r="AD81" s="34">
        <f t="shared" ca="1" si="71"/>
        <v>0</v>
      </c>
      <c r="AE81" s="34">
        <f t="shared" ca="1" si="50"/>
        <v>0</v>
      </c>
      <c r="AF81" s="34">
        <f t="shared" ca="1" si="72"/>
        <v>0</v>
      </c>
      <c r="AG81" s="15"/>
      <c r="AH81" s="273">
        <f t="shared" ref="AH81:AH119" si="74">EOMONTH(AH80,12)</f>
        <v>42369</v>
      </c>
      <c r="AI81" s="267">
        <f t="shared" si="51"/>
        <v>1.6666666666666665</v>
      </c>
      <c r="AJ81" s="267">
        <f t="shared" si="52"/>
        <v>0.85312406236063398</v>
      </c>
      <c r="AK81" s="34">
        <f t="shared" ref="AK81:AK119" ca="1" si="75">AF81*AJ81</f>
        <v>0</v>
      </c>
      <c r="AL81" s="233"/>
      <c r="AN81" s="232"/>
      <c r="AO81" s="237">
        <f t="shared" si="53"/>
        <v>2</v>
      </c>
      <c r="AP81" s="237">
        <f t="shared" si="53"/>
        <v>2015</v>
      </c>
      <c r="AQ81" s="250">
        <f t="shared" si="53"/>
        <v>365</v>
      </c>
      <c r="AR81" s="34">
        <f t="shared" ref="AR81:AR119" si="76">AU80</f>
        <v>0</v>
      </c>
      <c r="AS81" s="269">
        <f t="shared" ref="AS81:AS119" si="77">AS80*(1-$AQ$25)</f>
        <v>494.18310411396368</v>
      </c>
      <c r="AT81" s="263">
        <f t="shared" ref="AT81:AT119" si="78">MIN(AS81*AQ81,AR81)</f>
        <v>0</v>
      </c>
      <c r="AU81" s="34">
        <f t="shared" ref="AU81:AU119" si="79">AR81-AT81</f>
        <v>0</v>
      </c>
      <c r="AV81" s="15"/>
      <c r="AW81" s="15"/>
      <c r="AX81" s="15"/>
      <c r="AY81" s="15"/>
      <c r="AZ81" s="15"/>
      <c r="BA81" s="15"/>
      <c r="BB81" s="15"/>
      <c r="BC81" s="233"/>
    </row>
    <row r="82" spans="2:55" x14ac:dyDescent="0.3">
      <c r="B82" s="232"/>
      <c r="C82" s="250">
        <f t="shared" si="73"/>
        <v>2016</v>
      </c>
      <c r="D82" s="263">
        <f t="shared" ca="1" si="54"/>
        <v>0</v>
      </c>
      <c r="E82" s="263">
        <f t="shared" ca="1" si="48"/>
        <v>0</v>
      </c>
      <c r="F82" s="263">
        <f t="shared" ca="1" si="49"/>
        <v>0</v>
      </c>
      <c r="G82" s="263">
        <f t="shared" ca="1" si="55"/>
        <v>0</v>
      </c>
      <c r="H82" s="15"/>
      <c r="I82" s="271">
        <f ca="1">Assumptions!$O$66</f>
        <v>4.0999999999999996</v>
      </c>
      <c r="J82" s="271">
        <f ca="1">Assumptions!$P$66</f>
        <v>84</v>
      </c>
      <c r="K82" s="271">
        <f t="shared" ca="1" si="56"/>
        <v>42</v>
      </c>
      <c r="L82" s="15"/>
      <c r="M82" s="35">
        <f t="shared" ca="1" si="57"/>
        <v>3.8539999999999996</v>
      </c>
      <c r="N82" s="35">
        <f t="shared" ca="1" si="58"/>
        <v>78.12</v>
      </c>
      <c r="O82" s="35">
        <f t="shared" ca="1" si="59"/>
        <v>39.06</v>
      </c>
      <c r="P82" s="15"/>
      <c r="Q82" s="34">
        <f t="shared" ca="1" si="60"/>
        <v>0</v>
      </c>
      <c r="R82" s="34">
        <f t="shared" ca="1" si="61"/>
        <v>0</v>
      </c>
      <c r="S82" s="34">
        <f t="shared" ca="1" si="62"/>
        <v>0</v>
      </c>
      <c r="T82" s="34">
        <f t="shared" ca="1" si="63"/>
        <v>0</v>
      </c>
      <c r="U82" s="15"/>
      <c r="V82" s="35">
        <f t="shared" si="64"/>
        <v>0.31</v>
      </c>
      <c r="W82" s="34">
        <f t="shared" ca="1" si="65"/>
        <v>0</v>
      </c>
      <c r="X82" s="35">
        <f t="shared" si="66"/>
        <v>0.37</v>
      </c>
      <c r="Y82" s="34">
        <f t="shared" ca="1" si="67"/>
        <v>0</v>
      </c>
      <c r="Z82" s="35">
        <f t="shared" si="68"/>
        <v>0.57999999999999996</v>
      </c>
      <c r="AA82" s="34">
        <f t="shared" ca="1" si="69"/>
        <v>0</v>
      </c>
      <c r="AB82" s="34">
        <f t="shared" ca="1" si="70"/>
        <v>0</v>
      </c>
      <c r="AC82" s="15"/>
      <c r="AD82" s="34">
        <f t="shared" ca="1" si="71"/>
        <v>0</v>
      </c>
      <c r="AE82" s="34">
        <f t="shared" ca="1" si="50"/>
        <v>0</v>
      </c>
      <c r="AF82" s="34">
        <f t="shared" ca="1" si="72"/>
        <v>0</v>
      </c>
      <c r="AG82" s="15"/>
      <c r="AH82" s="273">
        <f t="shared" si="74"/>
        <v>42735</v>
      </c>
      <c r="AI82" s="267">
        <f t="shared" si="51"/>
        <v>2.6666666666666665</v>
      </c>
      <c r="AJ82" s="267">
        <f t="shared" si="52"/>
        <v>0.77556732941875806</v>
      </c>
      <c r="AK82" s="34">
        <f t="shared" ca="1" si="75"/>
        <v>0</v>
      </c>
      <c r="AL82" s="233"/>
      <c r="AN82" s="232"/>
      <c r="AO82" s="237">
        <f t="shared" si="53"/>
        <v>3</v>
      </c>
      <c r="AP82" s="237">
        <f t="shared" si="53"/>
        <v>2016</v>
      </c>
      <c r="AQ82" s="250">
        <f t="shared" si="53"/>
        <v>366</v>
      </c>
      <c r="AR82" s="34">
        <f t="shared" si="76"/>
        <v>0</v>
      </c>
      <c r="AS82" s="269">
        <f t="shared" si="77"/>
        <v>437.02941387453427</v>
      </c>
      <c r="AT82" s="263">
        <f t="shared" si="78"/>
        <v>0</v>
      </c>
      <c r="AU82" s="34">
        <f t="shared" si="79"/>
        <v>0</v>
      </c>
      <c r="AV82" s="15"/>
      <c r="AW82" s="15"/>
      <c r="AX82" s="15"/>
      <c r="AY82" s="15"/>
      <c r="AZ82" s="15"/>
      <c r="BA82" s="15"/>
      <c r="BB82" s="15"/>
      <c r="BC82" s="233"/>
    </row>
    <row r="83" spans="2:55" x14ac:dyDescent="0.3">
      <c r="B83" s="232"/>
      <c r="C83" s="250">
        <f t="shared" si="73"/>
        <v>2017</v>
      </c>
      <c r="D83" s="263">
        <f t="shared" ca="1" si="54"/>
        <v>0</v>
      </c>
      <c r="E83" s="263">
        <f t="shared" ca="1" si="48"/>
        <v>0</v>
      </c>
      <c r="F83" s="263">
        <f t="shared" ca="1" si="49"/>
        <v>0</v>
      </c>
      <c r="G83" s="263">
        <f t="shared" ca="1" si="55"/>
        <v>0</v>
      </c>
      <c r="H83" s="15"/>
      <c r="I83" s="271">
        <f ca="1">Assumptions!$O$67</f>
        <v>4.2</v>
      </c>
      <c r="J83" s="271">
        <f ca="1">Assumptions!$P$67</f>
        <v>82</v>
      </c>
      <c r="K83" s="271">
        <f t="shared" ca="1" si="56"/>
        <v>41</v>
      </c>
      <c r="L83" s="15"/>
      <c r="M83" s="35">
        <f t="shared" ca="1" si="57"/>
        <v>3.948</v>
      </c>
      <c r="N83" s="35">
        <f t="shared" ca="1" si="58"/>
        <v>76.260000000000005</v>
      </c>
      <c r="O83" s="35">
        <f t="shared" ca="1" si="59"/>
        <v>38.130000000000003</v>
      </c>
      <c r="P83" s="15"/>
      <c r="Q83" s="34">
        <f t="shared" ca="1" si="60"/>
        <v>0</v>
      </c>
      <c r="R83" s="34">
        <f t="shared" ca="1" si="61"/>
        <v>0</v>
      </c>
      <c r="S83" s="34">
        <f t="shared" ca="1" si="62"/>
        <v>0</v>
      </c>
      <c r="T83" s="34">
        <f t="shared" ca="1" si="63"/>
        <v>0</v>
      </c>
      <c r="U83" s="15"/>
      <c r="V83" s="35">
        <f t="shared" si="64"/>
        <v>0.31</v>
      </c>
      <c r="W83" s="34">
        <f t="shared" ca="1" si="65"/>
        <v>0</v>
      </c>
      <c r="X83" s="35">
        <f t="shared" si="66"/>
        <v>0.37</v>
      </c>
      <c r="Y83" s="34">
        <f t="shared" ca="1" si="67"/>
        <v>0</v>
      </c>
      <c r="Z83" s="35">
        <f t="shared" si="68"/>
        <v>0.57999999999999996</v>
      </c>
      <c r="AA83" s="34">
        <f t="shared" ca="1" si="69"/>
        <v>0</v>
      </c>
      <c r="AB83" s="34">
        <f t="shared" ca="1" si="70"/>
        <v>0</v>
      </c>
      <c r="AC83" s="15"/>
      <c r="AD83" s="34">
        <f t="shared" ca="1" si="71"/>
        <v>0</v>
      </c>
      <c r="AE83" s="34">
        <f t="shared" ca="1" si="50"/>
        <v>0</v>
      </c>
      <c r="AF83" s="34">
        <f t="shared" ca="1" si="72"/>
        <v>0</v>
      </c>
      <c r="AG83" s="15"/>
      <c r="AH83" s="273">
        <f t="shared" si="74"/>
        <v>43100</v>
      </c>
      <c r="AI83" s="267">
        <f t="shared" si="51"/>
        <v>3.666666666666667</v>
      </c>
      <c r="AJ83" s="267">
        <f t="shared" si="52"/>
        <v>0.7050612085625072</v>
      </c>
      <c r="AK83" s="34">
        <f t="shared" ca="1" si="75"/>
        <v>0</v>
      </c>
      <c r="AL83" s="233"/>
      <c r="AN83" s="232"/>
      <c r="AO83" s="237">
        <f t="shared" si="53"/>
        <v>4</v>
      </c>
      <c r="AP83" s="237">
        <f t="shared" si="53"/>
        <v>2017</v>
      </c>
      <c r="AQ83" s="250">
        <f t="shared" si="53"/>
        <v>365</v>
      </c>
      <c r="AR83" s="34">
        <f t="shared" si="76"/>
        <v>0</v>
      </c>
      <c r="AS83" s="269">
        <f t="shared" si="77"/>
        <v>386.48571147319848</v>
      </c>
      <c r="AT83" s="263">
        <f t="shared" si="78"/>
        <v>0</v>
      </c>
      <c r="AU83" s="34">
        <f t="shared" si="79"/>
        <v>0</v>
      </c>
      <c r="AV83" s="15"/>
      <c r="AW83" s="15"/>
      <c r="AX83" s="15"/>
      <c r="AY83" s="15"/>
      <c r="AZ83" s="15"/>
      <c r="BA83" s="15"/>
      <c r="BB83" s="15"/>
      <c r="BC83" s="233"/>
    </row>
    <row r="84" spans="2:55" x14ac:dyDescent="0.3">
      <c r="B84" s="232"/>
      <c r="C84" s="250">
        <f t="shared" si="73"/>
        <v>2018</v>
      </c>
      <c r="D84" s="263">
        <f t="shared" ca="1" si="54"/>
        <v>0</v>
      </c>
      <c r="E84" s="263">
        <f t="shared" ca="1" si="48"/>
        <v>0</v>
      </c>
      <c r="F84" s="263">
        <f t="shared" ca="1" si="49"/>
        <v>0</v>
      </c>
      <c r="G84" s="263">
        <f t="shared" ca="1" si="55"/>
        <v>0</v>
      </c>
      <c r="H84" s="15"/>
      <c r="I84" s="271">
        <f ca="1">Assumptions!$O$68</f>
        <v>4.5</v>
      </c>
      <c r="J84" s="271">
        <f ca="1">Assumptions!$P$68</f>
        <v>80</v>
      </c>
      <c r="K84" s="271">
        <f t="shared" ca="1" si="56"/>
        <v>40</v>
      </c>
      <c r="L84" s="15"/>
      <c r="M84" s="35">
        <f t="shared" ca="1" si="57"/>
        <v>4.2299999999999995</v>
      </c>
      <c r="N84" s="35">
        <f t="shared" ca="1" si="58"/>
        <v>74.400000000000006</v>
      </c>
      <c r="O84" s="35">
        <f t="shared" ca="1" si="59"/>
        <v>37.200000000000003</v>
      </c>
      <c r="P84" s="15"/>
      <c r="Q84" s="34">
        <f t="shared" ca="1" si="60"/>
        <v>0</v>
      </c>
      <c r="R84" s="34">
        <f t="shared" ca="1" si="61"/>
        <v>0</v>
      </c>
      <c r="S84" s="34">
        <f t="shared" ca="1" si="62"/>
        <v>0</v>
      </c>
      <c r="T84" s="34">
        <f t="shared" ca="1" si="63"/>
        <v>0</v>
      </c>
      <c r="U84" s="15"/>
      <c r="V84" s="35">
        <f t="shared" si="64"/>
        <v>0.31</v>
      </c>
      <c r="W84" s="34">
        <f t="shared" ca="1" si="65"/>
        <v>0</v>
      </c>
      <c r="X84" s="35">
        <f t="shared" si="66"/>
        <v>0.37</v>
      </c>
      <c r="Y84" s="34">
        <f t="shared" ca="1" si="67"/>
        <v>0</v>
      </c>
      <c r="Z84" s="35">
        <f t="shared" si="68"/>
        <v>0.57999999999999996</v>
      </c>
      <c r="AA84" s="34">
        <f t="shared" ca="1" si="69"/>
        <v>0</v>
      </c>
      <c r="AB84" s="34">
        <f t="shared" ca="1" si="70"/>
        <v>0</v>
      </c>
      <c r="AC84" s="15"/>
      <c r="AD84" s="34">
        <f t="shared" ca="1" si="71"/>
        <v>0</v>
      </c>
      <c r="AE84" s="34">
        <f t="shared" ca="1" si="50"/>
        <v>0</v>
      </c>
      <c r="AF84" s="34">
        <f t="shared" ca="1" si="72"/>
        <v>0</v>
      </c>
      <c r="AG84" s="15"/>
      <c r="AH84" s="273">
        <f t="shared" si="74"/>
        <v>43465</v>
      </c>
      <c r="AI84" s="267">
        <f t="shared" si="51"/>
        <v>4.666666666666667</v>
      </c>
      <c r="AJ84" s="267">
        <f t="shared" si="52"/>
        <v>0.64096473505682472</v>
      </c>
      <c r="AK84" s="34">
        <f t="shared" ca="1" si="75"/>
        <v>0</v>
      </c>
      <c r="AL84" s="233"/>
      <c r="AN84" s="232"/>
      <c r="AO84" s="237">
        <f t="shared" si="53"/>
        <v>5</v>
      </c>
      <c r="AP84" s="237">
        <f t="shared" si="53"/>
        <v>2018</v>
      </c>
      <c r="AQ84" s="250">
        <f t="shared" si="53"/>
        <v>365</v>
      </c>
      <c r="AR84" s="34">
        <f t="shared" si="76"/>
        <v>0</v>
      </c>
      <c r="AS84" s="269">
        <f t="shared" si="77"/>
        <v>341.78753290007853</v>
      </c>
      <c r="AT84" s="263">
        <f t="shared" si="78"/>
        <v>0</v>
      </c>
      <c r="AU84" s="34">
        <f t="shared" si="79"/>
        <v>0</v>
      </c>
      <c r="AV84" s="15"/>
      <c r="AW84" s="15"/>
      <c r="AX84" s="15"/>
      <c r="AY84" s="15"/>
      <c r="AZ84" s="15"/>
      <c r="BA84" s="15"/>
      <c r="BB84" s="15"/>
      <c r="BC84" s="233"/>
    </row>
    <row r="85" spans="2:55" x14ac:dyDescent="0.3">
      <c r="B85" s="232"/>
      <c r="C85" s="250">
        <f t="shared" si="73"/>
        <v>2019</v>
      </c>
      <c r="D85" s="263">
        <f t="shared" ca="1" si="54"/>
        <v>0</v>
      </c>
      <c r="E85" s="263">
        <f t="shared" ca="1" si="48"/>
        <v>0</v>
      </c>
      <c r="F85" s="263">
        <f t="shared" ca="1" si="49"/>
        <v>0</v>
      </c>
      <c r="G85" s="263">
        <f t="shared" ca="1" si="55"/>
        <v>0</v>
      </c>
      <c r="H85" s="15"/>
      <c r="I85" s="271">
        <f ca="1">Assumptions!$O$68</f>
        <v>4.5</v>
      </c>
      <c r="J85" s="271">
        <f ca="1">Assumptions!$P$68</f>
        <v>80</v>
      </c>
      <c r="K85" s="271">
        <f t="shared" ca="1" si="56"/>
        <v>40</v>
      </c>
      <c r="L85" s="15"/>
      <c r="M85" s="35">
        <f t="shared" ca="1" si="57"/>
        <v>4.2299999999999995</v>
      </c>
      <c r="N85" s="35">
        <f t="shared" ca="1" si="58"/>
        <v>74.400000000000006</v>
      </c>
      <c r="O85" s="35">
        <f t="shared" ca="1" si="59"/>
        <v>37.200000000000003</v>
      </c>
      <c r="P85" s="15"/>
      <c r="Q85" s="34">
        <f t="shared" ca="1" si="60"/>
        <v>0</v>
      </c>
      <c r="R85" s="34">
        <f t="shared" ca="1" si="61"/>
        <v>0</v>
      </c>
      <c r="S85" s="34">
        <f t="shared" ca="1" si="62"/>
        <v>0</v>
      </c>
      <c r="T85" s="34">
        <f t="shared" ca="1" si="63"/>
        <v>0</v>
      </c>
      <c r="U85" s="15"/>
      <c r="V85" s="35">
        <f t="shared" si="64"/>
        <v>0.31</v>
      </c>
      <c r="W85" s="34">
        <f t="shared" ca="1" si="65"/>
        <v>0</v>
      </c>
      <c r="X85" s="35">
        <f t="shared" si="66"/>
        <v>0.37</v>
      </c>
      <c r="Y85" s="34">
        <f t="shared" ca="1" si="67"/>
        <v>0</v>
      </c>
      <c r="Z85" s="35">
        <f t="shared" si="68"/>
        <v>0.57999999999999996</v>
      </c>
      <c r="AA85" s="34">
        <f t="shared" ca="1" si="69"/>
        <v>0</v>
      </c>
      <c r="AB85" s="34">
        <f t="shared" ca="1" si="70"/>
        <v>0</v>
      </c>
      <c r="AC85" s="15"/>
      <c r="AD85" s="34">
        <f t="shared" ca="1" si="71"/>
        <v>0</v>
      </c>
      <c r="AE85" s="34">
        <f t="shared" ca="1" si="50"/>
        <v>0</v>
      </c>
      <c r="AF85" s="34">
        <f t="shared" ca="1" si="72"/>
        <v>0</v>
      </c>
      <c r="AG85" s="15"/>
      <c r="AH85" s="273">
        <f t="shared" si="74"/>
        <v>43830</v>
      </c>
      <c r="AI85" s="267">
        <f t="shared" si="51"/>
        <v>5.666666666666667</v>
      </c>
      <c r="AJ85" s="267">
        <f t="shared" si="52"/>
        <v>0.58269521368802246</v>
      </c>
      <c r="AK85" s="34">
        <f t="shared" ca="1" si="75"/>
        <v>0</v>
      </c>
      <c r="AL85" s="233"/>
      <c r="AN85" s="232"/>
      <c r="AO85" s="237">
        <f t="shared" si="53"/>
        <v>6</v>
      </c>
      <c r="AP85" s="237">
        <f t="shared" si="53"/>
        <v>2019</v>
      </c>
      <c r="AQ85" s="250">
        <f t="shared" si="53"/>
        <v>365</v>
      </c>
      <c r="AR85" s="34">
        <f t="shared" si="76"/>
        <v>0</v>
      </c>
      <c r="AS85" s="269">
        <f t="shared" si="77"/>
        <v>302.25882659577508</v>
      </c>
      <c r="AT85" s="263">
        <f t="shared" si="78"/>
        <v>0</v>
      </c>
      <c r="AU85" s="34">
        <f t="shared" si="79"/>
        <v>0</v>
      </c>
      <c r="AV85" s="15"/>
      <c r="AW85" s="15"/>
      <c r="AX85" s="15"/>
      <c r="AY85" s="15"/>
      <c r="AZ85" s="15"/>
      <c r="BA85" s="15"/>
      <c r="BB85" s="15"/>
      <c r="BC85" s="233"/>
    </row>
    <row r="86" spans="2:55" x14ac:dyDescent="0.3">
      <c r="B86" s="232"/>
      <c r="C86" s="250">
        <f t="shared" si="73"/>
        <v>2020</v>
      </c>
      <c r="D86" s="263">
        <f t="shared" ca="1" si="54"/>
        <v>0</v>
      </c>
      <c r="E86" s="263">
        <f t="shared" ca="1" si="48"/>
        <v>0</v>
      </c>
      <c r="F86" s="263">
        <f t="shared" ca="1" si="49"/>
        <v>0</v>
      </c>
      <c r="G86" s="263">
        <f t="shared" ca="1" si="55"/>
        <v>0</v>
      </c>
      <c r="H86" s="15"/>
      <c r="I86" s="271">
        <f ca="1">Assumptions!$O$68</f>
        <v>4.5</v>
      </c>
      <c r="J86" s="271">
        <f ca="1">Assumptions!$P$68</f>
        <v>80</v>
      </c>
      <c r="K86" s="271">
        <f t="shared" ca="1" si="56"/>
        <v>40</v>
      </c>
      <c r="L86" s="15"/>
      <c r="M86" s="35">
        <f t="shared" ca="1" si="57"/>
        <v>4.2299999999999995</v>
      </c>
      <c r="N86" s="35">
        <f t="shared" ca="1" si="58"/>
        <v>74.400000000000006</v>
      </c>
      <c r="O86" s="35">
        <f t="shared" ca="1" si="59"/>
        <v>37.200000000000003</v>
      </c>
      <c r="P86" s="15"/>
      <c r="Q86" s="34">
        <f t="shared" ca="1" si="60"/>
        <v>0</v>
      </c>
      <c r="R86" s="34">
        <f t="shared" ca="1" si="61"/>
        <v>0</v>
      </c>
      <c r="S86" s="34">
        <f t="shared" ca="1" si="62"/>
        <v>0</v>
      </c>
      <c r="T86" s="34">
        <f t="shared" ca="1" si="63"/>
        <v>0</v>
      </c>
      <c r="U86" s="15"/>
      <c r="V86" s="35">
        <f t="shared" si="64"/>
        <v>0.31</v>
      </c>
      <c r="W86" s="34">
        <f t="shared" ca="1" si="65"/>
        <v>0</v>
      </c>
      <c r="X86" s="35">
        <f t="shared" si="66"/>
        <v>0.37</v>
      </c>
      <c r="Y86" s="34">
        <f t="shared" ca="1" si="67"/>
        <v>0</v>
      </c>
      <c r="Z86" s="35">
        <f t="shared" si="68"/>
        <v>0.57999999999999996</v>
      </c>
      <c r="AA86" s="34">
        <f t="shared" ca="1" si="69"/>
        <v>0</v>
      </c>
      <c r="AB86" s="34">
        <f t="shared" ca="1" si="70"/>
        <v>0</v>
      </c>
      <c r="AC86" s="15"/>
      <c r="AD86" s="34">
        <f t="shared" ca="1" si="71"/>
        <v>0</v>
      </c>
      <c r="AE86" s="34">
        <f t="shared" ca="1" si="50"/>
        <v>0</v>
      </c>
      <c r="AF86" s="34">
        <f t="shared" ca="1" si="72"/>
        <v>0</v>
      </c>
      <c r="AG86" s="15"/>
      <c r="AH86" s="273">
        <f t="shared" si="74"/>
        <v>44196</v>
      </c>
      <c r="AI86" s="267">
        <f t="shared" si="51"/>
        <v>6.666666666666667</v>
      </c>
      <c r="AJ86" s="267">
        <f t="shared" si="52"/>
        <v>0.52972292153456579</v>
      </c>
      <c r="AK86" s="34">
        <f t="shared" ca="1" si="75"/>
        <v>0</v>
      </c>
      <c r="AL86" s="233"/>
      <c r="AN86" s="232"/>
      <c r="AO86" s="237">
        <f t="shared" si="53"/>
        <v>7</v>
      </c>
      <c r="AP86" s="237">
        <f t="shared" si="53"/>
        <v>2020</v>
      </c>
      <c r="AQ86" s="250">
        <f t="shared" si="53"/>
        <v>366</v>
      </c>
      <c r="AR86" s="34">
        <f t="shared" si="76"/>
        <v>0</v>
      </c>
      <c r="AS86" s="269">
        <f t="shared" si="77"/>
        <v>267.30172829845145</v>
      </c>
      <c r="AT86" s="263">
        <f t="shared" si="78"/>
        <v>0</v>
      </c>
      <c r="AU86" s="34">
        <f t="shared" si="79"/>
        <v>0</v>
      </c>
      <c r="AV86" s="15"/>
      <c r="AW86" s="15"/>
      <c r="AX86" s="15"/>
      <c r="AY86" s="15"/>
      <c r="AZ86" s="15"/>
      <c r="BA86" s="15"/>
      <c r="BB86" s="15"/>
      <c r="BC86" s="233"/>
    </row>
    <row r="87" spans="2:55" x14ac:dyDescent="0.3">
      <c r="B87" s="232"/>
      <c r="C87" s="250">
        <f t="shared" si="73"/>
        <v>2021</v>
      </c>
      <c r="D87" s="263">
        <f t="shared" ca="1" si="54"/>
        <v>0</v>
      </c>
      <c r="E87" s="263">
        <f t="shared" ca="1" si="48"/>
        <v>0</v>
      </c>
      <c r="F87" s="263">
        <f t="shared" ca="1" si="49"/>
        <v>0</v>
      </c>
      <c r="G87" s="263">
        <f t="shared" ca="1" si="55"/>
        <v>0</v>
      </c>
      <c r="H87" s="15"/>
      <c r="I87" s="271">
        <f ca="1">Assumptions!$O$68</f>
        <v>4.5</v>
      </c>
      <c r="J87" s="271">
        <f ca="1">Assumptions!$P$68</f>
        <v>80</v>
      </c>
      <c r="K87" s="271">
        <f t="shared" ca="1" si="56"/>
        <v>40</v>
      </c>
      <c r="L87" s="15"/>
      <c r="M87" s="35">
        <f t="shared" ca="1" si="57"/>
        <v>4.2299999999999995</v>
      </c>
      <c r="N87" s="35">
        <f t="shared" ca="1" si="58"/>
        <v>74.400000000000006</v>
      </c>
      <c r="O87" s="35">
        <f t="shared" ca="1" si="59"/>
        <v>37.200000000000003</v>
      </c>
      <c r="P87" s="15"/>
      <c r="Q87" s="34">
        <f t="shared" ca="1" si="60"/>
        <v>0</v>
      </c>
      <c r="R87" s="34">
        <f t="shared" ca="1" si="61"/>
        <v>0</v>
      </c>
      <c r="S87" s="34">
        <f t="shared" ca="1" si="62"/>
        <v>0</v>
      </c>
      <c r="T87" s="34">
        <f t="shared" ca="1" si="63"/>
        <v>0</v>
      </c>
      <c r="U87" s="15"/>
      <c r="V87" s="35">
        <f t="shared" si="64"/>
        <v>0.31</v>
      </c>
      <c r="W87" s="34">
        <f t="shared" ca="1" si="65"/>
        <v>0</v>
      </c>
      <c r="X87" s="35">
        <f t="shared" si="66"/>
        <v>0.37</v>
      </c>
      <c r="Y87" s="34">
        <f t="shared" ca="1" si="67"/>
        <v>0</v>
      </c>
      <c r="Z87" s="35">
        <f t="shared" si="68"/>
        <v>0.57999999999999996</v>
      </c>
      <c r="AA87" s="34">
        <f t="shared" ca="1" si="69"/>
        <v>0</v>
      </c>
      <c r="AB87" s="34">
        <f t="shared" ca="1" si="70"/>
        <v>0</v>
      </c>
      <c r="AC87" s="15"/>
      <c r="AD87" s="34">
        <f t="shared" ca="1" si="71"/>
        <v>0</v>
      </c>
      <c r="AE87" s="34">
        <f t="shared" ca="1" si="50"/>
        <v>0</v>
      </c>
      <c r="AF87" s="34">
        <f t="shared" ca="1" si="72"/>
        <v>0</v>
      </c>
      <c r="AG87" s="15"/>
      <c r="AH87" s="273">
        <f t="shared" si="74"/>
        <v>44561</v>
      </c>
      <c r="AI87" s="267">
        <f t="shared" si="51"/>
        <v>7.6666666666666661</v>
      </c>
      <c r="AJ87" s="267">
        <f t="shared" si="52"/>
        <v>0.48156629230415066</v>
      </c>
      <c r="AK87" s="34">
        <f t="shared" ca="1" si="75"/>
        <v>0</v>
      </c>
      <c r="AL87" s="233"/>
      <c r="AN87" s="232"/>
      <c r="AO87" s="237">
        <f t="shared" si="53"/>
        <v>8</v>
      </c>
      <c r="AP87" s="237">
        <f t="shared" si="53"/>
        <v>2021</v>
      </c>
      <c r="AQ87" s="250">
        <f t="shared" si="53"/>
        <v>365</v>
      </c>
      <c r="AR87" s="34">
        <f t="shared" si="76"/>
        <v>0</v>
      </c>
      <c r="AS87" s="269">
        <f t="shared" si="77"/>
        <v>236.3875184591148</v>
      </c>
      <c r="AT87" s="263">
        <f t="shared" si="78"/>
        <v>0</v>
      </c>
      <c r="AU87" s="34">
        <f t="shared" si="79"/>
        <v>0</v>
      </c>
      <c r="AV87" s="15"/>
      <c r="AW87" s="15"/>
      <c r="AX87" s="15"/>
      <c r="AY87" s="15"/>
      <c r="AZ87" s="15"/>
      <c r="BA87" s="15"/>
      <c r="BB87" s="15"/>
      <c r="BC87" s="233"/>
    </row>
    <row r="88" spans="2:55" x14ac:dyDescent="0.3">
      <c r="B88" s="232"/>
      <c r="C88" s="250">
        <f t="shared" si="73"/>
        <v>2022</v>
      </c>
      <c r="D88" s="263">
        <f t="shared" ca="1" si="54"/>
        <v>0</v>
      </c>
      <c r="E88" s="263">
        <f t="shared" ca="1" si="48"/>
        <v>0</v>
      </c>
      <c r="F88" s="263">
        <f t="shared" ca="1" si="49"/>
        <v>0</v>
      </c>
      <c r="G88" s="263">
        <f t="shared" ca="1" si="55"/>
        <v>0</v>
      </c>
      <c r="H88" s="15"/>
      <c r="I88" s="271">
        <f ca="1">Assumptions!$O$68</f>
        <v>4.5</v>
      </c>
      <c r="J88" s="271">
        <f ca="1">Assumptions!$P$68</f>
        <v>80</v>
      </c>
      <c r="K88" s="271">
        <f t="shared" ca="1" si="56"/>
        <v>40</v>
      </c>
      <c r="L88" s="15"/>
      <c r="M88" s="35">
        <f t="shared" ca="1" si="57"/>
        <v>4.2299999999999995</v>
      </c>
      <c r="N88" s="35">
        <f t="shared" ca="1" si="58"/>
        <v>74.400000000000006</v>
      </c>
      <c r="O88" s="35">
        <f t="shared" ca="1" si="59"/>
        <v>37.200000000000003</v>
      </c>
      <c r="P88" s="15"/>
      <c r="Q88" s="34">
        <f t="shared" ca="1" si="60"/>
        <v>0</v>
      </c>
      <c r="R88" s="34">
        <f t="shared" ca="1" si="61"/>
        <v>0</v>
      </c>
      <c r="S88" s="34">
        <f t="shared" ca="1" si="62"/>
        <v>0</v>
      </c>
      <c r="T88" s="34">
        <f t="shared" ca="1" si="63"/>
        <v>0</v>
      </c>
      <c r="U88" s="15"/>
      <c r="V88" s="35">
        <f t="shared" si="64"/>
        <v>0.31</v>
      </c>
      <c r="W88" s="34">
        <f t="shared" ca="1" si="65"/>
        <v>0</v>
      </c>
      <c r="X88" s="35">
        <f t="shared" si="66"/>
        <v>0.37</v>
      </c>
      <c r="Y88" s="34">
        <f t="shared" ca="1" si="67"/>
        <v>0</v>
      </c>
      <c r="Z88" s="35">
        <f t="shared" si="68"/>
        <v>0.57999999999999996</v>
      </c>
      <c r="AA88" s="34">
        <f t="shared" ca="1" si="69"/>
        <v>0</v>
      </c>
      <c r="AB88" s="34">
        <f t="shared" ca="1" si="70"/>
        <v>0</v>
      </c>
      <c r="AC88" s="15"/>
      <c r="AD88" s="34">
        <f t="shared" ca="1" si="71"/>
        <v>0</v>
      </c>
      <c r="AE88" s="34">
        <f t="shared" ca="1" si="50"/>
        <v>0</v>
      </c>
      <c r="AF88" s="34">
        <f t="shared" ca="1" si="72"/>
        <v>0</v>
      </c>
      <c r="AG88" s="15"/>
      <c r="AH88" s="273">
        <f t="shared" si="74"/>
        <v>44926</v>
      </c>
      <c r="AI88" s="267">
        <f t="shared" si="51"/>
        <v>8.6666666666666661</v>
      </c>
      <c r="AJ88" s="267">
        <f t="shared" si="52"/>
        <v>0.4377875384583188</v>
      </c>
      <c r="AK88" s="34">
        <f t="shared" ca="1" si="75"/>
        <v>0</v>
      </c>
      <c r="AL88" s="233"/>
      <c r="AN88" s="232"/>
      <c r="AO88" s="237">
        <f t="shared" si="53"/>
        <v>9</v>
      </c>
      <c r="AP88" s="237">
        <f t="shared" si="53"/>
        <v>2022</v>
      </c>
      <c r="AQ88" s="250">
        <f t="shared" si="53"/>
        <v>365</v>
      </c>
      <c r="AR88" s="34">
        <f t="shared" si="76"/>
        <v>0</v>
      </c>
      <c r="AS88" s="269">
        <f t="shared" si="77"/>
        <v>209.04862545769805</v>
      </c>
      <c r="AT88" s="263">
        <f t="shared" si="78"/>
        <v>0</v>
      </c>
      <c r="AU88" s="34">
        <f t="shared" si="79"/>
        <v>0</v>
      </c>
      <c r="AV88" s="15"/>
      <c r="AW88" s="15"/>
      <c r="AX88" s="15"/>
      <c r="AY88" s="15"/>
      <c r="AZ88" s="15"/>
      <c r="BA88" s="15"/>
      <c r="BB88" s="15"/>
      <c r="BC88" s="233"/>
    </row>
    <row r="89" spans="2:55" x14ac:dyDescent="0.3">
      <c r="B89" s="232"/>
      <c r="C89" s="250">
        <f t="shared" si="73"/>
        <v>2023</v>
      </c>
      <c r="D89" s="263">
        <f t="shared" ca="1" si="54"/>
        <v>0</v>
      </c>
      <c r="E89" s="263">
        <f t="shared" ca="1" si="48"/>
        <v>0</v>
      </c>
      <c r="F89" s="263">
        <f t="shared" ca="1" si="49"/>
        <v>0</v>
      </c>
      <c r="G89" s="263">
        <f t="shared" ca="1" si="55"/>
        <v>0</v>
      </c>
      <c r="H89" s="15"/>
      <c r="I89" s="271">
        <f ca="1">Assumptions!$O$68</f>
        <v>4.5</v>
      </c>
      <c r="J89" s="271">
        <f ca="1">Assumptions!$P$68</f>
        <v>80</v>
      </c>
      <c r="K89" s="271">
        <f t="shared" ca="1" si="56"/>
        <v>40</v>
      </c>
      <c r="L89" s="15"/>
      <c r="M89" s="35">
        <f t="shared" ca="1" si="57"/>
        <v>4.2299999999999995</v>
      </c>
      <c r="N89" s="35">
        <f t="shared" ca="1" si="58"/>
        <v>74.400000000000006</v>
      </c>
      <c r="O89" s="35">
        <f t="shared" ca="1" si="59"/>
        <v>37.200000000000003</v>
      </c>
      <c r="P89" s="15"/>
      <c r="Q89" s="34">
        <f t="shared" ca="1" si="60"/>
        <v>0</v>
      </c>
      <c r="R89" s="34">
        <f t="shared" ca="1" si="61"/>
        <v>0</v>
      </c>
      <c r="S89" s="34">
        <f t="shared" ca="1" si="62"/>
        <v>0</v>
      </c>
      <c r="T89" s="34">
        <f t="shared" ca="1" si="63"/>
        <v>0</v>
      </c>
      <c r="U89" s="15"/>
      <c r="V89" s="35">
        <f t="shared" si="64"/>
        <v>0.31</v>
      </c>
      <c r="W89" s="34">
        <f t="shared" ca="1" si="65"/>
        <v>0</v>
      </c>
      <c r="X89" s="35">
        <f t="shared" si="66"/>
        <v>0.37</v>
      </c>
      <c r="Y89" s="34">
        <f t="shared" ca="1" si="67"/>
        <v>0</v>
      </c>
      <c r="Z89" s="35">
        <f t="shared" si="68"/>
        <v>0.57999999999999996</v>
      </c>
      <c r="AA89" s="34">
        <f t="shared" ca="1" si="69"/>
        <v>0</v>
      </c>
      <c r="AB89" s="34">
        <f t="shared" ca="1" si="70"/>
        <v>0</v>
      </c>
      <c r="AC89" s="15"/>
      <c r="AD89" s="34">
        <f t="shared" ca="1" si="71"/>
        <v>0</v>
      </c>
      <c r="AE89" s="34">
        <f t="shared" ca="1" si="50"/>
        <v>0</v>
      </c>
      <c r="AF89" s="34">
        <f t="shared" ca="1" si="72"/>
        <v>0</v>
      </c>
      <c r="AG89" s="15"/>
      <c r="AH89" s="273">
        <f t="shared" si="74"/>
        <v>45291</v>
      </c>
      <c r="AI89" s="267">
        <f t="shared" si="51"/>
        <v>9.6666666666666661</v>
      </c>
      <c r="AJ89" s="267">
        <f t="shared" si="52"/>
        <v>0.39798867132574434</v>
      </c>
      <c r="AK89" s="34">
        <f t="shared" ca="1" si="75"/>
        <v>0</v>
      </c>
      <c r="AL89" s="233"/>
      <c r="AN89" s="232"/>
      <c r="AO89" s="237">
        <f t="shared" si="53"/>
        <v>10</v>
      </c>
      <c r="AP89" s="237">
        <f t="shared" si="53"/>
        <v>2023</v>
      </c>
      <c r="AQ89" s="250">
        <f t="shared" si="53"/>
        <v>365</v>
      </c>
      <c r="AR89" s="34">
        <f t="shared" si="76"/>
        <v>0</v>
      </c>
      <c r="AS89" s="269">
        <f t="shared" si="77"/>
        <v>184.87155367008697</v>
      </c>
      <c r="AT89" s="263">
        <f t="shared" si="78"/>
        <v>0</v>
      </c>
      <c r="AU89" s="34">
        <f t="shared" si="79"/>
        <v>0</v>
      </c>
      <c r="AV89" s="15"/>
      <c r="AW89" s="15"/>
      <c r="AX89" s="15"/>
      <c r="AY89" s="15"/>
      <c r="AZ89" s="15"/>
      <c r="BA89" s="15"/>
      <c r="BB89" s="15"/>
      <c r="BC89" s="233"/>
    </row>
    <row r="90" spans="2:55" x14ac:dyDescent="0.3">
      <c r="B90" s="232"/>
      <c r="C90" s="250">
        <f t="shared" si="73"/>
        <v>2024</v>
      </c>
      <c r="D90" s="263">
        <f t="shared" ca="1" si="54"/>
        <v>0</v>
      </c>
      <c r="E90" s="263">
        <f t="shared" ca="1" si="48"/>
        <v>0</v>
      </c>
      <c r="F90" s="263">
        <f t="shared" ca="1" si="49"/>
        <v>0</v>
      </c>
      <c r="G90" s="263">
        <f t="shared" ca="1" si="55"/>
        <v>0</v>
      </c>
      <c r="H90" s="15"/>
      <c r="I90" s="271">
        <f ca="1">Assumptions!$O$68</f>
        <v>4.5</v>
      </c>
      <c r="J90" s="271">
        <f ca="1">Assumptions!$P$68</f>
        <v>80</v>
      </c>
      <c r="K90" s="271">
        <f t="shared" ca="1" si="56"/>
        <v>40</v>
      </c>
      <c r="L90" s="15"/>
      <c r="M90" s="35">
        <f t="shared" ca="1" si="57"/>
        <v>4.2299999999999995</v>
      </c>
      <c r="N90" s="35">
        <f t="shared" ca="1" si="58"/>
        <v>74.400000000000006</v>
      </c>
      <c r="O90" s="35">
        <f t="shared" ca="1" si="59"/>
        <v>37.200000000000003</v>
      </c>
      <c r="P90" s="15"/>
      <c r="Q90" s="34">
        <f t="shared" ca="1" si="60"/>
        <v>0</v>
      </c>
      <c r="R90" s="34">
        <f t="shared" ca="1" si="61"/>
        <v>0</v>
      </c>
      <c r="S90" s="34">
        <f t="shared" ca="1" si="62"/>
        <v>0</v>
      </c>
      <c r="T90" s="34">
        <f t="shared" ca="1" si="63"/>
        <v>0</v>
      </c>
      <c r="U90" s="15"/>
      <c r="V90" s="35">
        <f t="shared" si="64"/>
        <v>0.31</v>
      </c>
      <c r="W90" s="34">
        <f t="shared" ca="1" si="65"/>
        <v>0</v>
      </c>
      <c r="X90" s="35">
        <f t="shared" si="66"/>
        <v>0.37</v>
      </c>
      <c r="Y90" s="34">
        <f t="shared" ca="1" si="67"/>
        <v>0</v>
      </c>
      <c r="Z90" s="35">
        <f t="shared" si="68"/>
        <v>0.57999999999999996</v>
      </c>
      <c r="AA90" s="34">
        <f t="shared" ca="1" si="69"/>
        <v>0</v>
      </c>
      <c r="AB90" s="34">
        <f t="shared" ca="1" si="70"/>
        <v>0</v>
      </c>
      <c r="AC90" s="15"/>
      <c r="AD90" s="34">
        <f t="shared" ca="1" si="71"/>
        <v>0</v>
      </c>
      <c r="AE90" s="34">
        <f t="shared" ca="1" si="50"/>
        <v>0</v>
      </c>
      <c r="AF90" s="34">
        <f t="shared" ca="1" si="72"/>
        <v>0</v>
      </c>
      <c r="AG90" s="15"/>
      <c r="AH90" s="273">
        <f t="shared" si="74"/>
        <v>45657</v>
      </c>
      <c r="AI90" s="267">
        <f t="shared" si="51"/>
        <v>10.666666666666666</v>
      </c>
      <c r="AJ90" s="267">
        <f t="shared" si="52"/>
        <v>0.36180788302340394</v>
      </c>
      <c r="AK90" s="34">
        <f t="shared" ca="1" si="75"/>
        <v>0</v>
      </c>
      <c r="AL90" s="233"/>
      <c r="AN90" s="232"/>
      <c r="AO90" s="237">
        <f t="shared" si="53"/>
        <v>11</v>
      </c>
      <c r="AP90" s="237">
        <f t="shared" si="53"/>
        <v>2024</v>
      </c>
      <c r="AQ90" s="250">
        <f t="shared" si="53"/>
        <v>366</v>
      </c>
      <c r="AR90" s="34">
        <f t="shared" si="76"/>
        <v>0</v>
      </c>
      <c r="AS90" s="269">
        <f t="shared" si="77"/>
        <v>163.49062942443419</v>
      </c>
      <c r="AT90" s="263">
        <f t="shared" si="78"/>
        <v>0</v>
      </c>
      <c r="AU90" s="34">
        <f t="shared" si="79"/>
        <v>0</v>
      </c>
      <c r="AV90" s="15"/>
      <c r="AW90" s="15"/>
      <c r="AX90" s="15"/>
      <c r="AY90" s="15"/>
      <c r="AZ90" s="15"/>
      <c r="BA90" s="15"/>
      <c r="BB90" s="15"/>
      <c r="BC90" s="233"/>
    </row>
    <row r="91" spans="2:55" x14ac:dyDescent="0.3">
      <c r="B91" s="232"/>
      <c r="C91" s="250">
        <f t="shared" si="73"/>
        <v>2025</v>
      </c>
      <c r="D91" s="263">
        <f t="shared" ca="1" si="54"/>
        <v>0</v>
      </c>
      <c r="E91" s="263">
        <f t="shared" ca="1" si="48"/>
        <v>0</v>
      </c>
      <c r="F91" s="263">
        <f t="shared" ca="1" si="49"/>
        <v>0</v>
      </c>
      <c r="G91" s="263">
        <f t="shared" ca="1" si="55"/>
        <v>0</v>
      </c>
      <c r="H91" s="15"/>
      <c r="I91" s="271">
        <f ca="1">Assumptions!$O$68</f>
        <v>4.5</v>
      </c>
      <c r="J91" s="271">
        <f ca="1">Assumptions!$P$68</f>
        <v>80</v>
      </c>
      <c r="K91" s="271">
        <f t="shared" ca="1" si="56"/>
        <v>40</v>
      </c>
      <c r="L91" s="15"/>
      <c r="M91" s="35">
        <f t="shared" ca="1" si="57"/>
        <v>4.2299999999999995</v>
      </c>
      <c r="N91" s="35">
        <f t="shared" ca="1" si="58"/>
        <v>74.400000000000006</v>
      </c>
      <c r="O91" s="35">
        <f t="shared" ca="1" si="59"/>
        <v>37.200000000000003</v>
      </c>
      <c r="P91" s="15"/>
      <c r="Q91" s="34">
        <f t="shared" ca="1" si="60"/>
        <v>0</v>
      </c>
      <c r="R91" s="34">
        <f t="shared" ca="1" si="61"/>
        <v>0</v>
      </c>
      <c r="S91" s="34">
        <f t="shared" ca="1" si="62"/>
        <v>0</v>
      </c>
      <c r="T91" s="34">
        <f t="shared" ca="1" si="63"/>
        <v>0</v>
      </c>
      <c r="U91" s="15"/>
      <c r="V91" s="35">
        <f t="shared" si="64"/>
        <v>0.31</v>
      </c>
      <c r="W91" s="34">
        <f t="shared" ca="1" si="65"/>
        <v>0</v>
      </c>
      <c r="X91" s="35">
        <f t="shared" si="66"/>
        <v>0.37</v>
      </c>
      <c r="Y91" s="34">
        <f t="shared" ca="1" si="67"/>
        <v>0</v>
      </c>
      <c r="Z91" s="35">
        <f t="shared" si="68"/>
        <v>0.57999999999999996</v>
      </c>
      <c r="AA91" s="34">
        <f t="shared" ca="1" si="69"/>
        <v>0</v>
      </c>
      <c r="AB91" s="34">
        <f t="shared" ca="1" si="70"/>
        <v>0</v>
      </c>
      <c r="AC91" s="15"/>
      <c r="AD91" s="34">
        <f t="shared" ca="1" si="71"/>
        <v>0</v>
      </c>
      <c r="AE91" s="34">
        <f t="shared" ca="1" si="50"/>
        <v>0</v>
      </c>
      <c r="AF91" s="34">
        <f t="shared" ca="1" si="72"/>
        <v>0</v>
      </c>
      <c r="AG91" s="15"/>
      <c r="AH91" s="273">
        <f t="shared" si="74"/>
        <v>46022</v>
      </c>
      <c r="AI91" s="267">
        <f t="shared" si="51"/>
        <v>11.666666666666666</v>
      </c>
      <c r="AJ91" s="267">
        <f t="shared" si="52"/>
        <v>0.32891625729400353</v>
      </c>
      <c r="AK91" s="34">
        <f t="shared" ca="1" si="75"/>
        <v>0</v>
      </c>
      <c r="AL91" s="233"/>
      <c r="AN91" s="232"/>
      <c r="AO91" s="237">
        <f t="shared" si="53"/>
        <v>12</v>
      </c>
      <c r="AP91" s="237">
        <f t="shared" si="53"/>
        <v>2025</v>
      </c>
      <c r="AQ91" s="250">
        <f t="shared" si="53"/>
        <v>365</v>
      </c>
      <c r="AR91" s="34">
        <f t="shared" si="76"/>
        <v>0</v>
      </c>
      <c r="AS91" s="269">
        <f t="shared" si="77"/>
        <v>144.58247025552296</v>
      </c>
      <c r="AT91" s="263">
        <f t="shared" si="78"/>
        <v>0</v>
      </c>
      <c r="AU91" s="34">
        <f t="shared" si="79"/>
        <v>0</v>
      </c>
      <c r="AV91" s="15"/>
      <c r="AW91" s="15"/>
      <c r="AX91" s="15"/>
      <c r="AY91" s="15"/>
      <c r="AZ91" s="15"/>
      <c r="BA91" s="15"/>
      <c r="BB91" s="15"/>
      <c r="BC91" s="233"/>
    </row>
    <row r="92" spans="2:55" x14ac:dyDescent="0.3">
      <c r="B92" s="232"/>
      <c r="C92" s="250">
        <f t="shared" si="73"/>
        <v>2026</v>
      </c>
      <c r="D92" s="263">
        <f t="shared" ca="1" si="54"/>
        <v>0</v>
      </c>
      <c r="E92" s="263">
        <f t="shared" ca="1" si="48"/>
        <v>0</v>
      </c>
      <c r="F92" s="263">
        <f t="shared" ca="1" si="49"/>
        <v>0</v>
      </c>
      <c r="G92" s="263">
        <f t="shared" ca="1" si="55"/>
        <v>0</v>
      </c>
      <c r="H92" s="15"/>
      <c r="I92" s="271">
        <f ca="1">Assumptions!$O$68</f>
        <v>4.5</v>
      </c>
      <c r="J92" s="271">
        <f ca="1">Assumptions!$P$68</f>
        <v>80</v>
      </c>
      <c r="K92" s="271">
        <f t="shared" ca="1" si="56"/>
        <v>40</v>
      </c>
      <c r="L92" s="15"/>
      <c r="M92" s="35">
        <f t="shared" ca="1" si="57"/>
        <v>4.2299999999999995</v>
      </c>
      <c r="N92" s="35">
        <f t="shared" ca="1" si="58"/>
        <v>74.400000000000006</v>
      </c>
      <c r="O92" s="35">
        <f t="shared" ca="1" si="59"/>
        <v>37.200000000000003</v>
      </c>
      <c r="P92" s="15"/>
      <c r="Q92" s="34">
        <f t="shared" ca="1" si="60"/>
        <v>0</v>
      </c>
      <c r="R92" s="34">
        <f t="shared" ca="1" si="61"/>
        <v>0</v>
      </c>
      <c r="S92" s="34">
        <f t="shared" ca="1" si="62"/>
        <v>0</v>
      </c>
      <c r="T92" s="34">
        <f t="shared" ca="1" si="63"/>
        <v>0</v>
      </c>
      <c r="U92" s="15"/>
      <c r="V92" s="35">
        <f t="shared" si="64"/>
        <v>0.31</v>
      </c>
      <c r="W92" s="34">
        <f t="shared" ca="1" si="65"/>
        <v>0</v>
      </c>
      <c r="X92" s="35">
        <f t="shared" si="66"/>
        <v>0.37</v>
      </c>
      <c r="Y92" s="34">
        <f t="shared" ca="1" si="67"/>
        <v>0</v>
      </c>
      <c r="Z92" s="35">
        <f t="shared" si="68"/>
        <v>0.57999999999999996</v>
      </c>
      <c r="AA92" s="34">
        <f t="shared" ca="1" si="69"/>
        <v>0</v>
      </c>
      <c r="AB92" s="34">
        <f t="shared" ca="1" si="70"/>
        <v>0</v>
      </c>
      <c r="AC92" s="15"/>
      <c r="AD92" s="34">
        <f t="shared" ca="1" si="71"/>
        <v>0</v>
      </c>
      <c r="AE92" s="34">
        <f t="shared" ca="1" si="50"/>
        <v>0</v>
      </c>
      <c r="AF92" s="34">
        <f t="shared" ca="1" si="72"/>
        <v>0</v>
      </c>
      <c r="AG92" s="15"/>
      <c r="AH92" s="273">
        <f t="shared" si="74"/>
        <v>46387</v>
      </c>
      <c r="AI92" s="267">
        <f t="shared" si="51"/>
        <v>12.666666666666666</v>
      </c>
      <c r="AJ92" s="267">
        <f t="shared" si="52"/>
        <v>0.29901477935818499</v>
      </c>
      <c r="AK92" s="34">
        <f t="shared" ca="1" si="75"/>
        <v>0</v>
      </c>
      <c r="AL92" s="233"/>
      <c r="AN92" s="232"/>
      <c r="AO92" s="237">
        <f t="shared" si="53"/>
        <v>13</v>
      </c>
      <c r="AP92" s="237">
        <f t="shared" si="53"/>
        <v>2026</v>
      </c>
      <c r="AQ92" s="250">
        <f t="shared" si="53"/>
        <v>365</v>
      </c>
      <c r="AR92" s="34">
        <f t="shared" si="76"/>
        <v>0</v>
      </c>
      <c r="AS92" s="269">
        <f t="shared" si="77"/>
        <v>127.86109380569184</v>
      </c>
      <c r="AT92" s="263">
        <f t="shared" si="78"/>
        <v>0</v>
      </c>
      <c r="AU92" s="34">
        <f t="shared" si="79"/>
        <v>0</v>
      </c>
      <c r="AV92" s="15"/>
      <c r="AW92" s="15"/>
      <c r="AX92" s="15"/>
      <c r="AY92" s="15"/>
      <c r="AZ92" s="15"/>
      <c r="BA92" s="15"/>
      <c r="BB92" s="15"/>
      <c r="BC92" s="233"/>
    </row>
    <row r="93" spans="2:55" x14ac:dyDescent="0.3">
      <c r="B93" s="232"/>
      <c r="C93" s="250">
        <f t="shared" si="73"/>
        <v>2027</v>
      </c>
      <c r="D93" s="263">
        <f t="shared" ca="1" si="54"/>
        <v>0</v>
      </c>
      <c r="E93" s="263">
        <f t="shared" ca="1" si="48"/>
        <v>0</v>
      </c>
      <c r="F93" s="263">
        <f t="shared" ca="1" si="49"/>
        <v>0</v>
      </c>
      <c r="G93" s="263">
        <f t="shared" ca="1" si="55"/>
        <v>0</v>
      </c>
      <c r="H93" s="15"/>
      <c r="I93" s="271">
        <f ca="1">Assumptions!$O$68</f>
        <v>4.5</v>
      </c>
      <c r="J93" s="271">
        <f ca="1">Assumptions!$P$68</f>
        <v>80</v>
      </c>
      <c r="K93" s="271">
        <f t="shared" ca="1" si="56"/>
        <v>40</v>
      </c>
      <c r="L93" s="15"/>
      <c r="M93" s="35">
        <f t="shared" ca="1" si="57"/>
        <v>4.2299999999999995</v>
      </c>
      <c r="N93" s="35">
        <f t="shared" ca="1" si="58"/>
        <v>74.400000000000006</v>
      </c>
      <c r="O93" s="35">
        <f t="shared" ca="1" si="59"/>
        <v>37.200000000000003</v>
      </c>
      <c r="P93" s="15"/>
      <c r="Q93" s="34">
        <f t="shared" ca="1" si="60"/>
        <v>0</v>
      </c>
      <c r="R93" s="34">
        <f t="shared" ca="1" si="61"/>
        <v>0</v>
      </c>
      <c r="S93" s="34">
        <f t="shared" ca="1" si="62"/>
        <v>0</v>
      </c>
      <c r="T93" s="34">
        <f t="shared" ca="1" si="63"/>
        <v>0</v>
      </c>
      <c r="U93" s="15"/>
      <c r="V93" s="35">
        <f t="shared" si="64"/>
        <v>0.31</v>
      </c>
      <c r="W93" s="34">
        <f t="shared" ca="1" si="65"/>
        <v>0</v>
      </c>
      <c r="X93" s="35">
        <f t="shared" si="66"/>
        <v>0.37</v>
      </c>
      <c r="Y93" s="34">
        <f t="shared" ca="1" si="67"/>
        <v>0</v>
      </c>
      <c r="Z93" s="35">
        <f t="shared" si="68"/>
        <v>0.57999999999999996</v>
      </c>
      <c r="AA93" s="34">
        <f t="shared" ca="1" si="69"/>
        <v>0</v>
      </c>
      <c r="AB93" s="34">
        <f t="shared" ca="1" si="70"/>
        <v>0</v>
      </c>
      <c r="AC93" s="15"/>
      <c r="AD93" s="34">
        <f t="shared" ca="1" si="71"/>
        <v>0</v>
      </c>
      <c r="AE93" s="34">
        <f t="shared" ca="1" si="50"/>
        <v>0</v>
      </c>
      <c r="AF93" s="34">
        <f t="shared" ca="1" si="72"/>
        <v>0</v>
      </c>
      <c r="AG93" s="15"/>
      <c r="AH93" s="273">
        <f t="shared" si="74"/>
        <v>46752</v>
      </c>
      <c r="AI93" s="267">
        <f t="shared" si="51"/>
        <v>13.666666666666666</v>
      </c>
      <c r="AJ93" s="267">
        <f t="shared" si="52"/>
        <v>0.27183161759835001</v>
      </c>
      <c r="AK93" s="34">
        <f t="shared" ca="1" si="75"/>
        <v>0</v>
      </c>
      <c r="AL93" s="233"/>
      <c r="AN93" s="232"/>
      <c r="AO93" s="237">
        <f t="shared" si="53"/>
        <v>14</v>
      </c>
      <c r="AP93" s="237">
        <f t="shared" si="53"/>
        <v>2027</v>
      </c>
      <c r="AQ93" s="250">
        <f t="shared" si="53"/>
        <v>365</v>
      </c>
      <c r="AR93" s="34">
        <f t="shared" si="76"/>
        <v>0</v>
      </c>
      <c r="AS93" s="269">
        <f t="shared" si="77"/>
        <v>113.07359239536459</v>
      </c>
      <c r="AT93" s="263">
        <f t="shared" si="78"/>
        <v>0</v>
      </c>
      <c r="AU93" s="34">
        <f t="shared" si="79"/>
        <v>0</v>
      </c>
      <c r="AV93" s="15"/>
      <c r="AW93" s="15"/>
      <c r="AX93" s="15"/>
      <c r="AY93" s="15"/>
      <c r="AZ93" s="15"/>
      <c r="BA93" s="15"/>
      <c r="BB93" s="15"/>
      <c r="BC93" s="233"/>
    </row>
    <row r="94" spans="2:55" x14ac:dyDescent="0.3">
      <c r="B94" s="232"/>
      <c r="C94" s="250">
        <f t="shared" si="73"/>
        <v>2028</v>
      </c>
      <c r="D94" s="263">
        <f t="shared" ca="1" si="54"/>
        <v>0</v>
      </c>
      <c r="E94" s="263">
        <f t="shared" ca="1" si="48"/>
        <v>0</v>
      </c>
      <c r="F94" s="263">
        <f t="shared" ca="1" si="49"/>
        <v>0</v>
      </c>
      <c r="G94" s="263">
        <f t="shared" ca="1" si="55"/>
        <v>0</v>
      </c>
      <c r="H94" s="15"/>
      <c r="I94" s="271">
        <f ca="1">Assumptions!$O$68</f>
        <v>4.5</v>
      </c>
      <c r="J94" s="271">
        <f ca="1">Assumptions!$P$68</f>
        <v>80</v>
      </c>
      <c r="K94" s="271">
        <f t="shared" ca="1" si="56"/>
        <v>40</v>
      </c>
      <c r="L94" s="15"/>
      <c r="M94" s="35">
        <f t="shared" ca="1" si="57"/>
        <v>4.2299999999999995</v>
      </c>
      <c r="N94" s="35">
        <f t="shared" ca="1" si="58"/>
        <v>74.400000000000006</v>
      </c>
      <c r="O94" s="35">
        <f t="shared" ca="1" si="59"/>
        <v>37.200000000000003</v>
      </c>
      <c r="P94" s="15"/>
      <c r="Q94" s="34">
        <f t="shared" ca="1" si="60"/>
        <v>0</v>
      </c>
      <c r="R94" s="34">
        <f t="shared" ca="1" si="61"/>
        <v>0</v>
      </c>
      <c r="S94" s="34">
        <f t="shared" ca="1" si="62"/>
        <v>0</v>
      </c>
      <c r="T94" s="34">
        <f t="shared" ca="1" si="63"/>
        <v>0</v>
      </c>
      <c r="U94" s="15"/>
      <c r="V94" s="35">
        <f t="shared" si="64"/>
        <v>0.31</v>
      </c>
      <c r="W94" s="34">
        <f t="shared" ca="1" si="65"/>
        <v>0</v>
      </c>
      <c r="X94" s="35">
        <f t="shared" si="66"/>
        <v>0.37</v>
      </c>
      <c r="Y94" s="34">
        <f t="shared" ca="1" si="67"/>
        <v>0</v>
      </c>
      <c r="Z94" s="35">
        <f t="shared" si="68"/>
        <v>0.57999999999999996</v>
      </c>
      <c r="AA94" s="34">
        <f t="shared" ca="1" si="69"/>
        <v>0</v>
      </c>
      <c r="AB94" s="34">
        <f t="shared" ca="1" si="70"/>
        <v>0</v>
      </c>
      <c r="AC94" s="15"/>
      <c r="AD94" s="34">
        <f t="shared" ca="1" si="71"/>
        <v>0</v>
      </c>
      <c r="AE94" s="34">
        <f t="shared" ca="1" si="50"/>
        <v>0</v>
      </c>
      <c r="AF94" s="34">
        <f t="shared" ca="1" si="72"/>
        <v>0</v>
      </c>
      <c r="AG94" s="15"/>
      <c r="AH94" s="273">
        <f t="shared" si="74"/>
        <v>47118</v>
      </c>
      <c r="AI94" s="267">
        <f t="shared" si="51"/>
        <v>14.666666666666666</v>
      </c>
      <c r="AJ94" s="267">
        <f t="shared" si="52"/>
        <v>0.24711965236213634</v>
      </c>
      <c r="AK94" s="34">
        <f t="shared" ca="1" si="75"/>
        <v>0</v>
      </c>
      <c r="AL94" s="233"/>
      <c r="AN94" s="232"/>
      <c r="AO94" s="237">
        <f t="shared" si="53"/>
        <v>15</v>
      </c>
      <c r="AP94" s="237">
        <f t="shared" si="53"/>
        <v>2028</v>
      </c>
      <c r="AQ94" s="250">
        <f t="shared" si="53"/>
        <v>366</v>
      </c>
      <c r="AR94" s="34">
        <f t="shared" si="76"/>
        <v>0</v>
      </c>
      <c r="AS94" s="269">
        <f t="shared" si="77"/>
        <v>99.996307841876828</v>
      </c>
      <c r="AT94" s="263">
        <f t="shared" si="78"/>
        <v>0</v>
      </c>
      <c r="AU94" s="34">
        <f t="shared" si="79"/>
        <v>0</v>
      </c>
      <c r="AV94" s="15"/>
      <c r="AW94" s="15"/>
      <c r="AX94" s="15"/>
      <c r="AY94" s="15"/>
      <c r="AZ94" s="15"/>
      <c r="BA94" s="15"/>
      <c r="BB94" s="15"/>
      <c r="BC94" s="233"/>
    </row>
    <row r="95" spans="2:55" x14ac:dyDescent="0.3">
      <c r="B95" s="232"/>
      <c r="C95" s="250">
        <f t="shared" si="73"/>
        <v>2029</v>
      </c>
      <c r="D95" s="263">
        <f t="shared" ca="1" si="54"/>
        <v>0</v>
      </c>
      <c r="E95" s="263">
        <f t="shared" ca="1" si="48"/>
        <v>0</v>
      </c>
      <c r="F95" s="263">
        <f t="shared" ca="1" si="49"/>
        <v>0</v>
      </c>
      <c r="G95" s="263">
        <f t="shared" ca="1" si="55"/>
        <v>0</v>
      </c>
      <c r="H95" s="15"/>
      <c r="I95" s="271">
        <f ca="1">Assumptions!$O$68</f>
        <v>4.5</v>
      </c>
      <c r="J95" s="271">
        <f ca="1">Assumptions!$P$68</f>
        <v>80</v>
      </c>
      <c r="K95" s="271">
        <f t="shared" ca="1" si="56"/>
        <v>40</v>
      </c>
      <c r="L95" s="15"/>
      <c r="M95" s="35">
        <f t="shared" ca="1" si="57"/>
        <v>4.2299999999999995</v>
      </c>
      <c r="N95" s="35">
        <f t="shared" ca="1" si="58"/>
        <v>74.400000000000006</v>
      </c>
      <c r="O95" s="35">
        <f t="shared" ca="1" si="59"/>
        <v>37.200000000000003</v>
      </c>
      <c r="P95" s="15"/>
      <c r="Q95" s="34">
        <f t="shared" ca="1" si="60"/>
        <v>0</v>
      </c>
      <c r="R95" s="34">
        <f t="shared" ca="1" si="61"/>
        <v>0</v>
      </c>
      <c r="S95" s="34">
        <f t="shared" ca="1" si="62"/>
        <v>0</v>
      </c>
      <c r="T95" s="34">
        <f t="shared" ca="1" si="63"/>
        <v>0</v>
      </c>
      <c r="U95" s="15"/>
      <c r="V95" s="35">
        <f t="shared" si="64"/>
        <v>0.31</v>
      </c>
      <c r="W95" s="34">
        <f t="shared" ca="1" si="65"/>
        <v>0</v>
      </c>
      <c r="X95" s="35">
        <f t="shared" si="66"/>
        <v>0.37</v>
      </c>
      <c r="Y95" s="34">
        <f t="shared" ca="1" si="67"/>
        <v>0</v>
      </c>
      <c r="Z95" s="35">
        <f t="shared" si="68"/>
        <v>0.57999999999999996</v>
      </c>
      <c r="AA95" s="34">
        <f t="shared" ca="1" si="69"/>
        <v>0</v>
      </c>
      <c r="AB95" s="34">
        <f t="shared" ca="1" si="70"/>
        <v>0</v>
      </c>
      <c r="AC95" s="15"/>
      <c r="AD95" s="34">
        <f t="shared" ca="1" si="71"/>
        <v>0</v>
      </c>
      <c r="AE95" s="34">
        <f t="shared" ca="1" si="50"/>
        <v>0</v>
      </c>
      <c r="AF95" s="34">
        <f t="shared" ca="1" si="72"/>
        <v>0</v>
      </c>
      <c r="AG95" s="15"/>
      <c r="AH95" s="273">
        <f t="shared" si="74"/>
        <v>47483</v>
      </c>
      <c r="AI95" s="267">
        <f t="shared" si="51"/>
        <v>15.666666666666668</v>
      </c>
      <c r="AJ95" s="267">
        <f t="shared" si="52"/>
        <v>0.22465422942012386</v>
      </c>
      <c r="AK95" s="34">
        <f t="shared" ca="1" si="75"/>
        <v>0</v>
      </c>
      <c r="AL95" s="233"/>
      <c r="AN95" s="232"/>
      <c r="AO95" s="237">
        <f t="shared" ref="AO95:AQ110" si="80">AO45</f>
        <v>16</v>
      </c>
      <c r="AP95" s="237">
        <f t="shared" si="80"/>
        <v>2029</v>
      </c>
      <c r="AQ95" s="250">
        <f t="shared" si="80"/>
        <v>365</v>
      </c>
      <c r="AR95" s="34">
        <f t="shared" si="76"/>
        <v>0</v>
      </c>
      <c r="AS95" s="269">
        <f t="shared" si="77"/>
        <v>88.431448671452245</v>
      </c>
      <c r="AT95" s="263">
        <f t="shared" si="78"/>
        <v>0</v>
      </c>
      <c r="AU95" s="34">
        <f t="shared" si="79"/>
        <v>0</v>
      </c>
      <c r="AV95" s="15"/>
      <c r="AW95" s="15"/>
      <c r="AX95" s="15"/>
      <c r="AY95" s="15"/>
      <c r="AZ95" s="15"/>
      <c r="BA95" s="15"/>
      <c r="BB95" s="15"/>
      <c r="BC95" s="233"/>
    </row>
    <row r="96" spans="2:55" x14ac:dyDescent="0.3">
      <c r="B96" s="232"/>
      <c r="C96" s="250">
        <f t="shared" si="73"/>
        <v>2030</v>
      </c>
      <c r="D96" s="263">
        <f t="shared" ca="1" si="54"/>
        <v>0</v>
      </c>
      <c r="E96" s="263">
        <f t="shared" ca="1" si="48"/>
        <v>0</v>
      </c>
      <c r="F96" s="263">
        <f t="shared" ca="1" si="49"/>
        <v>0</v>
      </c>
      <c r="G96" s="263">
        <f t="shared" ca="1" si="55"/>
        <v>0</v>
      </c>
      <c r="H96" s="15"/>
      <c r="I96" s="271">
        <f ca="1">Assumptions!$O$68</f>
        <v>4.5</v>
      </c>
      <c r="J96" s="271">
        <f ca="1">Assumptions!$P$68</f>
        <v>80</v>
      </c>
      <c r="K96" s="271">
        <f t="shared" ca="1" si="56"/>
        <v>40</v>
      </c>
      <c r="L96" s="15"/>
      <c r="M96" s="35">
        <f t="shared" ca="1" si="57"/>
        <v>4.2299999999999995</v>
      </c>
      <c r="N96" s="35">
        <f t="shared" ca="1" si="58"/>
        <v>74.400000000000006</v>
      </c>
      <c r="O96" s="35">
        <f t="shared" ca="1" si="59"/>
        <v>37.200000000000003</v>
      </c>
      <c r="P96" s="15"/>
      <c r="Q96" s="34">
        <f t="shared" ca="1" si="60"/>
        <v>0</v>
      </c>
      <c r="R96" s="34">
        <f t="shared" ca="1" si="61"/>
        <v>0</v>
      </c>
      <c r="S96" s="34">
        <f t="shared" ca="1" si="62"/>
        <v>0</v>
      </c>
      <c r="T96" s="34">
        <f t="shared" ca="1" si="63"/>
        <v>0</v>
      </c>
      <c r="U96" s="15"/>
      <c r="V96" s="35">
        <f t="shared" si="64"/>
        <v>0.31</v>
      </c>
      <c r="W96" s="34">
        <f t="shared" ca="1" si="65"/>
        <v>0</v>
      </c>
      <c r="X96" s="35">
        <f t="shared" si="66"/>
        <v>0.37</v>
      </c>
      <c r="Y96" s="34">
        <f t="shared" ca="1" si="67"/>
        <v>0</v>
      </c>
      <c r="Z96" s="35">
        <f t="shared" si="68"/>
        <v>0.57999999999999996</v>
      </c>
      <c r="AA96" s="34">
        <f t="shared" ca="1" si="69"/>
        <v>0</v>
      </c>
      <c r="AB96" s="34">
        <f t="shared" ca="1" si="70"/>
        <v>0</v>
      </c>
      <c r="AC96" s="15"/>
      <c r="AD96" s="34">
        <f t="shared" ca="1" si="71"/>
        <v>0</v>
      </c>
      <c r="AE96" s="34">
        <f t="shared" ca="1" si="50"/>
        <v>0</v>
      </c>
      <c r="AF96" s="34">
        <f t="shared" ca="1" si="72"/>
        <v>0</v>
      </c>
      <c r="AG96" s="15"/>
      <c r="AH96" s="273">
        <f t="shared" si="74"/>
        <v>47848</v>
      </c>
      <c r="AI96" s="267">
        <f t="shared" si="51"/>
        <v>16.666666666666668</v>
      </c>
      <c r="AJ96" s="267">
        <f t="shared" si="52"/>
        <v>0.2042311176546581</v>
      </c>
      <c r="AK96" s="34">
        <f t="shared" ca="1" si="75"/>
        <v>0</v>
      </c>
      <c r="AL96" s="233"/>
      <c r="AN96" s="232"/>
      <c r="AO96" s="237">
        <f t="shared" si="80"/>
        <v>17</v>
      </c>
      <c r="AP96" s="237">
        <f t="shared" si="80"/>
        <v>2030</v>
      </c>
      <c r="AQ96" s="250">
        <f t="shared" si="80"/>
        <v>365</v>
      </c>
      <c r="AR96" s="34">
        <f t="shared" si="76"/>
        <v>0</v>
      </c>
      <c r="AS96" s="269">
        <f t="shared" si="77"/>
        <v>78.204098560294582</v>
      </c>
      <c r="AT96" s="263">
        <f t="shared" si="78"/>
        <v>0</v>
      </c>
      <c r="AU96" s="34">
        <f t="shared" si="79"/>
        <v>0</v>
      </c>
      <c r="AV96" s="15"/>
      <c r="AW96" s="15"/>
      <c r="AX96" s="15"/>
      <c r="AY96" s="15"/>
      <c r="AZ96" s="15"/>
      <c r="BA96" s="15"/>
      <c r="BB96" s="15"/>
      <c r="BC96" s="233"/>
    </row>
    <row r="97" spans="2:55" x14ac:dyDescent="0.3">
      <c r="B97" s="232"/>
      <c r="C97" s="250">
        <f t="shared" si="73"/>
        <v>2031</v>
      </c>
      <c r="D97" s="263">
        <f t="shared" ca="1" si="54"/>
        <v>0</v>
      </c>
      <c r="E97" s="263">
        <f t="shared" ca="1" si="48"/>
        <v>0</v>
      </c>
      <c r="F97" s="263">
        <f t="shared" ca="1" si="49"/>
        <v>0</v>
      </c>
      <c r="G97" s="263">
        <f t="shared" ca="1" si="55"/>
        <v>0</v>
      </c>
      <c r="H97" s="15"/>
      <c r="I97" s="271">
        <f ca="1">Assumptions!$O$68</f>
        <v>4.5</v>
      </c>
      <c r="J97" s="271">
        <f ca="1">Assumptions!$P$68</f>
        <v>80</v>
      </c>
      <c r="K97" s="271">
        <f t="shared" ca="1" si="56"/>
        <v>40</v>
      </c>
      <c r="L97" s="15"/>
      <c r="M97" s="35">
        <f t="shared" ca="1" si="57"/>
        <v>4.2299999999999995</v>
      </c>
      <c r="N97" s="35">
        <f t="shared" ca="1" si="58"/>
        <v>74.400000000000006</v>
      </c>
      <c r="O97" s="35">
        <f t="shared" ca="1" si="59"/>
        <v>37.200000000000003</v>
      </c>
      <c r="P97" s="15"/>
      <c r="Q97" s="34">
        <f t="shared" ca="1" si="60"/>
        <v>0</v>
      </c>
      <c r="R97" s="34">
        <f t="shared" ca="1" si="61"/>
        <v>0</v>
      </c>
      <c r="S97" s="34">
        <f t="shared" ca="1" si="62"/>
        <v>0</v>
      </c>
      <c r="T97" s="34">
        <f t="shared" ca="1" si="63"/>
        <v>0</v>
      </c>
      <c r="U97" s="15"/>
      <c r="V97" s="35">
        <f t="shared" si="64"/>
        <v>0.31</v>
      </c>
      <c r="W97" s="34">
        <f t="shared" ca="1" si="65"/>
        <v>0</v>
      </c>
      <c r="X97" s="35">
        <f t="shared" si="66"/>
        <v>0.37</v>
      </c>
      <c r="Y97" s="34">
        <f t="shared" ca="1" si="67"/>
        <v>0</v>
      </c>
      <c r="Z97" s="35">
        <f t="shared" si="68"/>
        <v>0.57999999999999996</v>
      </c>
      <c r="AA97" s="34">
        <f t="shared" ca="1" si="69"/>
        <v>0</v>
      </c>
      <c r="AB97" s="34">
        <f t="shared" ca="1" si="70"/>
        <v>0</v>
      </c>
      <c r="AC97" s="15"/>
      <c r="AD97" s="34">
        <f t="shared" ca="1" si="71"/>
        <v>0</v>
      </c>
      <c r="AE97" s="34">
        <f t="shared" ca="1" si="50"/>
        <v>0</v>
      </c>
      <c r="AF97" s="34">
        <f t="shared" ca="1" si="72"/>
        <v>0</v>
      </c>
      <c r="AG97" s="15"/>
      <c r="AH97" s="273">
        <f t="shared" si="74"/>
        <v>48213</v>
      </c>
      <c r="AI97" s="267">
        <f t="shared" si="51"/>
        <v>17.666666666666668</v>
      </c>
      <c r="AJ97" s="267">
        <f t="shared" si="52"/>
        <v>0.1856646524133255</v>
      </c>
      <c r="AK97" s="34">
        <f t="shared" ca="1" si="75"/>
        <v>0</v>
      </c>
      <c r="AL97" s="233"/>
      <c r="AN97" s="232"/>
      <c r="AO97" s="237">
        <f t="shared" si="80"/>
        <v>18</v>
      </c>
      <c r="AP97" s="237">
        <f t="shared" si="80"/>
        <v>2031</v>
      </c>
      <c r="AQ97" s="250">
        <f t="shared" si="80"/>
        <v>365</v>
      </c>
      <c r="AR97" s="34">
        <f t="shared" si="76"/>
        <v>0</v>
      </c>
      <c r="AS97" s="269">
        <f t="shared" si="77"/>
        <v>69.159570758028522</v>
      </c>
      <c r="AT97" s="263">
        <f t="shared" si="78"/>
        <v>0</v>
      </c>
      <c r="AU97" s="34">
        <f t="shared" si="79"/>
        <v>0</v>
      </c>
      <c r="AV97" s="15"/>
      <c r="AW97" s="15"/>
      <c r="AX97" s="15"/>
      <c r="AY97" s="15"/>
      <c r="AZ97" s="15"/>
      <c r="BA97" s="15"/>
      <c r="BB97" s="15"/>
      <c r="BC97" s="233"/>
    </row>
    <row r="98" spans="2:55" x14ac:dyDescent="0.3">
      <c r="B98" s="232"/>
      <c r="C98" s="250">
        <f t="shared" si="73"/>
        <v>2032</v>
      </c>
      <c r="D98" s="263">
        <f t="shared" ca="1" si="54"/>
        <v>0</v>
      </c>
      <c r="E98" s="263">
        <f t="shared" ca="1" si="48"/>
        <v>0</v>
      </c>
      <c r="F98" s="263">
        <f t="shared" ca="1" si="49"/>
        <v>0</v>
      </c>
      <c r="G98" s="263">
        <f t="shared" ca="1" si="55"/>
        <v>0</v>
      </c>
      <c r="H98" s="15"/>
      <c r="I98" s="271">
        <f ca="1">Assumptions!$O$68</f>
        <v>4.5</v>
      </c>
      <c r="J98" s="271">
        <f ca="1">Assumptions!$P$68</f>
        <v>80</v>
      </c>
      <c r="K98" s="271">
        <f t="shared" ca="1" si="56"/>
        <v>40</v>
      </c>
      <c r="L98" s="15"/>
      <c r="M98" s="35">
        <f t="shared" ca="1" si="57"/>
        <v>4.2299999999999995</v>
      </c>
      <c r="N98" s="35">
        <f t="shared" ca="1" si="58"/>
        <v>74.400000000000006</v>
      </c>
      <c r="O98" s="35">
        <f t="shared" ca="1" si="59"/>
        <v>37.200000000000003</v>
      </c>
      <c r="P98" s="15"/>
      <c r="Q98" s="34">
        <f t="shared" ca="1" si="60"/>
        <v>0</v>
      </c>
      <c r="R98" s="34">
        <f t="shared" ca="1" si="61"/>
        <v>0</v>
      </c>
      <c r="S98" s="34">
        <f t="shared" ca="1" si="62"/>
        <v>0</v>
      </c>
      <c r="T98" s="34">
        <f t="shared" ca="1" si="63"/>
        <v>0</v>
      </c>
      <c r="U98" s="15"/>
      <c r="V98" s="35">
        <f t="shared" si="64"/>
        <v>0.31</v>
      </c>
      <c r="W98" s="34">
        <f t="shared" ca="1" si="65"/>
        <v>0</v>
      </c>
      <c r="X98" s="35">
        <f t="shared" si="66"/>
        <v>0.37</v>
      </c>
      <c r="Y98" s="34">
        <f t="shared" ca="1" si="67"/>
        <v>0</v>
      </c>
      <c r="Z98" s="35">
        <f t="shared" si="68"/>
        <v>0.57999999999999996</v>
      </c>
      <c r="AA98" s="34">
        <f t="shared" ca="1" si="69"/>
        <v>0</v>
      </c>
      <c r="AB98" s="34">
        <f t="shared" ca="1" si="70"/>
        <v>0</v>
      </c>
      <c r="AC98" s="15"/>
      <c r="AD98" s="34">
        <f t="shared" ca="1" si="71"/>
        <v>0</v>
      </c>
      <c r="AE98" s="34">
        <f t="shared" ca="1" si="50"/>
        <v>0</v>
      </c>
      <c r="AF98" s="34">
        <f t="shared" ca="1" si="72"/>
        <v>0</v>
      </c>
      <c r="AG98" s="15"/>
      <c r="AH98" s="273">
        <f t="shared" si="74"/>
        <v>48579</v>
      </c>
      <c r="AI98" s="267">
        <f t="shared" si="51"/>
        <v>18.666666666666668</v>
      </c>
      <c r="AJ98" s="267">
        <f t="shared" si="52"/>
        <v>0.16878604764847771</v>
      </c>
      <c r="AK98" s="34">
        <f t="shared" ca="1" si="75"/>
        <v>0</v>
      </c>
      <c r="AL98" s="233"/>
      <c r="AN98" s="232"/>
      <c r="AO98" s="237">
        <f t="shared" si="80"/>
        <v>19</v>
      </c>
      <c r="AP98" s="237">
        <f t="shared" si="80"/>
        <v>2032</v>
      </c>
      <c r="AQ98" s="250">
        <f t="shared" si="80"/>
        <v>366</v>
      </c>
      <c r="AR98" s="34">
        <f t="shared" si="76"/>
        <v>0</v>
      </c>
      <c r="AS98" s="269">
        <f t="shared" si="77"/>
        <v>61.161068479640782</v>
      </c>
      <c r="AT98" s="263">
        <f t="shared" si="78"/>
        <v>0</v>
      </c>
      <c r="AU98" s="34">
        <f t="shared" si="79"/>
        <v>0</v>
      </c>
      <c r="AV98" s="15"/>
      <c r="AW98" s="15"/>
      <c r="AX98" s="15"/>
      <c r="AY98" s="15"/>
      <c r="AZ98" s="15"/>
      <c r="BA98" s="15"/>
      <c r="BB98" s="15"/>
      <c r="BC98" s="233"/>
    </row>
    <row r="99" spans="2:55" x14ac:dyDescent="0.3">
      <c r="B99" s="232"/>
      <c r="C99" s="250">
        <f t="shared" si="73"/>
        <v>2033</v>
      </c>
      <c r="D99" s="263">
        <f t="shared" ca="1" si="54"/>
        <v>0</v>
      </c>
      <c r="E99" s="263">
        <f t="shared" ca="1" si="48"/>
        <v>0</v>
      </c>
      <c r="F99" s="263">
        <f t="shared" ca="1" si="49"/>
        <v>0</v>
      </c>
      <c r="G99" s="263">
        <f t="shared" ca="1" si="55"/>
        <v>0</v>
      </c>
      <c r="H99" s="15"/>
      <c r="I99" s="271">
        <f ca="1">Assumptions!$O$68</f>
        <v>4.5</v>
      </c>
      <c r="J99" s="271">
        <f ca="1">Assumptions!$P$68</f>
        <v>80</v>
      </c>
      <c r="K99" s="271">
        <f t="shared" ca="1" si="56"/>
        <v>40</v>
      </c>
      <c r="L99" s="15"/>
      <c r="M99" s="35">
        <f t="shared" ca="1" si="57"/>
        <v>4.2299999999999995</v>
      </c>
      <c r="N99" s="35">
        <f t="shared" ca="1" si="58"/>
        <v>74.400000000000006</v>
      </c>
      <c r="O99" s="35">
        <f t="shared" ca="1" si="59"/>
        <v>37.200000000000003</v>
      </c>
      <c r="P99" s="15"/>
      <c r="Q99" s="34">
        <f t="shared" ca="1" si="60"/>
        <v>0</v>
      </c>
      <c r="R99" s="34">
        <f t="shared" ca="1" si="61"/>
        <v>0</v>
      </c>
      <c r="S99" s="34">
        <f t="shared" ca="1" si="62"/>
        <v>0</v>
      </c>
      <c r="T99" s="34">
        <f t="shared" ca="1" si="63"/>
        <v>0</v>
      </c>
      <c r="U99" s="15"/>
      <c r="V99" s="35">
        <f t="shared" si="64"/>
        <v>0.31</v>
      </c>
      <c r="W99" s="34">
        <f t="shared" ca="1" si="65"/>
        <v>0</v>
      </c>
      <c r="X99" s="35">
        <f t="shared" si="66"/>
        <v>0.37</v>
      </c>
      <c r="Y99" s="34">
        <f t="shared" ca="1" si="67"/>
        <v>0</v>
      </c>
      <c r="Z99" s="35">
        <f t="shared" si="68"/>
        <v>0.57999999999999996</v>
      </c>
      <c r="AA99" s="34">
        <f t="shared" ca="1" si="69"/>
        <v>0</v>
      </c>
      <c r="AB99" s="34">
        <f t="shared" ca="1" si="70"/>
        <v>0</v>
      </c>
      <c r="AC99" s="15"/>
      <c r="AD99" s="34">
        <f t="shared" ca="1" si="71"/>
        <v>0</v>
      </c>
      <c r="AE99" s="34">
        <f t="shared" ca="1" si="50"/>
        <v>0</v>
      </c>
      <c r="AF99" s="34">
        <f t="shared" ca="1" si="72"/>
        <v>0</v>
      </c>
      <c r="AG99" s="15"/>
      <c r="AH99" s="273">
        <f t="shared" si="74"/>
        <v>48944</v>
      </c>
      <c r="AI99" s="267">
        <f t="shared" si="51"/>
        <v>19.666666666666668</v>
      </c>
      <c r="AJ99" s="267">
        <f t="shared" si="52"/>
        <v>0.15344186149861608</v>
      </c>
      <c r="AK99" s="34">
        <f t="shared" ca="1" si="75"/>
        <v>0</v>
      </c>
      <c r="AL99" s="233"/>
      <c r="AN99" s="232"/>
      <c r="AO99" s="237">
        <f t="shared" si="80"/>
        <v>20</v>
      </c>
      <c r="AP99" s="237">
        <f t="shared" si="80"/>
        <v>2033</v>
      </c>
      <c r="AQ99" s="250">
        <f t="shared" si="80"/>
        <v>365</v>
      </c>
      <c r="AR99" s="34">
        <f t="shared" si="76"/>
        <v>0</v>
      </c>
      <c r="AS99" s="269">
        <f t="shared" si="77"/>
        <v>54.087615879788636</v>
      </c>
      <c r="AT99" s="263">
        <f t="shared" si="78"/>
        <v>0</v>
      </c>
      <c r="AU99" s="34">
        <f t="shared" si="79"/>
        <v>0</v>
      </c>
      <c r="AV99" s="15"/>
      <c r="AW99" s="15"/>
      <c r="AX99" s="15"/>
      <c r="AY99" s="15"/>
      <c r="AZ99" s="15"/>
      <c r="BA99" s="15"/>
      <c r="BB99" s="15"/>
      <c r="BC99" s="233"/>
    </row>
    <row r="100" spans="2:55" x14ac:dyDescent="0.3">
      <c r="B100" s="232"/>
      <c r="C100" s="250">
        <f t="shared" si="73"/>
        <v>2034</v>
      </c>
      <c r="D100" s="263">
        <f t="shared" ca="1" si="54"/>
        <v>0</v>
      </c>
      <c r="E100" s="263">
        <f t="shared" ca="1" si="48"/>
        <v>0</v>
      </c>
      <c r="F100" s="263">
        <f t="shared" ca="1" si="49"/>
        <v>0</v>
      </c>
      <c r="G100" s="263">
        <f t="shared" ca="1" si="55"/>
        <v>0</v>
      </c>
      <c r="H100" s="15"/>
      <c r="I100" s="271">
        <f ca="1">Assumptions!$O$68</f>
        <v>4.5</v>
      </c>
      <c r="J100" s="271">
        <f ca="1">Assumptions!$P$68</f>
        <v>80</v>
      </c>
      <c r="K100" s="271">
        <f t="shared" ca="1" si="56"/>
        <v>40</v>
      </c>
      <c r="L100" s="15"/>
      <c r="M100" s="35">
        <f t="shared" ca="1" si="57"/>
        <v>4.2299999999999995</v>
      </c>
      <c r="N100" s="35">
        <f t="shared" ca="1" si="58"/>
        <v>74.400000000000006</v>
      </c>
      <c r="O100" s="35">
        <f t="shared" ca="1" si="59"/>
        <v>37.200000000000003</v>
      </c>
      <c r="P100" s="15"/>
      <c r="Q100" s="34">
        <f t="shared" ca="1" si="60"/>
        <v>0</v>
      </c>
      <c r="R100" s="34">
        <f t="shared" ca="1" si="61"/>
        <v>0</v>
      </c>
      <c r="S100" s="34">
        <f t="shared" ca="1" si="62"/>
        <v>0</v>
      </c>
      <c r="T100" s="34">
        <f t="shared" ca="1" si="63"/>
        <v>0</v>
      </c>
      <c r="U100" s="15"/>
      <c r="V100" s="35">
        <f t="shared" si="64"/>
        <v>0.31</v>
      </c>
      <c r="W100" s="34">
        <f t="shared" ca="1" si="65"/>
        <v>0</v>
      </c>
      <c r="X100" s="35">
        <f t="shared" si="66"/>
        <v>0.37</v>
      </c>
      <c r="Y100" s="34">
        <f t="shared" ca="1" si="67"/>
        <v>0</v>
      </c>
      <c r="Z100" s="35">
        <f t="shared" si="68"/>
        <v>0.57999999999999996</v>
      </c>
      <c r="AA100" s="34">
        <f t="shared" ca="1" si="69"/>
        <v>0</v>
      </c>
      <c r="AB100" s="34">
        <f t="shared" ca="1" si="70"/>
        <v>0</v>
      </c>
      <c r="AC100" s="15"/>
      <c r="AD100" s="34">
        <f t="shared" ca="1" si="71"/>
        <v>0</v>
      </c>
      <c r="AE100" s="34">
        <f t="shared" ca="1" si="50"/>
        <v>0</v>
      </c>
      <c r="AF100" s="34">
        <f t="shared" ca="1" si="72"/>
        <v>0</v>
      </c>
      <c r="AG100" s="15"/>
      <c r="AH100" s="273">
        <f t="shared" si="74"/>
        <v>49309</v>
      </c>
      <c r="AI100" s="267">
        <f t="shared" si="51"/>
        <v>20.666666666666668</v>
      </c>
      <c r="AJ100" s="267">
        <f t="shared" si="52"/>
        <v>0.13949260136237826</v>
      </c>
      <c r="AK100" s="34">
        <f t="shared" ca="1" si="75"/>
        <v>0</v>
      </c>
      <c r="AL100" s="233"/>
      <c r="AN100" s="232"/>
      <c r="AO100" s="237">
        <f t="shared" si="80"/>
        <v>21</v>
      </c>
      <c r="AP100" s="237">
        <f t="shared" si="80"/>
        <v>2034</v>
      </c>
      <c r="AQ100" s="250">
        <f t="shared" si="80"/>
        <v>365</v>
      </c>
      <c r="AR100" s="34">
        <f t="shared" si="76"/>
        <v>0</v>
      </c>
      <c r="AS100" s="269">
        <f t="shared" si="77"/>
        <v>47.832228315850806</v>
      </c>
      <c r="AT100" s="263">
        <f t="shared" si="78"/>
        <v>0</v>
      </c>
      <c r="AU100" s="34">
        <f t="shared" si="79"/>
        <v>0</v>
      </c>
      <c r="AV100" s="15"/>
      <c r="AW100" s="15"/>
      <c r="AX100" s="15"/>
      <c r="AY100" s="15"/>
      <c r="AZ100" s="15"/>
      <c r="BA100" s="15"/>
      <c r="BB100" s="15"/>
      <c r="BC100" s="233"/>
    </row>
    <row r="101" spans="2:55" x14ac:dyDescent="0.3">
      <c r="B101" s="232"/>
      <c r="C101" s="250">
        <f t="shared" si="73"/>
        <v>2035</v>
      </c>
      <c r="D101" s="263">
        <f t="shared" ca="1" si="54"/>
        <v>0</v>
      </c>
      <c r="E101" s="263">
        <f t="shared" ca="1" si="48"/>
        <v>0</v>
      </c>
      <c r="F101" s="263">
        <f t="shared" ca="1" si="49"/>
        <v>0</v>
      </c>
      <c r="G101" s="263">
        <f t="shared" ca="1" si="55"/>
        <v>0</v>
      </c>
      <c r="H101" s="15"/>
      <c r="I101" s="271">
        <f ca="1">Assumptions!$O$68</f>
        <v>4.5</v>
      </c>
      <c r="J101" s="271">
        <f ca="1">Assumptions!$P$68</f>
        <v>80</v>
      </c>
      <c r="K101" s="271">
        <f t="shared" ca="1" si="56"/>
        <v>40</v>
      </c>
      <c r="L101" s="15"/>
      <c r="M101" s="35">
        <f t="shared" ca="1" si="57"/>
        <v>4.2299999999999995</v>
      </c>
      <c r="N101" s="35">
        <f t="shared" ca="1" si="58"/>
        <v>74.400000000000006</v>
      </c>
      <c r="O101" s="35">
        <f t="shared" ca="1" si="59"/>
        <v>37.200000000000003</v>
      </c>
      <c r="P101" s="15"/>
      <c r="Q101" s="34">
        <f t="shared" ca="1" si="60"/>
        <v>0</v>
      </c>
      <c r="R101" s="34">
        <f t="shared" ca="1" si="61"/>
        <v>0</v>
      </c>
      <c r="S101" s="34">
        <f t="shared" ca="1" si="62"/>
        <v>0</v>
      </c>
      <c r="T101" s="34">
        <f t="shared" ca="1" si="63"/>
        <v>0</v>
      </c>
      <c r="U101" s="15"/>
      <c r="V101" s="35">
        <f t="shared" si="64"/>
        <v>0.31</v>
      </c>
      <c r="W101" s="34">
        <f t="shared" ca="1" si="65"/>
        <v>0</v>
      </c>
      <c r="X101" s="35">
        <f t="shared" si="66"/>
        <v>0.37</v>
      </c>
      <c r="Y101" s="34">
        <f t="shared" ca="1" si="67"/>
        <v>0</v>
      </c>
      <c r="Z101" s="35">
        <f t="shared" si="68"/>
        <v>0.57999999999999996</v>
      </c>
      <c r="AA101" s="34">
        <f t="shared" ca="1" si="69"/>
        <v>0</v>
      </c>
      <c r="AB101" s="34">
        <f t="shared" ca="1" si="70"/>
        <v>0</v>
      </c>
      <c r="AC101" s="15"/>
      <c r="AD101" s="34">
        <f t="shared" ca="1" si="71"/>
        <v>0</v>
      </c>
      <c r="AE101" s="34">
        <f t="shared" ca="1" si="50"/>
        <v>0</v>
      </c>
      <c r="AF101" s="34">
        <f t="shared" ca="1" si="72"/>
        <v>0</v>
      </c>
      <c r="AG101" s="15"/>
      <c r="AH101" s="273">
        <f t="shared" si="74"/>
        <v>49674</v>
      </c>
      <c r="AI101" s="267">
        <f t="shared" si="51"/>
        <v>21.666666666666668</v>
      </c>
      <c r="AJ101" s="267">
        <f t="shared" si="52"/>
        <v>0.12681145578398023</v>
      </c>
      <c r="AK101" s="34">
        <f t="shared" ca="1" si="75"/>
        <v>0</v>
      </c>
      <c r="AL101" s="233"/>
      <c r="AN101" s="232"/>
      <c r="AO101" s="237">
        <f t="shared" si="80"/>
        <v>22</v>
      </c>
      <c r="AP101" s="237">
        <f t="shared" si="80"/>
        <v>2035</v>
      </c>
      <c r="AQ101" s="250">
        <f t="shared" si="80"/>
        <v>365</v>
      </c>
      <c r="AR101" s="34">
        <f t="shared" si="76"/>
        <v>0</v>
      </c>
      <c r="AS101" s="269">
        <f t="shared" si="77"/>
        <v>42.300294225292816</v>
      </c>
      <c r="AT101" s="263">
        <f t="shared" si="78"/>
        <v>0</v>
      </c>
      <c r="AU101" s="34">
        <f t="shared" si="79"/>
        <v>0</v>
      </c>
      <c r="AV101" s="15"/>
      <c r="AW101" s="15"/>
      <c r="AX101" s="15"/>
      <c r="AY101" s="15"/>
      <c r="AZ101" s="15"/>
      <c r="BA101" s="15"/>
      <c r="BB101" s="15"/>
      <c r="BC101" s="233"/>
    </row>
    <row r="102" spans="2:55" x14ac:dyDescent="0.3">
      <c r="B102" s="232"/>
      <c r="C102" s="250">
        <f t="shared" si="73"/>
        <v>2036</v>
      </c>
      <c r="D102" s="263">
        <f t="shared" ca="1" si="54"/>
        <v>0</v>
      </c>
      <c r="E102" s="263">
        <f t="shared" ca="1" si="48"/>
        <v>0</v>
      </c>
      <c r="F102" s="263">
        <f t="shared" ca="1" si="49"/>
        <v>0</v>
      </c>
      <c r="G102" s="263">
        <f t="shared" ca="1" si="55"/>
        <v>0</v>
      </c>
      <c r="H102" s="15"/>
      <c r="I102" s="271">
        <f ca="1">Assumptions!$O$68</f>
        <v>4.5</v>
      </c>
      <c r="J102" s="271">
        <f ca="1">Assumptions!$P$68</f>
        <v>80</v>
      </c>
      <c r="K102" s="271">
        <f t="shared" ca="1" si="56"/>
        <v>40</v>
      </c>
      <c r="L102" s="15"/>
      <c r="M102" s="35">
        <f t="shared" ca="1" si="57"/>
        <v>4.2299999999999995</v>
      </c>
      <c r="N102" s="35">
        <f t="shared" ca="1" si="58"/>
        <v>74.400000000000006</v>
      </c>
      <c r="O102" s="35">
        <f t="shared" ca="1" si="59"/>
        <v>37.200000000000003</v>
      </c>
      <c r="P102" s="15"/>
      <c r="Q102" s="34">
        <f t="shared" ca="1" si="60"/>
        <v>0</v>
      </c>
      <c r="R102" s="34">
        <f t="shared" ca="1" si="61"/>
        <v>0</v>
      </c>
      <c r="S102" s="34">
        <f t="shared" ca="1" si="62"/>
        <v>0</v>
      </c>
      <c r="T102" s="34">
        <f t="shared" ca="1" si="63"/>
        <v>0</v>
      </c>
      <c r="U102" s="15"/>
      <c r="V102" s="35">
        <f t="shared" si="64"/>
        <v>0.31</v>
      </c>
      <c r="W102" s="34">
        <f t="shared" ca="1" si="65"/>
        <v>0</v>
      </c>
      <c r="X102" s="35">
        <f t="shared" si="66"/>
        <v>0.37</v>
      </c>
      <c r="Y102" s="34">
        <f t="shared" ca="1" si="67"/>
        <v>0</v>
      </c>
      <c r="Z102" s="35">
        <f t="shared" si="68"/>
        <v>0.57999999999999996</v>
      </c>
      <c r="AA102" s="34">
        <f t="shared" ca="1" si="69"/>
        <v>0</v>
      </c>
      <c r="AB102" s="34">
        <f t="shared" ca="1" si="70"/>
        <v>0</v>
      </c>
      <c r="AC102" s="15"/>
      <c r="AD102" s="34">
        <f t="shared" ca="1" si="71"/>
        <v>0</v>
      </c>
      <c r="AE102" s="34">
        <f t="shared" ca="1" si="50"/>
        <v>0</v>
      </c>
      <c r="AF102" s="34">
        <f t="shared" ca="1" si="72"/>
        <v>0</v>
      </c>
      <c r="AG102" s="15"/>
      <c r="AH102" s="273">
        <f t="shared" si="74"/>
        <v>50040</v>
      </c>
      <c r="AI102" s="267">
        <f t="shared" si="51"/>
        <v>22.666666666666668</v>
      </c>
      <c r="AJ102" s="267">
        <f t="shared" si="52"/>
        <v>0.11528314162180023</v>
      </c>
      <c r="AK102" s="34">
        <f t="shared" ca="1" si="75"/>
        <v>0</v>
      </c>
      <c r="AL102" s="233"/>
      <c r="AN102" s="232"/>
      <c r="AO102" s="237">
        <f t="shared" si="80"/>
        <v>23</v>
      </c>
      <c r="AP102" s="237">
        <f t="shared" si="80"/>
        <v>2036</v>
      </c>
      <c r="AQ102" s="250">
        <f t="shared" si="80"/>
        <v>366</v>
      </c>
      <c r="AR102" s="34">
        <f t="shared" si="76"/>
        <v>0</v>
      </c>
      <c r="AS102" s="269">
        <f t="shared" si="77"/>
        <v>37.408144143545819</v>
      </c>
      <c r="AT102" s="263">
        <f t="shared" si="78"/>
        <v>0</v>
      </c>
      <c r="AU102" s="34">
        <f t="shared" si="79"/>
        <v>0</v>
      </c>
      <c r="AV102" s="15"/>
      <c r="AW102" s="15"/>
      <c r="AX102" s="15"/>
      <c r="AY102" s="15"/>
      <c r="AZ102" s="15"/>
      <c r="BA102" s="15"/>
      <c r="BB102" s="15"/>
      <c r="BC102" s="233"/>
    </row>
    <row r="103" spans="2:55" x14ac:dyDescent="0.3">
      <c r="B103" s="232"/>
      <c r="C103" s="250">
        <f t="shared" si="73"/>
        <v>2037</v>
      </c>
      <c r="D103" s="263">
        <f t="shared" ca="1" si="54"/>
        <v>0</v>
      </c>
      <c r="E103" s="263">
        <f t="shared" ca="1" si="48"/>
        <v>0</v>
      </c>
      <c r="F103" s="263">
        <f t="shared" ca="1" si="49"/>
        <v>0</v>
      </c>
      <c r="G103" s="263">
        <f t="shared" ca="1" si="55"/>
        <v>0</v>
      </c>
      <c r="H103" s="15"/>
      <c r="I103" s="271">
        <f ca="1">Assumptions!$O$68</f>
        <v>4.5</v>
      </c>
      <c r="J103" s="271">
        <f ca="1">Assumptions!$P$68</f>
        <v>80</v>
      </c>
      <c r="K103" s="271">
        <f t="shared" ca="1" si="56"/>
        <v>40</v>
      </c>
      <c r="L103" s="15"/>
      <c r="M103" s="35">
        <f t="shared" ca="1" si="57"/>
        <v>4.2299999999999995</v>
      </c>
      <c r="N103" s="35">
        <f t="shared" ca="1" si="58"/>
        <v>74.400000000000006</v>
      </c>
      <c r="O103" s="35">
        <f t="shared" ca="1" si="59"/>
        <v>37.200000000000003</v>
      </c>
      <c r="P103" s="15"/>
      <c r="Q103" s="34">
        <f t="shared" ca="1" si="60"/>
        <v>0</v>
      </c>
      <c r="R103" s="34">
        <f t="shared" ca="1" si="61"/>
        <v>0</v>
      </c>
      <c r="S103" s="34">
        <f t="shared" ca="1" si="62"/>
        <v>0</v>
      </c>
      <c r="T103" s="34">
        <f t="shared" ca="1" si="63"/>
        <v>0</v>
      </c>
      <c r="U103" s="15"/>
      <c r="V103" s="35">
        <f t="shared" si="64"/>
        <v>0.31</v>
      </c>
      <c r="W103" s="34">
        <f t="shared" ca="1" si="65"/>
        <v>0</v>
      </c>
      <c r="X103" s="35">
        <f t="shared" si="66"/>
        <v>0.37</v>
      </c>
      <c r="Y103" s="34">
        <f t="shared" ca="1" si="67"/>
        <v>0</v>
      </c>
      <c r="Z103" s="35">
        <f t="shared" si="68"/>
        <v>0.57999999999999996</v>
      </c>
      <c r="AA103" s="34">
        <f t="shared" ca="1" si="69"/>
        <v>0</v>
      </c>
      <c r="AB103" s="34">
        <f t="shared" ca="1" si="70"/>
        <v>0</v>
      </c>
      <c r="AC103" s="15"/>
      <c r="AD103" s="34">
        <f t="shared" ca="1" si="71"/>
        <v>0</v>
      </c>
      <c r="AE103" s="34">
        <f t="shared" ca="1" si="50"/>
        <v>0</v>
      </c>
      <c r="AF103" s="34">
        <f t="shared" ca="1" si="72"/>
        <v>0</v>
      </c>
      <c r="AG103" s="15"/>
      <c r="AH103" s="273">
        <f t="shared" si="74"/>
        <v>50405</v>
      </c>
      <c r="AI103" s="267">
        <f t="shared" si="51"/>
        <v>23.666666666666668</v>
      </c>
      <c r="AJ103" s="267">
        <f t="shared" si="52"/>
        <v>0.10480285601981834</v>
      </c>
      <c r="AK103" s="34">
        <f t="shared" ca="1" si="75"/>
        <v>0</v>
      </c>
      <c r="AL103" s="233"/>
      <c r="AN103" s="232"/>
      <c r="AO103" s="237">
        <f t="shared" si="80"/>
        <v>24</v>
      </c>
      <c r="AP103" s="237">
        <f t="shared" si="80"/>
        <v>2037</v>
      </c>
      <c r="AQ103" s="250">
        <f t="shared" si="80"/>
        <v>365</v>
      </c>
      <c r="AR103" s="34">
        <f t="shared" si="76"/>
        <v>0</v>
      </c>
      <c r="AS103" s="269">
        <f t="shared" si="77"/>
        <v>33.081785219062851</v>
      </c>
      <c r="AT103" s="263">
        <f t="shared" si="78"/>
        <v>0</v>
      </c>
      <c r="AU103" s="34">
        <f t="shared" si="79"/>
        <v>0</v>
      </c>
      <c r="AV103" s="15"/>
      <c r="AW103" s="15"/>
      <c r="AX103" s="15"/>
      <c r="AY103" s="15"/>
      <c r="AZ103" s="15"/>
      <c r="BA103" s="15"/>
      <c r="BB103" s="15"/>
      <c r="BC103" s="233"/>
    </row>
    <row r="104" spans="2:55" x14ac:dyDescent="0.3">
      <c r="B104" s="232"/>
      <c r="C104" s="250">
        <f t="shared" si="73"/>
        <v>2038</v>
      </c>
      <c r="D104" s="263">
        <f t="shared" ca="1" si="54"/>
        <v>0</v>
      </c>
      <c r="E104" s="263">
        <f t="shared" ca="1" si="48"/>
        <v>0</v>
      </c>
      <c r="F104" s="263">
        <f t="shared" ca="1" si="49"/>
        <v>0</v>
      </c>
      <c r="G104" s="263">
        <f t="shared" ca="1" si="55"/>
        <v>0</v>
      </c>
      <c r="H104" s="15"/>
      <c r="I104" s="271">
        <f ca="1">Assumptions!$O$68</f>
        <v>4.5</v>
      </c>
      <c r="J104" s="271">
        <f ca="1">Assumptions!$P$68</f>
        <v>80</v>
      </c>
      <c r="K104" s="271">
        <f t="shared" ca="1" si="56"/>
        <v>40</v>
      </c>
      <c r="L104" s="15"/>
      <c r="M104" s="35">
        <f t="shared" ca="1" si="57"/>
        <v>4.2299999999999995</v>
      </c>
      <c r="N104" s="35">
        <f t="shared" ca="1" si="58"/>
        <v>74.400000000000006</v>
      </c>
      <c r="O104" s="35">
        <f t="shared" ca="1" si="59"/>
        <v>37.200000000000003</v>
      </c>
      <c r="P104" s="15"/>
      <c r="Q104" s="34">
        <f t="shared" ca="1" si="60"/>
        <v>0</v>
      </c>
      <c r="R104" s="34">
        <f t="shared" ca="1" si="61"/>
        <v>0</v>
      </c>
      <c r="S104" s="34">
        <f t="shared" ca="1" si="62"/>
        <v>0</v>
      </c>
      <c r="T104" s="34">
        <f t="shared" ca="1" si="63"/>
        <v>0</v>
      </c>
      <c r="U104" s="15"/>
      <c r="V104" s="35">
        <f t="shared" si="64"/>
        <v>0.31</v>
      </c>
      <c r="W104" s="34">
        <f t="shared" ca="1" si="65"/>
        <v>0</v>
      </c>
      <c r="X104" s="35">
        <f t="shared" si="66"/>
        <v>0.37</v>
      </c>
      <c r="Y104" s="34">
        <f t="shared" ca="1" si="67"/>
        <v>0</v>
      </c>
      <c r="Z104" s="35">
        <f t="shared" si="68"/>
        <v>0.57999999999999996</v>
      </c>
      <c r="AA104" s="34">
        <f t="shared" ca="1" si="69"/>
        <v>0</v>
      </c>
      <c r="AB104" s="34">
        <f t="shared" ca="1" si="70"/>
        <v>0</v>
      </c>
      <c r="AC104" s="15"/>
      <c r="AD104" s="34">
        <f t="shared" ca="1" si="71"/>
        <v>0</v>
      </c>
      <c r="AE104" s="34">
        <f t="shared" ca="1" si="50"/>
        <v>0</v>
      </c>
      <c r="AF104" s="34">
        <f t="shared" ca="1" si="72"/>
        <v>0</v>
      </c>
      <c r="AG104" s="15"/>
      <c r="AH104" s="273">
        <f t="shared" si="74"/>
        <v>50770</v>
      </c>
      <c r="AI104" s="267">
        <f t="shared" si="51"/>
        <v>24.666666666666668</v>
      </c>
      <c r="AJ104" s="267">
        <f t="shared" si="52"/>
        <v>9.5275323654380323E-2</v>
      </c>
      <c r="AK104" s="34">
        <f t="shared" ca="1" si="75"/>
        <v>0</v>
      </c>
      <c r="AL104" s="233"/>
      <c r="AN104" s="232"/>
      <c r="AO104" s="237">
        <f t="shared" si="80"/>
        <v>25</v>
      </c>
      <c r="AP104" s="237">
        <f t="shared" si="80"/>
        <v>2038</v>
      </c>
      <c r="AQ104" s="250">
        <f t="shared" si="80"/>
        <v>365</v>
      </c>
      <c r="AR104" s="34">
        <f t="shared" si="76"/>
        <v>0</v>
      </c>
      <c r="AS104" s="269">
        <f t="shared" si="77"/>
        <v>29.255782085330406</v>
      </c>
      <c r="AT104" s="263">
        <f t="shared" si="78"/>
        <v>0</v>
      </c>
      <c r="AU104" s="34">
        <f t="shared" si="79"/>
        <v>0</v>
      </c>
      <c r="AV104" s="15"/>
      <c r="AW104" s="15"/>
      <c r="AX104" s="15"/>
      <c r="AY104" s="15"/>
      <c r="AZ104" s="15"/>
      <c r="BA104" s="15"/>
      <c r="BB104" s="15"/>
      <c r="BC104" s="233"/>
    </row>
    <row r="105" spans="2:55" x14ac:dyDescent="0.3">
      <c r="B105" s="232"/>
      <c r="C105" s="250">
        <f t="shared" si="73"/>
        <v>2039</v>
      </c>
      <c r="D105" s="263">
        <f t="shared" ca="1" si="54"/>
        <v>0</v>
      </c>
      <c r="E105" s="263">
        <f t="shared" ca="1" si="48"/>
        <v>0</v>
      </c>
      <c r="F105" s="263">
        <f t="shared" ca="1" si="49"/>
        <v>0</v>
      </c>
      <c r="G105" s="263">
        <f t="shared" ca="1" si="55"/>
        <v>0</v>
      </c>
      <c r="H105" s="15"/>
      <c r="I105" s="271">
        <f ca="1">Assumptions!$O$68</f>
        <v>4.5</v>
      </c>
      <c r="J105" s="271">
        <f ca="1">Assumptions!$P$68</f>
        <v>80</v>
      </c>
      <c r="K105" s="271">
        <f t="shared" ca="1" si="56"/>
        <v>40</v>
      </c>
      <c r="L105" s="15"/>
      <c r="M105" s="35">
        <f t="shared" ca="1" si="57"/>
        <v>4.2299999999999995</v>
      </c>
      <c r="N105" s="35">
        <f t="shared" ca="1" si="58"/>
        <v>74.400000000000006</v>
      </c>
      <c r="O105" s="35">
        <f t="shared" ca="1" si="59"/>
        <v>37.200000000000003</v>
      </c>
      <c r="P105" s="15"/>
      <c r="Q105" s="34">
        <f t="shared" ca="1" si="60"/>
        <v>0</v>
      </c>
      <c r="R105" s="34">
        <f t="shared" ca="1" si="61"/>
        <v>0</v>
      </c>
      <c r="S105" s="34">
        <f t="shared" ca="1" si="62"/>
        <v>0</v>
      </c>
      <c r="T105" s="34">
        <f t="shared" ca="1" si="63"/>
        <v>0</v>
      </c>
      <c r="U105" s="15"/>
      <c r="V105" s="35">
        <f t="shared" si="64"/>
        <v>0.31</v>
      </c>
      <c r="W105" s="34">
        <f t="shared" ca="1" si="65"/>
        <v>0</v>
      </c>
      <c r="X105" s="35">
        <f t="shared" si="66"/>
        <v>0.37</v>
      </c>
      <c r="Y105" s="34">
        <f t="shared" ca="1" si="67"/>
        <v>0</v>
      </c>
      <c r="Z105" s="35">
        <f t="shared" si="68"/>
        <v>0.57999999999999996</v>
      </c>
      <c r="AA105" s="34">
        <f t="shared" ca="1" si="69"/>
        <v>0</v>
      </c>
      <c r="AB105" s="34">
        <f t="shared" ca="1" si="70"/>
        <v>0</v>
      </c>
      <c r="AC105" s="15"/>
      <c r="AD105" s="34">
        <f t="shared" ca="1" si="71"/>
        <v>0</v>
      </c>
      <c r="AE105" s="34">
        <f t="shared" ca="1" si="50"/>
        <v>0</v>
      </c>
      <c r="AF105" s="34">
        <f t="shared" ca="1" si="72"/>
        <v>0</v>
      </c>
      <c r="AG105" s="15"/>
      <c r="AH105" s="273">
        <f t="shared" si="74"/>
        <v>51135</v>
      </c>
      <c r="AI105" s="267">
        <f t="shared" si="51"/>
        <v>25.666666666666668</v>
      </c>
      <c r="AJ105" s="267">
        <f t="shared" si="52"/>
        <v>8.661393059489117E-2</v>
      </c>
      <c r="AK105" s="34">
        <f t="shared" ca="1" si="75"/>
        <v>0</v>
      </c>
      <c r="AL105" s="233"/>
      <c r="AN105" s="232"/>
      <c r="AO105" s="237">
        <f t="shared" si="80"/>
        <v>26</v>
      </c>
      <c r="AP105" s="237">
        <f t="shared" si="80"/>
        <v>2039</v>
      </c>
      <c r="AQ105" s="250">
        <f t="shared" si="80"/>
        <v>365</v>
      </c>
      <c r="AR105" s="34">
        <f t="shared" si="76"/>
        <v>0</v>
      </c>
      <c r="AS105" s="269">
        <f t="shared" si="77"/>
        <v>25.872267163234596</v>
      </c>
      <c r="AT105" s="263">
        <f t="shared" si="78"/>
        <v>0</v>
      </c>
      <c r="AU105" s="34">
        <f t="shared" si="79"/>
        <v>0</v>
      </c>
      <c r="AV105" s="15"/>
      <c r="AW105" s="15"/>
      <c r="AX105" s="15"/>
      <c r="AY105" s="15"/>
      <c r="AZ105" s="15"/>
      <c r="BA105" s="15"/>
      <c r="BB105" s="15"/>
      <c r="BC105" s="233"/>
    </row>
    <row r="106" spans="2:55" x14ac:dyDescent="0.3">
      <c r="B106" s="232"/>
      <c r="C106" s="250">
        <f t="shared" si="73"/>
        <v>2040</v>
      </c>
      <c r="D106" s="263">
        <f t="shared" ca="1" si="54"/>
        <v>0</v>
      </c>
      <c r="E106" s="263">
        <f t="shared" ca="1" si="48"/>
        <v>0</v>
      </c>
      <c r="F106" s="263">
        <f t="shared" ca="1" si="49"/>
        <v>0</v>
      </c>
      <c r="G106" s="263">
        <f t="shared" ca="1" si="55"/>
        <v>0</v>
      </c>
      <c r="H106" s="15"/>
      <c r="I106" s="271">
        <f ca="1">Assumptions!$O$68</f>
        <v>4.5</v>
      </c>
      <c r="J106" s="271">
        <f ca="1">Assumptions!$P$68</f>
        <v>80</v>
      </c>
      <c r="K106" s="271">
        <f t="shared" ca="1" si="56"/>
        <v>40</v>
      </c>
      <c r="L106" s="15"/>
      <c r="M106" s="35">
        <f t="shared" ca="1" si="57"/>
        <v>4.2299999999999995</v>
      </c>
      <c r="N106" s="35">
        <f t="shared" ca="1" si="58"/>
        <v>74.400000000000006</v>
      </c>
      <c r="O106" s="35">
        <f t="shared" ca="1" si="59"/>
        <v>37.200000000000003</v>
      </c>
      <c r="P106" s="15"/>
      <c r="Q106" s="34">
        <f t="shared" ca="1" si="60"/>
        <v>0</v>
      </c>
      <c r="R106" s="34">
        <f t="shared" ca="1" si="61"/>
        <v>0</v>
      </c>
      <c r="S106" s="34">
        <f t="shared" ca="1" si="62"/>
        <v>0</v>
      </c>
      <c r="T106" s="34">
        <f t="shared" ca="1" si="63"/>
        <v>0</v>
      </c>
      <c r="U106" s="15"/>
      <c r="V106" s="35">
        <f t="shared" si="64"/>
        <v>0.31</v>
      </c>
      <c r="W106" s="34">
        <f t="shared" ca="1" si="65"/>
        <v>0</v>
      </c>
      <c r="X106" s="35">
        <f t="shared" si="66"/>
        <v>0.37</v>
      </c>
      <c r="Y106" s="34">
        <f t="shared" ca="1" si="67"/>
        <v>0</v>
      </c>
      <c r="Z106" s="35">
        <f t="shared" si="68"/>
        <v>0.57999999999999996</v>
      </c>
      <c r="AA106" s="34">
        <f t="shared" ca="1" si="69"/>
        <v>0</v>
      </c>
      <c r="AB106" s="34">
        <f t="shared" ca="1" si="70"/>
        <v>0</v>
      </c>
      <c r="AC106" s="15"/>
      <c r="AD106" s="34">
        <f t="shared" ca="1" si="71"/>
        <v>0</v>
      </c>
      <c r="AE106" s="34">
        <f t="shared" ca="1" si="50"/>
        <v>0</v>
      </c>
      <c r="AF106" s="34">
        <f t="shared" ca="1" si="72"/>
        <v>0</v>
      </c>
      <c r="AG106" s="15"/>
      <c r="AH106" s="273">
        <f t="shared" si="74"/>
        <v>51501</v>
      </c>
      <c r="AI106" s="267">
        <f t="shared" si="51"/>
        <v>26.666666666666668</v>
      </c>
      <c r="AJ106" s="267">
        <f t="shared" si="52"/>
        <v>7.8739936904446528E-2</v>
      </c>
      <c r="AK106" s="34">
        <f t="shared" ca="1" si="75"/>
        <v>0</v>
      </c>
      <c r="AL106" s="233"/>
      <c r="AN106" s="232"/>
      <c r="AO106" s="237">
        <f t="shared" si="80"/>
        <v>27</v>
      </c>
      <c r="AP106" s="237">
        <f t="shared" si="80"/>
        <v>2040</v>
      </c>
      <c r="AQ106" s="250">
        <f t="shared" si="80"/>
        <v>366</v>
      </c>
      <c r="AR106" s="34">
        <f t="shared" si="76"/>
        <v>0</v>
      </c>
      <c r="AS106" s="269">
        <f t="shared" si="77"/>
        <v>22.880065424790967</v>
      </c>
      <c r="AT106" s="263">
        <f t="shared" si="78"/>
        <v>0</v>
      </c>
      <c r="AU106" s="34">
        <f t="shared" si="79"/>
        <v>0</v>
      </c>
      <c r="AV106" s="15"/>
      <c r="AW106" s="15"/>
      <c r="AX106" s="15"/>
      <c r="AY106" s="15"/>
      <c r="AZ106" s="15"/>
      <c r="BA106" s="15"/>
      <c r="BB106" s="15"/>
      <c r="BC106" s="233"/>
    </row>
    <row r="107" spans="2:55" x14ac:dyDescent="0.3">
      <c r="B107" s="232"/>
      <c r="C107" s="250">
        <f t="shared" si="73"/>
        <v>2041</v>
      </c>
      <c r="D107" s="263">
        <f t="shared" ca="1" si="54"/>
        <v>0</v>
      </c>
      <c r="E107" s="263">
        <f t="shared" ca="1" si="48"/>
        <v>0</v>
      </c>
      <c r="F107" s="263">
        <f t="shared" ca="1" si="49"/>
        <v>0</v>
      </c>
      <c r="G107" s="263">
        <f t="shared" ca="1" si="55"/>
        <v>0</v>
      </c>
      <c r="H107" s="15"/>
      <c r="I107" s="271">
        <f ca="1">Assumptions!$O$68</f>
        <v>4.5</v>
      </c>
      <c r="J107" s="271">
        <f ca="1">Assumptions!$P$68</f>
        <v>80</v>
      </c>
      <c r="K107" s="271">
        <f t="shared" ca="1" si="56"/>
        <v>40</v>
      </c>
      <c r="L107" s="15"/>
      <c r="M107" s="35">
        <f t="shared" ca="1" si="57"/>
        <v>4.2299999999999995</v>
      </c>
      <c r="N107" s="35">
        <f t="shared" ca="1" si="58"/>
        <v>74.400000000000006</v>
      </c>
      <c r="O107" s="35">
        <f t="shared" ca="1" si="59"/>
        <v>37.200000000000003</v>
      </c>
      <c r="P107" s="15"/>
      <c r="Q107" s="34">
        <f t="shared" ca="1" si="60"/>
        <v>0</v>
      </c>
      <c r="R107" s="34">
        <f t="shared" ca="1" si="61"/>
        <v>0</v>
      </c>
      <c r="S107" s="34">
        <f t="shared" ca="1" si="62"/>
        <v>0</v>
      </c>
      <c r="T107" s="34">
        <f t="shared" ca="1" si="63"/>
        <v>0</v>
      </c>
      <c r="U107" s="15"/>
      <c r="V107" s="35">
        <f t="shared" si="64"/>
        <v>0.31</v>
      </c>
      <c r="W107" s="34">
        <f t="shared" ca="1" si="65"/>
        <v>0</v>
      </c>
      <c r="X107" s="35">
        <f t="shared" si="66"/>
        <v>0.37</v>
      </c>
      <c r="Y107" s="34">
        <f t="shared" ca="1" si="67"/>
        <v>0</v>
      </c>
      <c r="Z107" s="35">
        <f t="shared" si="68"/>
        <v>0.57999999999999996</v>
      </c>
      <c r="AA107" s="34">
        <f t="shared" ca="1" si="69"/>
        <v>0</v>
      </c>
      <c r="AB107" s="34">
        <f t="shared" ca="1" si="70"/>
        <v>0</v>
      </c>
      <c r="AC107" s="15"/>
      <c r="AD107" s="34">
        <f t="shared" ca="1" si="71"/>
        <v>0</v>
      </c>
      <c r="AE107" s="34">
        <f t="shared" ca="1" si="50"/>
        <v>0</v>
      </c>
      <c r="AF107" s="34">
        <f t="shared" ca="1" si="72"/>
        <v>0</v>
      </c>
      <c r="AG107" s="15"/>
      <c r="AH107" s="273">
        <f t="shared" si="74"/>
        <v>51866</v>
      </c>
      <c r="AI107" s="267">
        <f t="shared" si="51"/>
        <v>27.666666666666668</v>
      </c>
      <c r="AJ107" s="267">
        <f t="shared" si="52"/>
        <v>7.1581760822224116E-2</v>
      </c>
      <c r="AK107" s="34">
        <f t="shared" ca="1" si="75"/>
        <v>0</v>
      </c>
      <c r="AL107" s="233"/>
      <c r="AN107" s="232"/>
      <c r="AO107" s="237">
        <f t="shared" si="80"/>
        <v>28</v>
      </c>
      <c r="AP107" s="237">
        <f t="shared" si="80"/>
        <v>2041</v>
      </c>
      <c r="AQ107" s="250">
        <f t="shared" si="80"/>
        <v>365</v>
      </c>
      <c r="AR107" s="34">
        <f t="shared" si="76"/>
        <v>0</v>
      </c>
      <c r="AS107" s="269">
        <f t="shared" si="77"/>
        <v>20.233920380453682</v>
      </c>
      <c r="AT107" s="263">
        <f t="shared" si="78"/>
        <v>0</v>
      </c>
      <c r="AU107" s="34">
        <f t="shared" si="79"/>
        <v>0</v>
      </c>
      <c r="AV107" s="15"/>
      <c r="AW107" s="15"/>
      <c r="AX107" s="15"/>
      <c r="AY107" s="15"/>
      <c r="AZ107" s="15"/>
      <c r="BA107" s="15"/>
      <c r="BB107" s="15"/>
      <c r="BC107" s="233"/>
    </row>
    <row r="108" spans="2:55" x14ac:dyDescent="0.3">
      <c r="B108" s="232"/>
      <c r="C108" s="250">
        <f t="shared" si="73"/>
        <v>2042</v>
      </c>
      <c r="D108" s="263">
        <f t="shared" ca="1" si="54"/>
        <v>0</v>
      </c>
      <c r="E108" s="263">
        <f t="shared" ca="1" si="48"/>
        <v>0</v>
      </c>
      <c r="F108" s="263">
        <f t="shared" ca="1" si="49"/>
        <v>0</v>
      </c>
      <c r="G108" s="263">
        <f t="shared" ca="1" si="55"/>
        <v>0</v>
      </c>
      <c r="H108" s="15"/>
      <c r="I108" s="271">
        <f ca="1">Assumptions!$O$68</f>
        <v>4.5</v>
      </c>
      <c r="J108" s="271">
        <f ca="1">Assumptions!$P$68</f>
        <v>80</v>
      </c>
      <c r="K108" s="271">
        <f t="shared" ca="1" si="56"/>
        <v>40</v>
      </c>
      <c r="L108" s="15"/>
      <c r="M108" s="35">
        <f t="shared" ca="1" si="57"/>
        <v>4.2299999999999995</v>
      </c>
      <c r="N108" s="35">
        <f t="shared" ca="1" si="58"/>
        <v>74.400000000000006</v>
      </c>
      <c r="O108" s="35">
        <f t="shared" ca="1" si="59"/>
        <v>37.200000000000003</v>
      </c>
      <c r="P108" s="15"/>
      <c r="Q108" s="34">
        <f t="shared" ca="1" si="60"/>
        <v>0</v>
      </c>
      <c r="R108" s="34">
        <f t="shared" ca="1" si="61"/>
        <v>0</v>
      </c>
      <c r="S108" s="34">
        <f t="shared" ca="1" si="62"/>
        <v>0</v>
      </c>
      <c r="T108" s="34">
        <f t="shared" ca="1" si="63"/>
        <v>0</v>
      </c>
      <c r="U108" s="15"/>
      <c r="V108" s="35">
        <f t="shared" si="64"/>
        <v>0.31</v>
      </c>
      <c r="W108" s="34">
        <f t="shared" ca="1" si="65"/>
        <v>0</v>
      </c>
      <c r="X108" s="35">
        <f t="shared" si="66"/>
        <v>0.37</v>
      </c>
      <c r="Y108" s="34">
        <f t="shared" ca="1" si="67"/>
        <v>0</v>
      </c>
      <c r="Z108" s="35">
        <f t="shared" si="68"/>
        <v>0.57999999999999996</v>
      </c>
      <c r="AA108" s="34">
        <f t="shared" ca="1" si="69"/>
        <v>0</v>
      </c>
      <c r="AB108" s="34">
        <f t="shared" ca="1" si="70"/>
        <v>0</v>
      </c>
      <c r="AC108" s="15"/>
      <c r="AD108" s="34">
        <f t="shared" ca="1" si="71"/>
        <v>0</v>
      </c>
      <c r="AE108" s="34">
        <f t="shared" ca="1" si="50"/>
        <v>0</v>
      </c>
      <c r="AF108" s="34">
        <f t="shared" ca="1" si="72"/>
        <v>0</v>
      </c>
      <c r="AG108" s="15"/>
      <c r="AH108" s="273">
        <f t="shared" si="74"/>
        <v>52231</v>
      </c>
      <c r="AI108" s="267">
        <f t="shared" si="51"/>
        <v>28.666666666666668</v>
      </c>
      <c r="AJ108" s="267">
        <f t="shared" si="52"/>
        <v>6.5074328020203728E-2</v>
      </c>
      <c r="AK108" s="34">
        <f t="shared" ca="1" si="75"/>
        <v>0</v>
      </c>
      <c r="AL108" s="233"/>
      <c r="AN108" s="232"/>
      <c r="AO108" s="237">
        <f t="shared" si="80"/>
        <v>29</v>
      </c>
      <c r="AP108" s="237">
        <f t="shared" si="80"/>
        <v>2042</v>
      </c>
      <c r="AQ108" s="250">
        <f t="shared" si="80"/>
        <v>365</v>
      </c>
      <c r="AR108" s="34">
        <f t="shared" si="76"/>
        <v>0</v>
      </c>
      <c r="AS108" s="269">
        <f t="shared" si="77"/>
        <v>17.893809583207485</v>
      </c>
      <c r="AT108" s="263">
        <f t="shared" si="78"/>
        <v>0</v>
      </c>
      <c r="AU108" s="34">
        <f t="shared" si="79"/>
        <v>0</v>
      </c>
      <c r="AV108" s="15"/>
      <c r="AW108" s="15"/>
      <c r="AX108" s="15"/>
      <c r="AY108" s="15"/>
      <c r="AZ108" s="15"/>
      <c r="BA108" s="15"/>
      <c r="BB108" s="15"/>
      <c r="BC108" s="233"/>
    </row>
    <row r="109" spans="2:55" x14ac:dyDescent="0.3">
      <c r="B109" s="232"/>
      <c r="C109" s="250">
        <f t="shared" si="73"/>
        <v>2043</v>
      </c>
      <c r="D109" s="263">
        <f t="shared" ca="1" si="54"/>
        <v>0</v>
      </c>
      <c r="E109" s="263">
        <f t="shared" ca="1" si="48"/>
        <v>0</v>
      </c>
      <c r="F109" s="263">
        <f t="shared" ca="1" si="49"/>
        <v>0</v>
      </c>
      <c r="G109" s="263">
        <f t="shared" ca="1" si="55"/>
        <v>0</v>
      </c>
      <c r="H109" s="15"/>
      <c r="I109" s="271">
        <f ca="1">Assumptions!$O$68</f>
        <v>4.5</v>
      </c>
      <c r="J109" s="271">
        <f ca="1">Assumptions!$P$68</f>
        <v>80</v>
      </c>
      <c r="K109" s="271">
        <f t="shared" ca="1" si="56"/>
        <v>40</v>
      </c>
      <c r="L109" s="15"/>
      <c r="M109" s="35">
        <f t="shared" ca="1" si="57"/>
        <v>4.2299999999999995</v>
      </c>
      <c r="N109" s="35">
        <f t="shared" ca="1" si="58"/>
        <v>74.400000000000006</v>
      </c>
      <c r="O109" s="35">
        <f t="shared" ca="1" si="59"/>
        <v>37.200000000000003</v>
      </c>
      <c r="P109" s="15"/>
      <c r="Q109" s="34">
        <f t="shared" ca="1" si="60"/>
        <v>0</v>
      </c>
      <c r="R109" s="34">
        <f t="shared" ca="1" si="61"/>
        <v>0</v>
      </c>
      <c r="S109" s="34">
        <f t="shared" ca="1" si="62"/>
        <v>0</v>
      </c>
      <c r="T109" s="34">
        <f t="shared" ca="1" si="63"/>
        <v>0</v>
      </c>
      <c r="U109" s="15"/>
      <c r="V109" s="35">
        <f t="shared" si="64"/>
        <v>0.31</v>
      </c>
      <c r="W109" s="34">
        <f t="shared" ca="1" si="65"/>
        <v>0</v>
      </c>
      <c r="X109" s="35">
        <f t="shared" si="66"/>
        <v>0.37</v>
      </c>
      <c r="Y109" s="34">
        <f t="shared" ca="1" si="67"/>
        <v>0</v>
      </c>
      <c r="Z109" s="35">
        <f t="shared" si="68"/>
        <v>0.57999999999999996</v>
      </c>
      <c r="AA109" s="34">
        <f t="shared" ca="1" si="69"/>
        <v>0</v>
      </c>
      <c r="AB109" s="34">
        <f t="shared" ca="1" si="70"/>
        <v>0</v>
      </c>
      <c r="AC109" s="15"/>
      <c r="AD109" s="34">
        <f t="shared" ca="1" si="71"/>
        <v>0</v>
      </c>
      <c r="AE109" s="34">
        <f t="shared" ca="1" si="50"/>
        <v>0</v>
      </c>
      <c r="AF109" s="34">
        <f t="shared" ca="1" si="72"/>
        <v>0</v>
      </c>
      <c r="AG109" s="15"/>
      <c r="AH109" s="273">
        <f t="shared" si="74"/>
        <v>52596</v>
      </c>
      <c r="AI109" s="267">
        <f t="shared" si="51"/>
        <v>29.666666666666668</v>
      </c>
      <c r="AJ109" s="267">
        <f t="shared" si="52"/>
        <v>5.915848001836703E-2</v>
      </c>
      <c r="AK109" s="34">
        <f t="shared" ca="1" si="75"/>
        <v>0</v>
      </c>
      <c r="AL109" s="233"/>
      <c r="AN109" s="232"/>
      <c r="AO109" s="237">
        <f t="shared" si="80"/>
        <v>30</v>
      </c>
      <c r="AP109" s="237">
        <f t="shared" si="80"/>
        <v>2043</v>
      </c>
      <c r="AQ109" s="250">
        <f t="shared" si="80"/>
        <v>365</v>
      </c>
      <c r="AR109" s="34">
        <f t="shared" si="76"/>
        <v>0</v>
      </c>
      <c r="AS109" s="269">
        <f t="shared" si="77"/>
        <v>15.824339296570308</v>
      </c>
      <c r="AT109" s="263">
        <f t="shared" si="78"/>
        <v>0</v>
      </c>
      <c r="AU109" s="34">
        <f t="shared" si="79"/>
        <v>0</v>
      </c>
      <c r="AV109" s="15"/>
      <c r="AW109" s="15"/>
      <c r="AX109" s="15"/>
      <c r="AY109" s="15"/>
      <c r="AZ109" s="15"/>
      <c r="BA109" s="15"/>
      <c r="BB109" s="15"/>
      <c r="BC109" s="233"/>
    </row>
    <row r="110" spans="2:55" x14ac:dyDescent="0.3">
      <c r="B110" s="232"/>
      <c r="C110" s="250">
        <f t="shared" si="73"/>
        <v>2044</v>
      </c>
      <c r="D110" s="263">
        <f t="shared" ca="1" si="54"/>
        <v>0</v>
      </c>
      <c r="E110" s="263">
        <f t="shared" ca="1" si="48"/>
        <v>0</v>
      </c>
      <c r="F110" s="263">
        <f t="shared" ca="1" si="49"/>
        <v>0</v>
      </c>
      <c r="G110" s="263">
        <f t="shared" ca="1" si="55"/>
        <v>0</v>
      </c>
      <c r="H110" s="15"/>
      <c r="I110" s="271">
        <f ca="1">Assumptions!$O$68</f>
        <v>4.5</v>
      </c>
      <c r="J110" s="271">
        <f ca="1">Assumptions!$P$68</f>
        <v>80</v>
      </c>
      <c r="K110" s="271">
        <f t="shared" ca="1" si="56"/>
        <v>40</v>
      </c>
      <c r="L110" s="15"/>
      <c r="M110" s="35">
        <f t="shared" ca="1" si="57"/>
        <v>4.2299999999999995</v>
      </c>
      <c r="N110" s="35">
        <f t="shared" ca="1" si="58"/>
        <v>74.400000000000006</v>
      </c>
      <c r="O110" s="35">
        <f t="shared" ca="1" si="59"/>
        <v>37.200000000000003</v>
      </c>
      <c r="P110" s="15"/>
      <c r="Q110" s="34">
        <f t="shared" ca="1" si="60"/>
        <v>0</v>
      </c>
      <c r="R110" s="34">
        <f t="shared" ca="1" si="61"/>
        <v>0</v>
      </c>
      <c r="S110" s="34">
        <f t="shared" ca="1" si="62"/>
        <v>0</v>
      </c>
      <c r="T110" s="34">
        <f t="shared" ca="1" si="63"/>
        <v>0</v>
      </c>
      <c r="U110" s="15"/>
      <c r="V110" s="35">
        <f t="shared" si="64"/>
        <v>0.31</v>
      </c>
      <c r="W110" s="34">
        <f t="shared" ca="1" si="65"/>
        <v>0</v>
      </c>
      <c r="X110" s="35">
        <f t="shared" si="66"/>
        <v>0.37</v>
      </c>
      <c r="Y110" s="34">
        <f t="shared" ca="1" si="67"/>
        <v>0</v>
      </c>
      <c r="Z110" s="35">
        <f t="shared" si="68"/>
        <v>0.57999999999999996</v>
      </c>
      <c r="AA110" s="34">
        <f t="shared" ca="1" si="69"/>
        <v>0</v>
      </c>
      <c r="AB110" s="34">
        <f t="shared" ca="1" si="70"/>
        <v>0</v>
      </c>
      <c r="AC110" s="15"/>
      <c r="AD110" s="34">
        <f t="shared" ca="1" si="71"/>
        <v>0</v>
      </c>
      <c r="AE110" s="34">
        <f t="shared" ca="1" si="50"/>
        <v>0</v>
      </c>
      <c r="AF110" s="34">
        <f t="shared" ca="1" si="72"/>
        <v>0</v>
      </c>
      <c r="AG110" s="15"/>
      <c r="AH110" s="273">
        <f t="shared" si="74"/>
        <v>52962</v>
      </c>
      <c r="AI110" s="267">
        <f t="shared" si="51"/>
        <v>30.666666666666668</v>
      </c>
      <c r="AJ110" s="267">
        <f t="shared" si="52"/>
        <v>5.3780436380333668E-2</v>
      </c>
      <c r="AK110" s="34">
        <f t="shared" ca="1" si="75"/>
        <v>0</v>
      </c>
      <c r="AL110" s="233"/>
      <c r="AN110" s="232"/>
      <c r="AO110" s="237">
        <f t="shared" si="80"/>
        <v>31</v>
      </c>
      <c r="AP110" s="237">
        <f t="shared" si="80"/>
        <v>2044</v>
      </c>
      <c r="AQ110" s="250">
        <f t="shared" si="80"/>
        <v>366</v>
      </c>
      <c r="AR110" s="34">
        <f t="shared" si="76"/>
        <v>0</v>
      </c>
      <c r="AS110" s="269">
        <f t="shared" si="77"/>
        <v>13.994209170973701</v>
      </c>
      <c r="AT110" s="263">
        <f t="shared" si="78"/>
        <v>0</v>
      </c>
      <c r="AU110" s="34">
        <f t="shared" si="79"/>
        <v>0</v>
      </c>
      <c r="AV110" s="15"/>
      <c r="AW110" s="15"/>
      <c r="AX110" s="15"/>
      <c r="AY110" s="15"/>
      <c r="AZ110" s="15"/>
      <c r="BA110" s="15"/>
      <c r="BB110" s="15"/>
      <c r="BC110" s="233"/>
    </row>
    <row r="111" spans="2:55" x14ac:dyDescent="0.3">
      <c r="B111" s="232"/>
      <c r="C111" s="250">
        <f t="shared" si="73"/>
        <v>2045</v>
      </c>
      <c r="D111" s="263">
        <f t="shared" ca="1" si="54"/>
        <v>0</v>
      </c>
      <c r="E111" s="263">
        <f t="shared" ca="1" si="48"/>
        <v>0</v>
      </c>
      <c r="F111" s="263">
        <f t="shared" ca="1" si="49"/>
        <v>0</v>
      </c>
      <c r="G111" s="263">
        <f t="shared" ca="1" si="55"/>
        <v>0</v>
      </c>
      <c r="H111" s="15"/>
      <c r="I111" s="271">
        <f ca="1">Assumptions!$O$68</f>
        <v>4.5</v>
      </c>
      <c r="J111" s="271">
        <f ca="1">Assumptions!$P$68</f>
        <v>80</v>
      </c>
      <c r="K111" s="271">
        <f t="shared" ca="1" si="56"/>
        <v>40</v>
      </c>
      <c r="L111" s="15"/>
      <c r="M111" s="35">
        <f t="shared" ca="1" si="57"/>
        <v>4.2299999999999995</v>
      </c>
      <c r="N111" s="35">
        <f t="shared" ca="1" si="58"/>
        <v>74.400000000000006</v>
      </c>
      <c r="O111" s="35">
        <f t="shared" ca="1" si="59"/>
        <v>37.200000000000003</v>
      </c>
      <c r="P111" s="15"/>
      <c r="Q111" s="34">
        <f t="shared" ca="1" si="60"/>
        <v>0</v>
      </c>
      <c r="R111" s="34">
        <f t="shared" ca="1" si="61"/>
        <v>0</v>
      </c>
      <c r="S111" s="34">
        <f t="shared" ca="1" si="62"/>
        <v>0</v>
      </c>
      <c r="T111" s="34">
        <f t="shared" ca="1" si="63"/>
        <v>0</v>
      </c>
      <c r="U111" s="15"/>
      <c r="V111" s="35">
        <f t="shared" si="64"/>
        <v>0.31</v>
      </c>
      <c r="W111" s="34">
        <f t="shared" ca="1" si="65"/>
        <v>0</v>
      </c>
      <c r="X111" s="35">
        <f t="shared" si="66"/>
        <v>0.37</v>
      </c>
      <c r="Y111" s="34">
        <f t="shared" ca="1" si="67"/>
        <v>0</v>
      </c>
      <c r="Z111" s="35">
        <f t="shared" si="68"/>
        <v>0.57999999999999996</v>
      </c>
      <c r="AA111" s="34">
        <f t="shared" ca="1" si="69"/>
        <v>0</v>
      </c>
      <c r="AB111" s="34">
        <f t="shared" ca="1" si="70"/>
        <v>0</v>
      </c>
      <c r="AC111" s="15"/>
      <c r="AD111" s="34">
        <f t="shared" ca="1" si="71"/>
        <v>0</v>
      </c>
      <c r="AE111" s="34">
        <f t="shared" ca="1" si="50"/>
        <v>0</v>
      </c>
      <c r="AF111" s="34">
        <f t="shared" ca="1" si="72"/>
        <v>0</v>
      </c>
      <c r="AG111" s="15"/>
      <c r="AH111" s="273">
        <f t="shared" si="74"/>
        <v>53327</v>
      </c>
      <c r="AI111" s="267">
        <f t="shared" si="51"/>
        <v>31.666666666666664</v>
      </c>
      <c r="AJ111" s="267">
        <f t="shared" si="52"/>
        <v>4.889130580030334E-2</v>
      </c>
      <c r="AK111" s="34">
        <f t="shared" ca="1" si="75"/>
        <v>0</v>
      </c>
      <c r="AL111" s="233"/>
      <c r="AN111" s="232"/>
      <c r="AO111" s="237">
        <f t="shared" ref="AO111:AQ119" si="81">AO61</f>
        <v>32</v>
      </c>
      <c r="AP111" s="237">
        <f t="shared" si="81"/>
        <v>2045</v>
      </c>
      <c r="AQ111" s="250">
        <f t="shared" si="81"/>
        <v>365</v>
      </c>
      <c r="AR111" s="34">
        <f t="shared" si="76"/>
        <v>0</v>
      </c>
      <c r="AS111" s="269">
        <f t="shared" si="77"/>
        <v>12.375738831851855</v>
      </c>
      <c r="AT111" s="263">
        <f t="shared" si="78"/>
        <v>0</v>
      </c>
      <c r="AU111" s="34">
        <f t="shared" si="79"/>
        <v>0</v>
      </c>
      <c r="AV111" s="15"/>
      <c r="AW111" s="15"/>
      <c r="AX111" s="15"/>
      <c r="AY111" s="15"/>
      <c r="AZ111" s="15"/>
      <c r="BA111" s="15"/>
      <c r="BB111" s="15"/>
      <c r="BC111" s="233"/>
    </row>
    <row r="112" spans="2:55" x14ac:dyDescent="0.3">
      <c r="B112" s="232"/>
      <c r="C112" s="250">
        <f t="shared" si="73"/>
        <v>2046</v>
      </c>
      <c r="D112" s="263">
        <f t="shared" ca="1" si="54"/>
        <v>0</v>
      </c>
      <c r="E112" s="263">
        <f t="shared" ca="1" si="48"/>
        <v>0</v>
      </c>
      <c r="F112" s="263">
        <f t="shared" ca="1" si="49"/>
        <v>0</v>
      </c>
      <c r="G112" s="263">
        <f t="shared" ca="1" si="55"/>
        <v>0</v>
      </c>
      <c r="H112" s="15"/>
      <c r="I112" s="271">
        <f ca="1">Assumptions!$O$68</f>
        <v>4.5</v>
      </c>
      <c r="J112" s="271">
        <f ca="1">Assumptions!$P$68</f>
        <v>80</v>
      </c>
      <c r="K112" s="271">
        <f t="shared" ca="1" si="56"/>
        <v>40</v>
      </c>
      <c r="L112" s="15"/>
      <c r="M112" s="35">
        <f t="shared" ca="1" si="57"/>
        <v>4.2299999999999995</v>
      </c>
      <c r="N112" s="35">
        <f t="shared" ca="1" si="58"/>
        <v>74.400000000000006</v>
      </c>
      <c r="O112" s="35">
        <f t="shared" ca="1" si="59"/>
        <v>37.200000000000003</v>
      </c>
      <c r="P112" s="15"/>
      <c r="Q112" s="34">
        <f t="shared" ca="1" si="60"/>
        <v>0</v>
      </c>
      <c r="R112" s="34">
        <f t="shared" ca="1" si="61"/>
        <v>0</v>
      </c>
      <c r="S112" s="34">
        <f t="shared" ca="1" si="62"/>
        <v>0</v>
      </c>
      <c r="T112" s="34">
        <f t="shared" ca="1" si="63"/>
        <v>0</v>
      </c>
      <c r="U112" s="15"/>
      <c r="V112" s="35">
        <f t="shared" si="64"/>
        <v>0.31</v>
      </c>
      <c r="W112" s="34">
        <f t="shared" ca="1" si="65"/>
        <v>0</v>
      </c>
      <c r="X112" s="35">
        <f t="shared" si="66"/>
        <v>0.37</v>
      </c>
      <c r="Y112" s="34">
        <f t="shared" ca="1" si="67"/>
        <v>0</v>
      </c>
      <c r="Z112" s="35">
        <f t="shared" si="68"/>
        <v>0.57999999999999996</v>
      </c>
      <c r="AA112" s="34">
        <f t="shared" ca="1" si="69"/>
        <v>0</v>
      </c>
      <c r="AB112" s="34">
        <f t="shared" ca="1" si="70"/>
        <v>0</v>
      </c>
      <c r="AC112" s="15"/>
      <c r="AD112" s="34">
        <f t="shared" ca="1" si="71"/>
        <v>0</v>
      </c>
      <c r="AE112" s="34">
        <f t="shared" ca="1" si="50"/>
        <v>0</v>
      </c>
      <c r="AF112" s="34">
        <f t="shared" ca="1" si="72"/>
        <v>0</v>
      </c>
      <c r="AG112" s="15"/>
      <c r="AH112" s="273">
        <f t="shared" si="74"/>
        <v>53692</v>
      </c>
      <c r="AI112" s="267">
        <f t="shared" si="51"/>
        <v>32.666666666666664</v>
      </c>
      <c r="AJ112" s="267">
        <f t="shared" si="52"/>
        <v>4.4446641636639403E-2</v>
      </c>
      <c r="AK112" s="34">
        <f t="shared" ca="1" si="75"/>
        <v>0</v>
      </c>
      <c r="AL112" s="233"/>
      <c r="AN112" s="232"/>
      <c r="AO112" s="237">
        <f t="shared" si="81"/>
        <v>33</v>
      </c>
      <c r="AP112" s="237">
        <f t="shared" si="81"/>
        <v>2046</v>
      </c>
      <c r="AQ112" s="250">
        <f t="shared" si="81"/>
        <v>365</v>
      </c>
      <c r="AR112" s="34">
        <f t="shared" si="76"/>
        <v>0</v>
      </c>
      <c r="AS112" s="269">
        <f t="shared" si="77"/>
        <v>10.94444921917294</v>
      </c>
      <c r="AT112" s="263">
        <f t="shared" si="78"/>
        <v>0</v>
      </c>
      <c r="AU112" s="34">
        <f t="shared" si="79"/>
        <v>0</v>
      </c>
      <c r="AV112" s="15"/>
      <c r="AW112" s="15"/>
      <c r="AX112" s="15"/>
      <c r="AY112" s="15"/>
      <c r="AZ112" s="15"/>
      <c r="BA112" s="15"/>
      <c r="BB112" s="15"/>
      <c r="BC112" s="233"/>
    </row>
    <row r="113" spans="2:55" x14ac:dyDescent="0.3">
      <c r="B113" s="232"/>
      <c r="C113" s="250">
        <f t="shared" si="73"/>
        <v>2047</v>
      </c>
      <c r="D113" s="263">
        <f t="shared" ca="1" si="54"/>
        <v>0</v>
      </c>
      <c r="E113" s="263">
        <f t="shared" ca="1" si="48"/>
        <v>0</v>
      </c>
      <c r="F113" s="263">
        <f t="shared" ca="1" si="49"/>
        <v>0</v>
      </c>
      <c r="G113" s="263">
        <f t="shared" ca="1" si="55"/>
        <v>0</v>
      </c>
      <c r="H113" s="15"/>
      <c r="I113" s="271">
        <f ca="1">Assumptions!$O$68</f>
        <v>4.5</v>
      </c>
      <c r="J113" s="271">
        <f ca="1">Assumptions!$P$68</f>
        <v>80</v>
      </c>
      <c r="K113" s="271">
        <f t="shared" ca="1" si="56"/>
        <v>40</v>
      </c>
      <c r="L113" s="15"/>
      <c r="M113" s="35">
        <f t="shared" ca="1" si="57"/>
        <v>4.2299999999999995</v>
      </c>
      <c r="N113" s="35">
        <f t="shared" ca="1" si="58"/>
        <v>74.400000000000006</v>
      </c>
      <c r="O113" s="35">
        <f t="shared" ca="1" si="59"/>
        <v>37.200000000000003</v>
      </c>
      <c r="P113" s="15"/>
      <c r="Q113" s="34">
        <f t="shared" ca="1" si="60"/>
        <v>0</v>
      </c>
      <c r="R113" s="34">
        <f t="shared" ca="1" si="61"/>
        <v>0</v>
      </c>
      <c r="S113" s="34">
        <f t="shared" ca="1" si="62"/>
        <v>0</v>
      </c>
      <c r="T113" s="34">
        <f t="shared" ca="1" si="63"/>
        <v>0</v>
      </c>
      <c r="U113" s="15"/>
      <c r="V113" s="35">
        <f t="shared" si="64"/>
        <v>0.31</v>
      </c>
      <c r="W113" s="34">
        <f t="shared" ca="1" si="65"/>
        <v>0</v>
      </c>
      <c r="X113" s="35">
        <f t="shared" si="66"/>
        <v>0.37</v>
      </c>
      <c r="Y113" s="34">
        <f t="shared" ca="1" si="67"/>
        <v>0</v>
      </c>
      <c r="Z113" s="35">
        <f t="shared" si="68"/>
        <v>0.57999999999999996</v>
      </c>
      <c r="AA113" s="34">
        <f t="shared" ca="1" si="69"/>
        <v>0</v>
      </c>
      <c r="AB113" s="34">
        <f t="shared" ca="1" si="70"/>
        <v>0</v>
      </c>
      <c r="AC113" s="15"/>
      <c r="AD113" s="34">
        <f t="shared" ca="1" si="71"/>
        <v>0</v>
      </c>
      <c r="AE113" s="34">
        <f t="shared" ca="1" si="50"/>
        <v>0</v>
      </c>
      <c r="AF113" s="34">
        <f t="shared" ca="1" si="72"/>
        <v>0</v>
      </c>
      <c r="AG113" s="15"/>
      <c r="AH113" s="273">
        <f t="shared" si="74"/>
        <v>54057</v>
      </c>
      <c r="AI113" s="267">
        <f t="shared" si="51"/>
        <v>33.666666666666664</v>
      </c>
      <c r="AJ113" s="267">
        <f t="shared" si="52"/>
        <v>4.0406037851490349E-2</v>
      </c>
      <c r="AK113" s="34">
        <f t="shared" ca="1" si="75"/>
        <v>0</v>
      </c>
      <c r="AL113" s="233"/>
      <c r="AN113" s="232"/>
      <c r="AO113" s="237">
        <f t="shared" si="81"/>
        <v>34</v>
      </c>
      <c r="AP113" s="237">
        <f t="shared" si="81"/>
        <v>2047</v>
      </c>
      <c r="AQ113" s="250">
        <f t="shared" si="81"/>
        <v>365</v>
      </c>
      <c r="AR113" s="34">
        <f t="shared" si="76"/>
        <v>0</v>
      </c>
      <c r="AS113" s="269">
        <f t="shared" si="77"/>
        <v>9.6786923462517542</v>
      </c>
      <c r="AT113" s="263">
        <f t="shared" si="78"/>
        <v>0</v>
      </c>
      <c r="AU113" s="34">
        <f t="shared" si="79"/>
        <v>0</v>
      </c>
      <c r="AV113" s="15"/>
      <c r="AW113" s="15"/>
      <c r="AX113" s="15"/>
      <c r="AY113" s="15"/>
      <c r="AZ113" s="15"/>
      <c r="BA113" s="15"/>
      <c r="BB113" s="15"/>
      <c r="BC113" s="233"/>
    </row>
    <row r="114" spans="2:55" x14ac:dyDescent="0.3">
      <c r="B114" s="232"/>
      <c r="C114" s="250">
        <f t="shared" si="73"/>
        <v>2048</v>
      </c>
      <c r="D114" s="263">
        <f t="shared" ca="1" si="54"/>
        <v>0</v>
      </c>
      <c r="E114" s="263">
        <f t="shared" ca="1" si="48"/>
        <v>0</v>
      </c>
      <c r="F114" s="263">
        <f t="shared" ca="1" si="49"/>
        <v>0</v>
      </c>
      <c r="G114" s="263">
        <f t="shared" ca="1" si="55"/>
        <v>0</v>
      </c>
      <c r="H114" s="15"/>
      <c r="I114" s="271">
        <f ca="1">Assumptions!$O$68</f>
        <v>4.5</v>
      </c>
      <c r="J114" s="271">
        <f ca="1">Assumptions!$P$68</f>
        <v>80</v>
      </c>
      <c r="K114" s="271">
        <f t="shared" ca="1" si="56"/>
        <v>40</v>
      </c>
      <c r="L114" s="15"/>
      <c r="M114" s="35">
        <f t="shared" ca="1" si="57"/>
        <v>4.2299999999999995</v>
      </c>
      <c r="N114" s="35">
        <f t="shared" ca="1" si="58"/>
        <v>74.400000000000006</v>
      </c>
      <c r="O114" s="35">
        <f t="shared" ca="1" si="59"/>
        <v>37.200000000000003</v>
      </c>
      <c r="P114" s="15"/>
      <c r="Q114" s="34">
        <f t="shared" ca="1" si="60"/>
        <v>0</v>
      </c>
      <c r="R114" s="34">
        <f t="shared" ca="1" si="61"/>
        <v>0</v>
      </c>
      <c r="S114" s="34">
        <f t="shared" ca="1" si="62"/>
        <v>0</v>
      </c>
      <c r="T114" s="34">
        <f t="shared" ca="1" si="63"/>
        <v>0</v>
      </c>
      <c r="U114" s="15"/>
      <c r="V114" s="35">
        <f t="shared" si="64"/>
        <v>0.31</v>
      </c>
      <c r="W114" s="34">
        <f t="shared" ca="1" si="65"/>
        <v>0</v>
      </c>
      <c r="X114" s="35">
        <f t="shared" si="66"/>
        <v>0.37</v>
      </c>
      <c r="Y114" s="34">
        <f t="shared" ca="1" si="67"/>
        <v>0</v>
      </c>
      <c r="Z114" s="35">
        <f t="shared" si="68"/>
        <v>0.57999999999999996</v>
      </c>
      <c r="AA114" s="34">
        <f t="shared" ca="1" si="69"/>
        <v>0</v>
      </c>
      <c r="AB114" s="34">
        <f t="shared" ca="1" si="70"/>
        <v>0</v>
      </c>
      <c r="AC114" s="15"/>
      <c r="AD114" s="34">
        <f t="shared" ca="1" si="71"/>
        <v>0</v>
      </c>
      <c r="AE114" s="34">
        <f t="shared" ca="1" si="50"/>
        <v>0</v>
      </c>
      <c r="AF114" s="34">
        <f t="shared" ca="1" si="72"/>
        <v>0</v>
      </c>
      <c r="AG114" s="15"/>
      <c r="AH114" s="273">
        <f t="shared" si="74"/>
        <v>54423</v>
      </c>
      <c r="AI114" s="267">
        <f t="shared" si="51"/>
        <v>34.666666666666664</v>
      </c>
      <c r="AJ114" s="267">
        <f t="shared" si="52"/>
        <v>3.6732761683173049E-2</v>
      </c>
      <c r="AK114" s="34">
        <f t="shared" ca="1" si="75"/>
        <v>0</v>
      </c>
      <c r="AL114" s="233"/>
      <c r="AN114" s="232"/>
      <c r="AO114" s="237">
        <f t="shared" si="81"/>
        <v>35</v>
      </c>
      <c r="AP114" s="237">
        <f t="shared" si="81"/>
        <v>2048</v>
      </c>
      <c r="AQ114" s="250">
        <f t="shared" si="81"/>
        <v>366</v>
      </c>
      <c r="AR114" s="34">
        <f t="shared" si="76"/>
        <v>0</v>
      </c>
      <c r="AS114" s="269">
        <f t="shared" si="77"/>
        <v>8.559323878015249</v>
      </c>
      <c r="AT114" s="263">
        <f t="shared" si="78"/>
        <v>0</v>
      </c>
      <c r="AU114" s="34">
        <f t="shared" si="79"/>
        <v>0</v>
      </c>
      <c r="AV114" s="15"/>
      <c r="AW114" s="15"/>
      <c r="AX114" s="15"/>
      <c r="AY114" s="15"/>
      <c r="AZ114" s="15"/>
      <c r="BA114" s="15"/>
      <c r="BB114" s="15"/>
      <c r="BC114" s="233"/>
    </row>
    <row r="115" spans="2:55" x14ac:dyDescent="0.3">
      <c r="B115" s="232"/>
      <c r="C115" s="250">
        <f t="shared" si="73"/>
        <v>2049</v>
      </c>
      <c r="D115" s="263">
        <f t="shared" ca="1" si="54"/>
        <v>0</v>
      </c>
      <c r="E115" s="263">
        <f t="shared" ca="1" si="48"/>
        <v>0</v>
      </c>
      <c r="F115" s="263">
        <f t="shared" ca="1" si="49"/>
        <v>0</v>
      </c>
      <c r="G115" s="263">
        <f t="shared" ca="1" si="55"/>
        <v>0</v>
      </c>
      <c r="H115" s="15"/>
      <c r="I115" s="271">
        <f ca="1">Assumptions!$O$68</f>
        <v>4.5</v>
      </c>
      <c r="J115" s="271">
        <f ca="1">Assumptions!$P$68</f>
        <v>80</v>
      </c>
      <c r="K115" s="271">
        <f t="shared" ca="1" si="56"/>
        <v>40</v>
      </c>
      <c r="L115" s="15"/>
      <c r="M115" s="35">
        <f t="shared" ca="1" si="57"/>
        <v>4.2299999999999995</v>
      </c>
      <c r="N115" s="35">
        <f t="shared" ca="1" si="58"/>
        <v>74.400000000000006</v>
      </c>
      <c r="O115" s="35">
        <f t="shared" ca="1" si="59"/>
        <v>37.200000000000003</v>
      </c>
      <c r="P115" s="15"/>
      <c r="Q115" s="34">
        <f t="shared" ca="1" si="60"/>
        <v>0</v>
      </c>
      <c r="R115" s="34">
        <f t="shared" ca="1" si="61"/>
        <v>0</v>
      </c>
      <c r="S115" s="34">
        <f t="shared" ca="1" si="62"/>
        <v>0</v>
      </c>
      <c r="T115" s="34">
        <f t="shared" ca="1" si="63"/>
        <v>0</v>
      </c>
      <c r="U115" s="15"/>
      <c r="V115" s="35">
        <f t="shared" si="64"/>
        <v>0.31</v>
      </c>
      <c r="W115" s="34">
        <f t="shared" ca="1" si="65"/>
        <v>0</v>
      </c>
      <c r="X115" s="35">
        <f t="shared" si="66"/>
        <v>0.37</v>
      </c>
      <c r="Y115" s="34">
        <f t="shared" ca="1" si="67"/>
        <v>0</v>
      </c>
      <c r="Z115" s="35">
        <f t="shared" si="68"/>
        <v>0.57999999999999996</v>
      </c>
      <c r="AA115" s="34">
        <f t="shared" ca="1" si="69"/>
        <v>0</v>
      </c>
      <c r="AB115" s="34">
        <f t="shared" ca="1" si="70"/>
        <v>0</v>
      </c>
      <c r="AC115" s="15"/>
      <c r="AD115" s="34">
        <f t="shared" ca="1" si="71"/>
        <v>0</v>
      </c>
      <c r="AE115" s="34">
        <f t="shared" ca="1" si="50"/>
        <v>0</v>
      </c>
      <c r="AF115" s="34">
        <f t="shared" ca="1" si="72"/>
        <v>0</v>
      </c>
      <c r="AG115" s="15"/>
      <c r="AH115" s="273">
        <f t="shared" si="74"/>
        <v>54788</v>
      </c>
      <c r="AI115" s="267">
        <f t="shared" si="51"/>
        <v>35.666666666666664</v>
      </c>
      <c r="AJ115" s="267">
        <f t="shared" si="52"/>
        <v>3.3393419711975486E-2</v>
      </c>
      <c r="AK115" s="34">
        <f t="shared" ca="1" si="75"/>
        <v>0</v>
      </c>
      <c r="AL115" s="233"/>
      <c r="AN115" s="232"/>
      <c r="AO115" s="237">
        <f t="shared" si="81"/>
        <v>36</v>
      </c>
      <c r="AP115" s="237">
        <f t="shared" si="81"/>
        <v>2049</v>
      </c>
      <c r="AQ115" s="250">
        <f t="shared" si="81"/>
        <v>365</v>
      </c>
      <c r="AR115" s="34">
        <f t="shared" si="76"/>
        <v>0</v>
      </c>
      <c r="AS115" s="269">
        <f t="shared" si="77"/>
        <v>7.5694135765286532</v>
      </c>
      <c r="AT115" s="263">
        <f t="shared" si="78"/>
        <v>0</v>
      </c>
      <c r="AU115" s="34">
        <f t="shared" si="79"/>
        <v>0</v>
      </c>
      <c r="AV115" s="15"/>
      <c r="AW115" s="15"/>
      <c r="AX115" s="15"/>
      <c r="AY115" s="15"/>
      <c r="AZ115" s="15"/>
      <c r="BA115" s="15"/>
      <c r="BB115" s="15"/>
      <c r="BC115" s="233"/>
    </row>
    <row r="116" spans="2:55" x14ac:dyDescent="0.3">
      <c r="B116" s="232"/>
      <c r="C116" s="250">
        <f t="shared" si="73"/>
        <v>2050</v>
      </c>
      <c r="D116" s="263">
        <f t="shared" ca="1" si="54"/>
        <v>0</v>
      </c>
      <c r="E116" s="263">
        <f t="shared" ca="1" si="48"/>
        <v>0</v>
      </c>
      <c r="F116" s="263">
        <f t="shared" ca="1" si="49"/>
        <v>0</v>
      </c>
      <c r="G116" s="263">
        <f t="shared" ca="1" si="55"/>
        <v>0</v>
      </c>
      <c r="H116" s="15"/>
      <c r="I116" s="271">
        <f ca="1">Assumptions!$O$68</f>
        <v>4.5</v>
      </c>
      <c r="J116" s="271">
        <f ca="1">Assumptions!$P$68</f>
        <v>80</v>
      </c>
      <c r="K116" s="271">
        <f t="shared" ca="1" si="56"/>
        <v>40</v>
      </c>
      <c r="L116" s="15"/>
      <c r="M116" s="35">
        <f t="shared" ca="1" si="57"/>
        <v>4.2299999999999995</v>
      </c>
      <c r="N116" s="35">
        <f t="shared" ca="1" si="58"/>
        <v>74.400000000000006</v>
      </c>
      <c r="O116" s="35">
        <f t="shared" ca="1" si="59"/>
        <v>37.200000000000003</v>
      </c>
      <c r="P116" s="15"/>
      <c r="Q116" s="34">
        <f t="shared" ca="1" si="60"/>
        <v>0</v>
      </c>
      <c r="R116" s="34">
        <f t="shared" ca="1" si="61"/>
        <v>0</v>
      </c>
      <c r="S116" s="34">
        <f t="shared" ca="1" si="62"/>
        <v>0</v>
      </c>
      <c r="T116" s="34">
        <f t="shared" ca="1" si="63"/>
        <v>0</v>
      </c>
      <c r="U116" s="15"/>
      <c r="V116" s="35">
        <f t="shared" si="64"/>
        <v>0.31</v>
      </c>
      <c r="W116" s="34">
        <f t="shared" ca="1" si="65"/>
        <v>0</v>
      </c>
      <c r="X116" s="35">
        <f t="shared" si="66"/>
        <v>0.37</v>
      </c>
      <c r="Y116" s="34">
        <f t="shared" ca="1" si="67"/>
        <v>0</v>
      </c>
      <c r="Z116" s="35">
        <f t="shared" si="68"/>
        <v>0.57999999999999996</v>
      </c>
      <c r="AA116" s="34">
        <f t="shared" ca="1" si="69"/>
        <v>0</v>
      </c>
      <c r="AB116" s="34">
        <f t="shared" ca="1" si="70"/>
        <v>0</v>
      </c>
      <c r="AC116" s="15"/>
      <c r="AD116" s="34">
        <f t="shared" ca="1" si="71"/>
        <v>0</v>
      </c>
      <c r="AE116" s="34">
        <f t="shared" ca="1" si="50"/>
        <v>0</v>
      </c>
      <c r="AF116" s="34">
        <f t="shared" ca="1" si="72"/>
        <v>0</v>
      </c>
      <c r="AG116" s="15"/>
      <c r="AH116" s="273">
        <f t="shared" si="74"/>
        <v>55153</v>
      </c>
      <c r="AI116" s="267">
        <f t="shared" si="51"/>
        <v>36.666666666666664</v>
      </c>
      <c r="AJ116" s="267">
        <f t="shared" si="52"/>
        <v>3.0357654283614078E-2</v>
      </c>
      <c r="AK116" s="34">
        <f t="shared" ca="1" si="75"/>
        <v>0</v>
      </c>
      <c r="AL116" s="233"/>
      <c r="AN116" s="232"/>
      <c r="AO116" s="237">
        <f t="shared" si="81"/>
        <v>37</v>
      </c>
      <c r="AP116" s="237">
        <f t="shared" si="81"/>
        <v>2050</v>
      </c>
      <c r="AQ116" s="250">
        <f t="shared" si="81"/>
        <v>365</v>
      </c>
      <c r="AR116" s="34">
        <f t="shared" si="76"/>
        <v>0</v>
      </c>
      <c r="AS116" s="269">
        <f t="shared" si="77"/>
        <v>6.6939892343251532</v>
      </c>
      <c r="AT116" s="263">
        <f t="shared" si="78"/>
        <v>0</v>
      </c>
      <c r="AU116" s="34">
        <f t="shared" si="79"/>
        <v>0</v>
      </c>
      <c r="AV116" s="15"/>
      <c r="AW116" s="15"/>
      <c r="AX116" s="15"/>
      <c r="AY116" s="15"/>
      <c r="AZ116" s="15"/>
      <c r="BA116" s="15"/>
      <c r="BB116" s="15"/>
      <c r="BC116" s="233"/>
    </row>
    <row r="117" spans="2:55" x14ac:dyDescent="0.3">
      <c r="B117" s="232"/>
      <c r="C117" s="250">
        <f t="shared" si="73"/>
        <v>2051</v>
      </c>
      <c r="D117" s="263">
        <f t="shared" ca="1" si="54"/>
        <v>0</v>
      </c>
      <c r="E117" s="263">
        <f t="shared" ca="1" si="48"/>
        <v>0</v>
      </c>
      <c r="F117" s="263">
        <f t="shared" ca="1" si="49"/>
        <v>0</v>
      </c>
      <c r="G117" s="263">
        <f t="shared" ca="1" si="55"/>
        <v>0</v>
      </c>
      <c r="H117" s="15"/>
      <c r="I117" s="271">
        <f ca="1">Assumptions!$O$68</f>
        <v>4.5</v>
      </c>
      <c r="J117" s="271">
        <f ca="1">Assumptions!$P$68</f>
        <v>80</v>
      </c>
      <c r="K117" s="271">
        <f t="shared" ca="1" si="56"/>
        <v>40</v>
      </c>
      <c r="L117" s="15"/>
      <c r="M117" s="35">
        <f t="shared" ca="1" si="57"/>
        <v>4.2299999999999995</v>
      </c>
      <c r="N117" s="35">
        <f t="shared" ca="1" si="58"/>
        <v>74.400000000000006</v>
      </c>
      <c r="O117" s="35">
        <f t="shared" ca="1" si="59"/>
        <v>37.200000000000003</v>
      </c>
      <c r="P117" s="15"/>
      <c r="Q117" s="34">
        <f t="shared" ca="1" si="60"/>
        <v>0</v>
      </c>
      <c r="R117" s="34">
        <f t="shared" ca="1" si="61"/>
        <v>0</v>
      </c>
      <c r="S117" s="34">
        <f t="shared" ca="1" si="62"/>
        <v>0</v>
      </c>
      <c r="T117" s="34">
        <f t="shared" ca="1" si="63"/>
        <v>0</v>
      </c>
      <c r="U117" s="15"/>
      <c r="V117" s="35">
        <f t="shared" si="64"/>
        <v>0.31</v>
      </c>
      <c r="W117" s="34">
        <f t="shared" ca="1" si="65"/>
        <v>0</v>
      </c>
      <c r="X117" s="35">
        <f t="shared" si="66"/>
        <v>0.37</v>
      </c>
      <c r="Y117" s="34">
        <f t="shared" ca="1" si="67"/>
        <v>0</v>
      </c>
      <c r="Z117" s="35">
        <f t="shared" si="68"/>
        <v>0.57999999999999996</v>
      </c>
      <c r="AA117" s="34">
        <f t="shared" ca="1" si="69"/>
        <v>0</v>
      </c>
      <c r="AB117" s="34">
        <f t="shared" ca="1" si="70"/>
        <v>0</v>
      </c>
      <c r="AC117" s="15"/>
      <c r="AD117" s="34">
        <f t="shared" ca="1" si="71"/>
        <v>0</v>
      </c>
      <c r="AE117" s="34">
        <f t="shared" ca="1" si="50"/>
        <v>0</v>
      </c>
      <c r="AF117" s="34">
        <f t="shared" ca="1" si="72"/>
        <v>0</v>
      </c>
      <c r="AG117" s="15"/>
      <c r="AH117" s="273">
        <f t="shared" si="74"/>
        <v>55518</v>
      </c>
      <c r="AI117" s="267">
        <f t="shared" si="51"/>
        <v>37.666666666666664</v>
      </c>
      <c r="AJ117" s="267">
        <f t="shared" si="52"/>
        <v>2.7597867530558259E-2</v>
      </c>
      <c r="AK117" s="34">
        <f t="shared" ca="1" si="75"/>
        <v>0</v>
      </c>
      <c r="AL117" s="233"/>
      <c r="AN117" s="232"/>
      <c r="AO117" s="237">
        <f t="shared" si="81"/>
        <v>38</v>
      </c>
      <c r="AP117" s="237">
        <f t="shared" si="81"/>
        <v>2051</v>
      </c>
      <c r="AQ117" s="250">
        <f t="shared" si="81"/>
        <v>365</v>
      </c>
      <c r="AR117" s="34">
        <f t="shared" si="76"/>
        <v>0</v>
      </c>
      <c r="AS117" s="269">
        <f t="shared" si="77"/>
        <v>5.9198102225787972</v>
      </c>
      <c r="AT117" s="263">
        <f t="shared" si="78"/>
        <v>0</v>
      </c>
      <c r="AU117" s="34">
        <f t="shared" si="79"/>
        <v>0</v>
      </c>
      <c r="AV117" s="15"/>
      <c r="AW117" s="15"/>
      <c r="AX117" s="15"/>
      <c r="AY117" s="15"/>
      <c r="AZ117" s="15"/>
      <c r="BA117" s="15"/>
      <c r="BB117" s="15"/>
      <c r="BC117" s="233"/>
    </row>
    <row r="118" spans="2:55" x14ac:dyDescent="0.3">
      <c r="B118" s="232"/>
      <c r="C118" s="250">
        <f t="shared" si="73"/>
        <v>2052</v>
      </c>
      <c r="D118" s="263">
        <f t="shared" ca="1" si="54"/>
        <v>0</v>
      </c>
      <c r="E118" s="263">
        <f t="shared" ca="1" si="48"/>
        <v>0</v>
      </c>
      <c r="F118" s="263">
        <f t="shared" ca="1" si="49"/>
        <v>0</v>
      </c>
      <c r="G118" s="263">
        <f t="shared" ca="1" si="55"/>
        <v>0</v>
      </c>
      <c r="H118" s="15"/>
      <c r="I118" s="271">
        <f ca="1">Assumptions!$O$68</f>
        <v>4.5</v>
      </c>
      <c r="J118" s="271">
        <f ca="1">Assumptions!$P$68</f>
        <v>80</v>
      </c>
      <c r="K118" s="271">
        <f t="shared" ca="1" si="56"/>
        <v>40</v>
      </c>
      <c r="L118" s="15"/>
      <c r="M118" s="35">
        <f t="shared" ca="1" si="57"/>
        <v>4.2299999999999995</v>
      </c>
      <c r="N118" s="35">
        <f t="shared" ca="1" si="58"/>
        <v>74.400000000000006</v>
      </c>
      <c r="O118" s="35">
        <f t="shared" ca="1" si="59"/>
        <v>37.200000000000003</v>
      </c>
      <c r="P118" s="15"/>
      <c r="Q118" s="34">
        <f t="shared" ca="1" si="60"/>
        <v>0</v>
      </c>
      <c r="R118" s="34">
        <f t="shared" ca="1" si="61"/>
        <v>0</v>
      </c>
      <c r="S118" s="34">
        <f t="shared" ca="1" si="62"/>
        <v>0</v>
      </c>
      <c r="T118" s="34">
        <f t="shared" ca="1" si="63"/>
        <v>0</v>
      </c>
      <c r="U118" s="15"/>
      <c r="V118" s="35">
        <f t="shared" si="64"/>
        <v>0.31</v>
      </c>
      <c r="W118" s="34">
        <f t="shared" ca="1" si="65"/>
        <v>0</v>
      </c>
      <c r="X118" s="35">
        <f t="shared" si="66"/>
        <v>0.37</v>
      </c>
      <c r="Y118" s="34">
        <f t="shared" ca="1" si="67"/>
        <v>0</v>
      </c>
      <c r="Z118" s="35">
        <f t="shared" si="68"/>
        <v>0.57999999999999996</v>
      </c>
      <c r="AA118" s="34">
        <f t="shared" ca="1" si="69"/>
        <v>0</v>
      </c>
      <c r="AB118" s="34">
        <f t="shared" ca="1" si="70"/>
        <v>0</v>
      </c>
      <c r="AC118" s="15"/>
      <c r="AD118" s="34">
        <f t="shared" ca="1" si="71"/>
        <v>0</v>
      </c>
      <c r="AE118" s="34">
        <f t="shared" ca="1" si="50"/>
        <v>0</v>
      </c>
      <c r="AF118" s="34">
        <f t="shared" ca="1" si="72"/>
        <v>0</v>
      </c>
      <c r="AG118" s="15"/>
      <c r="AH118" s="273">
        <f t="shared" si="74"/>
        <v>55884</v>
      </c>
      <c r="AI118" s="267">
        <f t="shared" si="51"/>
        <v>38.666666666666664</v>
      </c>
      <c r="AJ118" s="267">
        <f t="shared" si="52"/>
        <v>2.5088970482325681E-2</v>
      </c>
      <c r="AK118" s="34">
        <f t="shared" ca="1" si="75"/>
        <v>0</v>
      </c>
      <c r="AL118" s="233"/>
      <c r="AN118" s="232"/>
      <c r="AO118" s="237">
        <f t="shared" si="81"/>
        <v>39</v>
      </c>
      <c r="AP118" s="237">
        <f t="shared" si="81"/>
        <v>2052</v>
      </c>
      <c r="AQ118" s="250">
        <f t="shared" si="81"/>
        <v>366</v>
      </c>
      <c r="AR118" s="34">
        <f t="shared" si="76"/>
        <v>0</v>
      </c>
      <c r="AS118" s="269">
        <f t="shared" si="77"/>
        <v>5.2351672290792628</v>
      </c>
      <c r="AT118" s="263">
        <f t="shared" si="78"/>
        <v>0</v>
      </c>
      <c r="AU118" s="34">
        <f t="shared" si="79"/>
        <v>0</v>
      </c>
      <c r="AV118" s="15"/>
      <c r="AW118" s="15"/>
      <c r="AX118" s="15"/>
      <c r="AY118" s="15"/>
      <c r="AZ118" s="15"/>
      <c r="BA118" s="15"/>
      <c r="BB118" s="15"/>
      <c r="BC118" s="233"/>
    </row>
    <row r="119" spans="2:55" x14ac:dyDescent="0.3">
      <c r="B119" s="232"/>
      <c r="C119" s="250">
        <f t="shared" si="73"/>
        <v>2053</v>
      </c>
      <c r="D119" s="263">
        <f t="shared" ca="1" si="54"/>
        <v>0</v>
      </c>
      <c r="E119" s="263">
        <f t="shared" ca="1" si="48"/>
        <v>0</v>
      </c>
      <c r="F119" s="263">
        <f t="shared" ca="1" si="49"/>
        <v>0</v>
      </c>
      <c r="G119" s="263">
        <f t="shared" ca="1" si="55"/>
        <v>0</v>
      </c>
      <c r="H119" s="15"/>
      <c r="I119" s="271">
        <f ca="1">Assumptions!$O$68</f>
        <v>4.5</v>
      </c>
      <c r="J119" s="271">
        <f ca="1">Assumptions!$P$68</f>
        <v>80</v>
      </c>
      <c r="K119" s="271">
        <f t="shared" ca="1" si="56"/>
        <v>40</v>
      </c>
      <c r="L119" s="15"/>
      <c r="M119" s="35">
        <f t="shared" ca="1" si="57"/>
        <v>4.2299999999999995</v>
      </c>
      <c r="N119" s="35">
        <f t="shared" ca="1" si="58"/>
        <v>74.400000000000006</v>
      </c>
      <c r="O119" s="35">
        <f t="shared" ca="1" si="59"/>
        <v>37.200000000000003</v>
      </c>
      <c r="P119" s="15"/>
      <c r="Q119" s="34">
        <f t="shared" ca="1" si="60"/>
        <v>0</v>
      </c>
      <c r="R119" s="34">
        <f t="shared" ca="1" si="61"/>
        <v>0</v>
      </c>
      <c r="S119" s="34">
        <f t="shared" ca="1" si="62"/>
        <v>0</v>
      </c>
      <c r="T119" s="34">
        <f t="shared" ca="1" si="63"/>
        <v>0</v>
      </c>
      <c r="U119" s="15"/>
      <c r="V119" s="35">
        <f t="shared" si="64"/>
        <v>0.31</v>
      </c>
      <c r="W119" s="34">
        <f t="shared" ca="1" si="65"/>
        <v>0</v>
      </c>
      <c r="X119" s="35">
        <f t="shared" si="66"/>
        <v>0.37</v>
      </c>
      <c r="Y119" s="34">
        <f t="shared" ca="1" si="67"/>
        <v>0</v>
      </c>
      <c r="Z119" s="35">
        <f t="shared" si="68"/>
        <v>0.57999999999999996</v>
      </c>
      <c r="AA119" s="34">
        <f t="shared" ca="1" si="69"/>
        <v>0</v>
      </c>
      <c r="AB119" s="34">
        <f t="shared" ca="1" si="70"/>
        <v>0</v>
      </c>
      <c r="AC119" s="15"/>
      <c r="AD119" s="34">
        <f t="shared" ca="1" si="71"/>
        <v>0</v>
      </c>
      <c r="AE119" s="34">
        <f t="shared" ca="1" si="50"/>
        <v>0</v>
      </c>
      <c r="AF119" s="34">
        <f t="shared" ca="1" si="72"/>
        <v>0</v>
      </c>
      <c r="AG119" s="15"/>
      <c r="AH119" s="273">
        <f t="shared" si="74"/>
        <v>56249</v>
      </c>
      <c r="AI119" s="267">
        <f t="shared" si="51"/>
        <v>39.666666666666664</v>
      </c>
      <c r="AJ119" s="267">
        <f t="shared" si="52"/>
        <v>2.280815498393244E-2</v>
      </c>
      <c r="AK119" s="34">
        <f t="shared" ca="1" si="75"/>
        <v>0</v>
      </c>
      <c r="AL119" s="233"/>
      <c r="AN119" s="232"/>
      <c r="AO119" s="237">
        <f t="shared" si="81"/>
        <v>40</v>
      </c>
      <c r="AP119" s="237">
        <f t="shared" si="81"/>
        <v>2053</v>
      </c>
      <c r="AQ119" s="250">
        <f t="shared" si="81"/>
        <v>365</v>
      </c>
      <c r="AR119" s="34">
        <f t="shared" si="76"/>
        <v>0</v>
      </c>
      <c r="AS119" s="269">
        <f t="shared" si="77"/>
        <v>4.6297051570829533</v>
      </c>
      <c r="AT119" s="263">
        <f t="shared" si="78"/>
        <v>0</v>
      </c>
      <c r="AU119" s="34">
        <f t="shared" si="79"/>
        <v>0</v>
      </c>
      <c r="AV119" s="15"/>
      <c r="AW119" s="15"/>
      <c r="AX119" s="15"/>
      <c r="AY119" s="15"/>
      <c r="AZ119" s="15"/>
      <c r="BA119" s="15"/>
      <c r="BB119" s="15"/>
      <c r="BC119" s="233"/>
    </row>
    <row r="120" spans="2:55" x14ac:dyDescent="0.3">
      <c r="B120" s="232"/>
      <c r="C120" s="274" t="s">
        <v>302</v>
      </c>
      <c r="D120" s="39">
        <f ca="1">SUM(D79:D119)</f>
        <v>127699.11504424778</v>
      </c>
      <c r="E120" s="39">
        <f t="shared" ref="E120:F120" ca="1" si="82">SUM(E79:E119)</f>
        <v>716.81415929203649</v>
      </c>
      <c r="F120" s="39">
        <f t="shared" ca="1" si="82"/>
        <v>0</v>
      </c>
      <c r="G120" s="39">
        <f ca="1">SUM(G79:G119)</f>
        <v>132000</v>
      </c>
      <c r="H120" s="15"/>
      <c r="I120" s="35"/>
      <c r="J120" s="35"/>
      <c r="K120" s="35"/>
      <c r="L120" s="15"/>
      <c r="M120" s="35"/>
      <c r="N120" s="35"/>
      <c r="O120" s="35"/>
      <c r="P120" s="15"/>
      <c r="Q120" s="8">
        <f ca="1">SUM(Q79:Q119)</f>
        <v>456141.23893805302</v>
      </c>
      <c r="R120" s="8">
        <f ca="1">SUM(R79:R119)</f>
        <v>61330.619469026642</v>
      </c>
      <c r="S120" s="8">
        <f ca="1">SUM(S79:S119)</f>
        <v>0</v>
      </c>
      <c r="T120" s="8">
        <f t="shared" ca="1" si="63"/>
        <v>517471.85840707965</v>
      </c>
      <c r="U120" s="15"/>
      <c r="V120" s="275"/>
      <c r="W120" s="276">
        <f ca="1">SUM(W79:W119)</f>
        <v>40920</v>
      </c>
      <c r="X120" s="275"/>
      <c r="Y120" s="276">
        <f ca="1">SUM(Y79:Y119)</f>
        <v>48840</v>
      </c>
      <c r="Z120" s="275"/>
      <c r="AA120" s="276">
        <f ca="1">SUM(AA79:AA119)</f>
        <v>76560</v>
      </c>
      <c r="AB120" s="276">
        <f ca="1">SUM(AB79:AB119)</f>
        <v>166320</v>
      </c>
      <c r="AC120" s="15"/>
      <c r="AD120" s="276">
        <f ca="1">SUM(AD79:AD119)</f>
        <v>351151.85840707965</v>
      </c>
      <c r="AE120" s="276">
        <f ca="1">SUM(AE79:AE119)</f>
        <v>71000</v>
      </c>
      <c r="AF120" s="276">
        <f ca="1">SUM(AF79:AF119)</f>
        <v>280151.85840707965</v>
      </c>
      <c r="AG120" s="15"/>
      <c r="AH120" s="277"/>
      <c r="AI120" s="278"/>
      <c r="AJ120" s="278"/>
      <c r="AK120" s="279">
        <f ca="1">SUM(AK79:AK119)</f>
        <v>262904.72067434184</v>
      </c>
      <c r="AL120" s="233"/>
      <c r="AN120" s="232"/>
      <c r="AO120" s="274" t="s">
        <v>302</v>
      </c>
      <c r="AP120" s="9"/>
      <c r="AQ120" s="9"/>
      <c r="AR120" s="9"/>
      <c r="AS120" s="9"/>
      <c r="AT120" s="39">
        <f>SUM(AT79:AT119)</f>
        <v>132000</v>
      </c>
      <c r="AU120" s="39"/>
      <c r="AV120" s="15"/>
      <c r="AW120" s="15"/>
      <c r="AX120" s="15"/>
      <c r="AY120" s="15"/>
      <c r="AZ120" s="15"/>
      <c r="BA120" s="15"/>
      <c r="BB120" s="15"/>
      <c r="BC120" s="233"/>
    </row>
    <row r="121" spans="2:55" x14ac:dyDescent="0.3">
      <c r="B121" s="232"/>
      <c r="C121" s="283" t="s">
        <v>303</v>
      </c>
      <c r="D121" s="263">
        <f t="shared" ref="D121:F121" ca="1" si="83">D122-D120</f>
        <v>0</v>
      </c>
      <c r="E121" s="263">
        <f t="shared" ca="1" si="83"/>
        <v>0</v>
      </c>
      <c r="F121" s="263">
        <f t="shared" ca="1" si="83"/>
        <v>0</v>
      </c>
      <c r="G121" s="263">
        <f ca="1">G122-G120</f>
        <v>0</v>
      </c>
      <c r="H121" s="15"/>
      <c r="I121" s="35">
        <f ca="1">I119</f>
        <v>4.5</v>
      </c>
      <c r="J121" s="35">
        <f t="shared" ref="J121:K121" ca="1" si="84">J119</f>
        <v>80</v>
      </c>
      <c r="K121" s="35">
        <f t="shared" ca="1" si="84"/>
        <v>40</v>
      </c>
      <c r="L121" s="15"/>
      <c r="M121" s="35">
        <f ca="1">M119</f>
        <v>4.2299999999999995</v>
      </c>
      <c r="N121" s="35">
        <f t="shared" ref="N121:O121" ca="1" si="85">N119</f>
        <v>74.400000000000006</v>
      </c>
      <c r="O121" s="35">
        <f t="shared" ca="1" si="85"/>
        <v>37.200000000000003</v>
      </c>
      <c r="P121" s="15"/>
      <c r="Q121" s="34">
        <f t="shared" ref="Q121" ca="1" si="86">D121*M121</f>
        <v>0</v>
      </c>
      <c r="R121" s="34">
        <f t="shared" ref="R121" ca="1" si="87">E121*N121</f>
        <v>0</v>
      </c>
      <c r="S121" s="34">
        <f t="shared" ref="S121" ca="1" si="88">F121*O121</f>
        <v>0</v>
      </c>
      <c r="T121" s="34">
        <f t="shared" ref="T121" ca="1" si="89">SUM(Q121:S121)</f>
        <v>0</v>
      </c>
      <c r="U121" s="15"/>
      <c r="V121" s="35">
        <f>V119</f>
        <v>0.31</v>
      </c>
      <c r="W121" s="34">
        <f ca="1">V121*$G121</f>
        <v>0</v>
      </c>
      <c r="X121" s="35">
        <f>X119</f>
        <v>0.37</v>
      </c>
      <c r="Y121" s="34">
        <f ca="1">X121*$G121</f>
        <v>0</v>
      </c>
      <c r="Z121" s="35">
        <f>Z119</f>
        <v>0.57999999999999996</v>
      </c>
      <c r="AA121" s="34">
        <f ca="1">Z121*$G121</f>
        <v>0</v>
      </c>
      <c r="AB121" s="34">
        <f ca="1">W121+Y121+AA121</f>
        <v>0</v>
      </c>
      <c r="AC121" s="15"/>
      <c r="AD121" s="34">
        <f ca="1">T121-AB121</f>
        <v>0</v>
      </c>
      <c r="AE121" s="34">
        <f ca="1">$M$10*(G121/$G$72)*Units</f>
        <v>0</v>
      </c>
      <c r="AF121" s="34">
        <f ca="1">AD121-AE121</f>
        <v>0</v>
      </c>
      <c r="AG121" s="15"/>
      <c r="AH121" s="266">
        <f>Remainder_Date</f>
        <v>56249</v>
      </c>
      <c r="AI121" s="267">
        <f>DAYS360(Valuation_Date,AH121)/360-MIN(0.5,0.5*DAYS360(Valuation_Date,AH121)/360)</f>
        <v>39.666666666666664</v>
      </c>
      <c r="AJ121" s="267">
        <f>1/((1+Discount_Rate)^AI121)</f>
        <v>2.280815498393244E-2</v>
      </c>
      <c r="AK121" s="34">
        <f t="shared" ref="AK121" ca="1" si="90">AF121*AJ121</f>
        <v>0</v>
      </c>
      <c r="AL121" s="233"/>
      <c r="AN121" s="232"/>
      <c r="AO121" s="283" t="s">
        <v>303</v>
      </c>
      <c r="AP121" s="15"/>
      <c r="AQ121" s="15"/>
      <c r="AR121" s="15"/>
      <c r="AS121" s="15"/>
      <c r="AT121" s="284">
        <f>AT122-AT120</f>
        <v>0</v>
      </c>
      <c r="AU121" s="291"/>
      <c r="AV121" s="15"/>
      <c r="AW121" s="15"/>
      <c r="AX121" s="15"/>
      <c r="AY121" s="15"/>
      <c r="AZ121" s="15"/>
      <c r="BA121" s="15"/>
      <c r="BB121" s="15"/>
      <c r="BC121" s="233"/>
    </row>
    <row r="122" spans="2:55" x14ac:dyDescent="0.3">
      <c r="B122" s="232"/>
      <c r="C122" s="60" t="s">
        <v>26</v>
      </c>
      <c r="D122" s="39">
        <f t="shared" ref="D122" ca="1" si="91">$G122*$M$12</f>
        <v>127699.11504424778</v>
      </c>
      <c r="E122" s="39">
        <f ca="1">$G122*$M$14/Bbl_to_Mcfe</f>
        <v>716.81415929203649</v>
      </c>
      <c r="F122" s="39">
        <f ca="1">$G122*$M$13/Bbl_to_Mcfe</f>
        <v>0</v>
      </c>
      <c r="G122" s="39">
        <f ca="1">$Y$7*$AQ$7</f>
        <v>132000</v>
      </c>
      <c r="H122" s="15"/>
      <c r="I122" s="15"/>
      <c r="J122" s="15"/>
      <c r="K122" s="15"/>
      <c r="L122" s="15"/>
      <c r="M122" s="15"/>
      <c r="N122" s="15"/>
      <c r="O122" s="15"/>
      <c r="P122" s="15"/>
      <c r="Q122" s="8">
        <f ca="1">Q121+Q120</f>
        <v>456141.23893805302</v>
      </c>
      <c r="R122" s="8">
        <f t="shared" ref="R122:T122" ca="1" si="92">R121+R120</f>
        <v>61330.619469026642</v>
      </c>
      <c r="S122" s="8">
        <f t="shared" ca="1" si="92"/>
        <v>0</v>
      </c>
      <c r="T122" s="8">
        <f t="shared" ca="1" si="92"/>
        <v>517471.85840707965</v>
      </c>
      <c r="U122" s="15"/>
      <c r="V122" s="9"/>
      <c r="W122" s="8">
        <f ca="1">W121+W120</f>
        <v>40920</v>
      </c>
      <c r="X122" s="9"/>
      <c r="Y122" s="8">
        <f ca="1">Y121+Y120</f>
        <v>48840</v>
      </c>
      <c r="Z122" s="9"/>
      <c r="AA122" s="8">
        <f ca="1">AA121+AA120</f>
        <v>76560</v>
      </c>
      <c r="AB122" s="8">
        <f ca="1">AB121+AB120</f>
        <v>166320</v>
      </c>
      <c r="AC122" s="15"/>
      <c r="AD122" s="8">
        <f ca="1">AD121+AD120</f>
        <v>351151.85840707965</v>
      </c>
      <c r="AE122" s="8">
        <f ca="1">AE121+AE120</f>
        <v>71000</v>
      </c>
      <c r="AF122" s="8">
        <f ca="1">AF121+AF120</f>
        <v>280151.85840707965</v>
      </c>
      <c r="AG122" s="15"/>
      <c r="AH122" s="9"/>
      <c r="AI122" s="9"/>
      <c r="AJ122" s="9"/>
      <c r="AK122" s="65">
        <f ca="1">AK121+AK120</f>
        <v>262904.72067434184</v>
      </c>
      <c r="AL122" s="233"/>
      <c r="AN122" s="232"/>
      <c r="AO122" s="60" t="s">
        <v>26</v>
      </c>
      <c r="AP122" s="9"/>
      <c r="AQ122" s="9"/>
      <c r="AR122" s="9"/>
      <c r="AS122" s="9"/>
      <c r="AT122" s="39">
        <f>$Y$7</f>
        <v>132000</v>
      </c>
      <c r="AU122" s="39"/>
      <c r="AV122" s="15"/>
      <c r="AW122" s="15"/>
      <c r="AX122" s="15"/>
      <c r="AY122" s="15"/>
      <c r="AZ122" s="15"/>
      <c r="BA122" s="15"/>
      <c r="BB122" s="15"/>
      <c r="BC122" s="233"/>
    </row>
    <row r="123" spans="2:55" x14ac:dyDescent="0.3">
      <c r="B123" s="232"/>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233"/>
      <c r="AN123" s="256"/>
      <c r="AO123" s="4"/>
      <c r="AP123" s="4"/>
      <c r="AQ123" s="4"/>
      <c r="AR123" s="4"/>
      <c r="AS123" s="4"/>
      <c r="AT123" s="4"/>
      <c r="AU123" s="4"/>
      <c r="AV123" s="4"/>
      <c r="AW123" s="4"/>
      <c r="AX123" s="4"/>
      <c r="AY123" s="4"/>
      <c r="AZ123" s="4"/>
      <c r="BA123" s="4"/>
      <c r="BB123" s="4"/>
      <c r="BC123" s="258"/>
    </row>
    <row r="124" spans="2:55" x14ac:dyDescent="0.3">
      <c r="B124" s="285" t="s">
        <v>29</v>
      </c>
      <c r="C124" s="286"/>
      <c r="D124" s="287"/>
      <c r="E124" s="287"/>
      <c r="F124" s="287"/>
      <c r="G124" s="287"/>
      <c r="H124" s="287"/>
      <c r="I124" s="287"/>
      <c r="J124" s="287"/>
      <c r="K124" s="287"/>
      <c r="L124" s="287"/>
      <c r="M124" s="287"/>
      <c r="N124" s="287"/>
      <c r="O124" s="287"/>
      <c r="P124" s="287"/>
      <c r="Q124" s="286" t="str">
        <f>B124</f>
        <v>PUD</v>
      </c>
      <c r="R124" s="287"/>
      <c r="S124" s="287"/>
      <c r="T124" s="287"/>
      <c r="U124" s="287"/>
      <c r="V124" s="287"/>
      <c r="W124" s="287"/>
      <c r="X124" s="287"/>
      <c r="Y124" s="287"/>
      <c r="Z124" s="287"/>
      <c r="AA124" s="287"/>
      <c r="AB124" s="287"/>
      <c r="AC124" s="287"/>
      <c r="AD124" s="286" t="str">
        <f>Q124</f>
        <v>PUD</v>
      </c>
      <c r="AE124" s="287"/>
      <c r="AF124" s="287"/>
      <c r="AG124" s="287"/>
      <c r="AH124" s="287"/>
      <c r="AI124" s="287"/>
      <c r="AJ124" s="287"/>
      <c r="AK124" s="287"/>
      <c r="AL124" s="288"/>
      <c r="AN124" s="15"/>
      <c r="AO124" s="15"/>
      <c r="AP124" s="15"/>
      <c r="AQ124" s="15"/>
      <c r="AR124" s="15"/>
      <c r="AS124" s="15"/>
      <c r="AT124" s="15"/>
      <c r="AU124" s="15"/>
      <c r="AV124" s="15"/>
      <c r="AW124" s="15"/>
      <c r="AX124" s="15"/>
      <c r="AY124" s="15"/>
      <c r="AZ124" s="15"/>
      <c r="BA124" s="15"/>
      <c r="BB124" s="15"/>
    </row>
    <row r="125" spans="2:55" x14ac:dyDescent="0.3">
      <c r="B125" s="232"/>
      <c r="C125" s="292" t="s">
        <v>305</v>
      </c>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233"/>
      <c r="AN125" s="15"/>
      <c r="AO125" s="15"/>
      <c r="AP125" s="15"/>
      <c r="AQ125" s="15"/>
      <c r="AR125" s="15"/>
      <c r="AS125" s="15"/>
      <c r="AT125" s="15"/>
      <c r="AU125" s="15"/>
      <c r="AV125" s="15"/>
      <c r="AW125" s="15"/>
      <c r="AX125" s="15"/>
      <c r="AY125" s="15"/>
      <c r="AZ125" s="15"/>
      <c r="BA125" s="15"/>
      <c r="BB125" s="15"/>
    </row>
    <row r="126" spans="2:55" x14ac:dyDescent="0.3">
      <c r="B126" s="232"/>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233"/>
      <c r="AN126" s="15"/>
      <c r="AO126" s="15"/>
      <c r="AP126" s="15"/>
      <c r="AQ126" s="15"/>
      <c r="AR126" s="15"/>
      <c r="AS126" s="15"/>
      <c r="AT126" s="15"/>
      <c r="AU126" s="15"/>
      <c r="AV126" s="15"/>
      <c r="AW126" s="15"/>
      <c r="AX126" s="15"/>
      <c r="AY126" s="15"/>
      <c r="AZ126" s="15"/>
      <c r="BA126" s="15"/>
      <c r="BB126" s="15"/>
    </row>
    <row r="127" spans="2:55" x14ac:dyDescent="0.3">
      <c r="B127" s="232"/>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233"/>
      <c r="AN127" s="15"/>
      <c r="AO127" s="15"/>
      <c r="AP127" s="15"/>
      <c r="AQ127" s="15"/>
      <c r="AR127" s="15"/>
      <c r="AS127" s="15"/>
      <c r="AT127" s="15"/>
      <c r="AU127" s="15"/>
      <c r="AV127" s="15"/>
      <c r="AW127" s="15"/>
      <c r="AX127" s="15"/>
      <c r="AY127" s="15"/>
      <c r="AZ127" s="15"/>
      <c r="BA127" s="15"/>
      <c r="BB127" s="15"/>
    </row>
    <row r="128" spans="2:55" x14ac:dyDescent="0.3">
      <c r="B128" s="232"/>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233"/>
      <c r="AN128" s="15"/>
      <c r="AO128" s="15"/>
      <c r="AP128" s="15"/>
      <c r="AQ128" s="15"/>
      <c r="AR128" s="15"/>
      <c r="AS128" s="15"/>
      <c r="AT128" s="15"/>
      <c r="AU128" s="15"/>
      <c r="AV128" s="15"/>
      <c r="AW128" s="15"/>
      <c r="AX128" s="15"/>
      <c r="AY128" s="15"/>
      <c r="AZ128" s="15"/>
      <c r="BA128" s="15"/>
      <c r="BB128" s="15"/>
    </row>
    <row r="129" spans="2:54" x14ac:dyDescent="0.3">
      <c r="B129" s="232"/>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233"/>
      <c r="AN129" s="15"/>
      <c r="AO129" s="15"/>
      <c r="AP129" s="15"/>
      <c r="AQ129" s="15"/>
      <c r="AR129" s="15"/>
      <c r="AS129" s="15"/>
      <c r="AT129" s="15"/>
      <c r="AU129" s="15"/>
      <c r="AV129" s="15"/>
      <c r="AW129" s="15"/>
      <c r="AX129" s="15"/>
      <c r="AY129" s="15"/>
      <c r="AZ129" s="15"/>
      <c r="BA129" s="15"/>
      <c r="BB129" s="15"/>
    </row>
    <row r="130" spans="2:54" x14ac:dyDescent="0.3">
      <c r="B130" s="232"/>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233"/>
      <c r="AN130" s="15"/>
      <c r="AO130" s="15"/>
      <c r="AP130" s="15"/>
      <c r="AQ130" s="15"/>
      <c r="AR130" s="15"/>
      <c r="AS130" s="15"/>
      <c r="AT130" s="15"/>
      <c r="AU130" s="15"/>
      <c r="AV130" s="15"/>
      <c r="AW130" s="15"/>
      <c r="AX130" s="15"/>
      <c r="AY130" s="15"/>
      <c r="AZ130" s="15"/>
      <c r="BA130" s="15"/>
      <c r="BB130" s="15"/>
    </row>
    <row r="131" spans="2:54" x14ac:dyDescent="0.3">
      <c r="B131" s="232"/>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233"/>
      <c r="AN131" s="15"/>
      <c r="AO131" s="15"/>
      <c r="AP131" s="15"/>
      <c r="AQ131" s="15"/>
      <c r="AR131" s="15"/>
      <c r="AS131" s="15"/>
      <c r="AT131" s="15"/>
      <c r="AU131" s="15"/>
      <c r="AV131" s="15"/>
      <c r="AW131" s="15"/>
      <c r="AX131" s="15"/>
      <c r="AY131" s="15"/>
      <c r="AZ131" s="15"/>
      <c r="BA131" s="15"/>
      <c r="BB131" s="15"/>
    </row>
    <row r="132" spans="2:54" x14ac:dyDescent="0.3">
      <c r="B132" s="232"/>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233"/>
      <c r="AN132" s="15"/>
      <c r="AO132" s="15"/>
      <c r="AP132" s="15"/>
      <c r="AQ132" s="15"/>
      <c r="AR132" s="15"/>
      <c r="AS132" s="15"/>
      <c r="AT132" s="15"/>
      <c r="AU132" s="15"/>
      <c r="AV132" s="15"/>
      <c r="AW132" s="15"/>
      <c r="AX132" s="15"/>
      <c r="AY132" s="15"/>
      <c r="AZ132" s="15"/>
      <c r="BA132" s="15"/>
      <c r="BB132" s="15"/>
    </row>
    <row r="133" spans="2:54" x14ac:dyDescent="0.3">
      <c r="B133" s="232"/>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233"/>
      <c r="AN133" s="15"/>
      <c r="AO133" s="15"/>
      <c r="AP133" s="15"/>
      <c r="AQ133" s="15"/>
      <c r="AR133" s="15"/>
      <c r="AS133" s="15"/>
      <c r="AT133" s="15"/>
      <c r="AU133" s="15"/>
      <c r="AV133" s="15"/>
      <c r="AW133" s="15"/>
      <c r="AX133" s="15"/>
      <c r="AY133" s="15"/>
      <c r="AZ133" s="15"/>
      <c r="BA133" s="15"/>
      <c r="BB133" s="15"/>
    </row>
    <row r="134" spans="2:54" x14ac:dyDescent="0.3">
      <c r="B134" s="232"/>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233"/>
      <c r="AN134" s="15"/>
      <c r="AO134" s="15"/>
      <c r="AP134" s="15"/>
      <c r="AQ134" s="15"/>
      <c r="AR134" s="15"/>
      <c r="AS134" s="15"/>
      <c r="AT134" s="15"/>
      <c r="AU134" s="15"/>
      <c r="AV134" s="15"/>
      <c r="AW134" s="15"/>
      <c r="AX134" s="15"/>
      <c r="AY134" s="15"/>
      <c r="AZ134" s="15"/>
      <c r="BA134" s="15"/>
      <c r="BB134" s="15"/>
    </row>
    <row r="135" spans="2:54" x14ac:dyDescent="0.3">
      <c r="B135" s="232"/>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233"/>
    </row>
    <row r="136" spans="2:54" x14ac:dyDescent="0.3">
      <c r="B136" s="232"/>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233"/>
    </row>
    <row r="137" spans="2:54" x14ac:dyDescent="0.3">
      <c r="B137" s="232"/>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233"/>
    </row>
    <row r="138" spans="2:54" x14ac:dyDescent="0.3">
      <c r="B138" s="232"/>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233"/>
    </row>
    <row r="139" spans="2:54" x14ac:dyDescent="0.3">
      <c r="B139" s="232"/>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233"/>
    </row>
    <row r="140" spans="2:54" x14ac:dyDescent="0.3">
      <c r="B140" s="232"/>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233"/>
    </row>
    <row r="141" spans="2:54" x14ac:dyDescent="0.3">
      <c r="B141" s="232"/>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233"/>
    </row>
    <row r="142" spans="2:54" x14ac:dyDescent="0.3">
      <c r="B142" s="232"/>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233"/>
    </row>
    <row r="143" spans="2:54" x14ac:dyDescent="0.3">
      <c r="B143" s="232"/>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233"/>
    </row>
    <row r="144" spans="2:54" x14ac:dyDescent="0.3">
      <c r="B144" s="232"/>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233"/>
    </row>
    <row r="145" spans="2:38" x14ac:dyDescent="0.3">
      <c r="B145" s="232"/>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233"/>
    </row>
    <row r="146" spans="2:38" x14ac:dyDescent="0.3">
      <c r="B146" s="232"/>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233"/>
    </row>
    <row r="147" spans="2:38" x14ac:dyDescent="0.3">
      <c r="B147" s="232"/>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233"/>
    </row>
    <row r="148" spans="2:38" x14ac:dyDescent="0.3">
      <c r="B148" s="232"/>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233"/>
    </row>
    <row r="149" spans="2:38" x14ac:dyDescent="0.3">
      <c r="B149" s="232"/>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233"/>
    </row>
    <row r="150" spans="2:38" x14ac:dyDescent="0.3">
      <c r="B150" s="232"/>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233"/>
    </row>
    <row r="151" spans="2:38" x14ac:dyDescent="0.3">
      <c r="B151" s="232"/>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233"/>
    </row>
    <row r="152" spans="2:38" x14ac:dyDescent="0.3">
      <c r="B152" s="232"/>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233"/>
    </row>
    <row r="153" spans="2:38" x14ac:dyDescent="0.3">
      <c r="B153" s="232"/>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233"/>
    </row>
    <row r="154" spans="2:38" x14ac:dyDescent="0.3">
      <c r="B154" s="232"/>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233"/>
    </row>
    <row r="155" spans="2:38" x14ac:dyDescent="0.3">
      <c r="B155" s="232"/>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233"/>
    </row>
    <row r="156" spans="2:38" x14ac:dyDescent="0.3">
      <c r="B156" s="232"/>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233"/>
    </row>
    <row r="157" spans="2:38" x14ac:dyDescent="0.3">
      <c r="B157" s="232"/>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233"/>
    </row>
    <row r="158" spans="2:38" x14ac:dyDescent="0.3">
      <c r="B158" s="232"/>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233"/>
    </row>
    <row r="159" spans="2:38" x14ac:dyDescent="0.3">
      <c r="B159" s="232"/>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233"/>
    </row>
    <row r="160" spans="2:38" x14ac:dyDescent="0.3">
      <c r="B160" s="232"/>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233"/>
    </row>
    <row r="161" spans="2:38" x14ac:dyDescent="0.3">
      <c r="B161" s="232"/>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233"/>
    </row>
    <row r="162" spans="2:38" x14ac:dyDescent="0.3">
      <c r="B162" s="232"/>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233"/>
    </row>
    <row r="163" spans="2:38" x14ac:dyDescent="0.3">
      <c r="B163" s="232"/>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233"/>
    </row>
    <row r="164" spans="2:38" x14ac:dyDescent="0.3">
      <c r="B164" s="232"/>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233"/>
    </row>
    <row r="165" spans="2:38" x14ac:dyDescent="0.3">
      <c r="B165" s="232"/>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233"/>
    </row>
    <row r="166" spans="2:38" x14ac:dyDescent="0.3">
      <c r="B166" s="232"/>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233"/>
    </row>
    <row r="167" spans="2:38" x14ac:dyDescent="0.3">
      <c r="B167" s="232"/>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233"/>
    </row>
    <row r="168" spans="2:38" x14ac:dyDescent="0.3">
      <c r="B168" s="232"/>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233"/>
    </row>
    <row r="169" spans="2:38" x14ac:dyDescent="0.3">
      <c r="B169" s="232"/>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233"/>
    </row>
    <row r="170" spans="2:38" x14ac:dyDescent="0.3">
      <c r="B170" s="232"/>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233"/>
    </row>
    <row r="171" spans="2:38" x14ac:dyDescent="0.3">
      <c r="B171" s="232"/>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233"/>
    </row>
    <row r="172" spans="2:38" x14ac:dyDescent="0.3">
      <c r="B172" s="232"/>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233"/>
    </row>
    <row r="173" spans="2:38" x14ac:dyDescent="0.3">
      <c r="B173" s="232"/>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233"/>
    </row>
    <row r="174" spans="2:38" x14ac:dyDescent="0.3">
      <c r="B174" s="285" t="s">
        <v>30</v>
      </c>
      <c r="C174" s="286"/>
      <c r="D174" s="287"/>
      <c r="E174" s="287"/>
      <c r="F174" s="287"/>
      <c r="G174" s="287"/>
      <c r="H174" s="287"/>
      <c r="I174" s="287"/>
      <c r="J174" s="287"/>
      <c r="K174" s="287"/>
      <c r="L174" s="287"/>
      <c r="M174" s="287"/>
      <c r="N174" s="287"/>
      <c r="O174" s="287"/>
      <c r="P174" s="287"/>
      <c r="Q174" s="286" t="str">
        <f>B174</f>
        <v>PROB</v>
      </c>
      <c r="R174" s="287"/>
      <c r="S174" s="287"/>
      <c r="T174" s="287"/>
      <c r="U174" s="287"/>
      <c r="V174" s="287"/>
      <c r="W174" s="287"/>
      <c r="X174" s="287"/>
      <c r="Y174" s="287"/>
      <c r="Z174" s="287"/>
      <c r="AA174" s="287"/>
      <c r="AB174" s="287"/>
      <c r="AC174" s="287"/>
      <c r="AD174" s="286" t="str">
        <f>Q174</f>
        <v>PROB</v>
      </c>
      <c r="AE174" s="287"/>
      <c r="AF174" s="287"/>
      <c r="AG174" s="287"/>
      <c r="AH174" s="287"/>
      <c r="AI174" s="287"/>
      <c r="AJ174" s="287"/>
      <c r="AK174" s="287"/>
      <c r="AL174" s="288"/>
    </row>
    <row r="175" spans="2:38" x14ac:dyDescent="0.3">
      <c r="B175" s="232"/>
      <c r="C175" s="292" t="s">
        <v>305</v>
      </c>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233"/>
    </row>
    <row r="176" spans="2:38" x14ac:dyDescent="0.3">
      <c r="B176" s="232"/>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233"/>
    </row>
    <row r="177" spans="2:38" x14ac:dyDescent="0.3">
      <c r="B177" s="232"/>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233"/>
    </row>
    <row r="178" spans="2:38" x14ac:dyDescent="0.3">
      <c r="B178" s="232"/>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233"/>
    </row>
    <row r="179" spans="2:38" x14ac:dyDescent="0.3">
      <c r="B179" s="232"/>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233"/>
    </row>
    <row r="180" spans="2:38" x14ac:dyDescent="0.3">
      <c r="B180" s="232"/>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233"/>
    </row>
    <row r="181" spans="2:38" x14ac:dyDescent="0.3">
      <c r="B181" s="232"/>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233"/>
    </row>
    <row r="182" spans="2:38" x14ac:dyDescent="0.3">
      <c r="B182" s="232"/>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233"/>
    </row>
    <row r="183" spans="2:38" x14ac:dyDescent="0.3">
      <c r="B183" s="232"/>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233"/>
    </row>
    <row r="184" spans="2:38" x14ac:dyDescent="0.3">
      <c r="B184" s="232"/>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233"/>
    </row>
    <row r="185" spans="2:38" x14ac:dyDescent="0.3">
      <c r="B185" s="232"/>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233"/>
    </row>
    <row r="186" spans="2:38" x14ac:dyDescent="0.3">
      <c r="B186" s="232"/>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233"/>
    </row>
    <row r="187" spans="2:38" x14ac:dyDescent="0.3">
      <c r="B187" s="232"/>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233"/>
    </row>
    <row r="188" spans="2:38" x14ac:dyDescent="0.3">
      <c r="B188" s="232"/>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233"/>
    </row>
    <row r="189" spans="2:38" x14ac:dyDescent="0.3">
      <c r="B189" s="232"/>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233"/>
    </row>
    <row r="190" spans="2:38" x14ac:dyDescent="0.3">
      <c r="B190" s="232"/>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233"/>
    </row>
    <row r="191" spans="2:38" x14ac:dyDescent="0.3">
      <c r="B191" s="232"/>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233"/>
    </row>
    <row r="192" spans="2:38" x14ac:dyDescent="0.3">
      <c r="B192" s="232"/>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233"/>
    </row>
    <row r="193" spans="2:38" x14ac:dyDescent="0.3">
      <c r="B193" s="232"/>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233"/>
    </row>
    <row r="194" spans="2:38" x14ac:dyDescent="0.3">
      <c r="B194" s="232"/>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233"/>
    </row>
    <row r="195" spans="2:38" x14ac:dyDescent="0.3">
      <c r="B195" s="232"/>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233"/>
    </row>
    <row r="196" spans="2:38" x14ac:dyDescent="0.3">
      <c r="B196" s="232"/>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233"/>
    </row>
    <row r="197" spans="2:38" x14ac:dyDescent="0.3">
      <c r="B197" s="232"/>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233"/>
    </row>
    <row r="198" spans="2:38" x14ac:dyDescent="0.3">
      <c r="B198" s="232"/>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233"/>
    </row>
    <row r="199" spans="2:38" x14ac:dyDescent="0.3">
      <c r="B199" s="232"/>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233"/>
    </row>
    <row r="200" spans="2:38" x14ac:dyDescent="0.3">
      <c r="B200" s="232"/>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233"/>
    </row>
    <row r="201" spans="2:38" x14ac:dyDescent="0.3">
      <c r="B201" s="232"/>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233"/>
    </row>
    <row r="202" spans="2:38" x14ac:dyDescent="0.3">
      <c r="B202" s="232"/>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233"/>
    </row>
    <row r="203" spans="2:38" x14ac:dyDescent="0.3">
      <c r="B203" s="232"/>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233"/>
    </row>
    <row r="204" spans="2:38" x14ac:dyDescent="0.3">
      <c r="B204" s="232"/>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233"/>
    </row>
    <row r="205" spans="2:38" x14ac:dyDescent="0.3">
      <c r="B205" s="232"/>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233"/>
    </row>
    <row r="206" spans="2:38" x14ac:dyDescent="0.3">
      <c r="B206" s="232"/>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233"/>
    </row>
    <row r="207" spans="2:38" x14ac:dyDescent="0.3">
      <c r="B207" s="232"/>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233"/>
    </row>
    <row r="208" spans="2:38" x14ac:dyDescent="0.3">
      <c r="B208" s="232"/>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233"/>
    </row>
    <row r="209" spans="2:38" x14ac:dyDescent="0.3">
      <c r="B209" s="232"/>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233"/>
    </row>
    <row r="210" spans="2:38" x14ac:dyDescent="0.3">
      <c r="B210" s="232"/>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233"/>
    </row>
    <row r="211" spans="2:38" x14ac:dyDescent="0.3">
      <c r="B211" s="232"/>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233"/>
    </row>
    <row r="212" spans="2:38" x14ac:dyDescent="0.3">
      <c r="B212" s="232"/>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233"/>
    </row>
    <row r="213" spans="2:38" x14ac:dyDescent="0.3">
      <c r="B213" s="232"/>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233"/>
    </row>
    <row r="214" spans="2:38" x14ac:dyDescent="0.3">
      <c r="B214" s="232"/>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233"/>
    </row>
    <row r="215" spans="2:38" x14ac:dyDescent="0.3">
      <c r="B215" s="232"/>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233"/>
    </row>
    <row r="216" spans="2:38" x14ac:dyDescent="0.3">
      <c r="B216" s="232"/>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233"/>
    </row>
    <row r="217" spans="2:38" x14ac:dyDescent="0.3">
      <c r="B217" s="232"/>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233"/>
    </row>
    <row r="218" spans="2:38" x14ac:dyDescent="0.3">
      <c r="B218" s="232"/>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233"/>
    </row>
    <row r="219" spans="2:38" x14ac:dyDescent="0.3">
      <c r="B219" s="232"/>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233"/>
    </row>
    <row r="220" spans="2:38" x14ac:dyDescent="0.3">
      <c r="B220" s="232"/>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233"/>
    </row>
    <row r="221" spans="2:38" x14ac:dyDescent="0.3">
      <c r="B221" s="232"/>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233"/>
    </row>
    <row r="222" spans="2:38" x14ac:dyDescent="0.3">
      <c r="B222" s="232"/>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233"/>
    </row>
    <row r="223" spans="2:38" x14ac:dyDescent="0.3">
      <c r="B223" s="232"/>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233"/>
    </row>
    <row r="224" spans="2:38" x14ac:dyDescent="0.3">
      <c r="B224" s="285" t="s">
        <v>31</v>
      </c>
      <c r="C224" s="286"/>
      <c r="D224" s="287"/>
      <c r="E224" s="287"/>
      <c r="F224" s="287"/>
      <c r="G224" s="287"/>
      <c r="H224" s="287"/>
      <c r="I224" s="287"/>
      <c r="J224" s="287"/>
      <c r="K224" s="287"/>
      <c r="L224" s="287"/>
      <c r="M224" s="287"/>
      <c r="N224" s="287"/>
      <c r="O224" s="287"/>
      <c r="P224" s="287"/>
      <c r="Q224" s="286" t="str">
        <f>B224</f>
        <v>POSS</v>
      </c>
      <c r="R224" s="287"/>
      <c r="S224" s="287"/>
      <c r="T224" s="287"/>
      <c r="U224" s="287"/>
      <c r="V224" s="287"/>
      <c r="W224" s="287"/>
      <c r="X224" s="287"/>
      <c r="Y224" s="287"/>
      <c r="Z224" s="287"/>
      <c r="AA224" s="287"/>
      <c r="AB224" s="287"/>
      <c r="AC224" s="287"/>
      <c r="AD224" s="286" t="str">
        <f>Q224</f>
        <v>POSS</v>
      </c>
      <c r="AE224" s="287"/>
      <c r="AF224" s="287"/>
      <c r="AG224" s="287"/>
      <c r="AH224" s="287"/>
      <c r="AI224" s="287"/>
      <c r="AJ224" s="287"/>
      <c r="AK224" s="287"/>
      <c r="AL224" s="288"/>
    </row>
    <row r="225" spans="2:38" x14ac:dyDescent="0.3">
      <c r="B225" s="232"/>
      <c r="C225" s="292" t="s">
        <v>305</v>
      </c>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233"/>
    </row>
    <row r="226" spans="2:38" x14ac:dyDescent="0.3">
      <c r="B226" s="232"/>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233"/>
    </row>
    <row r="227" spans="2:38" x14ac:dyDescent="0.3">
      <c r="B227" s="232"/>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233"/>
    </row>
    <row r="228" spans="2:38" x14ac:dyDescent="0.3">
      <c r="B228" s="232"/>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233"/>
    </row>
    <row r="229" spans="2:38" x14ac:dyDescent="0.3">
      <c r="B229" s="232"/>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233"/>
    </row>
    <row r="230" spans="2:38" x14ac:dyDescent="0.3">
      <c r="B230" s="232"/>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233"/>
    </row>
    <row r="231" spans="2:38" x14ac:dyDescent="0.3">
      <c r="B231" s="232"/>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233"/>
    </row>
    <row r="232" spans="2:38" x14ac:dyDescent="0.3">
      <c r="B232" s="232"/>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233"/>
    </row>
    <row r="233" spans="2:38" x14ac:dyDescent="0.3">
      <c r="B233" s="232"/>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233"/>
    </row>
    <row r="234" spans="2:38" x14ac:dyDescent="0.3">
      <c r="B234" s="232"/>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233"/>
    </row>
    <row r="235" spans="2:38" x14ac:dyDescent="0.3">
      <c r="B235" s="232"/>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233"/>
    </row>
    <row r="236" spans="2:38" x14ac:dyDescent="0.3">
      <c r="B236" s="232"/>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233"/>
    </row>
    <row r="237" spans="2:38" x14ac:dyDescent="0.3">
      <c r="B237" s="232"/>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233"/>
    </row>
    <row r="238" spans="2:38" x14ac:dyDescent="0.3">
      <c r="B238" s="232"/>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233"/>
    </row>
    <row r="239" spans="2:38" x14ac:dyDescent="0.3">
      <c r="B239" s="232"/>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233"/>
    </row>
    <row r="240" spans="2:38" x14ac:dyDescent="0.3">
      <c r="B240" s="232"/>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233"/>
    </row>
    <row r="241" spans="2:38" x14ac:dyDescent="0.3">
      <c r="B241" s="232"/>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233"/>
    </row>
    <row r="242" spans="2:38" x14ac:dyDescent="0.3">
      <c r="B242" s="232"/>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233"/>
    </row>
    <row r="243" spans="2:38" x14ac:dyDescent="0.3">
      <c r="B243" s="232"/>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233"/>
    </row>
    <row r="244" spans="2:38" x14ac:dyDescent="0.3">
      <c r="B244" s="232"/>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233"/>
    </row>
    <row r="245" spans="2:38" x14ac:dyDescent="0.3">
      <c r="B245" s="232"/>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233"/>
    </row>
    <row r="246" spans="2:38" x14ac:dyDescent="0.3">
      <c r="B246" s="232"/>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233"/>
    </row>
    <row r="247" spans="2:38" x14ac:dyDescent="0.3">
      <c r="B247" s="232"/>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233"/>
    </row>
    <row r="248" spans="2:38" x14ac:dyDescent="0.3">
      <c r="B248" s="232"/>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233"/>
    </row>
    <row r="249" spans="2:38" x14ac:dyDescent="0.3">
      <c r="B249" s="232"/>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233"/>
    </row>
    <row r="250" spans="2:38" x14ac:dyDescent="0.3">
      <c r="B250" s="232"/>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233"/>
    </row>
    <row r="251" spans="2:38" x14ac:dyDescent="0.3">
      <c r="B251" s="232"/>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233"/>
    </row>
    <row r="252" spans="2:38" x14ac:dyDescent="0.3">
      <c r="B252" s="232"/>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233"/>
    </row>
    <row r="253" spans="2:38" x14ac:dyDescent="0.3">
      <c r="B253" s="232"/>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233"/>
    </row>
    <row r="254" spans="2:38" x14ac:dyDescent="0.3">
      <c r="B254" s="232"/>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233"/>
    </row>
    <row r="255" spans="2:38" x14ac:dyDescent="0.3">
      <c r="B255" s="232"/>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233"/>
    </row>
    <row r="256" spans="2:38" x14ac:dyDescent="0.3">
      <c r="B256" s="232"/>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233"/>
    </row>
    <row r="257" spans="2:38" x14ac:dyDescent="0.3">
      <c r="B257" s="232"/>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233"/>
    </row>
    <row r="258" spans="2:38" x14ac:dyDescent="0.3">
      <c r="B258" s="232"/>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233"/>
    </row>
    <row r="259" spans="2:38" x14ac:dyDescent="0.3">
      <c r="B259" s="232"/>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233"/>
    </row>
    <row r="260" spans="2:38" x14ac:dyDescent="0.3">
      <c r="B260" s="232"/>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233"/>
    </row>
    <row r="261" spans="2:38" x14ac:dyDescent="0.3">
      <c r="B261" s="232"/>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233"/>
    </row>
    <row r="262" spans="2:38" x14ac:dyDescent="0.3">
      <c r="B262" s="232"/>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233"/>
    </row>
    <row r="263" spans="2:38" x14ac:dyDescent="0.3">
      <c r="B263" s="232"/>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233"/>
    </row>
    <row r="264" spans="2:38" x14ac:dyDescent="0.3">
      <c r="B264" s="232"/>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233"/>
    </row>
    <row r="265" spans="2:38" x14ac:dyDescent="0.3">
      <c r="B265" s="232"/>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233"/>
    </row>
    <row r="266" spans="2:38" x14ac:dyDescent="0.3">
      <c r="B266" s="232"/>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233"/>
    </row>
    <row r="267" spans="2:38" x14ac:dyDescent="0.3">
      <c r="B267" s="232"/>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233"/>
    </row>
    <row r="268" spans="2:38" x14ac:dyDescent="0.3">
      <c r="B268" s="232"/>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233"/>
    </row>
    <row r="269" spans="2:38" x14ac:dyDescent="0.3">
      <c r="B269" s="232"/>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233"/>
    </row>
    <row r="270" spans="2:38" x14ac:dyDescent="0.3">
      <c r="B270" s="232"/>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233"/>
    </row>
    <row r="271" spans="2:38" x14ac:dyDescent="0.3">
      <c r="B271" s="232"/>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233"/>
    </row>
    <row r="272" spans="2:38" x14ac:dyDescent="0.3">
      <c r="B272" s="232"/>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233"/>
    </row>
    <row r="273" spans="2:38" x14ac:dyDescent="0.3">
      <c r="B273" s="232"/>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233"/>
    </row>
    <row r="274" spans="2:38" x14ac:dyDescent="0.3">
      <c r="B274" s="285" t="s">
        <v>306</v>
      </c>
      <c r="C274" s="286"/>
      <c r="D274" s="287"/>
      <c r="E274" s="287"/>
      <c r="F274" s="287"/>
      <c r="G274" s="287"/>
      <c r="H274" s="287"/>
      <c r="I274" s="287"/>
      <c r="J274" s="287"/>
      <c r="K274" s="287"/>
      <c r="L274" s="287"/>
      <c r="M274" s="287"/>
      <c r="N274" s="287"/>
      <c r="O274" s="287"/>
      <c r="P274" s="287"/>
      <c r="Q274" s="286" t="str">
        <f>B274</f>
        <v>TOTAL</v>
      </c>
      <c r="R274" s="287"/>
      <c r="S274" s="287"/>
      <c r="T274" s="287"/>
      <c r="U274" s="287"/>
      <c r="V274" s="287"/>
      <c r="W274" s="287"/>
      <c r="X274" s="287"/>
      <c r="Y274" s="287"/>
      <c r="Z274" s="287"/>
      <c r="AA274" s="287"/>
      <c r="AB274" s="287"/>
      <c r="AC274" s="287"/>
      <c r="AD274" s="286" t="str">
        <f>Q274</f>
        <v>TOTAL</v>
      </c>
      <c r="AE274" s="287"/>
      <c r="AF274" s="287"/>
      <c r="AG274" s="287"/>
      <c r="AH274" s="287"/>
      <c r="AI274" s="287"/>
      <c r="AJ274" s="287"/>
      <c r="AK274" s="287"/>
      <c r="AL274" s="288"/>
    </row>
    <row r="275" spans="2:38" x14ac:dyDescent="0.3">
      <c r="B275" s="232"/>
      <c r="C275" s="292"/>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233"/>
    </row>
    <row r="276" spans="2:38" x14ac:dyDescent="0.3">
      <c r="B276" s="232"/>
      <c r="C276" s="37" t="s">
        <v>277</v>
      </c>
      <c r="D276" s="23"/>
      <c r="E276" s="23"/>
      <c r="F276" s="23"/>
      <c r="G276" s="23"/>
      <c r="H276" s="261"/>
      <c r="I276" s="37" t="s">
        <v>15</v>
      </c>
      <c r="J276" s="23"/>
      <c r="K276" s="23"/>
      <c r="L276" s="15"/>
      <c r="M276" s="37" t="s">
        <v>278</v>
      </c>
      <c r="N276" s="23"/>
      <c r="O276" s="23"/>
      <c r="P276" s="15"/>
      <c r="Q276" s="37" t="s">
        <v>279</v>
      </c>
      <c r="R276" s="23"/>
      <c r="S276" s="23"/>
      <c r="T276" s="23"/>
      <c r="U276" s="15"/>
      <c r="V276" s="37" t="s">
        <v>280</v>
      </c>
      <c r="W276" s="23"/>
      <c r="X276" s="23"/>
      <c r="Y276" s="23"/>
      <c r="Z276" s="23"/>
      <c r="AA276" s="23"/>
      <c r="AB276" s="4"/>
      <c r="AC276" s="15"/>
      <c r="AD276" s="37" t="s">
        <v>281</v>
      </c>
      <c r="AE276" s="23"/>
      <c r="AF276" s="23"/>
      <c r="AG276" s="15"/>
      <c r="AH276" s="37" t="s">
        <v>282</v>
      </c>
      <c r="AI276" s="23"/>
      <c r="AJ276" s="23"/>
      <c r="AK276" s="23"/>
      <c r="AL276" s="233"/>
    </row>
    <row r="277" spans="2:38" x14ac:dyDescent="0.3">
      <c r="B277" s="232"/>
      <c r="C277" s="250"/>
      <c r="D277" s="250" t="s">
        <v>10</v>
      </c>
      <c r="E277" s="250" t="s">
        <v>11</v>
      </c>
      <c r="F277" s="250" t="s">
        <v>245</v>
      </c>
      <c r="G277" s="250" t="s">
        <v>12</v>
      </c>
      <c r="H277" s="261"/>
      <c r="I277" s="262" t="s">
        <v>10</v>
      </c>
      <c r="J277" s="262" t="s">
        <v>11</v>
      </c>
      <c r="K277" s="262" t="s">
        <v>245</v>
      </c>
      <c r="L277" s="15"/>
      <c r="M277" s="262" t="s">
        <v>10</v>
      </c>
      <c r="N277" s="262" t="s">
        <v>11</v>
      </c>
      <c r="O277" s="262" t="s">
        <v>245</v>
      </c>
      <c r="P277" s="15"/>
      <c r="Q277" s="262" t="s">
        <v>10</v>
      </c>
      <c r="R277" s="262" t="s">
        <v>11</v>
      </c>
      <c r="S277" s="262" t="s">
        <v>245</v>
      </c>
      <c r="T277" s="262" t="s">
        <v>12</v>
      </c>
      <c r="U277" s="15"/>
      <c r="V277" s="262" t="s">
        <v>283</v>
      </c>
      <c r="W277" s="262" t="s">
        <v>283</v>
      </c>
      <c r="X277" s="262" t="s">
        <v>284</v>
      </c>
      <c r="Y277" s="262" t="s">
        <v>284</v>
      </c>
      <c r="Z277" s="262" t="s">
        <v>285</v>
      </c>
      <c r="AA277" s="262" t="s">
        <v>285</v>
      </c>
      <c r="AB277" s="262" t="s">
        <v>12</v>
      </c>
      <c r="AC277" s="15"/>
      <c r="AD277" s="262" t="s">
        <v>286</v>
      </c>
      <c r="AE277" s="262" t="s">
        <v>287</v>
      </c>
      <c r="AF277" s="262" t="s">
        <v>281</v>
      </c>
      <c r="AG277" s="15"/>
      <c r="AH277" s="262"/>
      <c r="AI277" s="262" t="s">
        <v>288</v>
      </c>
      <c r="AJ277" s="262" t="s">
        <v>288</v>
      </c>
      <c r="AK277" s="262" t="s">
        <v>289</v>
      </c>
      <c r="AL277" s="233"/>
    </row>
    <row r="278" spans="2:38" x14ac:dyDescent="0.3">
      <c r="B278" s="232"/>
      <c r="C278" s="13" t="s">
        <v>9</v>
      </c>
      <c r="D278" s="13" t="s">
        <v>307</v>
      </c>
      <c r="E278" s="13" t="s">
        <v>308</v>
      </c>
      <c r="F278" s="13" t="s">
        <v>308</v>
      </c>
      <c r="G278" s="13" t="s">
        <v>248</v>
      </c>
      <c r="H278" s="4"/>
      <c r="I278" s="13" t="s">
        <v>24</v>
      </c>
      <c r="J278" s="13" t="s">
        <v>25</v>
      </c>
      <c r="K278" s="13" t="s">
        <v>25</v>
      </c>
      <c r="L278" s="4"/>
      <c r="M278" s="13" t="s">
        <v>24</v>
      </c>
      <c r="N278" s="13" t="s">
        <v>25</v>
      </c>
      <c r="O278" s="13" t="s">
        <v>25</v>
      </c>
      <c r="P278" s="4"/>
      <c r="Q278" s="13" t="s">
        <v>293</v>
      </c>
      <c r="R278" s="13" t="s">
        <v>293</v>
      </c>
      <c r="S278" s="13" t="s">
        <v>293</v>
      </c>
      <c r="T278" s="13" t="s">
        <v>293</v>
      </c>
      <c r="U278" s="4"/>
      <c r="V278" s="13" t="s">
        <v>294</v>
      </c>
      <c r="W278" s="13" t="s">
        <v>293</v>
      </c>
      <c r="X278" s="13" t="s">
        <v>294</v>
      </c>
      <c r="Y278" s="13" t="s">
        <v>293</v>
      </c>
      <c r="Z278" s="13" t="s">
        <v>294</v>
      </c>
      <c r="AA278" s="13" t="s">
        <v>293</v>
      </c>
      <c r="AB278" s="13" t="s">
        <v>293</v>
      </c>
      <c r="AC278" s="4"/>
      <c r="AD278" s="13" t="s">
        <v>293</v>
      </c>
      <c r="AE278" s="13" t="s">
        <v>293</v>
      </c>
      <c r="AF278" s="13" t="s">
        <v>293</v>
      </c>
      <c r="AG278" s="4"/>
      <c r="AH278" s="13" t="s">
        <v>295</v>
      </c>
      <c r="AI278" s="13" t="s">
        <v>296</v>
      </c>
      <c r="AJ278" s="13" t="s">
        <v>297</v>
      </c>
      <c r="AK278" s="13" t="s">
        <v>293</v>
      </c>
      <c r="AL278" s="233"/>
    </row>
    <row r="279" spans="2:38" x14ac:dyDescent="0.3">
      <c r="B279" s="232"/>
      <c r="C279" s="250">
        <f t="shared" ref="C279:C319" si="93">+C29</f>
        <v>2013</v>
      </c>
      <c r="D279" s="263">
        <f ca="1">+D29+D79+D129+D179+D229</f>
        <v>223125.47825537296</v>
      </c>
      <c r="E279" s="263">
        <f t="shared" ref="E279:G279" ca="1" si="94">+E29+E79+E129+E179+E229</f>
        <v>1252.4714995623865</v>
      </c>
      <c r="F279" s="263">
        <f t="shared" ca="1" si="94"/>
        <v>0</v>
      </c>
      <c r="G279" s="263">
        <f t="shared" ca="1" si="94"/>
        <v>230640.30725274727</v>
      </c>
      <c r="H279" s="15"/>
      <c r="I279" s="51">
        <f ca="1">+I29</f>
        <v>3.7</v>
      </c>
      <c r="J279" s="51">
        <f t="shared" ref="J279:K279" ca="1" si="95">+J29</f>
        <v>101</v>
      </c>
      <c r="K279" s="51">
        <f t="shared" ca="1" si="95"/>
        <v>50.5</v>
      </c>
      <c r="L279" s="15"/>
      <c r="M279" s="51">
        <f ca="1">+M29</f>
        <v>3.4779999999999998</v>
      </c>
      <c r="N279" s="51">
        <f t="shared" ref="N279:O279" ca="1" si="96">+N29</f>
        <v>93.93</v>
      </c>
      <c r="O279" s="51">
        <f t="shared" ca="1" si="96"/>
        <v>46.965000000000003</v>
      </c>
      <c r="P279" s="15"/>
      <c r="Q279" s="265">
        <f ca="1">+Q29+Q79+Q129+Q179+Q229</f>
        <v>776030.41337218706</v>
      </c>
      <c r="R279" s="265">
        <f t="shared" ref="R279:T279" ca="1" si="97">+R29+R79+R129+R179+R229</f>
        <v>117644.64795389498</v>
      </c>
      <c r="S279" s="265">
        <f t="shared" ca="1" si="97"/>
        <v>0</v>
      </c>
      <c r="T279" s="265">
        <f t="shared" ca="1" si="97"/>
        <v>893675.0613260821</v>
      </c>
      <c r="U279" s="15"/>
      <c r="V279" s="51">
        <f t="shared" ref="V279:X319" si="98">+V29</f>
        <v>0.31</v>
      </c>
      <c r="W279" s="265">
        <f t="shared" ref="W279:Y279" ca="1" si="99">+W29+W79+W129+W179+W229</f>
        <v>71498.495248351654</v>
      </c>
      <c r="X279" s="51">
        <f t="shared" si="98"/>
        <v>0.37</v>
      </c>
      <c r="Y279" s="265">
        <f t="shared" ca="1" si="99"/>
        <v>85336.913683516483</v>
      </c>
      <c r="Z279" s="51">
        <f t="shared" ref="Z279" si="100">+Z29</f>
        <v>0.57999999999999996</v>
      </c>
      <c r="AA279" s="265">
        <f t="shared" ref="AA279:AB279" ca="1" si="101">+AA29+AA79+AA129+AA179+AA229</f>
        <v>133771.37820659342</v>
      </c>
      <c r="AB279" s="265">
        <f t="shared" ca="1" si="101"/>
        <v>290606.7871384616</v>
      </c>
      <c r="AC279" s="15"/>
      <c r="AD279" s="265">
        <f t="shared" ref="AD279:AF279" ca="1" si="102">+AD29+AD79+AD129+AD179+AD229</f>
        <v>603068.2741876205</v>
      </c>
      <c r="AE279" s="265">
        <f t="shared" ca="1" si="102"/>
        <v>25463.842625384095</v>
      </c>
      <c r="AF279" s="265">
        <f t="shared" ca="1" si="102"/>
        <v>577604.43156223639</v>
      </c>
      <c r="AG279" s="15"/>
      <c r="AH279" s="266"/>
      <c r="AI279" s="267"/>
      <c r="AJ279" s="267"/>
      <c r="AK279" s="265">
        <f t="shared" ref="AK279" ca="1" si="103">+AK29+AK79+AK129+AK179+AK229</f>
        <v>143258.74255971971</v>
      </c>
      <c r="AL279" s="233"/>
    </row>
    <row r="280" spans="2:38" x14ac:dyDescent="0.3">
      <c r="B280" s="232"/>
      <c r="C280" s="270">
        <f t="shared" si="93"/>
        <v>2014</v>
      </c>
      <c r="D280" s="263">
        <f t="shared" ref="D280:G280" ca="1" si="104">+D30+D80+D130+D180+D230</f>
        <v>325019.49320095108</v>
      </c>
      <c r="E280" s="263">
        <f t="shared" ca="1" si="104"/>
        <v>1824.4337456186472</v>
      </c>
      <c r="F280" s="263">
        <f t="shared" ca="1" si="104"/>
        <v>0</v>
      </c>
      <c r="G280" s="263">
        <f t="shared" ca="1" si="104"/>
        <v>335966.09567466297</v>
      </c>
      <c r="H280" s="15"/>
      <c r="I280" s="35">
        <f t="shared" ref="I280:K280" ca="1" si="105">+I30</f>
        <v>3.8</v>
      </c>
      <c r="J280" s="35">
        <f t="shared" ca="1" si="105"/>
        <v>92</v>
      </c>
      <c r="K280" s="35">
        <f t="shared" ca="1" si="105"/>
        <v>46</v>
      </c>
      <c r="L280" s="15"/>
      <c r="M280" s="35">
        <f t="shared" ref="M280:O280" ca="1" si="106">+M30</f>
        <v>3.5719999999999996</v>
      </c>
      <c r="N280" s="35">
        <f t="shared" ca="1" si="106"/>
        <v>85.56</v>
      </c>
      <c r="O280" s="35">
        <f t="shared" ca="1" si="106"/>
        <v>42.78</v>
      </c>
      <c r="P280" s="15"/>
      <c r="Q280" s="34">
        <f t="shared" ref="Q280:T280" ca="1" si="107">+Q30+Q80+Q130+Q180+Q230</f>
        <v>1160969.6297137972</v>
      </c>
      <c r="R280" s="34">
        <f t="shared" ca="1" si="107"/>
        <v>156098.55127513147</v>
      </c>
      <c r="S280" s="34">
        <f t="shared" ca="1" si="107"/>
        <v>0</v>
      </c>
      <c r="T280" s="34">
        <f t="shared" ca="1" si="107"/>
        <v>1317068.1809889288</v>
      </c>
      <c r="U280" s="15"/>
      <c r="V280" s="35">
        <f t="shared" si="98"/>
        <v>0.31</v>
      </c>
      <c r="W280" s="34">
        <f t="shared" ref="W280:Y280" ca="1" si="108">+W30+W80+W130+W180+W230</f>
        <v>104149.48965914552</v>
      </c>
      <c r="X280" s="35">
        <f t="shared" si="98"/>
        <v>0.37</v>
      </c>
      <c r="Y280" s="34">
        <f t="shared" ca="1" si="108"/>
        <v>124307.45539962529</v>
      </c>
      <c r="Z280" s="35">
        <f t="shared" ref="Z280" si="109">+Z30</f>
        <v>0.57999999999999996</v>
      </c>
      <c r="AA280" s="34">
        <f t="shared" ref="AA280:AB280" ca="1" si="110">+AA30+AA80+AA130+AA180+AA230</f>
        <v>194860.33549130452</v>
      </c>
      <c r="AB280" s="34">
        <f t="shared" ca="1" si="110"/>
        <v>423317.28055007535</v>
      </c>
      <c r="AC280" s="15"/>
      <c r="AD280" s="34">
        <f t="shared" ref="AD280:AF280" ca="1" si="111">+AD30+AD80+AD130+AD180+AD230</f>
        <v>893750.90043885331</v>
      </c>
      <c r="AE280" s="34">
        <f t="shared" ca="1" si="111"/>
        <v>93518.876353568456</v>
      </c>
      <c r="AF280" s="34">
        <f t="shared" ca="1" si="111"/>
        <v>800232.02408528491</v>
      </c>
      <c r="AG280" s="15"/>
      <c r="AH280" s="272"/>
      <c r="AI280" s="267"/>
      <c r="AJ280" s="267"/>
      <c r="AK280" s="34">
        <f t="shared" ref="AK280" ca="1" si="112">+AK30+AK80+AK130+AK180+AK230</f>
        <v>750966.914740582</v>
      </c>
      <c r="AL280" s="233"/>
    </row>
    <row r="281" spans="2:38" x14ac:dyDescent="0.3">
      <c r="B281" s="232"/>
      <c r="C281" s="250">
        <f t="shared" si="93"/>
        <v>2015</v>
      </c>
      <c r="D281" s="263">
        <f t="shared" ref="D281:G281" ca="1" si="113">+D31+D81+D131+D181+D231</f>
        <v>174499.71173324221</v>
      </c>
      <c r="E281" s="263">
        <f t="shared" ca="1" si="113"/>
        <v>979.52021139242152</v>
      </c>
      <c r="F281" s="263">
        <f t="shared" ca="1" si="113"/>
        <v>0</v>
      </c>
      <c r="G281" s="263">
        <f t="shared" ca="1" si="113"/>
        <v>180376.83300159674</v>
      </c>
      <c r="H281" s="15"/>
      <c r="I281" s="35">
        <f t="shared" ref="I281:K281" ca="1" si="114">+I31</f>
        <v>4</v>
      </c>
      <c r="J281" s="35">
        <f t="shared" ca="1" si="114"/>
        <v>88</v>
      </c>
      <c r="K281" s="35">
        <f t="shared" ca="1" si="114"/>
        <v>44</v>
      </c>
      <c r="L281" s="15"/>
      <c r="M281" s="35">
        <f t="shared" ref="M281:O281" ca="1" si="115">+M31</f>
        <v>3.76</v>
      </c>
      <c r="N281" s="35">
        <f t="shared" ca="1" si="115"/>
        <v>81.84</v>
      </c>
      <c r="O281" s="35">
        <f t="shared" ca="1" si="115"/>
        <v>40.92</v>
      </c>
      <c r="P281" s="15"/>
      <c r="Q281" s="34">
        <f t="shared" ref="Q281:T281" ca="1" si="116">+Q31+Q81+Q131+Q181+Q231</f>
        <v>656118.91611699061</v>
      </c>
      <c r="R281" s="34">
        <f t="shared" ca="1" si="116"/>
        <v>80163.934100355778</v>
      </c>
      <c r="S281" s="34">
        <f t="shared" ca="1" si="116"/>
        <v>0</v>
      </c>
      <c r="T281" s="34">
        <f t="shared" ca="1" si="116"/>
        <v>736282.85021734633</v>
      </c>
      <c r="U281" s="15"/>
      <c r="V281" s="35">
        <f t="shared" si="98"/>
        <v>0.31</v>
      </c>
      <c r="W281" s="34">
        <f t="shared" ref="W281:Y281" ca="1" si="117">+W31+W81+W131+W181+W231</f>
        <v>55916.818230494988</v>
      </c>
      <c r="X281" s="35">
        <f t="shared" si="98"/>
        <v>0.37</v>
      </c>
      <c r="Y281" s="34">
        <f t="shared" ca="1" si="117"/>
        <v>66739.428210590791</v>
      </c>
      <c r="Z281" s="35">
        <f t="shared" ref="Z281" si="118">+Z31</f>
        <v>0.57999999999999996</v>
      </c>
      <c r="AA281" s="34">
        <f t="shared" ref="AA281:AB281" ca="1" si="119">+AA31+AA81+AA131+AA181+AA231</f>
        <v>104618.5631409261</v>
      </c>
      <c r="AB281" s="34">
        <f t="shared" ca="1" si="119"/>
        <v>227274.80958201189</v>
      </c>
      <c r="AC281" s="15"/>
      <c r="AD281" s="34">
        <f t="shared" ref="AD281:AF281" ca="1" si="120">+AD31+AD81+AD131+AD181+AD231</f>
        <v>509008.04063533444</v>
      </c>
      <c r="AE281" s="34">
        <f t="shared" ca="1" si="120"/>
        <v>19914.503858965603</v>
      </c>
      <c r="AF281" s="34">
        <f t="shared" ca="1" si="120"/>
        <v>489093.53677636886</v>
      </c>
      <c r="AG281" s="15"/>
      <c r="AH281" s="273"/>
      <c r="AI281" s="267"/>
      <c r="AJ281" s="267"/>
      <c r="AK281" s="34">
        <f t="shared" ref="AK281" ca="1" si="121">+AK31+AK81+AK131+AK181+AK231</f>
        <v>417257.46496898594</v>
      </c>
      <c r="AL281" s="233"/>
    </row>
    <row r="282" spans="2:38" x14ac:dyDescent="0.3">
      <c r="B282" s="232"/>
      <c r="C282" s="250">
        <f t="shared" si="93"/>
        <v>2016</v>
      </c>
      <c r="D282" s="263">
        <f t="shared" ref="D282:G282" ca="1" si="122">+D32+D82+D132+D182+D232</f>
        <v>154741.11060932474</v>
      </c>
      <c r="E282" s="263">
        <f t="shared" ca="1" si="122"/>
        <v>868.60914479246878</v>
      </c>
      <c r="F282" s="263">
        <f t="shared" ca="1" si="122"/>
        <v>0</v>
      </c>
      <c r="G282" s="263">
        <f t="shared" ca="1" si="122"/>
        <v>159952.76547807956</v>
      </c>
      <c r="H282" s="15"/>
      <c r="I282" s="35">
        <f t="shared" ref="I282:K282" ca="1" si="123">+I32</f>
        <v>4.0999999999999996</v>
      </c>
      <c r="J282" s="35">
        <f t="shared" ca="1" si="123"/>
        <v>84</v>
      </c>
      <c r="K282" s="35">
        <f t="shared" ca="1" si="123"/>
        <v>42</v>
      </c>
      <c r="L282" s="15"/>
      <c r="M282" s="35">
        <f t="shared" ref="M282:O282" ca="1" si="124">+M32</f>
        <v>3.8539999999999996</v>
      </c>
      <c r="N282" s="35">
        <f t="shared" ca="1" si="124"/>
        <v>78.12</v>
      </c>
      <c r="O282" s="35">
        <f t="shared" ca="1" si="124"/>
        <v>39.06</v>
      </c>
      <c r="P282" s="15"/>
      <c r="Q282" s="34">
        <f t="shared" ref="Q282:T282" ca="1" si="125">+Q32+Q82+Q132+Q182+Q232</f>
        <v>596372.24028833746</v>
      </c>
      <c r="R282" s="34">
        <f t="shared" ca="1" si="125"/>
        <v>67855.746391187669</v>
      </c>
      <c r="S282" s="34">
        <f t="shared" ca="1" si="125"/>
        <v>0</v>
      </c>
      <c r="T282" s="34">
        <f t="shared" ca="1" si="125"/>
        <v>664227.98667952511</v>
      </c>
      <c r="U282" s="15"/>
      <c r="V282" s="35">
        <f t="shared" si="98"/>
        <v>0.31</v>
      </c>
      <c r="W282" s="34">
        <f t="shared" ref="W282:Y282" ca="1" si="126">+W32+W82+W132+W182+W232</f>
        <v>49585.357298204661</v>
      </c>
      <c r="X282" s="35">
        <f t="shared" si="98"/>
        <v>0.37</v>
      </c>
      <c r="Y282" s="34">
        <f t="shared" ca="1" si="126"/>
        <v>59182.523226889432</v>
      </c>
      <c r="Z282" s="35">
        <f t="shared" ref="Z282" si="127">+Z32</f>
        <v>0.57999999999999996</v>
      </c>
      <c r="AA282" s="34">
        <f t="shared" ref="AA282:AB282" ca="1" si="128">+AA32+AA82+AA132+AA182+AA232</f>
        <v>92772.60397728614</v>
      </c>
      <c r="AB282" s="34">
        <f t="shared" ca="1" si="128"/>
        <v>201540.48450238025</v>
      </c>
      <c r="AC282" s="15"/>
      <c r="AD282" s="34">
        <f t="shared" ref="AD282:AF282" ca="1" si="129">+AD32+AD82+AD132+AD182+AD232</f>
        <v>462687.50217714487</v>
      </c>
      <c r="AE282" s="34">
        <f t="shared" ca="1" si="129"/>
        <v>17659.584728030113</v>
      </c>
      <c r="AF282" s="34">
        <f t="shared" ca="1" si="129"/>
        <v>445027.91744911473</v>
      </c>
      <c r="AG282" s="15"/>
      <c r="AH282" s="273"/>
      <c r="AI282" s="267"/>
      <c r="AJ282" s="267"/>
      <c r="AK282" s="34">
        <f t="shared" ref="AK282" ca="1" si="130">+AK32+AK82+AK132+AK182+AK232</f>
        <v>345149.11345280142</v>
      </c>
      <c r="AL282" s="233"/>
    </row>
    <row r="283" spans="2:38" x14ac:dyDescent="0.3">
      <c r="B283" s="232"/>
      <c r="C283" s="250">
        <f t="shared" si="93"/>
        <v>2017</v>
      </c>
      <c r="D283" s="263">
        <f t="shared" ref="D283:G283" ca="1" si="131">+D33+D83+D133+D183+D233</f>
        <v>136470.96527512488</v>
      </c>
      <c r="E283" s="263">
        <f t="shared" ca="1" si="131"/>
        <v>766.05323543209522</v>
      </c>
      <c r="F283" s="263">
        <f t="shared" ca="1" si="131"/>
        <v>0</v>
      </c>
      <c r="G283" s="263">
        <f t="shared" ca="1" si="131"/>
        <v>141067.28468771745</v>
      </c>
      <c r="H283" s="15"/>
      <c r="I283" s="35">
        <f t="shared" ref="I283:K283" ca="1" si="132">+I33</f>
        <v>4.2</v>
      </c>
      <c r="J283" s="35">
        <f t="shared" ca="1" si="132"/>
        <v>82</v>
      </c>
      <c r="K283" s="35">
        <f t="shared" ca="1" si="132"/>
        <v>41</v>
      </c>
      <c r="L283" s="15"/>
      <c r="M283" s="35">
        <f t="shared" ref="M283:O283" ca="1" si="133">+M33</f>
        <v>3.948</v>
      </c>
      <c r="N283" s="35">
        <f t="shared" ca="1" si="133"/>
        <v>76.260000000000005</v>
      </c>
      <c r="O283" s="35">
        <f t="shared" ca="1" si="133"/>
        <v>38.130000000000003</v>
      </c>
      <c r="P283" s="15"/>
      <c r="Q283" s="34">
        <f t="shared" ref="Q283:T283" ca="1" si="134">+Q33+Q83+Q133+Q183+Q233</f>
        <v>538787.37090619304</v>
      </c>
      <c r="R283" s="34">
        <f t="shared" ca="1" si="134"/>
        <v>58419.219734051585</v>
      </c>
      <c r="S283" s="34">
        <f t="shared" ca="1" si="134"/>
        <v>0</v>
      </c>
      <c r="T283" s="34">
        <f t="shared" ca="1" si="134"/>
        <v>597206.59064024466</v>
      </c>
      <c r="U283" s="15"/>
      <c r="V283" s="35">
        <f t="shared" si="98"/>
        <v>0.31</v>
      </c>
      <c r="W283" s="34">
        <f t="shared" ref="W283:Y283" ca="1" si="135">+W33+W83+W133+W183+W233</f>
        <v>43730.858253192411</v>
      </c>
      <c r="X283" s="35">
        <f t="shared" si="98"/>
        <v>0.37</v>
      </c>
      <c r="Y283" s="34">
        <f t="shared" ca="1" si="135"/>
        <v>52194.895334455454</v>
      </c>
      <c r="Z283" s="35">
        <f t="shared" ref="Z283" si="136">+Z33</f>
        <v>0.57999999999999996</v>
      </c>
      <c r="AA283" s="34">
        <f t="shared" ref="AA283:AB283" ca="1" si="137">+AA33+AA83+AA133+AA183+AA233</f>
        <v>81819.025118876118</v>
      </c>
      <c r="AB283" s="34">
        <f t="shared" ca="1" si="137"/>
        <v>177744.778706524</v>
      </c>
      <c r="AC283" s="15"/>
      <c r="AD283" s="34">
        <f t="shared" ref="AD283:AF283" ca="1" si="138">+AD33+AD83+AD133+AD183+AD233</f>
        <v>419461.81193372066</v>
      </c>
      <c r="AE283" s="34">
        <f t="shared" ca="1" si="138"/>
        <v>15574.533262054112</v>
      </c>
      <c r="AF283" s="34">
        <f t="shared" ca="1" si="138"/>
        <v>403887.27867166657</v>
      </c>
      <c r="AG283" s="15"/>
      <c r="AH283" s="273"/>
      <c r="AI283" s="267"/>
      <c r="AJ283" s="267"/>
      <c r="AK283" s="34">
        <f t="shared" ref="AK283" ca="1" si="139">+AK33+AK83+AK133+AK183+AK233</f>
        <v>284765.25282326736</v>
      </c>
      <c r="AL283" s="233"/>
    </row>
    <row r="284" spans="2:38" x14ac:dyDescent="0.3">
      <c r="B284" s="232"/>
      <c r="C284" s="250">
        <f t="shared" si="93"/>
        <v>2018</v>
      </c>
      <c r="D284" s="263">
        <f t="shared" ref="D284:G284" ca="1" si="140">+D34+D84+D134+D184+D234</f>
        <v>120687.70758970693</v>
      </c>
      <c r="E284" s="263">
        <f t="shared" ca="1" si="140"/>
        <v>677.45698647028951</v>
      </c>
      <c r="F284" s="263">
        <f t="shared" ca="1" si="140"/>
        <v>0</v>
      </c>
      <c r="G284" s="263">
        <f t="shared" ca="1" si="140"/>
        <v>124752.44950852866</v>
      </c>
      <c r="H284" s="15"/>
      <c r="I284" s="35">
        <f t="shared" ref="I284:K284" ca="1" si="141">+I34</f>
        <v>4.5</v>
      </c>
      <c r="J284" s="35">
        <f t="shared" ca="1" si="141"/>
        <v>80</v>
      </c>
      <c r="K284" s="35">
        <f t="shared" ca="1" si="141"/>
        <v>40</v>
      </c>
      <c r="L284" s="15"/>
      <c r="M284" s="35">
        <f t="shared" ref="M284:O284" ca="1" si="142">+M34</f>
        <v>4.2299999999999995</v>
      </c>
      <c r="N284" s="35">
        <f t="shared" ca="1" si="142"/>
        <v>74.400000000000006</v>
      </c>
      <c r="O284" s="35">
        <f t="shared" ca="1" si="142"/>
        <v>37.200000000000003</v>
      </c>
      <c r="P284" s="15"/>
      <c r="Q284" s="34">
        <f t="shared" ref="Q284:T284" ca="1" si="143">+Q34+Q84+Q134+Q184+Q234</f>
        <v>510509.00310446025</v>
      </c>
      <c r="R284" s="34">
        <f t="shared" ca="1" si="143"/>
        <v>50402.799793389546</v>
      </c>
      <c r="S284" s="34">
        <f t="shared" ca="1" si="143"/>
        <v>0</v>
      </c>
      <c r="T284" s="34">
        <f t="shared" ca="1" si="143"/>
        <v>560911.80289784982</v>
      </c>
      <c r="U284" s="15"/>
      <c r="V284" s="35">
        <f t="shared" si="98"/>
        <v>0.31</v>
      </c>
      <c r="W284" s="34">
        <f t="shared" ref="W284:Y284" ca="1" si="144">+W34+W84+W134+W184+W234</f>
        <v>38673.259347643885</v>
      </c>
      <c r="X284" s="35">
        <f t="shared" si="98"/>
        <v>0.37</v>
      </c>
      <c r="Y284" s="34">
        <f t="shared" ca="1" si="144"/>
        <v>46158.406318155605</v>
      </c>
      <c r="Z284" s="35">
        <f t="shared" ref="Z284" si="145">+Z34</f>
        <v>0.57999999999999996</v>
      </c>
      <c r="AA284" s="34">
        <f t="shared" ref="AA284:AB284" ca="1" si="146">+AA34+AA84+AA134+AA184+AA234</f>
        <v>72356.420714946624</v>
      </c>
      <c r="AB284" s="34">
        <f t="shared" ca="1" si="146"/>
        <v>157188.0863807461</v>
      </c>
      <c r="AC284" s="15"/>
      <c r="AD284" s="34">
        <f t="shared" ref="AD284:AF284" ca="1" si="147">+AD34+AD84+AD134+AD184+AD234</f>
        <v>403723.71651710372</v>
      </c>
      <c r="AE284" s="34">
        <f t="shared" ca="1" si="147"/>
        <v>13773.293919241907</v>
      </c>
      <c r="AF284" s="34">
        <f t="shared" ca="1" si="147"/>
        <v>389950.42259786179</v>
      </c>
      <c r="AG284" s="15"/>
      <c r="AH284" s="273"/>
      <c r="AI284" s="267"/>
      <c r="AJ284" s="267"/>
      <c r="AK284" s="34">
        <f t="shared" ref="AK284" ca="1" si="148">+AK34+AK84+AK134+AK184+AK234</f>
        <v>249944.46930573531</v>
      </c>
      <c r="AL284" s="233"/>
    </row>
    <row r="285" spans="2:38" x14ac:dyDescent="0.3">
      <c r="B285" s="232"/>
      <c r="C285" s="250">
        <f t="shared" si="93"/>
        <v>2019</v>
      </c>
      <c r="D285" s="263">
        <f t="shared" ref="D285:G285" ca="1" si="149">+D35+D85+D135+D185+D235</f>
        <v>106729.82882398884</v>
      </c>
      <c r="E285" s="263">
        <f t="shared" ca="1" si="149"/>
        <v>599.10714724484478</v>
      </c>
      <c r="F285" s="263">
        <f t="shared" ca="1" si="149"/>
        <v>0</v>
      </c>
      <c r="G285" s="263">
        <f t="shared" ca="1" si="149"/>
        <v>110324.47170745791</v>
      </c>
      <c r="H285" s="15"/>
      <c r="I285" s="35">
        <f t="shared" ref="I285:K285" ca="1" si="150">+I35</f>
        <v>4.5</v>
      </c>
      <c r="J285" s="35">
        <f t="shared" ca="1" si="150"/>
        <v>80</v>
      </c>
      <c r="K285" s="35">
        <f t="shared" ca="1" si="150"/>
        <v>40</v>
      </c>
      <c r="L285" s="15"/>
      <c r="M285" s="35">
        <f t="shared" ref="M285:O285" ca="1" si="151">+M35</f>
        <v>4.2299999999999995</v>
      </c>
      <c r="N285" s="35">
        <f t="shared" ca="1" si="151"/>
        <v>74.400000000000006</v>
      </c>
      <c r="O285" s="35">
        <f t="shared" ca="1" si="151"/>
        <v>37.200000000000003</v>
      </c>
      <c r="P285" s="15"/>
      <c r="Q285" s="34">
        <f t="shared" ref="Q285:T285" ca="1" si="152">+Q35+Q85+Q135+Q185+Q235</f>
        <v>451467.17592547275</v>
      </c>
      <c r="R285" s="34">
        <f t="shared" ca="1" si="152"/>
        <v>44573.571755016455</v>
      </c>
      <c r="S285" s="34">
        <f t="shared" ca="1" si="152"/>
        <v>0</v>
      </c>
      <c r="T285" s="34">
        <f t="shared" ca="1" si="152"/>
        <v>496040.74768048921</v>
      </c>
      <c r="U285" s="15"/>
      <c r="V285" s="35">
        <f t="shared" si="98"/>
        <v>0.31</v>
      </c>
      <c r="W285" s="34">
        <f t="shared" ref="W285:Y285" ca="1" si="153">+W35+W85+W135+W185+W235</f>
        <v>34200.58622931195</v>
      </c>
      <c r="X285" s="35">
        <f t="shared" si="98"/>
        <v>0.37</v>
      </c>
      <c r="Y285" s="34">
        <f t="shared" ca="1" si="153"/>
        <v>40820.054531759422</v>
      </c>
      <c r="Z285" s="35">
        <f t="shared" ref="Z285" si="154">+Z35</f>
        <v>0.57999999999999996</v>
      </c>
      <c r="AA285" s="34">
        <f t="shared" ref="AA285:AB285" ca="1" si="155">+AA35+AA85+AA135+AA185+AA235</f>
        <v>63988.19359032558</v>
      </c>
      <c r="AB285" s="34">
        <f t="shared" ca="1" si="155"/>
        <v>139008.83435139694</v>
      </c>
      <c r="AC285" s="15"/>
      <c r="AD285" s="34">
        <f t="shared" ref="AD285:AF285" ca="1" si="156">+AD35+AD85+AD135+AD185+AD235</f>
        <v>357031.91332909226</v>
      </c>
      <c r="AE285" s="34">
        <f t="shared" ca="1" si="156"/>
        <v>12180.373061196073</v>
      </c>
      <c r="AF285" s="34">
        <f t="shared" ca="1" si="156"/>
        <v>344851.5402678962</v>
      </c>
      <c r="AG285" s="15"/>
      <c r="AH285" s="273"/>
      <c r="AI285" s="267"/>
      <c r="AJ285" s="267"/>
      <c r="AK285" s="34">
        <f t="shared" ref="AK285" ca="1" si="157">+AK35+AK85+AK135+AK185+AK235</f>
        <v>200943.34194704547</v>
      </c>
      <c r="AL285" s="233"/>
    </row>
    <row r="286" spans="2:38" x14ac:dyDescent="0.3">
      <c r="B286" s="232"/>
      <c r="C286" s="250">
        <f t="shared" si="93"/>
        <v>2020</v>
      </c>
      <c r="D286" s="263">
        <f t="shared" ref="D286:G286" ca="1" si="158">+D36+D86+D136+D186+D236</f>
        <v>94644.811062005596</v>
      </c>
      <c r="E286" s="263">
        <f t="shared" ca="1" si="158"/>
        <v>531.2702492046061</v>
      </c>
      <c r="F286" s="263">
        <f t="shared" ca="1" si="158"/>
        <v>0</v>
      </c>
      <c r="G286" s="263">
        <f t="shared" ca="1" si="158"/>
        <v>97832.432557233231</v>
      </c>
      <c r="H286" s="15"/>
      <c r="I286" s="35">
        <f t="shared" ref="I286:K286" ca="1" si="159">+I36</f>
        <v>4.5</v>
      </c>
      <c r="J286" s="35">
        <f t="shared" ca="1" si="159"/>
        <v>80</v>
      </c>
      <c r="K286" s="35">
        <f t="shared" ca="1" si="159"/>
        <v>40</v>
      </c>
      <c r="L286" s="15"/>
      <c r="M286" s="35">
        <f t="shared" ref="M286:O286" ca="1" si="160">+M36</f>
        <v>4.2299999999999995</v>
      </c>
      <c r="N286" s="35">
        <f t="shared" ca="1" si="160"/>
        <v>74.400000000000006</v>
      </c>
      <c r="O286" s="35">
        <f t="shared" ca="1" si="160"/>
        <v>37.200000000000003</v>
      </c>
      <c r="P286" s="15"/>
      <c r="Q286" s="34">
        <f t="shared" ref="Q286:T286" ca="1" si="161">+Q36+Q86+Q136+Q186+Q236</f>
        <v>400347.55079228361</v>
      </c>
      <c r="R286" s="34">
        <f t="shared" ca="1" si="161"/>
        <v>39526.506540822695</v>
      </c>
      <c r="S286" s="34">
        <f t="shared" ca="1" si="161"/>
        <v>0</v>
      </c>
      <c r="T286" s="34">
        <f t="shared" ca="1" si="161"/>
        <v>439874.05733310629</v>
      </c>
      <c r="U286" s="15"/>
      <c r="V286" s="35">
        <f t="shared" si="98"/>
        <v>0.31</v>
      </c>
      <c r="W286" s="34">
        <f t="shared" ref="W286:Y286" ca="1" si="162">+W36+W86+W136+W186+W236</f>
        <v>30328.054092742303</v>
      </c>
      <c r="X286" s="35">
        <f t="shared" si="98"/>
        <v>0.37</v>
      </c>
      <c r="Y286" s="34">
        <f t="shared" ca="1" si="162"/>
        <v>36198.000046176297</v>
      </c>
      <c r="Z286" s="35">
        <f t="shared" ref="Z286" si="163">+Z36</f>
        <v>0.57999999999999996</v>
      </c>
      <c r="AA286" s="34">
        <f t="shared" ref="AA286:AB286" ca="1" si="164">+AA36+AA86+AA136+AA186+AA236</f>
        <v>56742.81088319527</v>
      </c>
      <c r="AB286" s="34">
        <f t="shared" ca="1" si="164"/>
        <v>123268.86502211387</v>
      </c>
      <c r="AC286" s="15"/>
      <c r="AD286" s="34">
        <f t="shared" ref="AD286:AF286" ca="1" si="165">+AD36+AD86+AD136+AD186+AD236</f>
        <v>316605.1923109924</v>
      </c>
      <c r="AE286" s="34">
        <f t="shared" ca="1" si="165"/>
        <v>10801.189505726417</v>
      </c>
      <c r="AF286" s="34">
        <f t="shared" ca="1" si="165"/>
        <v>305804.00280526601</v>
      </c>
      <c r="AG286" s="15"/>
      <c r="AH286" s="273"/>
      <c r="AI286" s="267"/>
      <c r="AJ286" s="267"/>
      <c r="AK286" s="34">
        <f t="shared" ref="AK286" ca="1" si="166">+AK36+AK86+AK136+AK186+AK236</f>
        <v>161991.38978297007</v>
      </c>
      <c r="AL286" s="233"/>
    </row>
    <row r="287" spans="2:38" x14ac:dyDescent="0.3">
      <c r="B287" s="232"/>
      <c r="C287" s="250">
        <f t="shared" si="93"/>
        <v>2021</v>
      </c>
      <c r="D287" s="263">
        <f t="shared" ref="D287:G287" ca="1" si="167">+D37+D87+D137+D187+D237</f>
        <v>83470.182377865014</v>
      </c>
      <c r="E287" s="263">
        <f t="shared" ca="1" si="167"/>
        <v>468.54364328531375</v>
      </c>
      <c r="F287" s="263">
        <f t="shared" ca="1" si="167"/>
        <v>0</v>
      </c>
      <c r="G287" s="263">
        <f t="shared" ca="1" si="167"/>
        <v>86281.444237576899</v>
      </c>
      <c r="H287" s="15"/>
      <c r="I287" s="35">
        <f t="shared" ref="I287:K287" ca="1" si="168">+I37</f>
        <v>4.5</v>
      </c>
      <c r="J287" s="35">
        <f t="shared" ca="1" si="168"/>
        <v>80</v>
      </c>
      <c r="K287" s="35">
        <f t="shared" ca="1" si="168"/>
        <v>40</v>
      </c>
      <c r="L287" s="15"/>
      <c r="M287" s="35">
        <f t="shared" ref="M287:O287" ca="1" si="169">+M37</f>
        <v>4.2299999999999995</v>
      </c>
      <c r="N287" s="35">
        <f t="shared" ca="1" si="169"/>
        <v>74.400000000000006</v>
      </c>
      <c r="O287" s="35">
        <f t="shared" ca="1" si="169"/>
        <v>37.200000000000003</v>
      </c>
      <c r="P287" s="15"/>
      <c r="Q287" s="34">
        <f t="shared" ref="Q287:T287" ca="1" si="170">+Q37+Q87+Q137+Q187+Q237</f>
        <v>353078.87145836896</v>
      </c>
      <c r="R287" s="34">
        <f t="shared" ca="1" si="170"/>
        <v>34859.647060427349</v>
      </c>
      <c r="S287" s="34">
        <f t="shared" ca="1" si="170"/>
        <v>0</v>
      </c>
      <c r="T287" s="34">
        <f t="shared" ca="1" si="170"/>
        <v>387938.51851879631</v>
      </c>
      <c r="U287" s="15"/>
      <c r="V287" s="35">
        <f t="shared" si="98"/>
        <v>0.31</v>
      </c>
      <c r="W287" s="34">
        <f t="shared" ref="W287:Y287" ca="1" si="171">+W37+W87+W137+W187+W237</f>
        <v>26747.247713648838</v>
      </c>
      <c r="X287" s="35">
        <f t="shared" si="98"/>
        <v>0.37</v>
      </c>
      <c r="Y287" s="34">
        <f t="shared" ca="1" si="171"/>
        <v>31924.134367903451</v>
      </c>
      <c r="Z287" s="35">
        <f t="shared" ref="Z287" si="172">+Z37</f>
        <v>0.57999999999999996</v>
      </c>
      <c r="AA287" s="34">
        <f t="shared" ref="AA287:AB287" ca="1" si="173">+AA37+AA87+AA137+AA187+AA237</f>
        <v>50043.237657794598</v>
      </c>
      <c r="AB287" s="34">
        <f t="shared" ca="1" si="173"/>
        <v>108714.61973934689</v>
      </c>
      <c r="AC287" s="15"/>
      <c r="AD287" s="34">
        <f t="shared" ref="AD287:AF287" ca="1" si="174">+AD37+AD87+AD137+AD187+AD237</f>
        <v>279223.8987794494</v>
      </c>
      <c r="AE287" s="34">
        <f t="shared" ca="1" si="174"/>
        <v>9525.9026651784061</v>
      </c>
      <c r="AF287" s="34">
        <f t="shared" ca="1" si="174"/>
        <v>269697.99611427099</v>
      </c>
      <c r="AG287" s="15"/>
      <c r="AH287" s="273"/>
      <c r="AI287" s="267"/>
      <c r="AJ287" s="267"/>
      <c r="AK287" s="34">
        <f t="shared" ref="AK287" ca="1" si="175">+AK37+AK87+AK137+AK187+AK237</f>
        <v>129877.46403060871</v>
      </c>
      <c r="AL287" s="233"/>
    </row>
    <row r="288" spans="2:38" x14ac:dyDescent="0.3">
      <c r="B288" s="232"/>
      <c r="C288" s="250">
        <f t="shared" si="93"/>
        <v>2022</v>
      </c>
      <c r="D288" s="263">
        <f t="shared" ref="D288:G288" ca="1" si="176">+D38+D88+D138+D188+D238</f>
        <v>73816.616911666846</v>
      </c>
      <c r="E288" s="263">
        <f t="shared" ca="1" si="176"/>
        <v>414.35523006549016</v>
      </c>
      <c r="F288" s="263">
        <f t="shared" ca="1" si="176"/>
        <v>0</v>
      </c>
      <c r="G288" s="263">
        <f t="shared" ca="1" si="176"/>
        <v>76302.748292059783</v>
      </c>
      <c r="H288" s="15"/>
      <c r="I288" s="35">
        <f t="shared" ref="I288:K288" ca="1" si="177">+I38</f>
        <v>4.5</v>
      </c>
      <c r="J288" s="35">
        <f t="shared" ca="1" si="177"/>
        <v>80</v>
      </c>
      <c r="K288" s="35">
        <f t="shared" ca="1" si="177"/>
        <v>40</v>
      </c>
      <c r="L288" s="15"/>
      <c r="M288" s="35">
        <f t="shared" ref="M288:O288" ca="1" si="178">+M38</f>
        <v>4.2299999999999995</v>
      </c>
      <c r="N288" s="35">
        <f t="shared" ca="1" si="178"/>
        <v>74.400000000000006</v>
      </c>
      <c r="O288" s="35">
        <f t="shared" ca="1" si="178"/>
        <v>37.200000000000003</v>
      </c>
      <c r="P288" s="15"/>
      <c r="Q288" s="34">
        <f t="shared" ref="Q288:T288" ca="1" si="179">+Q38+Q88+Q138+Q188+Q238</f>
        <v>312244.2895363507</v>
      </c>
      <c r="R288" s="34">
        <f t="shared" ca="1" si="179"/>
        <v>30828.029116872469</v>
      </c>
      <c r="S288" s="34">
        <f t="shared" ca="1" si="179"/>
        <v>0</v>
      </c>
      <c r="T288" s="34">
        <f t="shared" ca="1" si="179"/>
        <v>343072.31865322316</v>
      </c>
      <c r="U288" s="15"/>
      <c r="V288" s="35">
        <f t="shared" si="98"/>
        <v>0.31</v>
      </c>
      <c r="W288" s="34">
        <f t="shared" ref="W288:Y288" ca="1" si="180">+W38+W88+W138+W188+W238</f>
        <v>23653.851970538533</v>
      </c>
      <c r="X288" s="35">
        <f t="shared" si="98"/>
        <v>0.37</v>
      </c>
      <c r="Y288" s="34">
        <f t="shared" ca="1" si="180"/>
        <v>28232.016868062121</v>
      </c>
      <c r="Z288" s="35">
        <f t="shared" ref="Z288" si="181">+Z38</f>
        <v>0.57999999999999996</v>
      </c>
      <c r="AA288" s="34">
        <f t="shared" ref="AA288:AB288" ca="1" si="182">+AA38+AA88+AA138+AA188+AA238</f>
        <v>44255.59400939467</v>
      </c>
      <c r="AB288" s="34">
        <f t="shared" ca="1" si="182"/>
        <v>96141.462847995324</v>
      </c>
      <c r="AC288" s="15"/>
      <c r="AD288" s="34">
        <f t="shared" ref="AD288:AF288" ca="1" si="183">+AD38+AD88+AD138+AD188+AD238</f>
        <v>246930.85580522782</v>
      </c>
      <c r="AE288" s="34">
        <f t="shared" ca="1" si="183"/>
        <v>8424.2047608101348</v>
      </c>
      <c r="AF288" s="34">
        <f t="shared" ca="1" si="183"/>
        <v>238506.6510444177</v>
      </c>
      <c r="AG288" s="15"/>
      <c r="AH288" s="273"/>
      <c r="AI288" s="267"/>
      <c r="AJ288" s="267"/>
      <c r="AK288" s="34">
        <f t="shared" ref="AK288" ca="1" si="184">+AK38+AK88+AK138+AK188+AK238</f>
        <v>104415.23966667283</v>
      </c>
      <c r="AL288" s="233"/>
    </row>
    <row r="289" spans="2:38" x14ac:dyDescent="0.3">
      <c r="B289" s="232"/>
      <c r="C289" s="250">
        <f t="shared" si="93"/>
        <v>2023</v>
      </c>
      <c r="D289" s="263">
        <f t="shared" ref="D289:G289" ca="1" si="185">+D39+D89+D139+D189+D239</f>
        <v>65279.513918119104</v>
      </c>
      <c r="E289" s="263">
        <f t="shared" ca="1" si="185"/>
        <v>366.4338619104405</v>
      </c>
      <c r="F289" s="263">
        <f t="shared" ca="1" si="185"/>
        <v>0</v>
      </c>
      <c r="G289" s="263">
        <f t="shared" ca="1" si="185"/>
        <v>67478.117089581749</v>
      </c>
      <c r="H289" s="15"/>
      <c r="I289" s="35">
        <f t="shared" ref="I289:K289" ca="1" si="186">+I39</f>
        <v>4.5</v>
      </c>
      <c r="J289" s="35">
        <f t="shared" ca="1" si="186"/>
        <v>80</v>
      </c>
      <c r="K289" s="35">
        <f t="shared" ca="1" si="186"/>
        <v>40</v>
      </c>
      <c r="L289" s="15"/>
      <c r="M289" s="35">
        <f t="shared" ref="M289:O289" ca="1" si="187">+M39</f>
        <v>4.2299999999999995</v>
      </c>
      <c r="N289" s="35">
        <f t="shared" ca="1" si="187"/>
        <v>74.400000000000006</v>
      </c>
      <c r="O289" s="35">
        <f t="shared" ca="1" si="187"/>
        <v>37.200000000000003</v>
      </c>
      <c r="P289" s="15"/>
      <c r="Q289" s="34">
        <f t="shared" ref="Q289:T289" ca="1" si="188">+Q39+Q89+Q139+Q189+Q239</f>
        <v>276132.34387364378</v>
      </c>
      <c r="R289" s="34">
        <f t="shared" ca="1" si="188"/>
        <v>27262.679326136775</v>
      </c>
      <c r="S289" s="34">
        <f t="shared" ca="1" si="188"/>
        <v>0</v>
      </c>
      <c r="T289" s="34">
        <f t="shared" ca="1" si="188"/>
        <v>303395.02319978055</v>
      </c>
      <c r="U289" s="15"/>
      <c r="V289" s="35">
        <f t="shared" si="98"/>
        <v>0.31</v>
      </c>
      <c r="W289" s="34">
        <f t="shared" ref="W289:Y289" ca="1" si="189">+W39+W89+W139+W189+W239</f>
        <v>20918.216297770341</v>
      </c>
      <c r="X289" s="35">
        <f t="shared" si="98"/>
        <v>0.37</v>
      </c>
      <c r="Y289" s="34">
        <f t="shared" ca="1" si="189"/>
        <v>24966.903323145245</v>
      </c>
      <c r="Z289" s="35">
        <f t="shared" ref="Z289" si="190">+Z39</f>
        <v>0.57999999999999996</v>
      </c>
      <c r="AA289" s="34">
        <f t="shared" ref="AA289:AB289" ca="1" si="191">+AA39+AA89+AA139+AA189+AA239</f>
        <v>39137.30791195741</v>
      </c>
      <c r="AB289" s="34">
        <f t="shared" ca="1" si="191"/>
        <v>85022.427532873</v>
      </c>
      <c r="AC289" s="15"/>
      <c r="AD289" s="34">
        <f t="shared" ref="AD289:AF289" ca="1" si="192">+AD39+AD89+AD139+AD189+AD239</f>
        <v>218372.59566690755</v>
      </c>
      <c r="AE289" s="34">
        <f t="shared" ca="1" si="192"/>
        <v>7449.921371910953</v>
      </c>
      <c r="AF289" s="34">
        <f t="shared" ca="1" si="192"/>
        <v>210922.6742949966</v>
      </c>
      <c r="AG289" s="15"/>
      <c r="AH289" s="273"/>
      <c r="AI289" s="267"/>
      <c r="AJ289" s="267"/>
      <c r="AK289" s="34">
        <f t="shared" ref="AK289" ca="1" si="193">+AK39+AK89+AK139+AK189+AK239</f>
        <v>83944.834895138425</v>
      </c>
      <c r="AL289" s="233"/>
    </row>
    <row r="290" spans="2:38" x14ac:dyDescent="0.3">
      <c r="B290" s="232"/>
      <c r="C290" s="250">
        <f t="shared" si="93"/>
        <v>2024</v>
      </c>
      <c r="D290" s="263">
        <f t="shared" ref="D290:G290" ca="1" si="194">+D40+D90+D140+D190+D240</f>
        <v>57887.915019416614</v>
      </c>
      <c r="E290" s="263">
        <f t="shared" ca="1" si="194"/>
        <v>324.94255832105017</v>
      </c>
      <c r="F290" s="263">
        <f t="shared" ca="1" si="194"/>
        <v>0</v>
      </c>
      <c r="G290" s="263">
        <f t="shared" ca="1" si="194"/>
        <v>59837.570369342917</v>
      </c>
      <c r="H290" s="15"/>
      <c r="I290" s="35">
        <f t="shared" ref="I290:K290" ca="1" si="195">+I40</f>
        <v>4.5</v>
      </c>
      <c r="J290" s="35">
        <f t="shared" ca="1" si="195"/>
        <v>80</v>
      </c>
      <c r="K290" s="35">
        <f t="shared" ca="1" si="195"/>
        <v>40</v>
      </c>
      <c r="L290" s="15"/>
      <c r="M290" s="35">
        <f t="shared" ref="M290:O290" ca="1" si="196">+M40</f>
        <v>4.2299999999999995</v>
      </c>
      <c r="N290" s="35">
        <f t="shared" ca="1" si="196"/>
        <v>74.400000000000006</v>
      </c>
      <c r="O290" s="35">
        <f t="shared" ca="1" si="196"/>
        <v>37.200000000000003</v>
      </c>
      <c r="P290" s="15"/>
      <c r="Q290" s="34">
        <f t="shared" ref="Q290:T290" ca="1" si="197">+Q40+Q90+Q140+Q190+Q240</f>
        <v>244865.88053213226</v>
      </c>
      <c r="R290" s="34">
        <f t="shared" ca="1" si="197"/>
        <v>24175.726339086134</v>
      </c>
      <c r="S290" s="34">
        <f t="shared" ca="1" si="197"/>
        <v>0</v>
      </c>
      <c r="T290" s="34">
        <f t="shared" ca="1" si="197"/>
        <v>269041.60687121842</v>
      </c>
      <c r="U290" s="15"/>
      <c r="V290" s="35">
        <f t="shared" si="98"/>
        <v>0.31</v>
      </c>
      <c r="W290" s="34">
        <f t="shared" ref="W290:Y290" ca="1" si="198">+W40+W90+W140+W190+W240</f>
        <v>18549.646814496304</v>
      </c>
      <c r="X290" s="35">
        <f t="shared" si="98"/>
        <v>0.37</v>
      </c>
      <c r="Y290" s="34">
        <f t="shared" ca="1" si="198"/>
        <v>22139.90103665688</v>
      </c>
      <c r="Z290" s="35">
        <f t="shared" ref="Z290" si="199">+Z40</f>
        <v>0.57999999999999996</v>
      </c>
      <c r="AA290" s="34">
        <f t="shared" ref="AA290:AB290" ca="1" si="200">+AA40+AA90+AA140+AA190+AA240</f>
        <v>34705.79081421889</v>
      </c>
      <c r="AB290" s="34">
        <f t="shared" ca="1" si="200"/>
        <v>75395.338665372081</v>
      </c>
      <c r="AC290" s="15"/>
      <c r="AD290" s="34">
        <f t="shared" ref="AD290:AF290" ca="1" si="201">+AD40+AD90+AD140+AD190+AD240</f>
        <v>193646.26820584634</v>
      </c>
      <c r="AE290" s="34">
        <f t="shared" ca="1" si="201"/>
        <v>6606.366827722587</v>
      </c>
      <c r="AF290" s="34">
        <f t="shared" ca="1" si="201"/>
        <v>187039.90137812376</v>
      </c>
      <c r="AG290" s="15"/>
      <c r="AH290" s="273"/>
      <c r="AI290" s="267"/>
      <c r="AJ290" s="267"/>
      <c r="AK290" s="34">
        <f t="shared" ref="AK290" ca="1" si="202">+AK40+AK90+AK140+AK190+AK240</f>
        <v>67672.510758525212</v>
      </c>
      <c r="AL290" s="233"/>
    </row>
    <row r="291" spans="2:38" x14ac:dyDescent="0.3">
      <c r="B291" s="232"/>
      <c r="C291" s="250">
        <f t="shared" si="93"/>
        <v>2025</v>
      </c>
      <c r="D291" s="263">
        <f t="shared" ref="D291:G291" ca="1" si="203">+D41+D91+D141+D191+D241</f>
        <v>51053.14036687628</v>
      </c>
      <c r="E291" s="263">
        <f t="shared" ca="1" si="203"/>
        <v>286.5768793982665</v>
      </c>
      <c r="F291" s="263">
        <f t="shared" ca="1" si="203"/>
        <v>0</v>
      </c>
      <c r="G291" s="263">
        <f t="shared" ca="1" si="203"/>
        <v>52772.60164326588</v>
      </c>
      <c r="H291" s="15"/>
      <c r="I291" s="35">
        <f t="shared" ref="I291:K291" ca="1" si="204">+I41</f>
        <v>4.5</v>
      </c>
      <c r="J291" s="35">
        <f t="shared" ca="1" si="204"/>
        <v>80</v>
      </c>
      <c r="K291" s="35">
        <f t="shared" ca="1" si="204"/>
        <v>40</v>
      </c>
      <c r="L291" s="15"/>
      <c r="M291" s="35">
        <f t="shared" ref="M291:O291" ca="1" si="205">+M41</f>
        <v>4.2299999999999995</v>
      </c>
      <c r="N291" s="35">
        <f t="shared" ca="1" si="205"/>
        <v>74.400000000000006</v>
      </c>
      <c r="O291" s="35">
        <f t="shared" ca="1" si="205"/>
        <v>37.200000000000003</v>
      </c>
      <c r="P291" s="15"/>
      <c r="Q291" s="34">
        <f t="shared" ref="Q291:T291" ca="1" si="206">+Q41+Q91+Q141+Q191+Q241</f>
        <v>215954.78375188663</v>
      </c>
      <c r="R291" s="34">
        <f t="shared" ca="1" si="206"/>
        <v>21321.319827231029</v>
      </c>
      <c r="S291" s="34">
        <f t="shared" ca="1" si="206"/>
        <v>0</v>
      </c>
      <c r="T291" s="34">
        <f t="shared" ca="1" si="206"/>
        <v>237276.10357911765</v>
      </c>
      <c r="U291" s="15"/>
      <c r="V291" s="35">
        <f t="shared" si="98"/>
        <v>0.31</v>
      </c>
      <c r="W291" s="34">
        <f t="shared" ref="W291:Y291" ca="1" si="207">+W41+W91+W141+W191+W241</f>
        <v>16359.506509412422</v>
      </c>
      <c r="X291" s="35">
        <f t="shared" si="98"/>
        <v>0.37</v>
      </c>
      <c r="Y291" s="34">
        <f t="shared" ca="1" si="207"/>
        <v>19525.862608008374</v>
      </c>
      <c r="Z291" s="35">
        <f t="shared" ref="Z291" si="208">+Z41</f>
        <v>0.57999999999999996</v>
      </c>
      <c r="AA291" s="34">
        <f t="shared" ref="AA291:AB291" ca="1" si="209">+AA41+AA91+AA141+AA191+AA241</f>
        <v>30608.108953094208</v>
      </c>
      <c r="AB291" s="34">
        <f t="shared" ca="1" si="209"/>
        <v>66493.478070515004</v>
      </c>
      <c r="AC291" s="15"/>
      <c r="AD291" s="34">
        <f t="shared" ref="AD291:AF291" ca="1" si="210">+AD41+AD91+AD141+AD191+AD241</f>
        <v>170782.62550860265</v>
      </c>
      <c r="AE291" s="34">
        <f t="shared" ca="1" si="210"/>
        <v>5826.3589707397159</v>
      </c>
      <c r="AF291" s="34">
        <f t="shared" ca="1" si="210"/>
        <v>164956.26653786295</v>
      </c>
      <c r="AG291" s="15"/>
      <c r="AH291" s="273"/>
      <c r="AI291" s="267"/>
      <c r="AJ291" s="267"/>
      <c r="AK291" s="34">
        <f t="shared" ref="AK291" ca="1" si="211">+AK41+AK91+AK141+AK191+AK241</f>
        <v>54256.797806825954</v>
      </c>
      <c r="AL291" s="233"/>
    </row>
    <row r="292" spans="2:38" x14ac:dyDescent="0.3">
      <c r="B292" s="232"/>
      <c r="C292" s="250">
        <f t="shared" si="93"/>
        <v>2026</v>
      </c>
      <c r="D292" s="263">
        <f t="shared" ref="D292:G292" ca="1" si="212">+D42+D92+D142+D192+D242</f>
        <v>45148.6985800408</v>
      </c>
      <c r="E292" s="263">
        <f t="shared" ca="1" si="212"/>
        <v>253.43344317278661</v>
      </c>
      <c r="F292" s="263">
        <f t="shared" ca="1" si="212"/>
        <v>0</v>
      </c>
      <c r="G292" s="263">
        <f t="shared" ca="1" si="212"/>
        <v>46669.299239077518</v>
      </c>
      <c r="H292" s="15"/>
      <c r="I292" s="35">
        <f t="shared" ref="I292:K292" ca="1" si="213">+I42</f>
        <v>4.5</v>
      </c>
      <c r="J292" s="35">
        <f t="shared" ca="1" si="213"/>
        <v>80</v>
      </c>
      <c r="K292" s="35">
        <f t="shared" ca="1" si="213"/>
        <v>40</v>
      </c>
      <c r="L292" s="15"/>
      <c r="M292" s="35">
        <f t="shared" ref="M292:O292" ca="1" si="214">+M42</f>
        <v>4.2299999999999995</v>
      </c>
      <c r="N292" s="35">
        <f t="shared" ca="1" si="214"/>
        <v>74.400000000000006</v>
      </c>
      <c r="O292" s="35">
        <f t="shared" ca="1" si="214"/>
        <v>37.200000000000003</v>
      </c>
      <c r="P292" s="15"/>
      <c r="Q292" s="34">
        <f t="shared" ref="Q292:T292" ca="1" si="215">+Q42+Q92+Q142+Q192+Q242</f>
        <v>190978.99499357256</v>
      </c>
      <c r="R292" s="34">
        <f t="shared" ca="1" si="215"/>
        <v>18855.448172055327</v>
      </c>
      <c r="S292" s="34">
        <f t="shared" ca="1" si="215"/>
        <v>0</v>
      </c>
      <c r="T292" s="34">
        <f t="shared" ca="1" si="215"/>
        <v>209834.44316562789</v>
      </c>
      <c r="U292" s="15"/>
      <c r="V292" s="35">
        <f t="shared" si="98"/>
        <v>0.31</v>
      </c>
      <c r="W292" s="34">
        <f t="shared" ref="W292:Y292" ca="1" si="216">+W42+W92+W142+W192+W242</f>
        <v>14467.482764114031</v>
      </c>
      <c r="X292" s="35">
        <f t="shared" si="98"/>
        <v>0.37</v>
      </c>
      <c r="Y292" s="34">
        <f t="shared" ca="1" si="216"/>
        <v>17267.640718458682</v>
      </c>
      <c r="Z292" s="35">
        <f t="shared" ref="Z292" si="217">+Z42</f>
        <v>0.57999999999999996</v>
      </c>
      <c r="AA292" s="34">
        <f t="shared" ref="AA292:AB292" ca="1" si="218">+AA42+AA92+AA142+AA192+AA242</f>
        <v>27068.19355866496</v>
      </c>
      <c r="AB292" s="34">
        <f t="shared" ca="1" si="218"/>
        <v>58803.317041237678</v>
      </c>
      <c r="AC292" s="15"/>
      <c r="AD292" s="34">
        <f t="shared" ref="AD292:AF292" ca="1" si="219">+AD42+AD92+AD142+AD192+AD242</f>
        <v>151031.12612439023</v>
      </c>
      <c r="AE292" s="34">
        <f t="shared" ca="1" si="219"/>
        <v>5152.5238819533015</v>
      </c>
      <c r="AF292" s="34">
        <f t="shared" ca="1" si="219"/>
        <v>145878.60224243693</v>
      </c>
      <c r="AG292" s="15"/>
      <c r="AH292" s="273"/>
      <c r="AI292" s="267"/>
      <c r="AJ292" s="267"/>
      <c r="AK292" s="34">
        <f t="shared" ref="AK292" ca="1" si="220">+AK42+AK92+AK142+AK192+AK242</f>
        <v>43619.858062602711</v>
      </c>
      <c r="AL292" s="233"/>
    </row>
    <row r="293" spans="2:38" x14ac:dyDescent="0.3">
      <c r="B293" s="232"/>
      <c r="C293" s="250">
        <f t="shared" si="93"/>
        <v>2027</v>
      </c>
      <c r="D293" s="263">
        <f t="shared" ref="D293:G293" ca="1" si="221">+D43+D93+D143+D193+D243</f>
        <v>39927.122383129892</v>
      </c>
      <c r="E293" s="263">
        <f t="shared" ca="1" si="221"/>
        <v>224.12314019636358</v>
      </c>
      <c r="F293" s="263">
        <f t="shared" ca="1" si="221"/>
        <v>0</v>
      </c>
      <c r="G293" s="263">
        <f t="shared" ca="1" si="221"/>
        <v>41271.861224308072</v>
      </c>
      <c r="H293" s="15"/>
      <c r="I293" s="35">
        <f t="shared" ref="I293:K293" ca="1" si="222">+I43</f>
        <v>4.5</v>
      </c>
      <c r="J293" s="35">
        <f t="shared" ca="1" si="222"/>
        <v>80</v>
      </c>
      <c r="K293" s="35">
        <f t="shared" ca="1" si="222"/>
        <v>40</v>
      </c>
      <c r="L293" s="15"/>
      <c r="M293" s="35">
        <f t="shared" ref="M293:O293" ca="1" si="223">+M43</f>
        <v>4.2299999999999995</v>
      </c>
      <c r="N293" s="35">
        <f t="shared" ca="1" si="223"/>
        <v>74.400000000000006</v>
      </c>
      <c r="O293" s="35">
        <f t="shared" ca="1" si="223"/>
        <v>37.200000000000003</v>
      </c>
      <c r="P293" s="15"/>
      <c r="Q293" s="34">
        <f t="shared" ref="Q293:T293" ca="1" si="224">+Q43+Q93+Q143+Q193+Q243</f>
        <v>168891.72768063942</v>
      </c>
      <c r="R293" s="34">
        <f t="shared" ca="1" si="224"/>
        <v>16674.761630609453</v>
      </c>
      <c r="S293" s="34">
        <f t="shared" ca="1" si="224"/>
        <v>0</v>
      </c>
      <c r="T293" s="34">
        <f t="shared" ca="1" si="224"/>
        <v>185566.48931124888</v>
      </c>
      <c r="U293" s="15"/>
      <c r="V293" s="35">
        <f t="shared" si="98"/>
        <v>0.31</v>
      </c>
      <c r="W293" s="34">
        <f t="shared" ref="W293:Y293" ca="1" si="225">+W43+W93+W143+W193+W243</f>
        <v>12794.276979535502</v>
      </c>
      <c r="X293" s="35">
        <f t="shared" si="98"/>
        <v>0.37</v>
      </c>
      <c r="Y293" s="34">
        <f t="shared" ca="1" si="225"/>
        <v>15270.588652993987</v>
      </c>
      <c r="Z293" s="35">
        <f t="shared" ref="Z293" si="226">+Z43</f>
        <v>0.57999999999999996</v>
      </c>
      <c r="AA293" s="34">
        <f t="shared" ref="AA293:AB293" ca="1" si="227">+AA43+AA93+AA143+AA193+AA243</f>
        <v>23937.679510098678</v>
      </c>
      <c r="AB293" s="34">
        <f t="shared" ca="1" si="227"/>
        <v>52002.545142628165</v>
      </c>
      <c r="AC293" s="15"/>
      <c r="AD293" s="34">
        <f t="shared" ref="AD293:AF293" ca="1" si="228">+AD43+AD93+AD143+AD193+AD243</f>
        <v>133563.94416862071</v>
      </c>
      <c r="AE293" s="34">
        <f t="shared" ca="1" si="228"/>
        <v>4556.6197495600791</v>
      </c>
      <c r="AF293" s="34">
        <f t="shared" ca="1" si="228"/>
        <v>129007.32441906063</v>
      </c>
      <c r="AG293" s="15"/>
      <c r="AH293" s="273"/>
      <c r="AI293" s="267"/>
      <c r="AJ293" s="267"/>
      <c r="AK293" s="34">
        <f t="shared" ref="AK293" ca="1" si="229">+AK43+AK93+AK143+AK193+AK243</f>
        <v>35068.269678868368</v>
      </c>
      <c r="AL293" s="233"/>
    </row>
    <row r="294" spans="2:38" x14ac:dyDescent="0.3">
      <c r="B294" s="232"/>
      <c r="C294" s="250">
        <f t="shared" si="93"/>
        <v>2028</v>
      </c>
      <c r="D294" s="263">
        <f t="shared" ref="D294:G294" ca="1" si="230">+D44+D94+D144+D194+D244</f>
        <v>35406.174598413207</v>
      </c>
      <c r="E294" s="263">
        <f t="shared" ca="1" si="230"/>
        <v>198.74567861895181</v>
      </c>
      <c r="F294" s="263">
        <f t="shared" ca="1" si="230"/>
        <v>0</v>
      </c>
      <c r="G294" s="263">
        <f t="shared" ca="1" si="230"/>
        <v>36598.648670126917</v>
      </c>
      <c r="H294" s="15"/>
      <c r="I294" s="35">
        <f t="shared" ref="I294:K294" ca="1" si="231">+I44</f>
        <v>4.5</v>
      </c>
      <c r="J294" s="35">
        <f t="shared" ca="1" si="231"/>
        <v>80</v>
      </c>
      <c r="K294" s="35">
        <f t="shared" ca="1" si="231"/>
        <v>40</v>
      </c>
      <c r="L294" s="15"/>
      <c r="M294" s="35">
        <f t="shared" ref="M294:O294" ca="1" si="232">+M44</f>
        <v>4.2299999999999995</v>
      </c>
      <c r="N294" s="35">
        <f t="shared" ca="1" si="232"/>
        <v>74.400000000000006</v>
      </c>
      <c r="O294" s="35">
        <f t="shared" ca="1" si="232"/>
        <v>37.200000000000003</v>
      </c>
      <c r="P294" s="15"/>
      <c r="Q294" s="34">
        <f t="shared" ref="Q294:T294" ca="1" si="233">+Q44+Q94+Q144+Q194+Q244</f>
        <v>149768.11855128786</v>
      </c>
      <c r="R294" s="34">
        <f t="shared" ca="1" si="233"/>
        <v>14786.678489250016</v>
      </c>
      <c r="S294" s="34">
        <f t="shared" ca="1" si="233"/>
        <v>0</v>
      </c>
      <c r="T294" s="34">
        <f t="shared" ca="1" si="233"/>
        <v>164554.79704053787</v>
      </c>
      <c r="U294" s="15"/>
      <c r="V294" s="35">
        <f t="shared" si="98"/>
        <v>0.31</v>
      </c>
      <c r="W294" s="34">
        <f t="shared" ref="W294:Y294" ca="1" si="234">+W44+W94+W144+W194+W244</f>
        <v>11345.581087739343</v>
      </c>
      <c r="X294" s="35">
        <f t="shared" si="98"/>
        <v>0.37</v>
      </c>
      <c r="Y294" s="34">
        <f t="shared" ca="1" si="234"/>
        <v>13541.500007946959</v>
      </c>
      <c r="Z294" s="35">
        <f t="shared" ref="Z294" si="235">+Z44</f>
        <v>0.57999999999999996</v>
      </c>
      <c r="AA294" s="34">
        <f t="shared" ref="AA294:AB294" ca="1" si="236">+AA44+AA94+AA144+AA194+AA244</f>
        <v>21227.216228673609</v>
      </c>
      <c r="AB294" s="34">
        <f t="shared" ca="1" si="236"/>
        <v>46114.297324359912</v>
      </c>
      <c r="AC294" s="15"/>
      <c r="AD294" s="34">
        <f t="shared" ref="AD294:AF294" ca="1" si="237">+AD44+AD94+AD144+AD194+AD244</f>
        <v>118440.49971617796</v>
      </c>
      <c r="AE294" s="34">
        <f t="shared" ca="1" si="237"/>
        <v>4040.6737275829487</v>
      </c>
      <c r="AF294" s="34">
        <f t="shared" ca="1" si="237"/>
        <v>114399.82598859501</v>
      </c>
      <c r="AG294" s="15"/>
      <c r="AH294" s="273"/>
      <c r="AI294" s="267"/>
      <c r="AJ294" s="267"/>
      <c r="AK294" s="34">
        <f t="shared" ref="AK294" ca="1" si="238">+AK44+AK94+AK144+AK194+AK244</f>
        <v>28270.445228590488</v>
      </c>
      <c r="AL294" s="233"/>
    </row>
    <row r="295" spans="2:38" x14ac:dyDescent="0.3">
      <c r="B295" s="232"/>
      <c r="C295" s="250">
        <f t="shared" si="93"/>
        <v>2029</v>
      </c>
      <c r="D295" s="263">
        <f t="shared" ref="D295:G295" ca="1" si="239">+D45+D95+D145+D195+D245</f>
        <v>31225.799046668366</v>
      </c>
      <c r="E295" s="263">
        <f t="shared" ca="1" si="239"/>
        <v>175.27995306861689</v>
      </c>
      <c r="F295" s="263">
        <f t="shared" ca="1" si="239"/>
        <v>0</v>
      </c>
      <c r="G295" s="263">
        <f t="shared" ca="1" si="239"/>
        <v>32277.478765080068</v>
      </c>
      <c r="H295" s="15"/>
      <c r="I295" s="35">
        <f t="shared" ref="I295:K295" ca="1" si="240">+I45</f>
        <v>4.5</v>
      </c>
      <c r="J295" s="35">
        <f t="shared" ca="1" si="240"/>
        <v>80</v>
      </c>
      <c r="K295" s="35">
        <f t="shared" ca="1" si="240"/>
        <v>40</v>
      </c>
      <c r="L295" s="15"/>
      <c r="M295" s="35">
        <f t="shared" ref="M295:O295" ca="1" si="241">+M45</f>
        <v>4.2299999999999995</v>
      </c>
      <c r="N295" s="35">
        <f t="shared" ca="1" si="241"/>
        <v>74.400000000000006</v>
      </c>
      <c r="O295" s="35">
        <f t="shared" ca="1" si="241"/>
        <v>37.200000000000003</v>
      </c>
      <c r="P295" s="15"/>
      <c r="Q295" s="34">
        <f t="shared" ref="Q295:T295" ca="1" si="242">+Q45+Q95+Q145+Q195+Q245</f>
        <v>132085.12996740718</v>
      </c>
      <c r="R295" s="34">
        <f t="shared" ca="1" si="242"/>
        <v>13040.828508305098</v>
      </c>
      <c r="S295" s="34">
        <f t="shared" ca="1" si="242"/>
        <v>0</v>
      </c>
      <c r="T295" s="34">
        <f t="shared" ca="1" si="242"/>
        <v>145125.95847571228</v>
      </c>
      <c r="U295" s="15"/>
      <c r="V295" s="35">
        <f t="shared" si="98"/>
        <v>0.31</v>
      </c>
      <c r="W295" s="34">
        <f t="shared" ref="W295:Y295" ca="1" si="243">+W45+W95+W145+W195+W245</f>
        <v>10006.018417174821</v>
      </c>
      <c r="X295" s="35">
        <f t="shared" si="98"/>
        <v>0.37</v>
      </c>
      <c r="Y295" s="34">
        <f t="shared" ca="1" si="243"/>
        <v>11942.667143079625</v>
      </c>
      <c r="Z295" s="35">
        <f t="shared" ref="Z295" si="244">+Z45</f>
        <v>0.57999999999999996</v>
      </c>
      <c r="AA295" s="34">
        <f t="shared" ref="AA295:AB295" ca="1" si="245">+AA45+AA95+AA145+AA195+AA245</f>
        <v>18720.937683746437</v>
      </c>
      <c r="AB295" s="34">
        <f t="shared" ca="1" si="245"/>
        <v>40669.623244000883</v>
      </c>
      <c r="AC295" s="15"/>
      <c r="AD295" s="34">
        <f t="shared" ref="AD295:AF295" ca="1" si="246">+AD45+AD95+AD145+AD195+AD245</f>
        <v>104456.33523171139</v>
      </c>
      <c r="AE295" s="34">
        <f t="shared" ca="1" si="246"/>
        <v>3563.5949735251043</v>
      </c>
      <c r="AF295" s="34">
        <f t="shared" ca="1" si="246"/>
        <v>100892.74025818628</v>
      </c>
      <c r="AG295" s="15"/>
      <c r="AH295" s="273"/>
      <c r="AI295" s="267"/>
      <c r="AJ295" s="267"/>
      <c r="AK295" s="34">
        <f t="shared" ref="AK295" ca="1" si="247">+AK45+AK95+AK145+AK195+AK245</f>
        <v>22665.980816787549</v>
      </c>
      <c r="AL295" s="233"/>
    </row>
    <row r="296" spans="2:38" x14ac:dyDescent="0.3">
      <c r="B296" s="232"/>
      <c r="C296" s="250">
        <f t="shared" si="93"/>
        <v>2030</v>
      </c>
      <c r="D296" s="263">
        <f t="shared" ref="D296:G296" ca="1" si="248">+D46+D96+D146+D196+D246</f>
        <v>27614.44602521745</v>
      </c>
      <c r="E296" s="263">
        <f t="shared" ca="1" si="248"/>
        <v>155.00832488167825</v>
      </c>
      <c r="F296" s="263">
        <f t="shared" ca="1" si="248"/>
        <v>0</v>
      </c>
      <c r="G296" s="263">
        <f t="shared" ca="1" si="248"/>
        <v>28544.495974507521</v>
      </c>
      <c r="H296" s="15"/>
      <c r="I296" s="35">
        <f t="shared" ref="I296:K296" ca="1" si="249">+I46</f>
        <v>4.5</v>
      </c>
      <c r="J296" s="35">
        <f t="shared" ca="1" si="249"/>
        <v>80</v>
      </c>
      <c r="K296" s="35">
        <f t="shared" ca="1" si="249"/>
        <v>40</v>
      </c>
      <c r="L296" s="15"/>
      <c r="M296" s="35">
        <f t="shared" ref="M296:O296" ca="1" si="250">+M46</f>
        <v>4.2299999999999995</v>
      </c>
      <c r="N296" s="35">
        <f t="shared" ca="1" si="250"/>
        <v>74.400000000000006</v>
      </c>
      <c r="O296" s="35">
        <f t="shared" ca="1" si="250"/>
        <v>37.200000000000003</v>
      </c>
      <c r="P296" s="15"/>
      <c r="Q296" s="34">
        <f t="shared" ref="Q296:T296" ca="1" si="251">+Q46+Q96+Q146+Q196+Q246</f>
        <v>116809.10668666981</v>
      </c>
      <c r="R296" s="34">
        <f t="shared" ca="1" si="251"/>
        <v>11532.619371196863</v>
      </c>
      <c r="S296" s="34">
        <f t="shared" ca="1" si="251"/>
        <v>0</v>
      </c>
      <c r="T296" s="34">
        <f t="shared" ca="1" si="251"/>
        <v>128341.72605786668</v>
      </c>
      <c r="U296" s="15"/>
      <c r="V296" s="35">
        <f t="shared" si="98"/>
        <v>0.31</v>
      </c>
      <c r="W296" s="34">
        <f t="shared" ref="W296:Y296" ca="1" si="252">+W46+W96+W146+W196+W246</f>
        <v>8848.7937520973319</v>
      </c>
      <c r="X296" s="35">
        <f t="shared" si="98"/>
        <v>0.37</v>
      </c>
      <c r="Y296" s="34">
        <f t="shared" ca="1" si="252"/>
        <v>10561.463510567783</v>
      </c>
      <c r="Z296" s="35">
        <f t="shared" ref="Z296" si="253">+Z46</f>
        <v>0.57999999999999996</v>
      </c>
      <c r="AA296" s="34">
        <f t="shared" ref="AA296:AB296" ca="1" si="254">+AA46+AA96+AA146+AA196+AA246</f>
        <v>16555.807665214361</v>
      </c>
      <c r="AB296" s="34">
        <f t="shared" ca="1" si="254"/>
        <v>35966.064927879474</v>
      </c>
      <c r="AC296" s="15"/>
      <c r="AD296" s="34">
        <f t="shared" ref="AD296:AF296" ca="1" si="255">+AD46+AD96+AD146+AD196+AD246</f>
        <v>92375.661129987202</v>
      </c>
      <c r="AE296" s="34">
        <f t="shared" ca="1" si="255"/>
        <v>3151.4550165736973</v>
      </c>
      <c r="AF296" s="34">
        <f t="shared" ca="1" si="255"/>
        <v>89224.2061134135</v>
      </c>
      <c r="AG296" s="15"/>
      <c r="AH296" s="273"/>
      <c r="AI296" s="267"/>
      <c r="AJ296" s="267"/>
      <c r="AK296" s="34">
        <f t="shared" ref="AK296" ca="1" si="256">+AK46+AK96+AK146+AK196+AK246</f>
        <v>18222.359336392015</v>
      </c>
      <c r="AL296" s="233"/>
    </row>
    <row r="297" spans="2:38" x14ac:dyDescent="0.3">
      <c r="B297" s="232"/>
      <c r="C297" s="250">
        <f t="shared" si="93"/>
        <v>2031</v>
      </c>
      <c r="D297" s="263">
        <f t="shared" ref="D297:G297" ca="1" si="257">+D47+D97+D147+D197+D247</f>
        <v>24420.756315634106</v>
      </c>
      <c r="E297" s="263">
        <f t="shared" ca="1" si="257"/>
        <v>137.08116850771765</v>
      </c>
      <c r="F297" s="263">
        <f t="shared" ca="1" si="257"/>
        <v>0</v>
      </c>
      <c r="G297" s="263">
        <f t="shared" ca="1" si="257"/>
        <v>25243.243326680411</v>
      </c>
      <c r="H297" s="15"/>
      <c r="I297" s="35">
        <f t="shared" ref="I297:K297" ca="1" si="258">+I47</f>
        <v>4.5</v>
      </c>
      <c r="J297" s="35">
        <f t="shared" ca="1" si="258"/>
        <v>80</v>
      </c>
      <c r="K297" s="35">
        <f t="shared" ca="1" si="258"/>
        <v>40</v>
      </c>
      <c r="L297" s="15"/>
      <c r="M297" s="35">
        <f t="shared" ref="M297:O297" ca="1" si="259">+M47</f>
        <v>4.2299999999999995</v>
      </c>
      <c r="N297" s="35">
        <f t="shared" ca="1" si="259"/>
        <v>74.400000000000006</v>
      </c>
      <c r="O297" s="35">
        <f t="shared" ca="1" si="259"/>
        <v>37.200000000000003</v>
      </c>
      <c r="P297" s="15"/>
      <c r="Q297" s="34">
        <f t="shared" ref="Q297:T297" ca="1" si="260">+Q47+Q97+Q147+Q197+Q247</f>
        <v>103299.79921513225</v>
      </c>
      <c r="R297" s="34">
        <f t="shared" ca="1" si="260"/>
        <v>10198.838936974194</v>
      </c>
      <c r="S297" s="34">
        <f t="shared" ca="1" si="260"/>
        <v>0</v>
      </c>
      <c r="T297" s="34">
        <f t="shared" ca="1" si="260"/>
        <v>113498.63815210645</v>
      </c>
      <c r="U297" s="15"/>
      <c r="V297" s="35">
        <f t="shared" si="98"/>
        <v>0.31</v>
      </c>
      <c r="W297" s="34">
        <f t="shared" ref="W297:Y297" ca="1" si="261">+W47+W97+W147+W197+W247</f>
        <v>7825.4054312709277</v>
      </c>
      <c r="X297" s="35">
        <f t="shared" si="98"/>
        <v>0.37</v>
      </c>
      <c r="Y297" s="34">
        <f t="shared" ca="1" si="261"/>
        <v>9340.0000308717517</v>
      </c>
      <c r="Z297" s="35">
        <f t="shared" ref="Z297" si="262">+Z47</f>
        <v>0.57999999999999996</v>
      </c>
      <c r="AA297" s="34">
        <f t="shared" ref="AA297:AB297" ca="1" si="263">+AA47+AA97+AA147+AA197+AA247</f>
        <v>14641.081129474638</v>
      </c>
      <c r="AB297" s="34">
        <f t="shared" ca="1" si="263"/>
        <v>31806.486591617318</v>
      </c>
      <c r="AC297" s="15"/>
      <c r="AD297" s="34">
        <f t="shared" ref="AD297:AF297" ca="1" si="264">+AD47+AD97+AD147+AD197+AD247</f>
        <v>81692.151560489132</v>
      </c>
      <c r="AE297" s="34">
        <f t="shared" ca="1" si="264"/>
        <v>2786.9802251020487</v>
      </c>
      <c r="AF297" s="34">
        <f t="shared" ca="1" si="264"/>
        <v>78905.171335387087</v>
      </c>
      <c r="AG297" s="15"/>
      <c r="AH297" s="273"/>
      <c r="AI297" s="267"/>
      <c r="AJ297" s="267"/>
      <c r="AK297" s="34">
        <f t="shared" ref="AK297" ca="1" si="265">+AK47+AK97+AK147+AK197+AK247</f>
        <v>14649.901209598538</v>
      </c>
      <c r="AL297" s="233"/>
    </row>
    <row r="298" spans="2:38" x14ac:dyDescent="0.3">
      <c r="B298" s="232"/>
      <c r="C298" s="250">
        <f t="shared" si="93"/>
        <v>2032</v>
      </c>
      <c r="D298" s="263">
        <f t="shared" ref="D298:G298" ca="1" si="266">+D48+D98+D148+D198+D248</f>
        <v>21655.594250938939</v>
      </c>
      <c r="E298" s="263">
        <f t="shared" ca="1" si="266"/>
        <v>121.55946876826452</v>
      </c>
      <c r="F298" s="263">
        <f t="shared" ca="1" si="266"/>
        <v>0</v>
      </c>
      <c r="G298" s="263">
        <f t="shared" ca="1" si="266"/>
        <v>22384.951063548528</v>
      </c>
      <c r="H298" s="15"/>
      <c r="I298" s="35">
        <f t="shared" ref="I298:K298" ca="1" si="267">+I48</f>
        <v>4.5</v>
      </c>
      <c r="J298" s="35">
        <f t="shared" ca="1" si="267"/>
        <v>80</v>
      </c>
      <c r="K298" s="35">
        <f t="shared" ca="1" si="267"/>
        <v>40</v>
      </c>
      <c r="L298" s="15"/>
      <c r="M298" s="35">
        <f t="shared" ref="M298:O298" ca="1" si="268">+M48</f>
        <v>4.2299999999999995</v>
      </c>
      <c r="N298" s="35">
        <f t="shared" ca="1" si="268"/>
        <v>74.400000000000006</v>
      </c>
      <c r="O298" s="35">
        <f t="shared" ca="1" si="268"/>
        <v>37.200000000000003</v>
      </c>
      <c r="P298" s="15"/>
      <c r="Q298" s="34">
        <f t="shared" ref="Q298:T298" ca="1" si="269">+Q48+Q98+Q148+Q198+Q248</f>
        <v>91603.163681471706</v>
      </c>
      <c r="R298" s="34">
        <f t="shared" ca="1" si="269"/>
        <v>9044.0244763588817</v>
      </c>
      <c r="S298" s="34">
        <f t="shared" ca="1" si="269"/>
        <v>0</v>
      </c>
      <c r="T298" s="34">
        <f t="shared" ca="1" si="269"/>
        <v>100647.18815783059</v>
      </c>
      <c r="U298" s="15"/>
      <c r="V298" s="35">
        <f t="shared" si="98"/>
        <v>0.31</v>
      </c>
      <c r="W298" s="34">
        <f t="shared" ref="W298:Y298" ca="1" si="270">+W48+W98+W148+W198+W248</f>
        <v>6939.3348297000439</v>
      </c>
      <c r="X298" s="35">
        <f t="shared" si="98"/>
        <v>0.37</v>
      </c>
      <c r="Y298" s="34">
        <f t="shared" ca="1" si="270"/>
        <v>8282.4318935129559</v>
      </c>
      <c r="Z298" s="35">
        <f t="shared" ref="Z298" si="271">+Z48</f>
        <v>0.57999999999999996</v>
      </c>
      <c r="AA298" s="34">
        <f t="shared" ref="AA298:AB298" ca="1" si="272">+AA48+AA98+AA148+AA198+AA248</f>
        <v>12983.271616858145</v>
      </c>
      <c r="AB298" s="34">
        <f t="shared" ca="1" si="272"/>
        <v>28205.038340071143</v>
      </c>
      <c r="AC298" s="15"/>
      <c r="AD298" s="34">
        <f t="shared" ref="AD298:AF298" ca="1" si="273">+AD48+AD98+AD148+AD198+AD248</f>
        <v>72442.149817759448</v>
      </c>
      <c r="AE298" s="34">
        <f t="shared" ca="1" si="273"/>
        <v>2471.4104739484319</v>
      </c>
      <c r="AF298" s="34">
        <f t="shared" ca="1" si="273"/>
        <v>69970.739343811016</v>
      </c>
      <c r="AG298" s="15"/>
      <c r="AH298" s="273"/>
      <c r="AI298" s="267"/>
      <c r="AJ298" s="267"/>
      <c r="AK298" s="34">
        <f t="shared" ref="AK298" ca="1" si="274">+AK48+AK98+AK148+AK198+AK248</f>
        <v>11810.084544883701</v>
      </c>
      <c r="AL298" s="233"/>
    </row>
    <row r="299" spans="2:38" x14ac:dyDescent="0.3">
      <c r="B299" s="232"/>
      <c r="C299" s="250">
        <f t="shared" si="93"/>
        <v>2033</v>
      </c>
      <c r="D299" s="263">
        <f t="shared" ref="D299:G299" ca="1" si="275">+D49+D99+D149+D199+D249</f>
        <v>19098.737493835662</v>
      </c>
      <c r="E299" s="263">
        <f t="shared" ca="1" si="275"/>
        <v>107.20705038119827</v>
      </c>
      <c r="F299" s="263">
        <f t="shared" ca="1" si="275"/>
        <v>0</v>
      </c>
      <c r="G299" s="263">
        <f t="shared" ca="1" si="275"/>
        <v>19741.979796122851</v>
      </c>
      <c r="H299" s="15"/>
      <c r="I299" s="35">
        <f t="shared" ref="I299:K299" ca="1" si="276">+I49</f>
        <v>4.5</v>
      </c>
      <c r="J299" s="35">
        <f t="shared" ca="1" si="276"/>
        <v>80</v>
      </c>
      <c r="K299" s="35">
        <f t="shared" ca="1" si="276"/>
        <v>40</v>
      </c>
      <c r="L299" s="15"/>
      <c r="M299" s="35">
        <f t="shared" ref="M299:O299" ca="1" si="277">+M49</f>
        <v>4.2299999999999995</v>
      </c>
      <c r="N299" s="35">
        <f t="shared" ca="1" si="277"/>
        <v>74.400000000000006</v>
      </c>
      <c r="O299" s="35">
        <f t="shared" ca="1" si="277"/>
        <v>37.200000000000003</v>
      </c>
      <c r="P299" s="15"/>
      <c r="Q299" s="34">
        <f t="shared" ref="Q299:T299" ca="1" si="278">+Q49+Q99+Q149+Q199+Q249</f>
        <v>80787.659598924845</v>
      </c>
      <c r="R299" s="34">
        <f t="shared" ca="1" si="278"/>
        <v>7976.2045483611519</v>
      </c>
      <c r="S299" s="34">
        <f t="shared" ca="1" si="278"/>
        <v>0</v>
      </c>
      <c r="T299" s="34">
        <f t="shared" ca="1" si="278"/>
        <v>88763.864147286004</v>
      </c>
      <c r="U299" s="15"/>
      <c r="V299" s="35">
        <f t="shared" si="98"/>
        <v>0.31</v>
      </c>
      <c r="W299" s="34">
        <f t="shared" ref="W299:Y299" ca="1" si="279">+W49+W99+W149+W199+W249</f>
        <v>6120.0137367980833</v>
      </c>
      <c r="X299" s="35">
        <f t="shared" si="98"/>
        <v>0.37</v>
      </c>
      <c r="Y299" s="34">
        <f t="shared" ca="1" si="279"/>
        <v>7304.5325245654549</v>
      </c>
      <c r="Z299" s="35">
        <f t="shared" ref="Z299" si="280">+Z49</f>
        <v>0.57999999999999996</v>
      </c>
      <c r="AA299" s="34">
        <f t="shared" ref="AA299:AB299" ca="1" si="281">+AA49+AA99+AA149+AA199+AA249</f>
        <v>11450.348281751252</v>
      </c>
      <c r="AB299" s="34">
        <f t="shared" ca="1" si="281"/>
        <v>24874.894543114791</v>
      </c>
      <c r="AC299" s="15"/>
      <c r="AD299" s="34">
        <f t="shared" ref="AD299:AF299" ca="1" si="282">+AD49+AD99+AD149+AD199+AD249</f>
        <v>63888.969604171216</v>
      </c>
      <c r="AE299" s="34">
        <f t="shared" ca="1" si="282"/>
        <v>2179.6132368619046</v>
      </c>
      <c r="AF299" s="34">
        <f t="shared" ca="1" si="282"/>
        <v>61709.356367309309</v>
      </c>
      <c r="AG299" s="15"/>
      <c r="AH299" s="273"/>
      <c r="AI299" s="267"/>
      <c r="AJ299" s="267"/>
      <c r="AK299" s="34">
        <f t="shared" ref="AK299" ca="1" si="283">+AK49+AK99+AK149+AK199+AK249</f>
        <v>9468.798512881418</v>
      </c>
      <c r="AL299" s="233"/>
    </row>
    <row r="300" spans="2:38" x14ac:dyDescent="0.3">
      <c r="B300" s="232"/>
      <c r="C300" s="250">
        <f t="shared" si="93"/>
        <v>2034</v>
      </c>
      <c r="D300" s="263">
        <f t="shared" ref="D300:G300" ca="1" si="284">+D50+D100+D150+D200+D250</f>
        <v>12076.196162460079</v>
      </c>
      <c r="E300" s="263">
        <f t="shared" ca="1" si="284"/>
        <v>67.787379706116965</v>
      </c>
      <c r="F300" s="263">
        <f t="shared" ca="1" si="284"/>
        <v>0</v>
      </c>
      <c r="G300" s="263">
        <f t="shared" ca="1" si="284"/>
        <v>12482.92044069678</v>
      </c>
      <c r="H300" s="15"/>
      <c r="I300" s="35">
        <f t="shared" ref="I300:K300" ca="1" si="285">+I50</f>
        <v>4.5</v>
      </c>
      <c r="J300" s="35">
        <f t="shared" ca="1" si="285"/>
        <v>80</v>
      </c>
      <c r="K300" s="35">
        <f t="shared" ca="1" si="285"/>
        <v>40</v>
      </c>
      <c r="L300" s="15"/>
      <c r="M300" s="35">
        <f t="shared" ref="M300:O300" ca="1" si="286">+M50</f>
        <v>4.2299999999999995</v>
      </c>
      <c r="N300" s="35">
        <f t="shared" ca="1" si="286"/>
        <v>74.400000000000006</v>
      </c>
      <c r="O300" s="35">
        <f t="shared" ca="1" si="286"/>
        <v>37.200000000000003</v>
      </c>
      <c r="P300" s="15"/>
      <c r="Q300" s="34">
        <f t="shared" ref="Q300:T300" ca="1" si="287">+Q50+Q100+Q150+Q200+Q250</f>
        <v>51082.309767206127</v>
      </c>
      <c r="R300" s="34">
        <f t="shared" ca="1" si="287"/>
        <v>5043.3810501351027</v>
      </c>
      <c r="S300" s="34">
        <f t="shared" ca="1" si="287"/>
        <v>0</v>
      </c>
      <c r="T300" s="34">
        <f t="shared" ca="1" si="287"/>
        <v>56125.69081734123</v>
      </c>
      <c r="U300" s="15"/>
      <c r="V300" s="35">
        <f t="shared" si="98"/>
        <v>0.31</v>
      </c>
      <c r="W300" s="34">
        <f t="shared" ref="W300:Y300" ca="1" si="288">+W50+W100+W150+W200+W250</f>
        <v>3869.7053366160017</v>
      </c>
      <c r="X300" s="35">
        <f t="shared" si="98"/>
        <v>0.37</v>
      </c>
      <c r="Y300" s="34">
        <f t="shared" ca="1" si="288"/>
        <v>4618.6805630578083</v>
      </c>
      <c r="Z300" s="35">
        <f t="shared" ref="Z300" si="289">+Z50</f>
        <v>0.57999999999999996</v>
      </c>
      <c r="AA300" s="34">
        <f t="shared" ref="AA300:AB300" ca="1" si="290">+AA50+AA100+AA150+AA200+AA250</f>
        <v>7240.0938556041319</v>
      </c>
      <c r="AB300" s="34">
        <f t="shared" ca="1" si="290"/>
        <v>15728.479755277942</v>
      </c>
      <c r="AC300" s="15"/>
      <c r="AD300" s="34">
        <f t="shared" ref="AD300:AF300" ca="1" si="291">+AD50+AD100+AD150+AD200+AD250</f>
        <v>40397.211062063288</v>
      </c>
      <c r="AE300" s="34">
        <f t="shared" ca="1" si="291"/>
        <v>1378.1768043638733</v>
      </c>
      <c r="AF300" s="34">
        <f t="shared" ca="1" si="291"/>
        <v>39019.034257699415</v>
      </c>
      <c r="AG300" s="15"/>
      <c r="AH300" s="273"/>
      <c r="AI300" s="267"/>
      <c r="AJ300" s="267"/>
      <c r="AK300" s="34">
        <f t="shared" ref="AK300" ca="1" si="292">+AK50+AK100+AK150+AK200+AK250</f>
        <v>5442.8665912542456</v>
      </c>
      <c r="AL300" s="233"/>
    </row>
    <row r="301" spans="2:38" x14ac:dyDescent="0.3">
      <c r="B301" s="232"/>
      <c r="C301" s="250">
        <f t="shared" si="93"/>
        <v>2035</v>
      </c>
      <c r="D301" s="263">
        <f t="shared" ref="D301:G301" ca="1" si="293">+D51+D101+D151+D201+D251</f>
        <v>0</v>
      </c>
      <c r="E301" s="263">
        <f t="shared" ca="1" si="293"/>
        <v>0</v>
      </c>
      <c r="F301" s="263">
        <f t="shared" ca="1" si="293"/>
        <v>0</v>
      </c>
      <c r="G301" s="263">
        <f t="shared" ca="1" si="293"/>
        <v>0</v>
      </c>
      <c r="H301" s="15"/>
      <c r="I301" s="35">
        <f t="shared" ref="I301:K301" ca="1" si="294">+I51</f>
        <v>4.5</v>
      </c>
      <c r="J301" s="35">
        <f t="shared" ca="1" si="294"/>
        <v>80</v>
      </c>
      <c r="K301" s="35">
        <f t="shared" ca="1" si="294"/>
        <v>40</v>
      </c>
      <c r="L301" s="15"/>
      <c r="M301" s="35">
        <f t="shared" ref="M301:O301" ca="1" si="295">+M51</f>
        <v>4.2299999999999995</v>
      </c>
      <c r="N301" s="35">
        <f t="shared" ca="1" si="295"/>
        <v>74.400000000000006</v>
      </c>
      <c r="O301" s="35">
        <f t="shared" ca="1" si="295"/>
        <v>37.200000000000003</v>
      </c>
      <c r="P301" s="15"/>
      <c r="Q301" s="34">
        <f t="shared" ref="Q301:T301" ca="1" si="296">+Q51+Q101+Q151+Q201+Q251</f>
        <v>0</v>
      </c>
      <c r="R301" s="34">
        <f t="shared" ca="1" si="296"/>
        <v>0</v>
      </c>
      <c r="S301" s="34">
        <f t="shared" ca="1" si="296"/>
        <v>0</v>
      </c>
      <c r="T301" s="34">
        <f t="shared" ca="1" si="296"/>
        <v>0</v>
      </c>
      <c r="U301" s="15"/>
      <c r="V301" s="35">
        <f t="shared" si="98"/>
        <v>0.31</v>
      </c>
      <c r="W301" s="34">
        <f t="shared" ref="W301:Y301" ca="1" si="297">+W51+W101+W151+W201+W251</f>
        <v>0</v>
      </c>
      <c r="X301" s="35">
        <f t="shared" si="98"/>
        <v>0.37</v>
      </c>
      <c r="Y301" s="34">
        <f t="shared" ca="1" si="297"/>
        <v>0</v>
      </c>
      <c r="Z301" s="35">
        <f t="shared" ref="Z301" si="298">+Z51</f>
        <v>0.57999999999999996</v>
      </c>
      <c r="AA301" s="34">
        <f t="shared" ref="AA301:AB301" ca="1" si="299">+AA51+AA101+AA151+AA201+AA251</f>
        <v>0</v>
      </c>
      <c r="AB301" s="34">
        <f t="shared" ca="1" si="299"/>
        <v>0</v>
      </c>
      <c r="AC301" s="15"/>
      <c r="AD301" s="34">
        <f t="shared" ref="AD301:AF301" ca="1" si="300">+AD51+AD101+AD151+AD201+AD251</f>
        <v>0</v>
      </c>
      <c r="AE301" s="34">
        <f t="shared" ca="1" si="300"/>
        <v>0</v>
      </c>
      <c r="AF301" s="34">
        <f t="shared" ca="1" si="300"/>
        <v>0</v>
      </c>
      <c r="AG301" s="15"/>
      <c r="AH301" s="273"/>
      <c r="AI301" s="267"/>
      <c r="AJ301" s="267"/>
      <c r="AK301" s="34">
        <f t="shared" ref="AK301" ca="1" si="301">+AK51+AK101+AK151+AK201+AK251</f>
        <v>0</v>
      </c>
      <c r="AL301" s="233"/>
    </row>
    <row r="302" spans="2:38" x14ac:dyDescent="0.3">
      <c r="B302" s="232"/>
      <c r="C302" s="250">
        <f t="shared" si="93"/>
        <v>2036</v>
      </c>
      <c r="D302" s="263">
        <f t="shared" ref="D302:G302" ca="1" si="302">+D52+D102+D152+D202+D252</f>
        <v>0</v>
      </c>
      <c r="E302" s="263">
        <f t="shared" ca="1" si="302"/>
        <v>0</v>
      </c>
      <c r="F302" s="263">
        <f t="shared" ca="1" si="302"/>
        <v>0</v>
      </c>
      <c r="G302" s="263">
        <f t="shared" ca="1" si="302"/>
        <v>0</v>
      </c>
      <c r="H302" s="15"/>
      <c r="I302" s="35">
        <f t="shared" ref="I302:K302" ca="1" si="303">+I52</f>
        <v>4.5</v>
      </c>
      <c r="J302" s="35">
        <f t="shared" ca="1" si="303"/>
        <v>80</v>
      </c>
      <c r="K302" s="35">
        <f t="shared" ca="1" si="303"/>
        <v>40</v>
      </c>
      <c r="L302" s="15"/>
      <c r="M302" s="35">
        <f t="shared" ref="M302:O302" ca="1" si="304">+M52</f>
        <v>4.2299999999999995</v>
      </c>
      <c r="N302" s="35">
        <f t="shared" ca="1" si="304"/>
        <v>74.400000000000006</v>
      </c>
      <c r="O302" s="35">
        <f t="shared" ca="1" si="304"/>
        <v>37.200000000000003</v>
      </c>
      <c r="P302" s="15"/>
      <c r="Q302" s="34">
        <f t="shared" ref="Q302:T302" ca="1" si="305">+Q52+Q102+Q152+Q202+Q252</f>
        <v>0</v>
      </c>
      <c r="R302" s="34">
        <f t="shared" ca="1" si="305"/>
        <v>0</v>
      </c>
      <c r="S302" s="34">
        <f t="shared" ca="1" si="305"/>
        <v>0</v>
      </c>
      <c r="T302" s="34">
        <f t="shared" ca="1" si="305"/>
        <v>0</v>
      </c>
      <c r="U302" s="15"/>
      <c r="V302" s="35">
        <f t="shared" si="98"/>
        <v>0.31</v>
      </c>
      <c r="W302" s="34">
        <f t="shared" ref="W302:Y302" ca="1" si="306">+W52+W102+W152+W202+W252</f>
        <v>0</v>
      </c>
      <c r="X302" s="35">
        <f t="shared" si="98"/>
        <v>0.37</v>
      </c>
      <c r="Y302" s="34">
        <f t="shared" ca="1" si="306"/>
        <v>0</v>
      </c>
      <c r="Z302" s="35">
        <f t="shared" ref="Z302" si="307">+Z52</f>
        <v>0.57999999999999996</v>
      </c>
      <c r="AA302" s="34">
        <f t="shared" ref="AA302:AB302" ca="1" si="308">+AA52+AA102+AA152+AA202+AA252</f>
        <v>0</v>
      </c>
      <c r="AB302" s="34">
        <f t="shared" ca="1" si="308"/>
        <v>0</v>
      </c>
      <c r="AC302" s="15"/>
      <c r="AD302" s="34">
        <f t="shared" ref="AD302:AF302" ca="1" si="309">+AD52+AD102+AD152+AD202+AD252</f>
        <v>0</v>
      </c>
      <c r="AE302" s="34">
        <f t="shared" ca="1" si="309"/>
        <v>0</v>
      </c>
      <c r="AF302" s="34">
        <f t="shared" ca="1" si="309"/>
        <v>0</v>
      </c>
      <c r="AG302" s="15"/>
      <c r="AH302" s="273"/>
      <c r="AI302" s="267"/>
      <c r="AJ302" s="267"/>
      <c r="AK302" s="34">
        <f t="shared" ref="AK302" ca="1" si="310">+AK52+AK102+AK152+AK202+AK252</f>
        <v>0</v>
      </c>
      <c r="AL302" s="233"/>
    </row>
    <row r="303" spans="2:38" x14ac:dyDescent="0.3">
      <c r="B303" s="232"/>
      <c r="C303" s="250">
        <f t="shared" si="93"/>
        <v>2037</v>
      </c>
      <c r="D303" s="263">
        <f t="shared" ref="D303:G303" ca="1" si="311">+D53+D103+D153+D203+D253</f>
        <v>0</v>
      </c>
      <c r="E303" s="263">
        <f t="shared" ca="1" si="311"/>
        <v>0</v>
      </c>
      <c r="F303" s="263">
        <f t="shared" ca="1" si="311"/>
        <v>0</v>
      </c>
      <c r="G303" s="263">
        <f t="shared" ca="1" si="311"/>
        <v>0</v>
      </c>
      <c r="H303" s="15"/>
      <c r="I303" s="35">
        <f t="shared" ref="I303:K303" ca="1" si="312">+I53</f>
        <v>4.5</v>
      </c>
      <c r="J303" s="35">
        <f t="shared" ca="1" si="312"/>
        <v>80</v>
      </c>
      <c r="K303" s="35">
        <f t="shared" ca="1" si="312"/>
        <v>40</v>
      </c>
      <c r="L303" s="15"/>
      <c r="M303" s="35">
        <f t="shared" ref="M303:O303" ca="1" si="313">+M53</f>
        <v>4.2299999999999995</v>
      </c>
      <c r="N303" s="35">
        <f t="shared" ca="1" si="313"/>
        <v>74.400000000000006</v>
      </c>
      <c r="O303" s="35">
        <f t="shared" ca="1" si="313"/>
        <v>37.200000000000003</v>
      </c>
      <c r="P303" s="15"/>
      <c r="Q303" s="34">
        <f t="shared" ref="Q303:T303" ca="1" si="314">+Q53+Q103+Q153+Q203+Q253</f>
        <v>0</v>
      </c>
      <c r="R303" s="34">
        <f t="shared" ca="1" si="314"/>
        <v>0</v>
      </c>
      <c r="S303" s="34">
        <f t="shared" ca="1" si="314"/>
        <v>0</v>
      </c>
      <c r="T303" s="34">
        <f t="shared" ca="1" si="314"/>
        <v>0</v>
      </c>
      <c r="U303" s="15"/>
      <c r="V303" s="35">
        <f t="shared" si="98"/>
        <v>0.31</v>
      </c>
      <c r="W303" s="34">
        <f t="shared" ref="W303:Y303" ca="1" si="315">+W53+W103+W153+W203+W253</f>
        <v>0</v>
      </c>
      <c r="X303" s="35">
        <f t="shared" si="98"/>
        <v>0.37</v>
      </c>
      <c r="Y303" s="34">
        <f t="shared" ca="1" si="315"/>
        <v>0</v>
      </c>
      <c r="Z303" s="35">
        <f t="shared" ref="Z303" si="316">+Z53</f>
        <v>0.57999999999999996</v>
      </c>
      <c r="AA303" s="34">
        <f t="shared" ref="AA303:AB303" ca="1" si="317">+AA53+AA103+AA153+AA203+AA253</f>
        <v>0</v>
      </c>
      <c r="AB303" s="34">
        <f t="shared" ca="1" si="317"/>
        <v>0</v>
      </c>
      <c r="AC303" s="15"/>
      <c r="AD303" s="34">
        <f t="shared" ref="AD303:AF303" ca="1" si="318">+AD53+AD103+AD153+AD203+AD253</f>
        <v>0</v>
      </c>
      <c r="AE303" s="34">
        <f t="shared" ca="1" si="318"/>
        <v>0</v>
      </c>
      <c r="AF303" s="34">
        <f t="shared" ca="1" si="318"/>
        <v>0</v>
      </c>
      <c r="AG303" s="15"/>
      <c r="AH303" s="273"/>
      <c r="AI303" s="267"/>
      <c r="AJ303" s="267"/>
      <c r="AK303" s="34">
        <f t="shared" ref="AK303" ca="1" si="319">+AK53+AK103+AK153+AK203+AK253</f>
        <v>0</v>
      </c>
      <c r="AL303" s="233"/>
    </row>
    <row r="304" spans="2:38" x14ac:dyDescent="0.3">
      <c r="B304" s="232"/>
      <c r="C304" s="250">
        <f t="shared" si="93"/>
        <v>2038</v>
      </c>
      <c r="D304" s="263">
        <f t="shared" ref="D304:G304" ca="1" si="320">+D54+D104+D154+D204+D254</f>
        <v>0</v>
      </c>
      <c r="E304" s="263">
        <f t="shared" ca="1" si="320"/>
        <v>0</v>
      </c>
      <c r="F304" s="263">
        <f t="shared" ca="1" si="320"/>
        <v>0</v>
      </c>
      <c r="G304" s="263">
        <f t="shared" ca="1" si="320"/>
        <v>0</v>
      </c>
      <c r="H304" s="15"/>
      <c r="I304" s="35">
        <f t="shared" ref="I304:K304" ca="1" si="321">+I54</f>
        <v>4.5</v>
      </c>
      <c r="J304" s="35">
        <f t="shared" ca="1" si="321"/>
        <v>80</v>
      </c>
      <c r="K304" s="35">
        <f t="shared" ca="1" si="321"/>
        <v>40</v>
      </c>
      <c r="L304" s="15"/>
      <c r="M304" s="35">
        <f t="shared" ref="M304:O304" ca="1" si="322">+M54</f>
        <v>4.2299999999999995</v>
      </c>
      <c r="N304" s="35">
        <f t="shared" ca="1" si="322"/>
        <v>74.400000000000006</v>
      </c>
      <c r="O304" s="35">
        <f t="shared" ca="1" si="322"/>
        <v>37.200000000000003</v>
      </c>
      <c r="P304" s="15"/>
      <c r="Q304" s="34">
        <f t="shared" ref="Q304:T304" ca="1" si="323">+Q54+Q104+Q154+Q204+Q254</f>
        <v>0</v>
      </c>
      <c r="R304" s="34">
        <f t="shared" ca="1" si="323"/>
        <v>0</v>
      </c>
      <c r="S304" s="34">
        <f t="shared" ca="1" si="323"/>
        <v>0</v>
      </c>
      <c r="T304" s="34">
        <f t="shared" ca="1" si="323"/>
        <v>0</v>
      </c>
      <c r="U304" s="15"/>
      <c r="V304" s="35">
        <f t="shared" si="98"/>
        <v>0.31</v>
      </c>
      <c r="W304" s="34">
        <f t="shared" ref="W304:Y304" ca="1" si="324">+W54+W104+W154+W204+W254</f>
        <v>0</v>
      </c>
      <c r="X304" s="35">
        <f t="shared" si="98"/>
        <v>0.37</v>
      </c>
      <c r="Y304" s="34">
        <f t="shared" ca="1" si="324"/>
        <v>0</v>
      </c>
      <c r="Z304" s="35">
        <f t="shared" ref="Z304" si="325">+Z54</f>
        <v>0.57999999999999996</v>
      </c>
      <c r="AA304" s="34">
        <f t="shared" ref="AA304:AB304" ca="1" si="326">+AA54+AA104+AA154+AA204+AA254</f>
        <v>0</v>
      </c>
      <c r="AB304" s="34">
        <f t="shared" ca="1" si="326"/>
        <v>0</v>
      </c>
      <c r="AC304" s="15"/>
      <c r="AD304" s="34">
        <f t="shared" ref="AD304:AF304" ca="1" si="327">+AD54+AD104+AD154+AD204+AD254</f>
        <v>0</v>
      </c>
      <c r="AE304" s="34">
        <f t="shared" ca="1" si="327"/>
        <v>0</v>
      </c>
      <c r="AF304" s="34">
        <f t="shared" ca="1" si="327"/>
        <v>0</v>
      </c>
      <c r="AG304" s="15"/>
      <c r="AH304" s="273"/>
      <c r="AI304" s="267"/>
      <c r="AJ304" s="267"/>
      <c r="AK304" s="34">
        <f t="shared" ref="AK304" ca="1" si="328">+AK54+AK104+AK154+AK204+AK254</f>
        <v>0</v>
      </c>
      <c r="AL304" s="233"/>
    </row>
    <row r="305" spans="2:38" x14ac:dyDescent="0.3">
      <c r="B305" s="232"/>
      <c r="C305" s="250">
        <f t="shared" si="93"/>
        <v>2039</v>
      </c>
      <c r="D305" s="263">
        <f t="shared" ref="D305:G305" ca="1" si="329">+D55+D105+D155+D205+D255</f>
        <v>0</v>
      </c>
      <c r="E305" s="263">
        <f t="shared" ca="1" si="329"/>
        <v>0</v>
      </c>
      <c r="F305" s="263">
        <f t="shared" ca="1" si="329"/>
        <v>0</v>
      </c>
      <c r="G305" s="263">
        <f t="shared" ca="1" si="329"/>
        <v>0</v>
      </c>
      <c r="H305" s="15"/>
      <c r="I305" s="35">
        <f t="shared" ref="I305:K305" ca="1" si="330">+I55</f>
        <v>4.5</v>
      </c>
      <c r="J305" s="35">
        <f t="shared" ca="1" si="330"/>
        <v>80</v>
      </c>
      <c r="K305" s="35">
        <f t="shared" ca="1" si="330"/>
        <v>40</v>
      </c>
      <c r="L305" s="15"/>
      <c r="M305" s="35">
        <f t="shared" ref="M305:O305" ca="1" si="331">+M55</f>
        <v>4.2299999999999995</v>
      </c>
      <c r="N305" s="35">
        <f t="shared" ca="1" si="331"/>
        <v>74.400000000000006</v>
      </c>
      <c r="O305" s="35">
        <f t="shared" ca="1" si="331"/>
        <v>37.200000000000003</v>
      </c>
      <c r="P305" s="15"/>
      <c r="Q305" s="34">
        <f t="shared" ref="Q305:T305" ca="1" si="332">+Q55+Q105+Q155+Q205+Q255</f>
        <v>0</v>
      </c>
      <c r="R305" s="34">
        <f t="shared" ca="1" si="332"/>
        <v>0</v>
      </c>
      <c r="S305" s="34">
        <f t="shared" ca="1" si="332"/>
        <v>0</v>
      </c>
      <c r="T305" s="34">
        <f t="shared" ca="1" si="332"/>
        <v>0</v>
      </c>
      <c r="U305" s="15"/>
      <c r="V305" s="35">
        <f t="shared" si="98"/>
        <v>0.31</v>
      </c>
      <c r="W305" s="34">
        <f t="shared" ref="W305:Y305" ca="1" si="333">+W55+W105+W155+W205+W255</f>
        <v>0</v>
      </c>
      <c r="X305" s="35">
        <f t="shared" si="98"/>
        <v>0.37</v>
      </c>
      <c r="Y305" s="34">
        <f t="shared" ca="1" si="333"/>
        <v>0</v>
      </c>
      <c r="Z305" s="35">
        <f t="shared" ref="Z305" si="334">+Z55</f>
        <v>0.57999999999999996</v>
      </c>
      <c r="AA305" s="34">
        <f t="shared" ref="AA305:AB305" ca="1" si="335">+AA55+AA105+AA155+AA205+AA255</f>
        <v>0</v>
      </c>
      <c r="AB305" s="34">
        <f t="shared" ca="1" si="335"/>
        <v>0</v>
      </c>
      <c r="AC305" s="15"/>
      <c r="AD305" s="34">
        <f t="shared" ref="AD305:AF305" ca="1" si="336">+AD55+AD105+AD155+AD205+AD255</f>
        <v>0</v>
      </c>
      <c r="AE305" s="34">
        <f t="shared" ca="1" si="336"/>
        <v>0</v>
      </c>
      <c r="AF305" s="34">
        <f t="shared" ca="1" si="336"/>
        <v>0</v>
      </c>
      <c r="AG305" s="15"/>
      <c r="AH305" s="273"/>
      <c r="AI305" s="267"/>
      <c r="AJ305" s="267"/>
      <c r="AK305" s="34">
        <f t="shared" ref="AK305" ca="1" si="337">+AK55+AK105+AK155+AK205+AK255</f>
        <v>0</v>
      </c>
      <c r="AL305" s="233"/>
    </row>
    <row r="306" spans="2:38" x14ac:dyDescent="0.3">
      <c r="B306" s="232"/>
      <c r="C306" s="250">
        <f t="shared" si="93"/>
        <v>2040</v>
      </c>
      <c r="D306" s="263">
        <f t="shared" ref="D306:G306" ca="1" si="338">+D56+D106+D156+D206+D256</f>
        <v>0</v>
      </c>
      <c r="E306" s="263">
        <f t="shared" ca="1" si="338"/>
        <v>0</v>
      </c>
      <c r="F306" s="263">
        <f t="shared" ca="1" si="338"/>
        <v>0</v>
      </c>
      <c r="G306" s="263">
        <f t="shared" ca="1" si="338"/>
        <v>0</v>
      </c>
      <c r="H306" s="15"/>
      <c r="I306" s="35">
        <f t="shared" ref="I306:K306" ca="1" si="339">+I56</f>
        <v>4.5</v>
      </c>
      <c r="J306" s="35">
        <f t="shared" ca="1" si="339"/>
        <v>80</v>
      </c>
      <c r="K306" s="35">
        <f t="shared" ca="1" si="339"/>
        <v>40</v>
      </c>
      <c r="L306" s="15"/>
      <c r="M306" s="35">
        <f t="shared" ref="M306:O306" ca="1" si="340">+M56</f>
        <v>4.2299999999999995</v>
      </c>
      <c r="N306" s="35">
        <f t="shared" ca="1" si="340"/>
        <v>74.400000000000006</v>
      </c>
      <c r="O306" s="35">
        <f t="shared" ca="1" si="340"/>
        <v>37.200000000000003</v>
      </c>
      <c r="P306" s="15"/>
      <c r="Q306" s="34">
        <f t="shared" ref="Q306:T306" ca="1" si="341">+Q56+Q106+Q156+Q206+Q256</f>
        <v>0</v>
      </c>
      <c r="R306" s="34">
        <f t="shared" ca="1" si="341"/>
        <v>0</v>
      </c>
      <c r="S306" s="34">
        <f t="shared" ca="1" si="341"/>
        <v>0</v>
      </c>
      <c r="T306" s="34">
        <f t="shared" ca="1" si="341"/>
        <v>0</v>
      </c>
      <c r="U306" s="15"/>
      <c r="V306" s="35">
        <f t="shared" si="98"/>
        <v>0.31</v>
      </c>
      <c r="W306" s="34">
        <f t="shared" ref="W306:Y306" ca="1" si="342">+W56+W106+W156+W206+W256</f>
        <v>0</v>
      </c>
      <c r="X306" s="35">
        <f t="shared" si="98"/>
        <v>0.37</v>
      </c>
      <c r="Y306" s="34">
        <f t="shared" ca="1" si="342"/>
        <v>0</v>
      </c>
      <c r="Z306" s="35">
        <f t="shared" ref="Z306" si="343">+Z56</f>
        <v>0.57999999999999996</v>
      </c>
      <c r="AA306" s="34">
        <f t="shared" ref="AA306:AB306" ca="1" si="344">+AA56+AA106+AA156+AA206+AA256</f>
        <v>0</v>
      </c>
      <c r="AB306" s="34">
        <f t="shared" ca="1" si="344"/>
        <v>0</v>
      </c>
      <c r="AC306" s="15"/>
      <c r="AD306" s="34">
        <f t="shared" ref="AD306:AF306" ca="1" si="345">+AD56+AD106+AD156+AD206+AD256</f>
        <v>0</v>
      </c>
      <c r="AE306" s="34">
        <f t="shared" ca="1" si="345"/>
        <v>0</v>
      </c>
      <c r="AF306" s="34">
        <f t="shared" ca="1" si="345"/>
        <v>0</v>
      </c>
      <c r="AG306" s="15"/>
      <c r="AH306" s="273"/>
      <c r="AI306" s="267"/>
      <c r="AJ306" s="267"/>
      <c r="AK306" s="34">
        <f t="shared" ref="AK306" ca="1" si="346">+AK56+AK106+AK156+AK206+AK256</f>
        <v>0</v>
      </c>
      <c r="AL306" s="233"/>
    </row>
    <row r="307" spans="2:38" x14ac:dyDescent="0.3">
      <c r="B307" s="232"/>
      <c r="C307" s="250">
        <f t="shared" si="93"/>
        <v>2041</v>
      </c>
      <c r="D307" s="263">
        <f t="shared" ref="D307:G307" ca="1" si="347">+D57+D107+D157+D207+D257</f>
        <v>0</v>
      </c>
      <c r="E307" s="263">
        <f t="shared" ca="1" si="347"/>
        <v>0</v>
      </c>
      <c r="F307" s="263">
        <f t="shared" ca="1" si="347"/>
        <v>0</v>
      </c>
      <c r="G307" s="263">
        <f t="shared" ca="1" si="347"/>
        <v>0</v>
      </c>
      <c r="H307" s="15"/>
      <c r="I307" s="35">
        <f t="shared" ref="I307:K307" ca="1" si="348">+I57</f>
        <v>4.5</v>
      </c>
      <c r="J307" s="35">
        <f t="shared" ca="1" si="348"/>
        <v>80</v>
      </c>
      <c r="K307" s="35">
        <f t="shared" ca="1" si="348"/>
        <v>40</v>
      </c>
      <c r="L307" s="15"/>
      <c r="M307" s="35">
        <f t="shared" ref="M307:O307" ca="1" si="349">+M57</f>
        <v>4.2299999999999995</v>
      </c>
      <c r="N307" s="35">
        <f t="shared" ca="1" si="349"/>
        <v>74.400000000000006</v>
      </c>
      <c r="O307" s="35">
        <f t="shared" ca="1" si="349"/>
        <v>37.200000000000003</v>
      </c>
      <c r="P307" s="15"/>
      <c r="Q307" s="34">
        <f t="shared" ref="Q307:T307" ca="1" si="350">+Q57+Q107+Q157+Q207+Q257</f>
        <v>0</v>
      </c>
      <c r="R307" s="34">
        <f t="shared" ca="1" si="350"/>
        <v>0</v>
      </c>
      <c r="S307" s="34">
        <f t="shared" ca="1" si="350"/>
        <v>0</v>
      </c>
      <c r="T307" s="34">
        <f t="shared" ca="1" si="350"/>
        <v>0</v>
      </c>
      <c r="U307" s="15"/>
      <c r="V307" s="35">
        <f t="shared" si="98"/>
        <v>0.31</v>
      </c>
      <c r="W307" s="34">
        <f t="shared" ref="W307:Y307" ca="1" si="351">+W57+W107+W157+W207+W257</f>
        <v>0</v>
      </c>
      <c r="X307" s="35">
        <f t="shared" si="98"/>
        <v>0.37</v>
      </c>
      <c r="Y307" s="34">
        <f t="shared" ca="1" si="351"/>
        <v>0</v>
      </c>
      <c r="Z307" s="35">
        <f t="shared" ref="Z307" si="352">+Z57</f>
        <v>0.57999999999999996</v>
      </c>
      <c r="AA307" s="34">
        <f t="shared" ref="AA307:AB307" ca="1" si="353">+AA57+AA107+AA157+AA207+AA257</f>
        <v>0</v>
      </c>
      <c r="AB307" s="34">
        <f t="shared" ca="1" si="353"/>
        <v>0</v>
      </c>
      <c r="AC307" s="15"/>
      <c r="AD307" s="34">
        <f t="shared" ref="AD307:AF307" ca="1" si="354">+AD57+AD107+AD157+AD207+AD257</f>
        <v>0</v>
      </c>
      <c r="AE307" s="34">
        <f t="shared" ca="1" si="354"/>
        <v>0</v>
      </c>
      <c r="AF307" s="34">
        <f t="shared" ca="1" si="354"/>
        <v>0</v>
      </c>
      <c r="AG307" s="15"/>
      <c r="AH307" s="273"/>
      <c r="AI307" s="267"/>
      <c r="AJ307" s="267"/>
      <c r="AK307" s="34">
        <f t="shared" ref="AK307" ca="1" si="355">+AK57+AK107+AK157+AK207+AK257</f>
        <v>0</v>
      </c>
      <c r="AL307" s="233"/>
    </row>
    <row r="308" spans="2:38" x14ac:dyDescent="0.3">
      <c r="B308" s="232"/>
      <c r="C308" s="250">
        <f t="shared" si="93"/>
        <v>2042</v>
      </c>
      <c r="D308" s="263">
        <f t="shared" ref="D308:G308" ca="1" si="356">+D58+D108+D158+D208+D258</f>
        <v>0</v>
      </c>
      <c r="E308" s="263">
        <f t="shared" ca="1" si="356"/>
        <v>0</v>
      </c>
      <c r="F308" s="263">
        <f t="shared" ca="1" si="356"/>
        <v>0</v>
      </c>
      <c r="G308" s="263">
        <f t="shared" ca="1" si="356"/>
        <v>0</v>
      </c>
      <c r="H308" s="15"/>
      <c r="I308" s="35">
        <f t="shared" ref="I308:K308" ca="1" si="357">+I58</f>
        <v>4.5</v>
      </c>
      <c r="J308" s="35">
        <f t="shared" ca="1" si="357"/>
        <v>80</v>
      </c>
      <c r="K308" s="35">
        <f t="shared" ca="1" si="357"/>
        <v>40</v>
      </c>
      <c r="L308" s="15"/>
      <c r="M308" s="35">
        <f t="shared" ref="M308:O308" ca="1" si="358">+M58</f>
        <v>4.2299999999999995</v>
      </c>
      <c r="N308" s="35">
        <f t="shared" ca="1" si="358"/>
        <v>74.400000000000006</v>
      </c>
      <c r="O308" s="35">
        <f t="shared" ca="1" si="358"/>
        <v>37.200000000000003</v>
      </c>
      <c r="P308" s="15"/>
      <c r="Q308" s="34">
        <f t="shared" ref="Q308:T308" ca="1" si="359">+Q58+Q108+Q158+Q208+Q258</f>
        <v>0</v>
      </c>
      <c r="R308" s="34">
        <f t="shared" ca="1" si="359"/>
        <v>0</v>
      </c>
      <c r="S308" s="34">
        <f t="shared" ca="1" si="359"/>
        <v>0</v>
      </c>
      <c r="T308" s="34">
        <f t="shared" ca="1" si="359"/>
        <v>0</v>
      </c>
      <c r="U308" s="15"/>
      <c r="V308" s="35">
        <f t="shared" si="98"/>
        <v>0.31</v>
      </c>
      <c r="W308" s="34">
        <f t="shared" ref="W308:Y308" ca="1" si="360">+W58+W108+W158+W208+W258</f>
        <v>0</v>
      </c>
      <c r="X308" s="35">
        <f t="shared" si="98"/>
        <v>0.37</v>
      </c>
      <c r="Y308" s="34">
        <f t="shared" ca="1" si="360"/>
        <v>0</v>
      </c>
      <c r="Z308" s="35">
        <f t="shared" ref="Z308" si="361">+Z58</f>
        <v>0.57999999999999996</v>
      </c>
      <c r="AA308" s="34">
        <f t="shared" ref="AA308:AB308" ca="1" si="362">+AA58+AA108+AA158+AA208+AA258</f>
        <v>0</v>
      </c>
      <c r="AB308" s="34">
        <f t="shared" ca="1" si="362"/>
        <v>0</v>
      </c>
      <c r="AC308" s="15"/>
      <c r="AD308" s="34">
        <f t="shared" ref="AD308:AF308" ca="1" si="363">+AD58+AD108+AD158+AD208+AD258</f>
        <v>0</v>
      </c>
      <c r="AE308" s="34">
        <f t="shared" ca="1" si="363"/>
        <v>0</v>
      </c>
      <c r="AF308" s="34">
        <f t="shared" ca="1" si="363"/>
        <v>0</v>
      </c>
      <c r="AG308" s="15"/>
      <c r="AH308" s="273"/>
      <c r="AI308" s="267"/>
      <c r="AJ308" s="267"/>
      <c r="AK308" s="34">
        <f t="shared" ref="AK308" ca="1" si="364">+AK58+AK108+AK158+AK208+AK258</f>
        <v>0</v>
      </c>
      <c r="AL308" s="233"/>
    </row>
    <row r="309" spans="2:38" x14ac:dyDescent="0.3">
      <c r="B309" s="232"/>
      <c r="C309" s="250">
        <f t="shared" si="93"/>
        <v>2043</v>
      </c>
      <c r="D309" s="263">
        <f t="shared" ref="D309:G309" ca="1" si="365">+D59+D109+D159+D209+D259</f>
        <v>0</v>
      </c>
      <c r="E309" s="263">
        <f t="shared" ca="1" si="365"/>
        <v>0</v>
      </c>
      <c r="F309" s="263">
        <f t="shared" ca="1" si="365"/>
        <v>0</v>
      </c>
      <c r="G309" s="263">
        <f t="shared" ca="1" si="365"/>
        <v>0</v>
      </c>
      <c r="H309" s="15"/>
      <c r="I309" s="35">
        <f t="shared" ref="I309:K309" ca="1" si="366">+I59</f>
        <v>4.5</v>
      </c>
      <c r="J309" s="35">
        <f t="shared" ca="1" si="366"/>
        <v>80</v>
      </c>
      <c r="K309" s="35">
        <f t="shared" ca="1" si="366"/>
        <v>40</v>
      </c>
      <c r="L309" s="15"/>
      <c r="M309" s="35">
        <f t="shared" ref="M309:O309" ca="1" si="367">+M59</f>
        <v>4.2299999999999995</v>
      </c>
      <c r="N309" s="35">
        <f t="shared" ca="1" si="367"/>
        <v>74.400000000000006</v>
      </c>
      <c r="O309" s="35">
        <f t="shared" ca="1" si="367"/>
        <v>37.200000000000003</v>
      </c>
      <c r="P309" s="15"/>
      <c r="Q309" s="34">
        <f t="shared" ref="Q309:T309" ca="1" si="368">+Q59+Q109+Q159+Q209+Q259</f>
        <v>0</v>
      </c>
      <c r="R309" s="34">
        <f t="shared" ca="1" si="368"/>
        <v>0</v>
      </c>
      <c r="S309" s="34">
        <f t="shared" ca="1" si="368"/>
        <v>0</v>
      </c>
      <c r="T309" s="34">
        <f t="shared" ca="1" si="368"/>
        <v>0</v>
      </c>
      <c r="U309" s="15"/>
      <c r="V309" s="35">
        <f t="shared" si="98"/>
        <v>0.31</v>
      </c>
      <c r="W309" s="34">
        <f t="shared" ref="W309:Y309" ca="1" si="369">+W59+W109+W159+W209+W259</f>
        <v>0</v>
      </c>
      <c r="X309" s="35">
        <f t="shared" si="98"/>
        <v>0.37</v>
      </c>
      <c r="Y309" s="34">
        <f t="shared" ca="1" si="369"/>
        <v>0</v>
      </c>
      <c r="Z309" s="35">
        <f t="shared" ref="Z309" si="370">+Z59</f>
        <v>0.57999999999999996</v>
      </c>
      <c r="AA309" s="34">
        <f t="shared" ref="AA309:AB309" ca="1" si="371">+AA59+AA109+AA159+AA209+AA259</f>
        <v>0</v>
      </c>
      <c r="AB309" s="34">
        <f t="shared" ca="1" si="371"/>
        <v>0</v>
      </c>
      <c r="AC309" s="15"/>
      <c r="AD309" s="34">
        <f t="shared" ref="AD309:AF309" ca="1" si="372">+AD59+AD109+AD159+AD209+AD259</f>
        <v>0</v>
      </c>
      <c r="AE309" s="34">
        <f t="shared" ca="1" si="372"/>
        <v>0</v>
      </c>
      <c r="AF309" s="34">
        <f t="shared" ca="1" si="372"/>
        <v>0</v>
      </c>
      <c r="AG309" s="15"/>
      <c r="AH309" s="273"/>
      <c r="AI309" s="267"/>
      <c r="AJ309" s="267"/>
      <c r="AK309" s="34">
        <f t="shared" ref="AK309" ca="1" si="373">+AK59+AK109+AK159+AK209+AK259</f>
        <v>0</v>
      </c>
      <c r="AL309" s="233"/>
    </row>
    <row r="310" spans="2:38" x14ac:dyDescent="0.3">
      <c r="B310" s="232"/>
      <c r="C310" s="250">
        <f t="shared" si="93"/>
        <v>2044</v>
      </c>
      <c r="D310" s="263">
        <f t="shared" ref="D310:G310" ca="1" si="374">+D60+D110+D160+D210+D260</f>
        <v>0</v>
      </c>
      <c r="E310" s="263">
        <f t="shared" ca="1" si="374"/>
        <v>0</v>
      </c>
      <c r="F310" s="263">
        <f t="shared" ca="1" si="374"/>
        <v>0</v>
      </c>
      <c r="G310" s="263">
        <f t="shared" ca="1" si="374"/>
        <v>0</v>
      </c>
      <c r="H310" s="15"/>
      <c r="I310" s="35">
        <f t="shared" ref="I310:K310" ca="1" si="375">+I60</f>
        <v>4.5</v>
      </c>
      <c r="J310" s="35">
        <f t="shared" ca="1" si="375"/>
        <v>80</v>
      </c>
      <c r="K310" s="35">
        <f t="shared" ca="1" si="375"/>
        <v>40</v>
      </c>
      <c r="L310" s="15"/>
      <c r="M310" s="35">
        <f t="shared" ref="M310:O310" ca="1" si="376">+M60</f>
        <v>4.2299999999999995</v>
      </c>
      <c r="N310" s="35">
        <f t="shared" ca="1" si="376"/>
        <v>74.400000000000006</v>
      </c>
      <c r="O310" s="35">
        <f t="shared" ca="1" si="376"/>
        <v>37.200000000000003</v>
      </c>
      <c r="P310" s="15"/>
      <c r="Q310" s="34">
        <f t="shared" ref="Q310:T310" ca="1" si="377">+Q60+Q110+Q160+Q210+Q260</f>
        <v>0</v>
      </c>
      <c r="R310" s="34">
        <f t="shared" ca="1" si="377"/>
        <v>0</v>
      </c>
      <c r="S310" s="34">
        <f t="shared" ca="1" si="377"/>
        <v>0</v>
      </c>
      <c r="T310" s="34">
        <f t="shared" ca="1" si="377"/>
        <v>0</v>
      </c>
      <c r="U310" s="15"/>
      <c r="V310" s="35">
        <f t="shared" si="98"/>
        <v>0.31</v>
      </c>
      <c r="W310" s="34">
        <f t="shared" ref="W310:Y310" ca="1" si="378">+W60+W110+W160+W210+W260</f>
        <v>0</v>
      </c>
      <c r="X310" s="35">
        <f t="shared" si="98"/>
        <v>0.37</v>
      </c>
      <c r="Y310" s="34">
        <f t="shared" ca="1" si="378"/>
        <v>0</v>
      </c>
      <c r="Z310" s="35">
        <f t="shared" ref="Z310" si="379">+Z60</f>
        <v>0.57999999999999996</v>
      </c>
      <c r="AA310" s="34">
        <f t="shared" ref="AA310:AB310" ca="1" si="380">+AA60+AA110+AA160+AA210+AA260</f>
        <v>0</v>
      </c>
      <c r="AB310" s="34">
        <f t="shared" ca="1" si="380"/>
        <v>0</v>
      </c>
      <c r="AC310" s="15"/>
      <c r="AD310" s="34">
        <f t="shared" ref="AD310:AF310" ca="1" si="381">+AD60+AD110+AD160+AD210+AD260</f>
        <v>0</v>
      </c>
      <c r="AE310" s="34">
        <f t="shared" ca="1" si="381"/>
        <v>0</v>
      </c>
      <c r="AF310" s="34">
        <f t="shared" ca="1" si="381"/>
        <v>0</v>
      </c>
      <c r="AG310" s="15"/>
      <c r="AH310" s="273"/>
      <c r="AI310" s="267"/>
      <c r="AJ310" s="267"/>
      <c r="AK310" s="34">
        <f t="shared" ref="AK310" ca="1" si="382">+AK60+AK110+AK160+AK210+AK260</f>
        <v>0</v>
      </c>
      <c r="AL310" s="233"/>
    </row>
    <row r="311" spans="2:38" x14ac:dyDescent="0.3">
      <c r="B311" s="232"/>
      <c r="C311" s="250">
        <f t="shared" si="93"/>
        <v>2045</v>
      </c>
      <c r="D311" s="263">
        <f t="shared" ref="D311:G311" ca="1" si="383">+D61+D111+D161+D211+D261</f>
        <v>0</v>
      </c>
      <c r="E311" s="263">
        <f t="shared" ca="1" si="383"/>
        <v>0</v>
      </c>
      <c r="F311" s="263">
        <f t="shared" ca="1" si="383"/>
        <v>0</v>
      </c>
      <c r="G311" s="263">
        <f t="shared" ca="1" si="383"/>
        <v>0</v>
      </c>
      <c r="H311" s="15"/>
      <c r="I311" s="35">
        <f t="shared" ref="I311:K311" ca="1" si="384">+I61</f>
        <v>4.5</v>
      </c>
      <c r="J311" s="35">
        <f t="shared" ca="1" si="384"/>
        <v>80</v>
      </c>
      <c r="K311" s="35">
        <f t="shared" ca="1" si="384"/>
        <v>40</v>
      </c>
      <c r="L311" s="15"/>
      <c r="M311" s="35">
        <f t="shared" ref="M311:O311" ca="1" si="385">+M61</f>
        <v>4.2299999999999995</v>
      </c>
      <c r="N311" s="35">
        <f t="shared" ca="1" si="385"/>
        <v>74.400000000000006</v>
      </c>
      <c r="O311" s="35">
        <f t="shared" ca="1" si="385"/>
        <v>37.200000000000003</v>
      </c>
      <c r="P311" s="15"/>
      <c r="Q311" s="34">
        <f t="shared" ref="Q311:T311" ca="1" si="386">+Q61+Q111+Q161+Q211+Q261</f>
        <v>0</v>
      </c>
      <c r="R311" s="34">
        <f t="shared" ca="1" si="386"/>
        <v>0</v>
      </c>
      <c r="S311" s="34">
        <f t="shared" ca="1" si="386"/>
        <v>0</v>
      </c>
      <c r="T311" s="34">
        <f t="shared" ca="1" si="386"/>
        <v>0</v>
      </c>
      <c r="U311" s="15"/>
      <c r="V311" s="35">
        <f t="shared" si="98"/>
        <v>0.31</v>
      </c>
      <c r="W311" s="34">
        <f t="shared" ref="W311:Y311" ca="1" si="387">+W61+W111+W161+W211+W261</f>
        <v>0</v>
      </c>
      <c r="X311" s="35">
        <f t="shared" si="98"/>
        <v>0.37</v>
      </c>
      <c r="Y311" s="34">
        <f t="shared" ca="1" si="387"/>
        <v>0</v>
      </c>
      <c r="Z311" s="35">
        <f t="shared" ref="Z311" si="388">+Z61</f>
        <v>0.57999999999999996</v>
      </c>
      <c r="AA311" s="34">
        <f t="shared" ref="AA311:AB311" ca="1" si="389">+AA61+AA111+AA161+AA211+AA261</f>
        <v>0</v>
      </c>
      <c r="AB311" s="34">
        <f t="shared" ca="1" si="389"/>
        <v>0</v>
      </c>
      <c r="AC311" s="15"/>
      <c r="AD311" s="34">
        <f t="shared" ref="AD311:AF311" ca="1" si="390">+AD61+AD111+AD161+AD211+AD261</f>
        <v>0</v>
      </c>
      <c r="AE311" s="34">
        <f t="shared" ca="1" si="390"/>
        <v>0</v>
      </c>
      <c r="AF311" s="34">
        <f t="shared" ca="1" si="390"/>
        <v>0</v>
      </c>
      <c r="AG311" s="15"/>
      <c r="AH311" s="273"/>
      <c r="AI311" s="267"/>
      <c r="AJ311" s="267"/>
      <c r="AK311" s="34">
        <f t="shared" ref="AK311" ca="1" si="391">+AK61+AK111+AK161+AK211+AK261</f>
        <v>0</v>
      </c>
      <c r="AL311" s="233"/>
    </row>
    <row r="312" spans="2:38" x14ac:dyDescent="0.3">
      <c r="B312" s="232"/>
      <c r="C312" s="250">
        <f t="shared" si="93"/>
        <v>2046</v>
      </c>
      <c r="D312" s="263">
        <f t="shared" ref="D312:G312" ca="1" si="392">+D62+D112+D162+D212+D262</f>
        <v>0</v>
      </c>
      <c r="E312" s="263">
        <f t="shared" ca="1" si="392"/>
        <v>0</v>
      </c>
      <c r="F312" s="263">
        <f t="shared" ca="1" si="392"/>
        <v>0</v>
      </c>
      <c r="G312" s="263">
        <f t="shared" ca="1" si="392"/>
        <v>0</v>
      </c>
      <c r="H312" s="15"/>
      <c r="I312" s="35">
        <f t="shared" ref="I312:K312" ca="1" si="393">+I62</f>
        <v>4.5</v>
      </c>
      <c r="J312" s="35">
        <f t="shared" ca="1" si="393"/>
        <v>80</v>
      </c>
      <c r="K312" s="35">
        <f t="shared" ca="1" si="393"/>
        <v>40</v>
      </c>
      <c r="L312" s="15"/>
      <c r="M312" s="35">
        <f t="shared" ref="M312:O312" ca="1" si="394">+M62</f>
        <v>4.2299999999999995</v>
      </c>
      <c r="N312" s="35">
        <f t="shared" ca="1" si="394"/>
        <v>74.400000000000006</v>
      </c>
      <c r="O312" s="35">
        <f t="shared" ca="1" si="394"/>
        <v>37.200000000000003</v>
      </c>
      <c r="P312" s="15"/>
      <c r="Q312" s="34">
        <f t="shared" ref="Q312:T312" ca="1" si="395">+Q62+Q112+Q162+Q212+Q262</f>
        <v>0</v>
      </c>
      <c r="R312" s="34">
        <f t="shared" ca="1" si="395"/>
        <v>0</v>
      </c>
      <c r="S312" s="34">
        <f t="shared" ca="1" si="395"/>
        <v>0</v>
      </c>
      <c r="T312" s="34">
        <f t="shared" ca="1" si="395"/>
        <v>0</v>
      </c>
      <c r="U312" s="15"/>
      <c r="V312" s="35">
        <f t="shared" si="98"/>
        <v>0.31</v>
      </c>
      <c r="W312" s="34">
        <f t="shared" ref="W312:Y312" ca="1" si="396">+W62+W112+W162+W212+W262</f>
        <v>0</v>
      </c>
      <c r="X312" s="35">
        <f t="shared" si="98"/>
        <v>0.37</v>
      </c>
      <c r="Y312" s="34">
        <f t="shared" ca="1" si="396"/>
        <v>0</v>
      </c>
      <c r="Z312" s="35">
        <f t="shared" ref="Z312" si="397">+Z62</f>
        <v>0.57999999999999996</v>
      </c>
      <c r="AA312" s="34">
        <f t="shared" ref="AA312:AB312" ca="1" si="398">+AA62+AA112+AA162+AA212+AA262</f>
        <v>0</v>
      </c>
      <c r="AB312" s="34">
        <f t="shared" ca="1" si="398"/>
        <v>0</v>
      </c>
      <c r="AC312" s="15"/>
      <c r="AD312" s="34">
        <f t="shared" ref="AD312:AF312" ca="1" si="399">+AD62+AD112+AD162+AD212+AD262</f>
        <v>0</v>
      </c>
      <c r="AE312" s="34">
        <f t="shared" ca="1" si="399"/>
        <v>0</v>
      </c>
      <c r="AF312" s="34">
        <f t="shared" ca="1" si="399"/>
        <v>0</v>
      </c>
      <c r="AG312" s="15"/>
      <c r="AH312" s="273"/>
      <c r="AI312" s="267"/>
      <c r="AJ312" s="267"/>
      <c r="AK312" s="34">
        <f t="shared" ref="AK312" ca="1" si="400">+AK62+AK112+AK162+AK212+AK262</f>
        <v>0</v>
      </c>
      <c r="AL312" s="233"/>
    </row>
    <row r="313" spans="2:38" x14ac:dyDescent="0.3">
      <c r="B313" s="232"/>
      <c r="C313" s="250">
        <f t="shared" si="93"/>
        <v>2047</v>
      </c>
      <c r="D313" s="263">
        <f t="shared" ref="D313:G313" ca="1" si="401">+D63+D113+D163+D213+D263</f>
        <v>0</v>
      </c>
      <c r="E313" s="263">
        <f t="shared" ca="1" si="401"/>
        <v>0</v>
      </c>
      <c r="F313" s="263">
        <f t="shared" ca="1" si="401"/>
        <v>0</v>
      </c>
      <c r="G313" s="263">
        <f t="shared" ca="1" si="401"/>
        <v>0</v>
      </c>
      <c r="H313" s="15"/>
      <c r="I313" s="35">
        <f t="shared" ref="I313:K313" ca="1" si="402">+I63</f>
        <v>4.5</v>
      </c>
      <c r="J313" s="35">
        <f t="shared" ca="1" si="402"/>
        <v>80</v>
      </c>
      <c r="K313" s="35">
        <f t="shared" ca="1" si="402"/>
        <v>40</v>
      </c>
      <c r="L313" s="15"/>
      <c r="M313" s="35">
        <f t="shared" ref="M313:O313" ca="1" si="403">+M63</f>
        <v>4.2299999999999995</v>
      </c>
      <c r="N313" s="35">
        <f t="shared" ca="1" si="403"/>
        <v>74.400000000000006</v>
      </c>
      <c r="O313" s="35">
        <f t="shared" ca="1" si="403"/>
        <v>37.200000000000003</v>
      </c>
      <c r="P313" s="15"/>
      <c r="Q313" s="34">
        <f t="shared" ref="Q313:T313" ca="1" si="404">+Q63+Q113+Q163+Q213+Q263</f>
        <v>0</v>
      </c>
      <c r="R313" s="34">
        <f t="shared" ca="1" si="404"/>
        <v>0</v>
      </c>
      <c r="S313" s="34">
        <f t="shared" ca="1" si="404"/>
        <v>0</v>
      </c>
      <c r="T313" s="34">
        <f t="shared" ca="1" si="404"/>
        <v>0</v>
      </c>
      <c r="U313" s="15"/>
      <c r="V313" s="35">
        <f t="shared" si="98"/>
        <v>0.31</v>
      </c>
      <c r="W313" s="34">
        <f t="shared" ref="W313:Y313" ca="1" si="405">+W63+W113+W163+W213+W263</f>
        <v>0</v>
      </c>
      <c r="X313" s="35">
        <f t="shared" si="98"/>
        <v>0.37</v>
      </c>
      <c r="Y313" s="34">
        <f t="shared" ca="1" si="405"/>
        <v>0</v>
      </c>
      <c r="Z313" s="35">
        <f t="shared" ref="Z313" si="406">+Z63</f>
        <v>0.57999999999999996</v>
      </c>
      <c r="AA313" s="34">
        <f t="shared" ref="AA313:AB313" ca="1" si="407">+AA63+AA113+AA163+AA213+AA263</f>
        <v>0</v>
      </c>
      <c r="AB313" s="34">
        <f t="shared" ca="1" si="407"/>
        <v>0</v>
      </c>
      <c r="AC313" s="15"/>
      <c r="AD313" s="34">
        <f t="shared" ref="AD313:AF313" ca="1" si="408">+AD63+AD113+AD163+AD213+AD263</f>
        <v>0</v>
      </c>
      <c r="AE313" s="34">
        <f t="shared" ca="1" si="408"/>
        <v>0</v>
      </c>
      <c r="AF313" s="34">
        <f t="shared" ca="1" si="408"/>
        <v>0</v>
      </c>
      <c r="AG313" s="15"/>
      <c r="AH313" s="273"/>
      <c r="AI313" s="267"/>
      <c r="AJ313" s="267"/>
      <c r="AK313" s="34">
        <f t="shared" ref="AK313" ca="1" si="409">+AK63+AK113+AK163+AK213+AK263</f>
        <v>0</v>
      </c>
      <c r="AL313" s="233"/>
    </row>
    <row r="314" spans="2:38" x14ac:dyDescent="0.3">
      <c r="B314" s="232"/>
      <c r="C314" s="250">
        <f t="shared" si="93"/>
        <v>2048</v>
      </c>
      <c r="D314" s="263">
        <f t="shared" ref="D314:G314" ca="1" si="410">+D64+D114+D164+D214+D264</f>
        <v>0</v>
      </c>
      <c r="E314" s="263">
        <f t="shared" ca="1" si="410"/>
        <v>0</v>
      </c>
      <c r="F314" s="263">
        <f t="shared" ca="1" si="410"/>
        <v>0</v>
      </c>
      <c r="G314" s="263">
        <f t="shared" ca="1" si="410"/>
        <v>0</v>
      </c>
      <c r="H314" s="15"/>
      <c r="I314" s="35">
        <f t="shared" ref="I314:K314" ca="1" si="411">+I64</f>
        <v>4.5</v>
      </c>
      <c r="J314" s="35">
        <f t="shared" ca="1" si="411"/>
        <v>80</v>
      </c>
      <c r="K314" s="35">
        <f t="shared" ca="1" si="411"/>
        <v>40</v>
      </c>
      <c r="L314" s="15"/>
      <c r="M314" s="35">
        <f t="shared" ref="M314:O314" ca="1" si="412">+M64</f>
        <v>4.2299999999999995</v>
      </c>
      <c r="N314" s="35">
        <f t="shared" ca="1" si="412"/>
        <v>74.400000000000006</v>
      </c>
      <c r="O314" s="35">
        <f t="shared" ca="1" si="412"/>
        <v>37.200000000000003</v>
      </c>
      <c r="P314" s="15"/>
      <c r="Q314" s="34">
        <f t="shared" ref="Q314:T314" ca="1" si="413">+Q64+Q114+Q164+Q214+Q264</f>
        <v>0</v>
      </c>
      <c r="R314" s="34">
        <f t="shared" ca="1" si="413"/>
        <v>0</v>
      </c>
      <c r="S314" s="34">
        <f t="shared" ca="1" si="413"/>
        <v>0</v>
      </c>
      <c r="T314" s="34">
        <f t="shared" ca="1" si="413"/>
        <v>0</v>
      </c>
      <c r="U314" s="15"/>
      <c r="V314" s="35">
        <f t="shared" si="98"/>
        <v>0.31</v>
      </c>
      <c r="W314" s="34">
        <f t="shared" ref="W314:Y314" ca="1" si="414">+W64+W114+W164+W214+W264</f>
        <v>0</v>
      </c>
      <c r="X314" s="35">
        <f t="shared" si="98"/>
        <v>0.37</v>
      </c>
      <c r="Y314" s="34">
        <f t="shared" ca="1" si="414"/>
        <v>0</v>
      </c>
      <c r="Z314" s="35">
        <f t="shared" ref="Z314" si="415">+Z64</f>
        <v>0.57999999999999996</v>
      </c>
      <c r="AA314" s="34">
        <f t="shared" ref="AA314:AB314" ca="1" si="416">+AA64+AA114+AA164+AA214+AA264</f>
        <v>0</v>
      </c>
      <c r="AB314" s="34">
        <f t="shared" ca="1" si="416"/>
        <v>0</v>
      </c>
      <c r="AC314" s="15"/>
      <c r="AD314" s="34">
        <f t="shared" ref="AD314:AF314" ca="1" si="417">+AD64+AD114+AD164+AD214+AD264</f>
        <v>0</v>
      </c>
      <c r="AE314" s="34">
        <f t="shared" ca="1" si="417"/>
        <v>0</v>
      </c>
      <c r="AF314" s="34">
        <f t="shared" ca="1" si="417"/>
        <v>0</v>
      </c>
      <c r="AG314" s="15"/>
      <c r="AH314" s="273"/>
      <c r="AI314" s="267"/>
      <c r="AJ314" s="267"/>
      <c r="AK314" s="34">
        <f t="shared" ref="AK314" ca="1" si="418">+AK64+AK114+AK164+AK214+AK264</f>
        <v>0</v>
      </c>
      <c r="AL314" s="233"/>
    </row>
    <row r="315" spans="2:38" x14ac:dyDescent="0.3">
      <c r="B315" s="232"/>
      <c r="C315" s="250">
        <f t="shared" si="93"/>
        <v>2049</v>
      </c>
      <c r="D315" s="263">
        <f t="shared" ref="D315:G315" ca="1" si="419">+D65+D115+D165+D215+D265</f>
        <v>0</v>
      </c>
      <c r="E315" s="263">
        <f t="shared" ca="1" si="419"/>
        <v>0</v>
      </c>
      <c r="F315" s="263">
        <f t="shared" ca="1" si="419"/>
        <v>0</v>
      </c>
      <c r="G315" s="263">
        <f t="shared" ca="1" si="419"/>
        <v>0</v>
      </c>
      <c r="H315" s="15"/>
      <c r="I315" s="35">
        <f t="shared" ref="I315:K315" ca="1" si="420">+I65</f>
        <v>4.5</v>
      </c>
      <c r="J315" s="35">
        <f t="shared" ca="1" si="420"/>
        <v>80</v>
      </c>
      <c r="K315" s="35">
        <f t="shared" ca="1" si="420"/>
        <v>40</v>
      </c>
      <c r="L315" s="15"/>
      <c r="M315" s="35">
        <f t="shared" ref="M315:O315" ca="1" si="421">+M65</f>
        <v>4.2299999999999995</v>
      </c>
      <c r="N315" s="35">
        <f t="shared" ca="1" si="421"/>
        <v>74.400000000000006</v>
      </c>
      <c r="O315" s="35">
        <f t="shared" ca="1" si="421"/>
        <v>37.200000000000003</v>
      </c>
      <c r="P315" s="15"/>
      <c r="Q315" s="34">
        <f t="shared" ref="Q315:T315" ca="1" si="422">+Q65+Q115+Q165+Q215+Q265</f>
        <v>0</v>
      </c>
      <c r="R315" s="34">
        <f t="shared" ca="1" si="422"/>
        <v>0</v>
      </c>
      <c r="S315" s="34">
        <f t="shared" ca="1" si="422"/>
        <v>0</v>
      </c>
      <c r="T315" s="34">
        <f t="shared" ca="1" si="422"/>
        <v>0</v>
      </c>
      <c r="U315" s="15"/>
      <c r="V315" s="35">
        <f t="shared" si="98"/>
        <v>0.31</v>
      </c>
      <c r="W315" s="34">
        <f t="shared" ref="W315:Y315" ca="1" si="423">+W65+W115+W165+W215+W265</f>
        <v>0</v>
      </c>
      <c r="X315" s="35">
        <f t="shared" si="98"/>
        <v>0.37</v>
      </c>
      <c r="Y315" s="34">
        <f t="shared" ca="1" si="423"/>
        <v>0</v>
      </c>
      <c r="Z315" s="35">
        <f t="shared" ref="Z315" si="424">+Z65</f>
        <v>0.57999999999999996</v>
      </c>
      <c r="AA315" s="34">
        <f t="shared" ref="AA315:AB315" ca="1" si="425">+AA65+AA115+AA165+AA215+AA265</f>
        <v>0</v>
      </c>
      <c r="AB315" s="34">
        <f t="shared" ca="1" si="425"/>
        <v>0</v>
      </c>
      <c r="AC315" s="15"/>
      <c r="AD315" s="34">
        <f t="shared" ref="AD315:AF315" ca="1" si="426">+AD65+AD115+AD165+AD215+AD265</f>
        <v>0</v>
      </c>
      <c r="AE315" s="34">
        <f t="shared" ca="1" si="426"/>
        <v>0</v>
      </c>
      <c r="AF315" s="34">
        <f t="shared" ca="1" si="426"/>
        <v>0</v>
      </c>
      <c r="AG315" s="15"/>
      <c r="AH315" s="273"/>
      <c r="AI315" s="267"/>
      <c r="AJ315" s="267"/>
      <c r="AK315" s="34">
        <f t="shared" ref="AK315" ca="1" si="427">+AK65+AK115+AK165+AK215+AK265</f>
        <v>0</v>
      </c>
      <c r="AL315" s="233"/>
    </row>
    <row r="316" spans="2:38" x14ac:dyDescent="0.3">
      <c r="B316" s="232"/>
      <c r="C316" s="250">
        <f t="shared" si="93"/>
        <v>2050</v>
      </c>
      <c r="D316" s="263">
        <f t="shared" ref="D316:G316" ca="1" si="428">+D66+D116+D166+D216+D266</f>
        <v>0</v>
      </c>
      <c r="E316" s="263">
        <f t="shared" ca="1" si="428"/>
        <v>0</v>
      </c>
      <c r="F316" s="263">
        <f t="shared" ca="1" si="428"/>
        <v>0</v>
      </c>
      <c r="G316" s="263">
        <f t="shared" ca="1" si="428"/>
        <v>0</v>
      </c>
      <c r="H316" s="15"/>
      <c r="I316" s="35">
        <f t="shared" ref="I316:K316" ca="1" si="429">+I66</f>
        <v>4.5</v>
      </c>
      <c r="J316" s="35">
        <f t="shared" ca="1" si="429"/>
        <v>80</v>
      </c>
      <c r="K316" s="35">
        <f t="shared" ca="1" si="429"/>
        <v>40</v>
      </c>
      <c r="L316" s="15"/>
      <c r="M316" s="35">
        <f t="shared" ref="M316:O316" ca="1" si="430">+M66</f>
        <v>4.2299999999999995</v>
      </c>
      <c r="N316" s="35">
        <f t="shared" ca="1" si="430"/>
        <v>74.400000000000006</v>
      </c>
      <c r="O316" s="35">
        <f t="shared" ca="1" si="430"/>
        <v>37.200000000000003</v>
      </c>
      <c r="P316" s="15"/>
      <c r="Q316" s="34">
        <f t="shared" ref="Q316:T316" ca="1" si="431">+Q66+Q116+Q166+Q216+Q266</f>
        <v>0</v>
      </c>
      <c r="R316" s="34">
        <f t="shared" ca="1" si="431"/>
        <v>0</v>
      </c>
      <c r="S316" s="34">
        <f t="shared" ca="1" si="431"/>
        <v>0</v>
      </c>
      <c r="T316" s="34">
        <f t="shared" ca="1" si="431"/>
        <v>0</v>
      </c>
      <c r="U316" s="15"/>
      <c r="V316" s="35">
        <f t="shared" si="98"/>
        <v>0.31</v>
      </c>
      <c r="W316" s="34">
        <f t="shared" ref="W316:Y316" ca="1" si="432">+W66+W116+W166+W216+W266</f>
        <v>0</v>
      </c>
      <c r="X316" s="35">
        <f t="shared" si="98"/>
        <v>0.37</v>
      </c>
      <c r="Y316" s="34">
        <f t="shared" ca="1" si="432"/>
        <v>0</v>
      </c>
      <c r="Z316" s="35">
        <f t="shared" ref="Z316" si="433">+Z66</f>
        <v>0.57999999999999996</v>
      </c>
      <c r="AA316" s="34">
        <f t="shared" ref="AA316:AB316" ca="1" si="434">+AA66+AA116+AA166+AA216+AA266</f>
        <v>0</v>
      </c>
      <c r="AB316" s="34">
        <f t="shared" ca="1" si="434"/>
        <v>0</v>
      </c>
      <c r="AC316" s="15"/>
      <c r="AD316" s="34">
        <f t="shared" ref="AD316:AF316" ca="1" si="435">+AD66+AD116+AD166+AD216+AD266</f>
        <v>0</v>
      </c>
      <c r="AE316" s="34">
        <f t="shared" ca="1" si="435"/>
        <v>0</v>
      </c>
      <c r="AF316" s="34">
        <f t="shared" ca="1" si="435"/>
        <v>0</v>
      </c>
      <c r="AG316" s="15"/>
      <c r="AH316" s="273"/>
      <c r="AI316" s="267"/>
      <c r="AJ316" s="267"/>
      <c r="AK316" s="34">
        <f t="shared" ref="AK316" ca="1" si="436">+AK66+AK116+AK166+AK216+AK266</f>
        <v>0</v>
      </c>
      <c r="AL316" s="233"/>
    </row>
    <row r="317" spans="2:38" x14ac:dyDescent="0.3">
      <c r="B317" s="232"/>
      <c r="C317" s="250">
        <f t="shared" si="93"/>
        <v>2051</v>
      </c>
      <c r="D317" s="263">
        <f t="shared" ref="D317:G317" ca="1" si="437">+D67+D117+D167+D217+D267</f>
        <v>0</v>
      </c>
      <c r="E317" s="263">
        <f t="shared" ca="1" si="437"/>
        <v>0</v>
      </c>
      <c r="F317" s="263">
        <f t="shared" ca="1" si="437"/>
        <v>0</v>
      </c>
      <c r="G317" s="263">
        <f t="shared" ca="1" si="437"/>
        <v>0</v>
      </c>
      <c r="H317" s="15"/>
      <c r="I317" s="35">
        <f t="shared" ref="I317:K317" ca="1" si="438">+I67</f>
        <v>4.5</v>
      </c>
      <c r="J317" s="35">
        <f t="shared" ca="1" si="438"/>
        <v>80</v>
      </c>
      <c r="K317" s="35">
        <f t="shared" ca="1" si="438"/>
        <v>40</v>
      </c>
      <c r="L317" s="15"/>
      <c r="M317" s="35">
        <f t="shared" ref="M317:O317" ca="1" si="439">+M67</f>
        <v>4.2299999999999995</v>
      </c>
      <c r="N317" s="35">
        <f t="shared" ca="1" si="439"/>
        <v>74.400000000000006</v>
      </c>
      <c r="O317" s="35">
        <f t="shared" ca="1" si="439"/>
        <v>37.200000000000003</v>
      </c>
      <c r="P317" s="15"/>
      <c r="Q317" s="34">
        <f t="shared" ref="Q317:T317" ca="1" si="440">+Q67+Q117+Q167+Q217+Q267</f>
        <v>0</v>
      </c>
      <c r="R317" s="34">
        <f t="shared" ca="1" si="440"/>
        <v>0</v>
      </c>
      <c r="S317" s="34">
        <f t="shared" ca="1" si="440"/>
        <v>0</v>
      </c>
      <c r="T317" s="34">
        <f t="shared" ca="1" si="440"/>
        <v>0</v>
      </c>
      <c r="U317" s="15"/>
      <c r="V317" s="35">
        <f t="shared" si="98"/>
        <v>0.31</v>
      </c>
      <c r="W317" s="34">
        <f t="shared" ref="W317:Y317" ca="1" si="441">+W67+W117+W167+W217+W267</f>
        <v>0</v>
      </c>
      <c r="X317" s="35">
        <f t="shared" si="98"/>
        <v>0.37</v>
      </c>
      <c r="Y317" s="34">
        <f t="shared" ca="1" si="441"/>
        <v>0</v>
      </c>
      <c r="Z317" s="35">
        <f t="shared" ref="Z317" si="442">+Z67</f>
        <v>0.57999999999999996</v>
      </c>
      <c r="AA317" s="34">
        <f t="shared" ref="AA317:AB317" ca="1" si="443">+AA67+AA117+AA167+AA217+AA267</f>
        <v>0</v>
      </c>
      <c r="AB317" s="34">
        <f t="shared" ca="1" si="443"/>
        <v>0</v>
      </c>
      <c r="AC317" s="15"/>
      <c r="AD317" s="34">
        <f t="shared" ref="AD317:AF317" ca="1" si="444">+AD67+AD117+AD167+AD217+AD267</f>
        <v>0</v>
      </c>
      <c r="AE317" s="34">
        <f t="shared" ca="1" si="444"/>
        <v>0</v>
      </c>
      <c r="AF317" s="34">
        <f t="shared" ca="1" si="444"/>
        <v>0</v>
      </c>
      <c r="AG317" s="15"/>
      <c r="AH317" s="273"/>
      <c r="AI317" s="267"/>
      <c r="AJ317" s="267"/>
      <c r="AK317" s="34">
        <f t="shared" ref="AK317" ca="1" si="445">+AK67+AK117+AK167+AK217+AK267</f>
        <v>0</v>
      </c>
      <c r="AL317" s="233"/>
    </row>
    <row r="318" spans="2:38" x14ac:dyDescent="0.3">
      <c r="B318" s="232"/>
      <c r="C318" s="250">
        <f t="shared" si="93"/>
        <v>2052</v>
      </c>
      <c r="D318" s="263">
        <f t="shared" ref="D318:G318" ca="1" si="446">+D68+D118+D168+D218+D268</f>
        <v>0</v>
      </c>
      <c r="E318" s="263">
        <f t="shared" ca="1" si="446"/>
        <v>0</v>
      </c>
      <c r="F318" s="263">
        <f t="shared" ca="1" si="446"/>
        <v>0</v>
      </c>
      <c r="G318" s="263">
        <f t="shared" ca="1" si="446"/>
        <v>0</v>
      </c>
      <c r="H318" s="15"/>
      <c r="I318" s="35">
        <f t="shared" ref="I318:K318" ca="1" si="447">+I68</f>
        <v>4.5</v>
      </c>
      <c r="J318" s="35">
        <f t="shared" ca="1" si="447"/>
        <v>80</v>
      </c>
      <c r="K318" s="35">
        <f t="shared" ca="1" si="447"/>
        <v>40</v>
      </c>
      <c r="L318" s="15"/>
      <c r="M318" s="35">
        <f t="shared" ref="M318:O318" ca="1" si="448">+M68</f>
        <v>4.2299999999999995</v>
      </c>
      <c r="N318" s="35">
        <f t="shared" ca="1" si="448"/>
        <v>74.400000000000006</v>
      </c>
      <c r="O318" s="35">
        <f t="shared" ca="1" si="448"/>
        <v>37.200000000000003</v>
      </c>
      <c r="P318" s="15"/>
      <c r="Q318" s="34">
        <f t="shared" ref="Q318:T318" ca="1" si="449">+Q68+Q118+Q168+Q218+Q268</f>
        <v>0</v>
      </c>
      <c r="R318" s="34">
        <f t="shared" ca="1" si="449"/>
        <v>0</v>
      </c>
      <c r="S318" s="34">
        <f t="shared" ca="1" si="449"/>
        <v>0</v>
      </c>
      <c r="T318" s="34">
        <f t="shared" ca="1" si="449"/>
        <v>0</v>
      </c>
      <c r="U318" s="15"/>
      <c r="V318" s="35">
        <f t="shared" si="98"/>
        <v>0.31</v>
      </c>
      <c r="W318" s="34">
        <f t="shared" ref="W318:Y318" ca="1" si="450">+W68+W118+W168+W218+W268</f>
        <v>0</v>
      </c>
      <c r="X318" s="35">
        <f t="shared" si="98"/>
        <v>0.37</v>
      </c>
      <c r="Y318" s="34">
        <f t="shared" ca="1" si="450"/>
        <v>0</v>
      </c>
      <c r="Z318" s="35">
        <f t="shared" ref="Z318" si="451">+Z68</f>
        <v>0.57999999999999996</v>
      </c>
      <c r="AA318" s="34">
        <f t="shared" ref="AA318:AB318" ca="1" si="452">+AA68+AA118+AA168+AA218+AA268</f>
        <v>0</v>
      </c>
      <c r="AB318" s="34">
        <f t="shared" ca="1" si="452"/>
        <v>0</v>
      </c>
      <c r="AC318" s="15"/>
      <c r="AD318" s="34">
        <f t="shared" ref="AD318:AF318" ca="1" si="453">+AD68+AD118+AD168+AD218+AD268</f>
        <v>0</v>
      </c>
      <c r="AE318" s="34">
        <f t="shared" ca="1" si="453"/>
        <v>0</v>
      </c>
      <c r="AF318" s="34">
        <f t="shared" ca="1" si="453"/>
        <v>0</v>
      </c>
      <c r="AG318" s="15"/>
      <c r="AH318" s="273"/>
      <c r="AI318" s="267"/>
      <c r="AJ318" s="267"/>
      <c r="AK318" s="34">
        <f t="shared" ref="AK318" ca="1" si="454">+AK68+AK118+AK168+AK218+AK268</f>
        <v>0</v>
      </c>
      <c r="AL318" s="233"/>
    </row>
    <row r="319" spans="2:38" x14ac:dyDescent="0.3">
      <c r="B319" s="232"/>
      <c r="C319" s="250">
        <f t="shared" si="93"/>
        <v>2053</v>
      </c>
      <c r="D319" s="263">
        <f t="shared" ref="D319:G321" ca="1" si="455">+D69+D119+D169+D219+D269</f>
        <v>0</v>
      </c>
      <c r="E319" s="263">
        <f t="shared" ca="1" si="455"/>
        <v>0</v>
      </c>
      <c r="F319" s="263">
        <f t="shared" ca="1" si="455"/>
        <v>0</v>
      </c>
      <c r="G319" s="263">
        <f t="shared" ca="1" si="455"/>
        <v>0</v>
      </c>
      <c r="H319" s="15"/>
      <c r="I319" s="35">
        <f t="shared" ref="I319:K319" ca="1" si="456">+I69</f>
        <v>4.5</v>
      </c>
      <c r="J319" s="35">
        <f t="shared" ca="1" si="456"/>
        <v>80</v>
      </c>
      <c r="K319" s="35">
        <f t="shared" ca="1" si="456"/>
        <v>40</v>
      </c>
      <c r="L319" s="15"/>
      <c r="M319" s="35">
        <f t="shared" ref="M319:O319" ca="1" si="457">+M69</f>
        <v>4.2299999999999995</v>
      </c>
      <c r="N319" s="35">
        <f t="shared" ca="1" si="457"/>
        <v>74.400000000000006</v>
      </c>
      <c r="O319" s="35">
        <f t="shared" ca="1" si="457"/>
        <v>37.200000000000003</v>
      </c>
      <c r="P319" s="15"/>
      <c r="Q319" s="34">
        <f t="shared" ref="Q319:T319" ca="1" si="458">+Q69+Q119+Q169+Q219+Q269</f>
        <v>0</v>
      </c>
      <c r="R319" s="34">
        <f t="shared" ca="1" si="458"/>
        <v>0</v>
      </c>
      <c r="S319" s="34">
        <f t="shared" ca="1" si="458"/>
        <v>0</v>
      </c>
      <c r="T319" s="34">
        <f t="shared" ca="1" si="458"/>
        <v>0</v>
      </c>
      <c r="U319" s="15"/>
      <c r="V319" s="35">
        <f t="shared" si="98"/>
        <v>0.31</v>
      </c>
      <c r="W319" s="34">
        <f t="shared" ref="W319:Y319" ca="1" si="459">+W69+W119+W169+W219+W269</f>
        <v>0</v>
      </c>
      <c r="X319" s="35">
        <f t="shared" si="98"/>
        <v>0.37</v>
      </c>
      <c r="Y319" s="34">
        <f t="shared" ca="1" si="459"/>
        <v>0</v>
      </c>
      <c r="Z319" s="35">
        <f t="shared" ref="Z319" si="460">+Z69</f>
        <v>0.57999999999999996</v>
      </c>
      <c r="AA319" s="34">
        <f t="shared" ref="AA319:AB319" ca="1" si="461">+AA69+AA119+AA169+AA219+AA269</f>
        <v>0</v>
      </c>
      <c r="AB319" s="34">
        <f t="shared" ca="1" si="461"/>
        <v>0</v>
      </c>
      <c r="AC319" s="15"/>
      <c r="AD319" s="34">
        <f t="shared" ref="AD319:AF319" ca="1" si="462">+AD69+AD119+AD169+AD219+AD269</f>
        <v>0</v>
      </c>
      <c r="AE319" s="34">
        <f t="shared" ca="1" si="462"/>
        <v>0</v>
      </c>
      <c r="AF319" s="34">
        <f t="shared" ca="1" si="462"/>
        <v>0</v>
      </c>
      <c r="AG319" s="15"/>
      <c r="AH319" s="273"/>
      <c r="AI319" s="267"/>
      <c r="AJ319" s="267"/>
      <c r="AK319" s="34">
        <f t="shared" ref="AK319" ca="1" si="463">+AK69+AK119+AK169+AK219+AK269</f>
        <v>0</v>
      </c>
      <c r="AL319" s="233"/>
    </row>
    <row r="320" spans="2:38" x14ac:dyDescent="0.3">
      <c r="B320" s="232"/>
      <c r="C320" s="274" t="s">
        <v>302</v>
      </c>
      <c r="D320" s="39">
        <f ca="1">SUM(D279:D319)</f>
        <v>1923999.9999999998</v>
      </c>
      <c r="E320" s="39">
        <f ca="1">SUM(E279:E319)</f>
        <v>10800.000000000015</v>
      </c>
      <c r="F320" s="39">
        <f ca="1">SUM(F279:F319)</f>
        <v>0</v>
      </c>
      <c r="G320" s="39">
        <f ca="1">SUM(G279:G319)</f>
        <v>1988799.9999999993</v>
      </c>
      <c r="H320" s="15"/>
      <c r="I320" s="15"/>
      <c r="J320" s="15"/>
      <c r="K320" s="15"/>
      <c r="L320" s="15"/>
      <c r="M320" s="35"/>
      <c r="N320" s="35"/>
      <c r="O320" s="35"/>
      <c r="P320" s="15"/>
      <c r="Q320" s="8">
        <f ca="1">SUM(Q279:Q319)</f>
        <v>7578184.4795144163</v>
      </c>
      <c r="R320" s="8">
        <f ca="1">SUM(R279:R319)</f>
        <v>860285.16439684981</v>
      </c>
      <c r="S320" s="8">
        <f ca="1">SUM(S279:S319)</f>
        <v>0</v>
      </c>
      <c r="T320" s="8">
        <f ca="1">SUM(T279:T319)</f>
        <v>8438469.6439112686</v>
      </c>
      <c r="U320" s="15"/>
      <c r="V320" s="275"/>
      <c r="W320" s="276">
        <f ca="1">SUM(W279:W319)</f>
        <v>616527.99999999988</v>
      </c>
      <c r="X320" s="275"/>
      <c r="Y320" s="276">
        <f ca="1">SUM(Y279:Y319)</f>
        <v>735855.99999999977</v>
      </c>
      <c r="Z320" s="275"/>
      <c r="AA320" s="276">
        <f ca="1">SUM(AA279:AA319)</f>
        <v>1153503.9999999998</v>
      </c>
      <c r="AB320" s="276">
        <f ca="1">SUM(AB279:AB319)</f>
        <v>2505887.9999999995</v>
      </c>
      <c r="AC320" s="15"/>
      <c r="AD320" s="276">
        <f t="shared" ref="AD320:AF320" ca="1" si="464">SUM(AD279:AD319)</f>
        <v>5932581.6439112648</v>
      </c>
      <c r="AE320" s="276">
        <f t="shared" ca="1" si="464"/>
        <v>275999.99999999994</v>
      </c>
      <c r="AF320" s="276">
        <f t="shared" ca="1" si="464"/>
        <v>5656581.6439112695</v>
      </c>
      <c r="AG320" s="15"/>
      <c r="AH320" s="277"/>
      <c r="AI320" s="278"/>
      <c r="AJ320" s="278"/>
      <c r="AK320" s="279">
        <f t="shared" ref="AK320" ca="1" si="465">+AK70+AK120+AK170+AK220+AK270</f>
        <v>3183662.1007207381</v>
      </c>
      <c r="AL320" s="233"/>
    </row>
    <row r="321" spans="2:38" x14ac:dyDescent="0.3">
      <c r="B321" s="232"/>
      <c r="C321" s="283" t="s">
        <v>303</v>
      </c>
      <c r="D321" s="263">
        <f t="shared" ca="1" si="455"/>
        <v>0</v>
      </c>
      <c r="E321" s="263">
        <f t="shared" ca="1" si="455"/>
        <v>0</v>
      </c>
      <c r="F321" s="263">
        <f t="shared" ca="1" si="455"/>
        <v>0</v>
      </c>
      <c r="G321" s="263">
        <f t="shared" ca="1" si="455"/>
        <v>0</v>
      </c>
      <c r="H321" s="15"/>
      <c r="I321" s="35">
        <f ca="1">+I319</f>
        <v>4.5</v>
      </c>
      <c r="J321" s="35">
        <f t="shared" ref="J321:K321" ca="1" si="466">+J319</f>
        <v>80</v>
      </c>
      <c r="K321" s="35">
        <f t="shared" ca="1" si="466"/>
        <v>40</v>
      </c>
      <c r="L321" s="15"/>
      <c r="M321" s="35">
        <f ca="1">+M319</f>
        <v>4.2299999999999995</v>
      </c>
      <c r="N321" s="35">
        <f t="shared" ref="N321:O321" ca="1" si="467">+N319</f>
        <v>74.400000000000006</v>
      </c>
      <c r="O321" s="35">
        <f t="shared" ca="1" si="467"/>
        <v>37.200000000000003</v>
      </c>
      <c r="P321" s="15"/>
      <c r="Q321" s="34">
        <f t="shared" ref="Q321:T321" ca="1" si="468">+Q71+Q121+Q171+Q221+Q271</f>
        <v>0</v>
      </c>
      <c r="R321" s="34">
        <f t="shared" ca="1" si="468"/>
        <v>0</v>
      </c>
      <c r="S321" s="34">
        <f t="shared" ca="1" si="468"/>
        <v>0</v>
      </c>
      <c r="T321" s="34">
        <f t="shared" ca="1" si="468"/>
        <v>0</v>
      </c>
      <c r="U321" s="15"/>
      <c r="V321" s="35">
        <f>+V319</f>
        <v>0.31</v>
      </c>
      <c r="W321" s="34">
        <f t="shared" ref="W321:Y321" ca="1" si="469">+W71+W121+W171+W221+W271</f>
        <v>0</v>
      </c>
      <c r="X321" s="35">
        <f>+X319</f>
        <v>0.37</v>
      </c>
      <c r="Y321" s="34">
        <f t="shared" ca="1" si="469"/>
        <v>0</v>
      </c>
      <c r="Z321" s="35">
        <f>+Z319</f>
        <v>0.57999999999999996</v>
      </c>
      <c r="AA321" s="34">
        <f t="shared" ref="AA321:AB321" ca="1" si="470">+AA71+AA121+AA171+AA221+AA271</f>
        <v>0</v>
      </c>
      <c r="AB321" s="34">
        <f t="shared" ca="1" si="470"/>
        <v>0</v>
      </c>
      <c r="AC321" s="15"/>
      <c r="AD321" s="34">
        <f t="shared" ref="AD321:AF321" ca="1" si="471">+AD71+AD121+AD171+AD221+AD271</f>
        <v>0</v>
      </c>
      <c r="AE321" s="191">
        <f t="shared" ca="1" si="471"/>
        <v>0</v>
      </c>
      <c r="AF321" s="34">
        <f t="shared" ca="1" si="471"/>
        <v>0</v>
      </c>
      <c r="AG321" s="15"/>
      <c r="AH321" s="266"/>
      <c r="AI321" s="267"/>
      <c r="AJ321" s="267"/>
      <c r="AK321" s="34">
        <f t="shared" ref="AK321" ca="1" si="472">+AK71+AK121+AK171+AK221+AK271</f>
        <v>0</v>
      </c>
      <c r="AL321" s="233"/>
    </row>
    <row r="322" spans="2:38" x14ac:dyDescent="0.3">
      <c r="B322" s="232"/>
      <c r="C322" s="60" t="s">
        <v>26</v>
      </c>
      <c r="D322" s="39">
        <f ca="1">D321+D320</f>
        <v>1923999.9999999998</v>
      </c>
      <c r="E322" s="39">
        <f t="shared" ref="E322:G322" ca="1" si="473">E321+E320</f>
        <v>10800.000000000015</v>
      </c>
      <c r="F322" s="39">
        <f t="shared" ca="1" si="473"/>
        <v>0</v>
      </c>
      <c r="G322" s="39">
        <f t="shared" ca="1" si="473"/>
        <v>1988799.9999999993</v>
      </c>
      <c r="H322" s="15"/>
      <c r="I322" s="15"/>
      <c r="J322" s="15"/>
      <c r="K322" s="15"/>
      <c r="L322" s="15"/>
      <c r="M322" s="15"/>
      <c r="N322" s="15"/>
      <c r="O322" s="15"/>
      <c r="P322" s="15"/>
      <c r="Q322" s="8">
        <f ca="1">Q321+Q320</f>
        <v>7578184.4795144163</v>
      </c>
      <c r="R322" s="8">
        <f t="shared" ref="R322" ca="1" si="474">R321+R320</f>
        <v>860285.16439684981</v>
      </c>
      <c r="S322" s="8">
        <f t="shared" ref="S322" ca="1" si="475">S321+S320</f>
        <v>0</v>
      </c>
      <c r="T322" s="8">
        <f t="shared" ref="T322" ca="1" si="476">T321+T320</f>
        <v>8438469.6439112686</v>
      </c>
      <c r="U322" s="15"/>
      <c r="V322" s="9"/>
      <c r="W322" s="8">
        <f t="shared" ref="W322:AB322" ca="1" si="477">W321+W320</f>
        <v>616527.99999999988</v>
      </c>
      <c r="X322" s="9"/>
      <c r="Y322" s="8">
        <f t="shared" ca="1" si="477"/>
        <v>735855.99999999977</v>
      </c>
      <c r="Z322" s="9"/>
      <c r="AA322" s="8">
        <f t="shared" ca="1" si="477"/>
        <v>1153503.9999999998</v>
      </c>
      <c r="AB322" s="8">
        <f t="shared" ca="1" si="477"/>
        <v>2505887.9999999995</v>
      </c>
      <c r="AC322" s="15"/>
      <c r="AD322" s="8">
        <f t="shared" ref="AD322" ca="1" si="478">AD321+AD320</f>
        <v>5932581.6439112648</v>
      </c>
      <c r="AE322" s="8">
        <f t="shared" ref="AE322" ca="1" si="479">AE321+AE320</f>
        <v>275999.99999999994</v>
      </c>
      <c r="AF322" s="8">
        <f t="shared" ref="AF322" ca="1" si="480">AF321+AF320</f>
        <v>5656581.6439112695</v>
      </c>
      <c r="AG322" s="15"/>
      <c r="AH322" s="9"/>
      <c r="AI322" s="9"/>
      <c r="AJ322" s="9"/>
      <c r="AK322" s="65">
        <f t="shared" ref="AK322" ca="1" si="481">+AK72+AK122+AK172+AK222+AK272</f>
        <v>3183662.1007207381</v>
      </c>
      <c r="AL322" s="233"/>
    </row>
    <row r="323" spans="2:38" x14ac:dyDescent="0.3">
      <c r="B323" s="256"/>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258"/>
    </row>
  </sheetData>
  <pageMargins left="0.7" right="0.7" top="0.75" bottom="0.75" header="0.3" footer="0.3"/>
  <pageSetup orientation="portrait" r:id="rId1"/>
  <ignoredErrors>
    <ignoredError sqref="Q70:T70 W70:W72 AC70:AD72 X70:AB72 X29:AB69 AE70:AF70 AK70 D320:G320 Q320:T320"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T323"/>
  <sheetViews>
    <sheetView showGridLines="0" zoomScaleNormal="100" workbookViewId="0"/>
  </sheetViews>
  <sheetFormatPr defaultRowHeight="14.4" x14ac:dyDescent="0.3"/>
  <cols>
    <col min="1" max="2" width="2.6640625" customWidth="1"/>
    <col min="3" max="3" width="11.33203125" bestFit="1" customWidth="1"/>
    <col min="4" max="6" width="10.6640625" customWidth="1"/>
    <col min="7" max="7" width="10.6640625" bestFit="1" customWidth="1"/>
    <col min="17" max="20" width="11.6640625" customWidth="1"/>
    <col min="22" max="28" width="10.6640625" customWidth="1"/>
    <col min="30" max="32" width="11.6640625" customWidth="1"/>
    <col min="34" max="36" width="10.6640625" customWidth="1"/>
    <col min="37" max="37" width="11.6640625" customWidth="1"/>
    <col min="38" max="40" width="2.6640625" customWidth="1"/>
    <col min="41" max="51" width="12.6640625" customWidth="1"/>
    <col min="52" max="91" width="10.6640625" customWidth="1"/>
    <col min="92" max="92" width="12.109375" customWidth="1"/>
    <col min="93" max="93" width="10.6640625" customWidth="1"/>
    <col min="94" max="94" width="12.109375" customWidth="1"/>
    <col min="95" max="98" width="10.6640625" customWidth="1"/>
  </cols>
  <sheetData>
    <row r="2" spans="2:64" x14ac:dyDescent="0.3">
      <c r="B2" s="225" t="s">
        <v>238</v>
      </c>
      <c r="C2" s="31"/>
      <c r="D2" s="31"/>
      <c r="E2" s="31"/>
      <c r="F2" s="31"/>
      <c r="G2" s="31"/>
      <c r="H2" s="31"/>
      <c r="I2" s="31"/>
      <c r="J2" s="31"/>
      <c r="K2" s="31"/>
      <c r="L2" s="31"/>
      <c r="M2" s="31"/>
      <c r="N2" s="31"/>
      <c r="O2" s="31"/>
      <c r="P2" s="31"/>
      <c r="Q2" s="31"/>
      <c r="R2" s="31"/>
      <c r="S2" s="31"/>
      <c r="T2" s="31"/>
      <c r="U2" s="31"/>
      <c r="V2" s="31"/>
      <c r="W2" s="31"/>
      <c r="X2" s="31"/>
      <c r="Y2" s="31"/>
      <c r="Z2" s="226"/>
      <c r="AB2" s="2"/>
      <c r="AC2" s="2"/>
      <c r="AD2" s="2"/>
      <c r="AE2" s="2"/>
      <c r="AF2" s="2"/>
      <c r="AG2" s="2"/>
      <c r="AH2" s="2"/>
      <c r="AI2" s="2"/>
      <c r="AJ2" s="2"/>
      <c r="AK2" s="2"/>
      <c r="AL2" s="2"/>
      <c r="AN2" s="225" t="s">
        <v>239</v>
      </c>
      <c r="AO2" s="31"/>
      <c r="AP2" s="31"/>
      <c r="AQ2" s="31"/>
      <c r="AR2" s="31"/>
      <c r="AS2" s="31"/>
      <c r="AT2" s="31"/>
      <c r="AU2" s="31"/>
      <c r="AV2" s="31"/>
      <c r="AW2" s="31"/>
      <c r="AX2" s="31"/>
      <c r="AY2" s="31"/>
      <c r="AZ2" s="31"/>
      <c r="BA2" s="31"/>
      <c r="BB2" s="31"/>
      <c r="BC2" s="31"/>
      <c r="BD2" s="31"/>
      <c r="BE2" s="31"/>
      <c r="BF2" s="31"/>
      <c r="BG2" s="31"/>
      <c r="BH2" s="31"/>
      <c r="BI2" s="31"/>
      <c r="BJ2" s="31"/>
      <c r="BK2" s="31"/>
      <c r="BL2" s="226"/>
    </row>
    <row r="3" spans="2:64" x14ac:dyDescent="0.3">
      <c r="B3" s="227"/>
      <c r="C3" s="228"/>
      <c r="D3" s="54"/>
      <c r="E3" s="54"/>
      <c r="F3" s="54"/>
      <c r="G3" s="54"/>
      <c r="H3" s="54"/>
      <c r="I3" s="228" t="s">
        <v>241</v>
      </c>
      <c r="J3" s="54"/>
      <c r="K3" s="54"/>
      <c r="L3" s="54"/>
      <c r="M3" s="54"/>
      <c r="N3" s="54"/>
      <c r="O3" s="228" t="s">
        <v>242</v>
      </c>
      <c r="P3" s="54"/>
      <c r="Q3" s="54"/>
      <c r="R3" s="54"/>
      <c r="S3" s="54"/>
      <c r="T3" s="228"/>
      <c r="U3" s="54"/>
      <c r="V3" s="54"/>
      <c r="W3" s="54"/>
      <c r="X3" s="54"/>
      <c r="Y3" s="54"/>
      <c r="Z3" s="229"/>
      <c r="AB3" s="2"/>
      <c r="AC3" s="2"/>
      <c r="AD3" s="2"/>
      <c r="AE3" s="2"/>
      <c r="AF3" s="2"/>
      <c r="AG3" s="2"/>
      <c r="AH3" s="2"/>
      <c r="AI3" s="2"/>
      <c r="AJ3" s="2"/>
      <c r="AK3" s="2"/>
      <c r="AL3" s="2"/>
      <c r="AN3" s="227"/>
      <c r="AO3" s="228" t="s">
        <v>244</v>
      </c>
      <c r="AP3" s="54"/>
      <c r="AQ3" s="54"/>
      <c r="AR3" s="54"/>
      <c r="AS3" s="54"/>
      <c r="AT3" s="54"/>
      <c r="AU3" s="228"/>
      <c r="AV3" s="54"/>
      <c r="AW3" s="54"/>
      <c r="AX3" s="54"/>
      <c r="AY3" s="54"/>
      <c r="AZ3" s="54"/>
      <c r="BA3" s="228"/>
      <c r="BB3" s="54"/>
      <c r="BC3" s="54"/>
      <c r="BD3" s="54"/>
      <c r="BE3" s="54"/>
      <c r="BF3" s="228"/>
      <c r="BG3" s="54"/>
      <c r="BH3" s="54"/>
      <c r="BI3" s="54"/>
      <c r="BJ3" s="54"/>
      <c r="BK3" s="54"/>
      <c r="BL3" s="229"/>
    </row>
    <row r="4" spans="2:64" x14ac:dyDescent="0.3">
      <c r="B4" s="230"/>
      <c r="C4" s="9"/>
      <c r="D4" s="9"/>
      <c r="E4" s="9"/>
      <c r="F4" s="9"/>
      <c r="G4" s="9"/>
      <c r="H4" s="9"/>
      <c r="I4" s="7"/>
      <c r="J4" s="9"/>
      <c r="K4" s="9"/>
      <c r="L4" s="9"/>
      <c r="M4" s="9"/>
      <c r="N4" s="9"/>
      <c r="O4" s="7"/>
      <c r="P4" s="9"/>
      <c r="Q4" s="9"/>
      <c r="R4" s="9"/>
      <c r="S4" s="9"/>
      <c r="T4" s="9"/>
      <c r="U4" s="9"/>
      <c r="V4" s="32"/>
      <c r="W4" s="32"/>
      <c r="X4" s="32"/>
      <c r="Y4" s="32"/>
      <c r="Z4" s="231"/>
      <c r="AB4" s="2"/>
      <c r="AC4" s="2"/>
      <c r="AD4" s="2"/>
      <c r="AE4" s="2"/>
      <c r="AF4" s="2"/>
      <c r="AG4" s="2"/>
      <c r="AH4" s="2"/>
      <c r="AI4" s="2"/>
      <c r="AJ4" s="2"/>
      <c r="AK4" s="2"/>
      <c r="AL4" s="2"/>
      <c r="AN4" s="232"/>
      <c r="AO4" s="15"/>
      <c r="AP4" s="15"/>
      <c r="AQ4" s="15"/>
      <c r="AR4" s="15"/>
      <c r="AS4" s="15"/>
      <c r="AT4" s="15"/>
      <c r="AU4" s="15"/>
      <c r="AV4" s="15"/>
      <c r="AW4" s="15"/>
      <c r="AX4" s="15"/>
      <c r="AY4" s="15"/>
      <c r="AZ4" s="15"/>
      <c r="BA4" s="15"/>
      <c r="BB4" s="15"/>
      <c r="BC4" s="15"/>
      <c r="BD4" s="15"/>
      <c r="BE4" s="15"/>
      <c r="BF4" s="15"/>
      <c r="BG4" s="15"/>
      <c r="BH4" s="15"/>
      <c r="BI4" s="15"/>
      <c r="BJ4" s="15"/>
      <c r="BK4" s="15"/>
      <c r="BL4" s="233"/>
    </row>
    <row r="5" spans="2:64" x14ac:dyDescent="0.3">
      <c r="B5" s="232"/>
      <c r="C5" s="15"/>
      <c r="D5" s="78"/>
      <c r="E5" s="15"/>
      <c r="F5" s="15"/>
      <c r="G5" s="34"/>
      <c r="H5" s="15"/>
      <c r="I5" s="78" t="str">
        <f>Assumptions!$N$27</f>
        <v>Working Interest:</v>
      </c>
      <c r="J5" s="15"/>
      <c r="K5" s="15"/>
      <c r="L5" s="15"/>
      <c r="M5" s="234">
        <f t="shared" ref="M5:M6" ca="1" si="0">IFERROR(INDEX(Regional_Input_Range,MATCH($I5,Regional_Input_Var_Column,0),MATCH(MID(CELL("filename",$A$1),FIND("]",CELL("filename",$A$1))+1,255),Regional_Input_Region_Row,0)),"N/A")</f>
        <v>0.50898203592814373</v>
      </c>
      <c r="N5" s="15"/>
      <c r="O5" s="33" t="s">
        <v>41</v>
      </c>
      <c r="P5" s="15"/>
      <c r="Q5" s="15"/>
      <c r="R5" s="235">
        <f>Gas_Price_Diff</f>
        <v>0.94</v>
      </c>
      <c r="S5" s="15"/>
      <c r="T5" s="15"/>
      <c r="U5" s="15"/>
      <c r="V5" s="250"/>
      <c r="W5" s="250"/>
      <c r="X5" s="250"/>
      <c r="Y5" s="250"/>
      <c r="Z5" s="233"/>
      <c r="AB5" s="2"/>
      <c r="AC5" s="2"/>
      <c r="AD5" s="2"/>
      <c r="AE5" s="2"/>
      <c r="AF5" s="2"/>
      <c r="AG5" s="2"/>
      <c r="AH5" s="2"/>
      <c r="AI5" s="2"/>
      <c r="AJ5" s="2"/>
      <c r="AK5" s="2"/>
      <c r="AL5" s="2"/>
      <c r="AN5" s="232"/>
      <c r="AQ5" s="177" t="s">
        <v>53</v>
      </c>
      <c r="AR5" s="38" t="s">
        <v>147</v>
      </c>
      <c r="AT5" s="37" t="s">
        <v>331</v>
      </c>
      <c r="AU5" s="23"/>
      <c r="AV5" s="37" t="s">
        <v>249</v>
      </c>
      <c r="AW5" s="23"/>
      <c r="AX5" s="37" t="s">
        <v>250</v>
      </c>
      <c r="AY5" s="23"/>
      <c r="AZ5" s="15"/>
      <c r="BA5" s="15"/>
      <c r="BB5" s="15"/>
      <c r="BC5" s="15"/>
      <c r="BD5" s="15"/>
      <c r="BE5" s="15"/>
      <c r="BF5" s="15"/>
      <c r="BG5" s="15"/>
      <c r="BH5" s="15"/>
      <c r="BI5" s="15"/>
      <c r="BJ5" s="15"/>
      <c r="BK5" s="15"/>
      <c r="BL5" s="233"/>
    </row>
    <row r="6" spans="2:64" x14ac:dyDescent="0.3">
      <c r="B6" s="232"/>
      <c r="C6" s="15"/>
      <c r="D6" s="78"/>
      <c r="E6" s="15"/>
      <c r="F6" s="15"/>
      <c r="G6" s="34"/>
      <c r="H6" s="15"/>
      <c r="I6" s="78" t="str">
        <f>Assumptions!$N$28</f>
        <v>Royalty Rate:</v>
      </c>
      <c r="J6" s="15"/>
      <c r="K6" s="15"/>
      <c r="L6" s="15"/>
      <c r="M6" s="234">
        <f t="shared" ca="1" si="0"/>
        <v>0</v>
      </c>
      <c r="N6" s="15"/>
      <c r="O6" s="33" t="s">
        <v>13</v>
      </c>
      <c r="P6" s="15"/>
      <c r="Q6" s="15"/>
      <c r="R6" s="235">
        <f>Oil_Price_Diff</f>
        <v>0.93</v>
      </c>
      <c r="S6" s="15"/>
      <c r="T6" s="33"/>
      <c r="U6" s="15"/>
      <c r="V6" s="238"/>
      <c r="W6" s="238"/>
      <c r="X6" s="191"/>
      <c r="Y6" s="34"/>
      <c r="Z6" s="233"/>
      <c r="AB6" s="2"/>
      <c r="AC6" s="2"/>
      <c r="AD6" s="2"/>
      <c r="AE6" s="2"/>
      <c r="AF6" s="2"/>
      <c r="AG6" s="2"/>
      <c r="AH6" s="2"/>
      <c r="AI6" s="2"/>
      <c r="AJ6" s="2"/>
      <c r="AK6" s="2"/>
      <c r="AL6" s="2"/>
      <c r="AN6" s="232"/>
      <c r="AO6" s="188" t="s">
        <v>253</v>
      </c>
      <c r="AP6" s="4"/>
      <c r="AQ6" s="11" t="s">
        <v>54</v>
      </c>
      <c r="AR6" s="11" t="s">
        <v>254</v>
      </c>
      <c r="AS6" s="4"/>
      <c r="AT6" s="240" t="s">
        <v>164</v>
      </c>
      <c r="AU6" s="241" t="s">
        <v>178</v>
      </c>
      <c r="AV6" s="240" t="s">
        <v>164</v>
      </c>
      <c r="AW6" s="241" t="s">
        <v>178</v>
      </c>
      <c r="AX6" s="240" t="s">
        <v>164</v>
      </c>
      <c r="AY6" s="241" t="s">
        <v>178</v>
      </c>
      <c r="AZ6" s="15"/>
      <c r="BA6" s="15"/>
      <c r="BB6" s="15"/>
      <c r="BC6" s="15"/>
      <c r="BD6" s="15"/>
      <c r="BE6" s="15"/>
      <c r="BF6" s="15"/>
      <c r="BG6" s="15"/>
      <c r="BH6" s="15"/>
      <c r="BI6" s="15"/>
      <c r="BJ6" s="15"/>
      <c r="BK6" s="15"/>
      <c r="BL6" s="233"/>
    </row>
    <row r="7" spans="2:64" x14ac:dyDescent="0.3">
      <c r="B7" s="232"/>
      <c r="C7" s="15"/>
      <c r="D7" s="78"/>
      <c r="E7" s="15"/>
      <c r="F7" s="15"/>
      <c r="G7" s="321"/>
      <c r="H7" s="15"/>
      <c r="I7" s="78" t="str">
        <f>Assumptions!$N$29</f>
        <v>EUR (Mmcfe):</v>
      </c>
      <c r="J7" s="15"/>
      <c r="K7" s="15"/>
      <c r="L7" s="15"/>
      <c r="M7" s="242">
        <f ca="1">IFERROR(INDEX(Regional_Input_Range,MATCH($I7,Regional_Input_Var_Column,0),MATCH(MID(CELL("filename",$A$1),FIND("]",CELL("filename",$A$1))+1,255),Regional_Input_Region_Row,0)),"N/A")</f>
        <v>7694.2121125604954</v>
      </c>
      <c r="N7" s="15"/>
      <c r="O7" s="33" t="s">
        <v>8</v>
      </c>
      <c r="P7" s="15"/>
      <c r="Q7" s="15"/>
      <c r="R7" s="235">
        <f>NGL_Price_Diff_vs_Oil</f>
        <v>0.5</v>
      </c>
      <c r="S7" s="15"/>
      <c r="T7" s="33"/>
      <c r="U7" s="15"/>
      <c r="V7" s="238"/>
      <c r="W7" s="238"/>
      <c r="X7" s="191"/>
      <c r="Y7" s="34"/>
      <c r="Z7" s="233"/>
      <c r="AB7" s="2"/>
      <c r="AC7" s="2"/>
      <c r="AD7" s="2"/>
      <c r="AE7" s="2"/>
      <c r="AF7" s="2"/>
      <c r="AG7" s="2"/>
      <c r="AH7" s="2"/>
      <c r="AI7" s="2"/>
      <c r="AJ7" s="2"/>
      <c r="AK7" s="2"/>
      <c r="AL7" s="2"/>
      <c r="AN7" s="232"/>
      <c r="AO7" s="243" t="str">
        <f>Assumptions!$N$44</f>
        <v>PDP</v>
      </c>
      <c r="AP7" s="15"/>
      <c r="AQ7" s="244">
        <f ca="1">IFERROR(INDEX(Reserve_Credit_Range,MATCH($AO7,Reserve_Credit_Categories_Col,0),MATCH(MID(CELL("filename",$A$1),FIND("]",CELL("filename",$A$1))+1,255),Reserve_Credit_Regions_Row,0)),"N/A")</f>
        <v>1</v>
      </c>
      <c r="AR7" s="322">
        <f t="shared" ref="AR7:AR8" ca="1" si="1">$M$5</f>
        <v>0.50898203592814373</v>
      </c>
      <c r="AT7" s="15"/>
      <c r="AU7" s="293"/>
      <c r="AV7" s="15"/>
      <c r="AX7" s="15"/>
      <c r="AZ7" s="15"/>
      <c r="BA7" s="15"/>
      <c r="BB7" s="15"/>
      <c r="BC7" s="15"/>
      <c r="BD7" s="15"/>
      <c r="BE7" s="15"/>
      <c r="BF7" s="15"/>
      <c r="BG7" s="15"/>
      <c r="BH7" s="15"/>
      <c r="BI7" s="15"/>
      <c r="BJ7" s="15"/>
      <c r="BK7" s="15"/>
      <c r="BL7" s="233"/>
    </row>
    <row r="8" spans="2:64" x14ac:dyDescent="0.3">
      <c r="B8" s="232"/>
      <c r="C8" s="15"/>
      <c r="D8" s="78"/>
      <c r="E8" s="15"/>
      <c r="F8" s="15"/>
      <c r="G8" s="245"/>
      <c r="H8" s="15"/>
      <c r="I8" s="78" t="str">
        <f>Assumptions!$N$30</f>
        <v>IP Rate (Mmcfe / d):</v>
      </c>
      <c r="J8" s="15"/>
      <c r="K8" s="15"/>
      <c r="L8" s="15"/>
      <c r="M8" s="242">
        <f ca="1">IFERROR(INDEX(Regional_Input_Range,MATCH($I8,Regional_Input_Var_Column,0),MATCH(MID(CELL("filename",$A$1),FIND("]",CELL("filename",$A$1))+1,255),Regional_Input_Region_Row,0)),"N/A")</f>
        <v>6.4</v>
      </c>
      <c r="N8" s="15"/>
      <c r="O8" s="15"/>
      <c r="P8" s="15"/>
      <c r="Q8" s="15"/>
      <c r="R8" s="15"/>
      <c r="S8" s="15"/>
      <c r="T8" s="16"/>
      <c r="U8" s="15"/>
      <c r="V8" s="323"/>
      <c r="W8" s="323"/>
      <c r="X8" s="323"/>
      <c r="Y8" s="183"/>
      <c r="Z8" s="233"/>
      <c r="AB8" s="2"/>
      <c r="AC8" s="2"/>
      <c r="AD8" s="2"/>
      <c r="AE8" s="2"/>
      <c r="AF8" s="2"/>
      <c r="AG8" s="2"/>
      <c r="AH8" s="2"/>
      <c r="AI8" s="2"/>
      <c r="AJ8" s="2"/>
      <c r="AK8" s="2"/>
      <c r="AL8" s="2"/>
      <c r="AN8" s="232"/>
      <c r="AO8" s="243" t="str">
        <f>Assumptions!$N$45</f>
        <v>PDNP</v>
      </c>
      <c r="AP8" s="15"/>
      <c r="AQ8" s="244">
        <f ca="1">IFERROR(INDEX(Reserve_Credit_Range,MATCH($AO8,Reserve_Credit_Categories_Col,0),MATCH(MID(CELL("filename",$A$1),FIND("]",CELL("filename",$A$1))+1,255),Reserve_Credit_Regions_Row,0)),"N/A")</f>
        <v>1</v>
      </c>
      <c r="AR8" s="322">
        <f t="shared" ca="1" si="1"/>
        <v>0.50898203592814373</v>
      </c>
      <c r="AT8" s="15"/>
      <c r="AU8" s="293"/>
      <c r="AV8" s="15"/>
      <c r="AX8" s="15"/>
      <c r="AZ8" s="15"/>
      <c r="BA8" s="15"/>
      <c r="BB8" s="15"/>
      <c r="BC8" s="15"/>
      <c r="BD8" s="15"/>
      <c r="BE8" s="15"/>
      <c r="BF8" s="15"/>
      <c r="BG8" s="15"/>
      <c r="BH8" s="15"/>
      <c r="BI8" s="15"/>
      <c r="BJ8" s="15"/>
      <c r="BK8" s="15"/>
      <c r="BL8" s="233"/>
    </row>
    <row r="9" spans="2:64" x14ac:dyDescent="0.3">
      <c r="B9" s="232"/>
      <c r="C9" s="15"/>
      <c r="D9" s="78"/>
      <c r="E9" s="15"/>
      <c r="F9" s="15"/>
      <c r="G9" s="235"/>
      <c r="H9" s="15"/>
      <c r="I9" s="78" t="str">
        <f>Assumptions!$N$31</f>
        <v>D&amp;C Cost Per Well ($ in MMs):</v>
      </c>
      <c r="J9" s="15"/>
      <c r="K9" s="15"/>
      <c r="L9" s="15"/>
      <c r="M9" s="246">
        <f ca="1">IFERROR(INDEX(Regional_Input_Range,MATCH($I9,Regional_Input_Var_Column,0),MATCH(MID(CELL("filename",$A$1),FIND("]",CELL("filename",$A$1))+1,255),Regional_Input_Region_Row,0)),"N/A")</f>
        <v>7</v>
      </c>
      <c r="N9" s="15"/>
      <c r="O9" s="15"/>
      <c r="P9" s="15"/>
      <c r="Q9" s="15"/>
      <c r="R9" s="15"/>
      <c r="S9" s="15"/>
      <c r="T9" s="15"/>
      <c r="U9" s="15"/>
      <c r="V9" s="238"/>
      <c r="W9" s="238"/>
      <c r="X9" s="191"/>
      <c r="Y9" s="34"/>
      <c r="Z9" s="233"/>
      <c r="AB9" s="2"/>
      <c r="AC9" s="2"/>
      <c r="AD9" s="2"/>
      <c r="AE9" s="2"/>
      <c r="AF9" s="2"/>
      <c r="AG9" s="2"/>
      <c r="AH9" s="2"/>
      <c r="AI9" s="2"/>
      <c r="AJ9" s="2"/>
      <c r="AK9" s="2"/>
      <c r="AL9" s="2"/>
      <c r="AN9" s="232"/>
      <c r="AO9" s="243" t="str">
        <f>Assumptions!$N$46</f>
        <v>PUD</v>
      </c>
      <c r="AP9" s="15"/>
      <c r="AQ9" s="244">
        <f ca="1">IFERROR(INDEX(Reserve_Credit_Range,MATCH($AO9,Reserve_Credit_Categories_Col,0),MATCH(MID(CELL("filename",$A$1),FIND("]",CELL("filename",$A$1))+1,255),Reserve_Credit_Regions_Row,0)),"N/A")</f>
        <v>1</v>
      </c>
      <c r="AR9" s="322">
        <f ca="1">$M$5</f>
        <v>0.50898203592814373</v>
      </c>
      <c r="AT9" s="247">
        <f ca="1">+AU9/AR9</f>
        <v>264.26249429806006</v>
      </c>
      <c r="AU9" s="324">
        <f ca="1">IFERROR(INDEX(Wells_Input_Range,MATCH(MID(CELL("filename",$A$1),FIND("]",CELL("filename",$A$1))+1,255),Wells_Input_Region_Column,0),MATCH($AO9,Wells_Input_Reserve_Row,0)),"N/A")</f>
        <v>134.50486236727608</v>
      </c>
      <c r="AV9" s="34">
        <f ca="1">AT9*$M$7*(1-$M$6)</f>
        <v>2033291.6845235825</v>
      </c>
      <c r="AW9" s="34">
        <f t="shared" ref="AW9:AW11" ca="1" si="2">AU9*$M$7*(1-$M$6)</f>
        <v>1034908.941224578</v>
      </c>
      <c r="AX9" s="34">
        <f ca="1">+AV9*$AQ9</f>
        <v>2033291.6845235825</v>
      </c>
      <c r="AY9" s="34">
        <f t="shared" ref="AY9:AY11" ca="1" si="3">+AW9*$AQ9</f>
        <v>1034908.941224578</v>
      </c>
      <c r="AZ9" s="15"/>
      <c r="BA9" s="15"/>
      <c r="BB9" s="15"/>
      <c r="BC9" s="15"/>
      <c r="BD9" s="15"/>
      <c r="BE9" s="15"/>
      <c r="BF9" s="15"/>
      <c r="BG9" s="15"/>
      <c r="BH9" s="15"/>
      <c r="BI9" s="15"/>
      <c r="BJ9" s="15"/>
      <c r="BK9" s="15"/>
      <c r="BL9" s="233"/>
    </row>
    <row r="10" spans="2:64" x14ac:dyDescent="0.3">
      <c r="B10" s="232"/>
      <c r="C10" s="15"/>
      <c r="D10" s="78"/>
      <c r="E10" s="15"/>
      <c r="F10" s="15"/>
      <c r="G10" s="15"/>
      <c r="H10" s="15"/>
      <c r="I10" s="33" t="s">
        <v>260</v>
      </c>
      <c r="M10" s="248" t="s">
        <v>213</v>
      </c>
      <c r="N10" s="15"/>
      <c r="O10" s="15"/>
      <c r="P10" s="15"/>
      <c r="Q10" s="15"/>
      <c r="R10" s="15"/>
      <c r="S10" s="15"/>
      <c r="T10" s="249"/>
      <c r="U10" s="15"/>
      <c r="V10" s="250"/>
      <c r="W10" s="250"/>
      <c r="X10" s="250"/>
      <c r="Y10" s="61"/>
      <c r="Z10" s="233"/>
      <c r="AB10" s="2"/>
      <c r="AC10" s="2"/>
      <c r="AD10" s="2"/>
      <c r="AE10" s="2"/>
      <c r="AF10" s="2"/>
      <c r="AG10" s="2"/>
      <c r="AH10" s="2"/>
      <c r="AI10" s="2"/>
      <c r="AJ10" s="2"/>
      <c r="AK10" s="2"/>
      <c r="AL10" s="2"/>
      <c r="AN10" s="232"/>
      <c r="AO10" s="243" t="str">
        <f>Assumptions!$N$47</f>
        <v>PROB</v>
      </c>
      <c r="AP10" s="15"/>
      <c r="AQ10" s="244">
        <f ca="1">IFERROR(INDEX(Reserve_Credit_Range,MATCH($AO10,Reserve_Credit_Categories_Col,0),MATCH(MID(CELL("filename",$A$1),FIND("]",CELL("filename",$A$1))+1,255),Reserve_Credit_Regions_Row,0)),"N/A")</f>
        <v>0.5</v>
      </c>
      <c r="AR10" s="322">
        <f t="shared" ref="AR10:AR11" ca="1" si="4">$M$5</f>
        <v>0.50898203592814373</v>
      </c>
      <c r="AT10" s="247">
        <f t="shared" ref="AT10:AT11" ca="1" si="5">+AU10/AR10</f>
        <v>1779.8143454332367</v>
      </c>
      <c r="AU10" s="324">
        <f ca="1">IFERROR(INDEX(Wells_Input_Range,MATCH(MID(CELL("filename",$A$1),FIND("]",CELL("filename",$A$1))+1,255),Wells_Input_Region_Column,0),MATCH($AO10,Wells_Input_Reserve_Row,0)),"N/A")</f>
        <v>905.89352911272533</v>
      </c>
      <c r="AV10" s="34">
        <f t="shared" ref="AV10:AV11" ca="1" si="6">AT10*$M$7*(1-$M$6)</f>
        <v>13694269.094741339</v>
      </c>
      <c r="AW10" s="34">
        <f t="shared" ca="1" si="2"/>
        <v>6970136.9643893046</v>
      </c>
      <c r="AX10" s="34">
        <f t="shared" ref="AX10:AX11" ca="1" si="7">+AV10*$AQ10</f>
        <v>6847134.5473706694</v>
      </c>
      <c r="AY10" s="34">
        <f t="shared" ca="1" si="3"/>
        <v>3485068.4821946523</v>
      </c>
      <c r="AZ10" s="15"/>
      <c r="BA10" s="15"/>
      <c r="BB10" s="15"/>
      <c r="BC10" s="15"/>
      <c r="BD10" s="15"/>
      <c r="BE10" s="15"/>
      <c r="BF10" s="15"/>
      <c r="BG10" s="15"/>
      <c r="BH10" s="15"/>
      <c r="BI10" s="15"/>
      <c r="BJ10" s="15"/>
      <c r="BK10" s="15"/>
      <c r="BL10" s="233"/>
    </row>
    <row r="11" spans="2:64" x14ac:dyDescent="0.3">
      <c r="B11" s="232"/>
      <c r="D11" s="33"/>
      <c r="H11" s="15"/>
      <c r="I11" s="33" t="s">
        <v>261</v>
      </c>
      <c r="M11" s="248" t="s">
        <v>213</v>
      </c>
      <c r="N11" s="15"/>
      <c r="O11" s="15"/>
      <c r="P11" s="15"/>
      <c r="Q11" s="15"/>
      <c r="R11" s="15"/>
      <c r="S11" s="15"/>
      <c r="T11" s="325"/>
      <c r="U11" s="15"/>
      <c r="V11" s="250"/>
      <c r="W11" s="250"/>
      <c r="X11" s="250"/>
      <c r="Y11" s="250"/>
      <c r="Z11" s="233"/>
      <c r="AB11" s="2"/>
      <c r="AC11" s="2"/>
      <c r="AD11" s="2"/>
      <c r="AE11" s="2"/>
      <c r="AF11" s="2"/>
      <c r="AG11" s="2"/>
      <c r="AH11" s="2"/>
      <c r="AI11" s="2"/>
      <c r="AJ11" s="2"/>
      <c r="AK11" s="2"/>
      <c r="AL11" s="2"/>
      <c r="AN11" s="232"/>
      <c r="AO11" s="243" t="str">
        <f>Assumptions!$N$48</f>
        <v>POSS</v>
      </c>
      <c r="AP11" s="15"/>
      <c r="AQ11" s="244">
        <f ca="1">IFERROR(INDEX(Reserve_Credit_Range,MATCH($AO11,Reserve_Credit_Categories_Col,0),MATCH(MID(CELL("filename",$A$1),FIND("]",CELL("filename",$A$1))+1,255),Reserve_Credit_Regions_Row,0)),"N/A")</f>
        <v>0.1</v>
      </c>
      <c r="AR11" s="322">
        <f t="shared" ca="1" si="4"/>
        <v>0.50898203592814373</v>
      </c>
      <c r="AT11" s="247">
        <f t="shared" ca="1" si="5"/>
        <v>1295.9231602687032</v>
      </c>
      <c r="AU11" s="324">
        <f ca="1">IFERROR(INDEX(Wells_Input_Range,MATCH(MID(CELL("filename",$A$1),FIND("]",CELL("filename",$A$1))+1,255),Wells_Input_Region_Column,0),MATCH($AO11,Wells_Input_Reserve_Row,0)),"N/A")</f>
        <v>659.60160851999865</v>
      </c>
      <c r="AV11" s="34">
        <f t="shared" ca="1" si="6"/>
        <v>9971107.6766871326</v>
      </c>
      <c r="AW11" s="34">
        <f t="shared" ca="1" si="2"/>
        <v>5075114.6857389593</v>
      </c>
      <c r="AX11" s="34">
        <f t="shared" ca="1" si="7"/>
        <v>997110.76766871335</v>
      </c>
      <c r="AY11" s="34">
        <f t="shared" ca="1" si="3"/>
        <v>507511.46857389598</v>
      </c>
      <c r="AZ11" s="15"/>
      <c r="BA11" s="15"/>
      <c r="BB11" s="15"/>
      <c r="BC11" s="15"/>
      <c r="BD11" s="15"/>
      <c r="BE11" s="15"/>
      <c r="BF11" s="15"/>
      <c r="BG11" s="15"/>
      <c r="BH11" s="15"/>
      <c r="BI11" s="15"/>
      <c r="BJ11" s="15"/>
      <c r="BK11" s="15"/>
      <c r="BL11" s="233"/>
    </row>
    <row r="12" spans="2:64" x14ac:dyDescent="0.3">
      <c r="B12" s="232"/>
      <c r="D12" s="33"/>
      <c r="H12" s="15"/>
      <c r="I12" s="78" t="str">
        <f>Assumptions!$N$32</f>
        <v>% Gas:</v>
      </c>
      <c r="M12" s="234">
        <f ca="1">IFERROR(INDEX(Regional_Input_Range,MATCH($I12,Regional_Input_Var_Column,0),MATCH(MID(CELL("filename",$A$1),FIND("]",CELL("filename",$A$1))+1,255),Regional_Input_Region_Row,0)),"N/A")</f>
        <v>0.9618282270215972</v>
      </c>
      <c r="N12" s="15"/>
      <c r="O12" s="16"/>
      <c r="P12" s="15"/>
      <c r="Q12" s="15"/>
      <c r="R12" s="15"/>
      <c r="S12" s="15"/>
      <c r="T12" s="18"/>
      <c r="U12" s="15"/>
      <c r="V12" s="191"/>
      <c r="W12" s="191"/>
      <c r="X12" s="191"/>
      <c r="Y12" s="34"/>
      <c r="Z12" s="233"/>
      <c r="AB12" s="2"/>
      <c r="AC12" s="2"/>
      <c r="AD12" s="2"/>
      <c r="AE12" s="2"/>
      <c r="AF12" s="2"/>
      <c r="AG12" s="2"/>
      <c r="AH12" s="2"/>
      <c r="AI12" s="2"/>
      <c r="AJ12" s="2"/>
      <c r="AK12" s="2"/>
      <c r="AL12" s="2"/>
      <c r="AN12" s="232"/>
      <c r="AO12" s="96" t="s">
        <v>26</v>
      </c>
      <c r="AP12" s="9"/>
      <c r="AQ12" s="9"/>
      <c r="AR12" s="9"/>
      <c r="AS12" s="9"/>
      <c r="AT12" s="207">
        <f ca="1">SUM(AT7:AT11)</f>
        <v>3340</v>
      </c>
      <c r="AU12" s="207">
        <f ca="1">SUM(AU7:AU11)</f>
        <v>1700</v>
      </c>
      <c r="AV12" s="8">
        <f t="shared" ref="AV12:AW12" ca="1" si="8">SUM(AV7:AV11)</f>
        <v>25698668.455952056</v>
      </c>
      <c r="AW12" s="8">
        <f t="shared" ca="1" si="8"/>
        <v>13080160.591352843</v>
      </c>
      <c r="AX12" s="8">
        <f t="shared" ref="AX12" ca="1" si="9">SUM(AX7:AX11)</f>
        <v>9877536.9995629638</v>
      </c>
      <c r="AY12" s="8">
        <f t="shared" ref="AY12" ca="1" si="10">SUM(AY7:AY11)</f>
        <v>5027488.8919931268</v>
      </c>
      <c r="AZ12" s="15"/>
      <c r="BA12" s="15"/>
      <c r="BB12" s="15"/>
      <c r="BC12" s="15"/>
      <c r="BD12" s="15"/>
      <c r="BE12" s="15"/>
      <c r="BF12" s="15"/>
      <c r="BG12" s="15"/>
      <c r="BH12" s="15"/>
      <c r="BI12" s="15"/>
      <c r="BJ12" s="15"/>
      <c r="BK12" s="15"/>
      <c r="BL12" s="233"/>
    </row>
    <row r="13" spans="2:64" x14ac:dyDescent="0.3">
      <c r="B13" s="232"/>
      <c r="H13" s="15"/>
      <c r="I13" s="78" t="str">
        <f>Assumptions!$N$33</f>
        <v>% NGLs:</v>
      </c>
      <c r="M13" s="234">
        <f ca="1">IFERROR(INDEX(Regional_Input_Range,MATCH($I13,Regional_Input_Var_Column,0),MATCH(MID(CELL("filename",$A$1),FIND("]",CELL("filename",$A$1))+1,255),Regional_Input_Region_Row,0)),"N/A")</f>
        <v>0</v>
      </c>
      <c r="N13" s="15"/>
      <c r="P13" s="20"/>
      <c r="S13" s="15"/>
      <c r="T13" s="326"/>
      <c r="U13" s="15"/>
      <c r="V13" s="15"/>
      <c r="W13" s="15"/>
      <c r="X13" s="15"/>
      <c r="Y13" s="15"/>
      <c r="Z13" s="233"/>
      <c r="AB13" s="2"/>
      <c r="AC13" s="2"/>
      <c r="AD13" s="2"/>
      <c r="AE13" s="2"/>
      <c r="AF13" s="2"/>
      <c r="AG13" s="2"/>
      <c r="AH13" s="2"/>
      <c r="AI13" s="2"/>
      <c r="AJ13" s="2"/>
      <c r="AK13" s="2"/>
      <c r="AL13" s="2"/>
      <c r="AN13" s="232"/>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233"/>
    </row>
    <row r="14" spans="2:64" x14ac:dyDescent="0.3">
      <c r="B14" s="232"/>
      <c r="D14" s="325"/>
      <c r="H14" s="15"/>
      <c r="I14" s="78" t="str">
        <f>Assumptions!$N$34</f>
        <v>% Oil:</v>
      </c>
      <c r="M14" s="234">
        <f ca="1">IFERROR(INDEX(Regional_Input_Range,MATCH($I14,Regional_Input_Var_Column,0),MATCH(MID(CELL("filename",$A$1),FIND("]",CELL("filename",$A$1))+1,255),Regional_Input_Region_Row,0)),"N/A")</f>
        <v>3.8171772978402796E-2</v>
      </c>
      <c r="N14" s="15"/>
      <c r="S14" s="15"/>
      <c r="T14" s="15"/>
      <c r="U14" s="15"/>
      <c r="V14" s="15"/>
      <c r="W14" s="15"/>
      <c r="X14" s="15"/>
      <c r="Y14" s="15"/>
      <c r="Z14" s="233"/>
      <c r="AB14" s="2"/>
      <c r="AC14" s="2"/>
      <c r="AD14" s="2"/>
      <c r="AE14" s="2"/>
      <c r="AF14" s="2"/>
      <c r="AG14" s="2"/>
      <c r="AH14" s="2"/>
      <c r="AI14" s="2"/>
      <c r="AJ14" s="2"/>
      <c r="AK14" s="2"/>
      <c r="AL14" s="2"/>
      <c r="AN14" s="232"/>
      <c r="AO14" s="18"/>
      <c r="AP14" s="18"/>
      <c r="AQ14" s="18"/>
      <c r="AR14" s="18"/>
      <c r="AS14" s="18"/>
      <c r="AT14" s="18"/>
      <c r="AU14" s="18"/>
      <c r="AV14" s="18"/>
      <c r="AW14" s="18"/>
      <c r="AX14" s="18"/>
      <c r="AY14" s="184"/>
      <c r="AZ14" s="18"/>
      <c r="BA14" s="18"/>
      <c r="BB14" s="18"/>
      <c r="BC14" s="18"/>
      <c r="BD14" s="18"/>
      <c r="BE14" s="18"/>
      <c r="BF14" s="15"/>
      <c r="BG14" s="15"/>
      <c r="BH14" s="15"/>
      <c r="BI14" s="15"/>
      <c r="BJ14" s="15"/>
      <c r="BK14" s="15"/>
      <c r="BL14" s="233"/>
    </row>
    <row r="15" spans="2:64" x14ac:dyDescent="0.3">
      <c r="B15" s="232"/>
      <c r="D15" s="33"/>
      <c r="H15" s="15"/>
      <c r="N15" s="15"/>
      <c r="O15" s="15"/>
      <c r="P15" s="15"/>
      <c r="Q15" s="15"/>
      <c r="R15" s="15"/>
      <c r="S15" s="15"/>
      <c r="T15" s="16"/>
      <c r="U15" s="15"/>
      <c r="V15" s="15"/>
      <c r="W15" s="15"/>
      <c r="X15" s="15"/>
      <c r="Y15" s="15"/>
      <c r="Z15" s="233"/>
      <c r="AB15" s="2"/>
      <c r="AC15" s="2"/>
      <c r="AD15" s="2"/>
      <c r="AE15" s="2"/>
      <c r="AF15" s="2"/>
      <c r="AG15" s="2"/>
      <c r="AH15" s="2"/>
      <c r="AI15" s="2"/>
      <c r="AJ15" s="2"/>
      <c r="AK15" s="2"/>
      <c r="AL15" s="2"/>
      <c r="AN15" s="232"/>
      <c r="AO15" s="18"/>
      <c r="AP15" s="18"/>
      <c r="AQ15" s="18"/>
      <c r="AR15" s="18"/>
      <c r="AS15" s="18"/>
      <c r="AT15" s="18"/>
      <c r="AU15" s="18"/>
      <c r="AV15" s="18"/>
      <c r="AW15" s="18"/>
      <c r="AX15" s="18"/>
      <c r="AY15" s="18"/>
      <c r="AZ15" s="18"/>
      <c r="BA15" s="18"/>
      <c r="BB15" s="18"/>
      <c r="BC15" s="18"/>
      <c r="BD15" s="18"/>
      <c r="BE15" s="18"/>
      <c r="BF15" s="15"/>
      <c r="BG15" s="15"/>
      <c r="BH15" s="15"/>
      <c r="BI15" s="15"/>
      <c r="BJ15" s="15"/>
      <c r="BK15" s="15"/>
      <c r="BL15" s="233"/>
    </row>
    <row r="16" spans="2:64" x14ac:dyDescent="0.3">
      <c r="B16" s="232"/>
      <c r="D16" s="33"/>
      <c r="H16" s="15"/>
      <c r="I16" s="251" t="s">
        <v>266</v>
      </c>
      <c r="J16" s="4"/>
      <c r="K16" s="4"/>
      <c r="L16" s="4"/>
      <c r="M16" s="4"/>
      <c r="N16" s="15"/>
      <c r="O16" s="15"/>
      <c r="P16" s="15"/>
      <c r="Q16" s="15"/>
      <c r="R16" s="15"/>
      <c r="S16" s="15"/>
      <c r="T16" s="33"/>
      <c r="U16" s="15"/>
      <c r="V16" s="15"/>
      <c r="W16" s="15"/>
      <c r="X16" s="15"/>
      <c r="Y16" s="35"/>
      <c r="Z16" s="233"/>
      <c r="AB16" s="2"/>
      <c r="AC16" s="2"/>
      <c r="AD16" s="2"/>
      <c r="AE16" s="2"/>
      <c r="AF16" s="2"/>
      <c r="AG16" s="2"/>
      <c r="AH16" s="2"/>
      <c r="AI16" s="2"/>
      <c r="AJ16" s="2"/>
      <c r="AK16" s="2"/>
      <c r="AL16" s="2"/>
      <c r="AN16" s="232"/>
      <c r="AO16" s="18"/>
      <c r="AP16" s="18"/>
      <c r="AQ16" s="18"/>
      <c r="AR16" s="18"/>
      <c r="AS16" s="18"/>
      <c r="AT16" s="18"/>
      <c r="AU16" s="18"/>
      <c r="AV16" s="18"/>
      <c r="AW16" s="18"/>
      <c r="AX16" s="18"/>
      <c r="AY16" s="18"/>
      <c r="AZ16" s="18"/>
      <c r="BA16" s="18"/>
      <c r="BB16" s="18"/>
      <c r="BC16" s="18"/>
      <c r="BD16" s="18"/>
      <c r="BE16" s="18"/>
      <c r="BF16" s="15"/>
      <c r="BG16" s="15"/>
      <c r="BH16" s="15"/>
      <c r="BI16" s="15"/>
      <c r="BJ16" s="15"/>
      <c r="BK16" s="15"/>
      <c r="BL16" s="233"/>
    </row>
    <row r="17" spans="2:70" x14ac:dyDescent="0.3">
      <c r="B17" s="232"/>
      <c r="D17" s="33"/>
      <c r="H17" s="15"/>
      <c r="I17" s="33" t="str">
        <f>Assumptions!$N$8</f>
        <v>LOE per Mcfe:</v>
      </c>
      <c r="J17" s="15"/>
      <c r="K17" s="15"/>
      <c r="L17" s="15"/>
      <c r="M17" s="327">
        <f>LOE_Per_Mcfe</f>
        <v>0.37</v>
      </c>
      <c r="N17" s="15"/>
      <c r="O17" s="15"/>
      <c r="P17" s="15"/>
      <c r="Q17" s="15"/>
      <c r="R17" s="15"/>
      <c r="S17" s="15"/>
      <c r="T17" s="33"/>
      <c r="U17" s="15"/>
      <c r="V17" s="15"/>
      <c r="W17" s="15"/>
      <c r="X17" s="15"/>
      <c r="Y17" s="35"/>
      <c r="Z17" s="233"/>
      <c r="AB17" s="2"/>
      <c r="AC17" s="223"/>
      <c r="AD17" s="2"/>
      <c r="AE17" s="2"/>
      <c r="AF17" s="2"/>
      <c r="AG17" s="2"/>
      <c r="AH17" s="2"/>
      <c r="AI17" s="2"/>
      <c r="AJ17" s="2"/>
      <c r="AK17" s="2"/>
      <c r="AL17" s="2"/>
      <c r="AN17" s="232"/>
      <c r="AO17" s="355"/>
      <c r="AP17" s="18"/>
      <c r="AQ17" s="18"/>
      <c r="AR17" s="18"/>
      <c r="AS17" s="18"/>
      <c r="AT17" s="107"/>
      <c r="AU17" s="18"/>
      <c r="AV17" s="18"/>
      <c r="AW17" s="18"/>
      <c r="AX17" s="18"/>
      <c r="AY17" s="18"/>
      <c r="AZ17" s="18"/>
      <c r="BA17" s="18"/>
      <c r="BB17" s="18"/>
      <c r="BC17" s="18"/>
      <c r="BD17" s="18"/>
      <c r="BE17" s="18"/>
      <c r="BF17" s="15"/>
      <c r="BG17" s="15"/>
      <c r="BH17" s="15"/>
      <c r="BI17" s="15"/>
      <c r="BJ17" s="15"/>
      <c r="BK17" s="15"/>
      <c r="BL17" s="233"/>
    </row>
    <row r="18" spans="2:70" x14ac:dyDescent="0.3">
      <c r="B18" s="232"/>
      <c r="H18" s="15"/>
      <c r="I18" s="33" t="str">
        <f>Assumptions!$N$9</f>
        <v>Production Taxes per Mcfe:</v>
      </c>
      <c r="J18" s="15"/>
      <c r="K18" s="15"/>
      <c r="L18" s="15"/>
      <c r="M18" s="255">
        <f>Prod_Taxes_Per_Mcfe</f>
        <v>0.31</v>
      </c>
      <c r="N18" s="15"/>
      <c r="O18" s="15"/>
      <c r="P18" s="15"/>
      <c r="Q18" s="15"/>
      <c r="R18" s="15"/>
      <c r="S18" s="15"/>
      <c r="T18" s="33"/>
      <c r="U18" s="15"/>
      <c r="V18" s="15"/>
      <c r="W18" s="15"/>
      <c r="X18" s="15"/>
      <c r="Y18" s="35"/>
      <c r="Z18" s="233"/>
      <c r="AB18" s="2"/>
      <c r="AC18" s="2"/>
      <c r="AD18" s="2"/>
      <c r="AE18" s="2"/>
      <c r="AF18" s="2"/>
      <c r="AG18" s="2"/>
      <c r="AH18" s="2"/>
      <c r="AI18" s="2"/>
      <c r="AJ18" s="2"/>
      <c r="AK18" s="2"/>
      <c r="AL18" s="2"/>
      <c r="AN18" s="232"/>
      <c r="AO18" s="18"/>
      <c r="AP18" s="18"/>
      <c r="AQ18" s="18"/>
      <c r="AR18" s="18"/>
      <c r="AS18" s="18"/>
      <c r="AT18" s="18"/>
      <c r="AU18" s="18"/>
      <c r="AV18" s="18"/>
      <c r="AW18" s="18"/>
      <c r="AX18" s="18"/>
      <c r="AY18" s="18"/>
      <c r="AZ18" s="18"/>
      <c r="BA18" s="18"/>
      <c r="BB18" s="18"/>
      <c r="BC18" s="18"/>
      <c r="BD18" s="18"/>
      <c r="BE18" s="18"/>
      <c r="BF18" s="15"/>
      <c r="BG18" s="15"/>
      <c r="BH18" s="15"/>
      <c r="BI18" s="15"/>
      <c r="BJ18" s="15"/>
      <c r="BK18" s="15"/>
      <c r="BL18" s="233"/>
    </row>
    <row r="19" spans="2:70" x14ac:dyDescent="0.3">
      <c r="B19" s="232"/>
      <c r="H19" s="15"/>
      <c r="I19" s="33" t="str">
        <f>Assumptions!$N$10</f>
        <v>Other Operating Expenses per Mcfe:</v>
      </c>
      <c r="J19" s="15"/>
      <c r="K19" s="15"/>
      <c r="L19" s="15"/>
      <c r="M19" s="255">
        <f>Other_OpEx_Per_Mcfe</f>
        <v>0.57999999999999996</v>
      </c>
      <c r="N19" s="15"/>
      <c r="O19" s="15"/>
      <c r="P19" s="15"/>
      <c r="Q19" s="15"/>
      <c r="R19" s="15"/>
      <c r="S19" s="15"/>
      <c r="T19" s="33"/>
      <c r="U19" s="15"/>
      <c r="V19" s="15"/>
      <c r="W19" s="15"/>
      <c r="X19" s="15"/>
      <c r="Y19" s="321"/>
      <c r="Z19" s="233"/>
      <c r="AB19" s="2"/>
      <c r="AC19" s="2"/>
      <c r="AD19" s="2"/>
      <c r="AE19" s="2"/>
      <c r="AF19" s="2"/>
      <c r="AG19" s="2"/>
      <c r="AH19" s="2"/>
      <c r="AI19" s="2"/>
      <c r="AJ19" s="2"/>
      <c r="AK19" s="2"/>
      <c r="AL19" s="2"/>
      <c r="AN19" s="232"/>
      <c r="AO19" s="18"/>
      <c r="AP19" s="18"/>
      <c r="AQ19" s="18"/>
      <c r="AR19" s="18"/>
      <c r="AS19" s="18"/>
      <c r="AT19" s="18"/>
      <c r="AU19" s="18"/>
      <c r="AV19" s="18"/>
      <c r="AW19" s="18"/>
      <c r="AX19" s="18"/>
      <c r="AY19" s="18"/>
      <c r="AZ19" s="18"/>
      <c r="BA19" s="18"/>
      <c r="BB19" s="18"/>
      <c r="BC19" s="18"/>
      <c r="BD19" s="18"/>
      <c r="BE19" s="18"/>
      <c r="BF19" s="15"/>
      <c r="BG19" s="15"/>
      <c r="BH19" s="15"/>
      <c r="BI19" s="15"/>
      <c r="BJ19" s="15"/>
      <c r="BK19" s="15"/>
      <c r="BL19" s="233"/>
    </row>
    <row r="20" spans="2:70" x14ac:dyDescent="0.3">
      <c r="B20" s="232"/>
      <c r="C20" s="15"/>
      <c r="D20" s="15"/>
      <c r="E20" s="15"/>
      <c r="F20" s="15"/>
      <c r="G20" s="15"/>
      <c r="H20" s="15"/>
      <c r="N20" s="15"/>
      <c r="O20" s="15"/>
      <c r="P20" s="15"/>
      <c r="Q20" s="15"/>
      <c r="R20" s="15"/>
      <c r="S20" s="15"/>
      <c r="T20" s="33"/>
      <c r="U20" s="15"/>
      <c r="V20" s="15"/>
      <c r="W20" s="15"/>
      <c r="X20" s="15"/>
      <c r="Y20" s="321"/>
      <c r="Z20" s="233"/>
      <c r="AB20" s="2"/>
      <c r="AC20" s="2"/>
      <c r="AD20" s="2"/>
      <c r="AE20" s="354"/>
      <c r="AF20" s="2"/>
      <c r="AG20" s="2"/>
      <c r="AH20" s="2"/>
      <c r="AI20" s="2"/>
      <c r="AJ20" s="2"/>
      <c r="AK20" s="2"/>
      <c r="AL20" s="2"/>
      <c r="AN20" s="232"/>
      <c r="AO20" s="18"/>
      <c r="AP20" s="18"/>
      <c r="AQ20" s="18"/>
      <c r="AR20" s="18"/>
      <c r="AS20" s="18"/>
      <c r="AT20" s="18"/>
      <c r="AU20" s="18"/>
      <c r="AV20" s="18"/>
      <c r="AW20" s="18"/>
      <c r="AX20" s="18"/>
      <c r="AY20" s="18"/>
      <c r="AZ20" s="18"/>
      <c r="BA20" s="18"/>
      <c r="BB20" s="18"/>
      <c r="BC20" s="18"/>
      <c r="BD20" s="18"/>
      <c r="BE20" s="18"/>
      <c r="BF20" s="15"/>
      <c r="BG20" s="15"/>
      <c r="BH20" s="15"/>
      <c r="BI20" s="15"/>
      <c r="BJ20" s="15"/>
      <c r="BK20" s="15"/>
      <c r="BL20" s="233"/>
    </row>
    <row r="21" spans="2:70" x14ac:dyDescent="0.3">
      <c r="B21" s="256"/>
      <c r="C21" s="4"/>
      <c r="D21" s="4"/>
      <c r="E21" s="4"/>
      <c r="F21" s="4"/>
      <c r="G21" s="4"/>
      <c r="H21" s="4"/>
      <c r="I21" s="4"/>
      <c r="J21" s="4"/>
      <c r="K21" s="4"/>
      <c r="L21" s="4"/>
      <c r="M21" s="4"/>
      <c r="N21" s="4"/>
      <c r="O21" s="4"/>
      <c r="P21" s="4"/>
      <c r="Q21" s="4"/>
      <c r="R21" s="4"/>
      <c r="S21" s="4"/>
      <c r="T21" s="36"/>
      <c r="U21" s="4"/>
      <c r="V21" s="4"/>
      <c r="W21" s="4"/>
      <c r="X21" s="4"/>
      <c r="Y21" s="257"/>
      <c r="Z21" s="258"/>
      <c r="AB21" s="2"/>
      <c r="AC21" s="2"/>
      <c r="AD21" s="2"/>
      <c r="AE21" s="2"/>
      <c r="AF21" s="2"/>
      <c r="AG21" s="2"/>
      <c r="AH21" s="2"/>
      <c r="AI21" s="2"/>
      <c r="AJ21" s="2"/>
      <c r="AK21" s="2"/>
      <c r="AL21" s="2"/>
      <c r="AN21" s="256"/>
      <c r="AO21" s="4"/>
      <c r="AP21" s="4"/>
      <c r="AQ21" s="4"/>
      <c r="AR21" s="4"/>
      <c r="AS21" s="4"/>
      <c r="AT21" s="4"/>
      <c r="AU21" s="4"/>
      <c r="AV21" s="4"/>
      <c r="AW21" s="4"/>
      <c r="AX21" s="4"/>
      <c r="AY21" s="4"/>
      <c r="AZ21" s="4"/>
      <c r="BA21" s="4"/>
      <c r="BB21" s="4"/>
      <c r="BC21" s="4"/>
      <c r="BD21" s="4"/>
      <c r="BE21" s="4"/>
      <c r="BF21" s="4"/>
      <c r="BG21" s="4"/>
      <c r="BH21" s="4"/>
      <c r="BI21" s="4"/>
      <c r="BJ21" s="4"/>
      <c r="BK21" s="4"/>
      <c r="BL21" s="258"/>
    </row>
    <row r="23" spans="2:70" x14ac:dyDescent="0.3">
      <c r="B23" s="225" t="s">
        <v>273</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226"/>
      <c r="AN23" s="225" t="s">
        <v>332</v>
      </c>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226"/>
    </row>
    <row r="24" spans="2:70" x14ac:dyDescent="0.3">
      <c r="B24" s="259" t="s">
        <v>27</v>
      </c>
      <c r="C24" s="228"/>
      <c r="D24" s="54"/>
      <c r="E24" s="54"/>
      <c r="F24" s="54"/>
      <c r="G24" s="54"/>
      <c r="H24" s="54"/>
      <c r="I24" s="54"/>
      <c r="J24" s="54"/>
      <c r="K24" s="54"/>
      <c r="L24" s="54"/>
      <c r="M24" s="54"/>
      <c r="N24" s="54"/>
      <c r="O24" s="54"/>
      <c r="P24" s="54"/>
      <c r="Q24" s="228" t="str">
        <f>B24</f>
        <v>PDP</v>
      </c>
      <c r="R24" s="54"/>
      <c r="S24" s="54"/>
      <c r="T24" s="54"/>
      <c r="U24" s="54"/>
      <c r="V24" s="54"/>
      <c r="W24" s="54"/>
      <c r="X24" s="54"/>
      <c r="Y24" s="54"/>
      <c r="Z24" s="54"/>
      <c r="AA24" s="54"/>
      <c r="AB24" s="54"/>
      <c r="AC24" s="54"/>
      <c r="AD24" s="228" t="str">
        <f>Q24</f>
        <v>PDP</v>
      </c>
      <c r="AE24" s="54"/>
      <c r="AF24" s="54"/>
      <c r="AG24" s="54"/>
      <c r="AH24" s="54"/>
      <c r="AI24" s="54"/>
      <c r="AJ24" s="54"/>
      <c r="AK24" s="54"/>
      <c r="AL24" s="229"/>
      <c r="AN24" s="328"/>
      <c r="AO24" s="286"/>
      <c r="AP24" s="287"/>
      <c r="AQ24" s="287"/>
      <c r="AR24" s="287"/>
      <c r="AS24" s="287"/>
      <c r="AT24" s="287"/>
      <c r="AU24" s="286"/>
      <c r="AV24" s="287"/>
      <c r="AW24" s="287"/>
      <c r="AX24" s="287"/>
      <c r="AY24" s="287"/>
      <c r="AZ24" s="287"/>
      <c r="BA24" s="286"/>
      <c r="BB24" s="287"/>
      <c r="BC24" s="287"/>
      <c r="BD24" s="287"/>
      <c r="BE24" s="287"/>
      <c r="BF24" s="286"/>
      <c r="BG24" s="287"/>
      <c r="BH24" s="287"/>
      <c r="BI24" s="287"/>
      <c r="BJ24" s="287"/>
      <c r="BK24" s="287"/>
      <c r="BL24" s="288"/>
    </row>
    <row r="25" spans="2:70" x14ac:dyDescent="0.3">
      <c r="B25" s="232"/>
      <c r="C25" s="292" t="s">
        <v>305</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233"/>
      <c r="AN25" s="232"/>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233"/>
    </row>
    <row r="26" spans="2:70" x14ac:dyDescent="0.3">
      <c r="B26" s="232"/>
      <c r="C26" s="236"/>
      <c r="D26" s="237"/>
      <c r="E26" s="237"/>
      <c r="F26" s="237"/>
      <c r="G26" s="237"/>
      <c r="H26" s="261"/>
      <c r="I26" s="236"/>
      <c r="J26" s="237"/>
      <c r="K26" s="237"/>
      <c r="L26" s="15"/>
      <c r="M26" s="236"/>
      <c r="N26" s="237"/>
      <c r="O26" s="237"/>
      <c r="P26" s="15"/>
      <c r="Q26" s="236"/>
      <c r="R26" s="237"/>
      <c r="S26" s="237"/>
      <c r="T26" s="237"/>
      <c r="U26" s="15"/>
      <c r="V26" s="236"/>
      <c r="W26" s="237"/>
      <c r="X26" s="237"/>
      <c r="Y26" s="237"/>
      <c r="Z26" s="237"/>
      <c r="AA26" s="237"/>
      <c r="AB26" s="15"/>
      <c r="AC26" s="15"/>
      <c r="AD26" s="236"/>
      <c r="AE26" s="237"/>
      <c r="AF26" s="237"/>
      <c r="AG26" s="15"/>
      <c r="AH26" s="236"/>
      <c r="AI26" s="237"/>
      <c r="AJ26" s="237"/>
      <c r="AK26" s="237"/>
      <c r="AL26" s="233"/>
      <c r="AN26" s="232"/>
      <c r="AO26" s="37" t="s">
        <v>333</v>
      </c>
      <c r="AP26" s="37"/>
      <c r="AQ26" s="329"/>
      <c r="AR26" s="37" t="s">
        <v>334</v>
      </c>
      <c r="AS26" s="23"/>
      <c r="AT26" s="23"/>
      <c r="AU26" s="15"/>
      <c r="AV26" s="37" t="s">
        <v>335</v>
      </c>
      <c r="AW26" s="23"/>
      <c r="AX26" s="23"/>
      <c r="AY26" s="15"/>
      <c r="AZ26" s="37" t="s">
        <v>336</v>
      </c>
      <c r="BA26" s="23"/>
      <c r="BB26" s="23"/>
      <c r="BC26" s="15"/>
      <c r="BD26" s="18"/>
      <c r="BE26" s="18"/>
      <c r="BF26" s="18"/>
      <c r="BG26" s="18"/>
      <c r="BH26" s="18"/>
      <c r="BI26" s="18"/>
      <c r="BJ26" s="18"/>
      <c r="BK26" s="18"/>
      <c r="BL26" s="357"/>
      <c r="BM26" s="2"/>
      <c r="BN26" s="2"/>
      <c r="BO26" s="2"/>
      <c r="BP26" s="2"/>
      <c r="BQ26" s="2"/>
      <c r="BR26" s="2"/>
    </row>
    <row r="27" spans="2:70" x14ac:dyDescent="0.3">
      <c r="B27" s="232"/>
      <c r="C27" s="250"/>
      <c r="D27" s="250"/>
      <c r="E27" s="250"/>
      <c r="F27" s="250"/>
      <c r="G27" s="250"/>
      <c r="H27" s="261"/>
      <c r="I27" s="262"/>
      <c r="J27" s="262"/>
      <c r="K27" s="262"/>
      <c r="L27" s="15"/>
      <c r="M27" s="262"/>
      <c r="N27" s="262"/>
      <c r="O27" s="262"/>
      <c r="P27" s="15"/>
      <c r="Q27" s="262"/>
      <c r="R27" s="262"/>
      <c r="S27" s="262"/>
      <c r="T27" s="262"/>
      <c r="U27" s="15"/>
      <c r="V27" s="262"/>
      <c r="W27" s="262"/>
      <c r="X27" s="262"/>
      <c r="Y27" s="262"/>
      <c r="Z27" s="262"/>
      <c r="AA27" s="262"/>
      <c r="AB27" s="262"/>
      <c r="AC27" s="15"/>
      <c r="AD27" s="262"/>
      <c r="AE27" s="262"/>
      <c r="AF27" s="262"/>
      <c r="AG27" s="15"/>
      <c r="AH27" s="262"/>
      <c r="AI27" s="262"/>
      <c r="AJ27" s="262"/>
      <c r="AK27" s="262"/>
      <c r="AL27" s="233"/>
      <c r="AN27" s="232"/>
      <c r="AO27" s="330"/>
      <c r="AP27" s="330" t="s">
        <v>170</v>
      </c>
      <c r="AQ27" s="15"/>
      <c r="AR27" s="250" t="s">
        <v>337</v>
      </c>
      <c r="AS27" s="250" t="s">
        <v>338</v>
      </c>
      <c r="AT27" s="262" t="s">
        <v>292</v>
      </c>
      <c r="AU27" s="15"/>
      <c r="AV27" s="250" t="s">
        <v>337</v>
      </c>
      <c r="AW27" s="250" t="s">
        <v>338</v>
      </c>
      <c r="AX27" s="262" t="s">
        <v>292</v>
      </c>
      <c r="AY27" s="15"/>
      <c r="AZ27" s="250" t="s">
        <v>337</v>
      </c>
      <c r="BA27" s="250" t="s">
        <v>338</v>
      </c>
      <c r="BB27" s="262" t="s">
        <v>292</v>
      </c>
      <c r="BC27" s="15"/>
      <c r="BD27" s="18"/>
      <c r="BE27" s="18"/>
      <c r="BF27" s="18"/>
      <c r="BG27" s="18"/>
      <c r="BH27" s="18"/>
      <c r="BI27" s="18"/>
      <c r="BJ27" s="18"/>
      <c r="BK27" s="18"/>
      <c r="BL27" s="357"/>
      <c r="BM27" s="2"/>
      <c r="BN27" s="2"/>
      <c r="BO27" s="2"/>
      <c r="BP27" s="2"/>
      <c r="BQ27" s="2"/>
      <c r="BR27" s="2"/>
    </row>
    <row r="28" spans="2:70" x14ac:dyDescent="0.3">
      <c r="B28" s="232"/>
      <c r="C28" s="250"/>
      <c r="D28" s="250"/>
      <c r="E28" s="250"/>
      <c r="F28" s="250"/>
      <c r="G28" s="250"/>
      <c r="H28" s="15"/>
      <c r="I28" s="250"/>
      <c r="J28" s="250"/>
      <c r="K28" s="250"/>
      <c r="L28" s="15"/>
      <c r="M28" s="250"/>
      <c r="N28" s="250"/>
      <c r="O28" s="250"/>
      <c r="P28" s="15"/>
      <c r="Q28" s="250"/>
      <c r="R28" s="250"/>
      <c r="S28" s="250"/>
      <c r="T28" s="250"/>
      <c r="U28" s="15"/>
      <c r="V28" s="250"/>
      <c r="W28" s="250"/>
      <c r="X28" s="250"/>
      <c r="Y28" s="250"/>
      <c r="Z28" s="250"/>
      <c r="AA28" s="250"/>
      <c r="AB28" s="250"/>
      <c r="AC28" s="15"/>
      <c r="AD28" s="250"/>
      <c r="AE28" s="250"/>
      <c r="AF28" s="250"/>
      <c r="AG28" s="15"/>
      <c r="AH28" s="250"/>
      <c r="AI28" s="250"/>
      <c r="AJ28" s="250"/>
      <c r="AK28" s="250"/>
      <c r="AL28" s="233"/>
      <c r="AN28" s="232"/>
      <c r="AO28" s="331" t="s">
        <v>9</v>
      </c>
      <c r="AP28" s="331" t="s">
        <v>339</v>
      </c>
      <c r="AQ28" s="15"/>
      <c r="AR28" s="13" t="s">
        <v>339</v>
      </c>
      <c r="AS28" s="13" t="s">
        <v>339</v>
      </c>
      <c r="AT28" s="13" t="s">
        <v>339</v>
      </c>
      <c r="AU28" s="15"/>
      <c r="AV28" s="13" t="s">
        <v>339</v>
      </c>
      <c r="AW28" s="13" t="s">
        <v>339</v>
      </c>
      <c r="AX28" s="13" t="s">
        <v>339</v>
      </c>
      <c r="AY28" s="15"/>
      <c r="AZ28" s="13" t="s">
        <v>339</v>
      </c>
      <c r="BA28" s="13" t="s">
        <v>339</v>
      </c>
      <c r="BB28" s="13" t="s">
        <v>339</v>
      </c>
      <c r="BC28" s="15"/>
      <c r="BD28" s="18"/>
      <c r="BE28" s="18"/>
      <c r="BF28" s="18"/>
      <c r="BG28" s="18"/>
      <c r="BH28" s="18"/>
      <c r="BI28" s="18"/>
      <c r="BJ28" s="18"/>
      <c r="BK28" s="18"/>
      <c r="BL28" s="357"/>
      <c r="BM28" s="2"/>
      <c r="BN28" s="2"/>
      <c r="BO28" s="2"/>
      <c r="BP28" s="2"/>
      <c r="BQ28" s="2"/>
      <c r="BR28" s="2"/>
    </row>
    <row r="29" spans="2:70" x14ac:dyDescent="0.3">
      <c r="B29" s="232"/>
      <c r="C29" s="250"/>
      <c r="D29" s="263"/>
      <c r="E29" s="263"/>
      <c r="F29" s="263"/>
      <c r="G29" s="263"/>
      <c r="H29" s="15"/>
      <c r="I29" s="51"/>
      <c r="J29" s="51"/>
      <c r="K29" s="51"/>
      <c r="L29" s="15"/>
      <c r="M29" s="51"/>
      <c r="N29" s="51"/>
      <c r="O29" s="51"/>
      <c r="P29" s="15"/>
      <c r="Q29" s="265"/>
      <c r="R29" s="265"/>
      <c r="S29" s="265"/>
      <c r="T29" s="265"/>
      <c r="U29" s="15"/>
      <c r="V29" s="51"/>
      <c r="W29" s="265"/>
      <c r="X29" s="51"/>
      <c r="Y29" s="265"/>
      <c r="Z29" s="51"/>
      <c r="AA29" s="265"/>
      <c r="AB29" s="265"/>
      <c r="AC29" s="15"/>
      <c r="AD29" s="265"/>
      <c r="AE29" s="265"/>
      <c r="AF29" s="265"/>
      <c r="AG29" s="15"/>
      <c r="AH29" s="266"/>
      <c r="AI29" s="267"/>
      <c r="AJ29" s="267"/>
      <c r="AK29" s="265"/>
      <c r="AL29" s="233"/>
      <c r="AN29" s="232"/>
      <c r="AO29" s="332">
        <f>YEAR(FY_Date)</f>
        <v>2013</v>
      </c>
      <c r="AP29" s="333">
        <f t="shared" ref="AP29:AP69" ca="1" si="11">IFERROR(INDEX(Drill_Schedule_Range,MATCH($AO29,Drill_Schedule_Year_Column,0),MATCH(MID(CELL("filename",$A$1),FIND("]",CELL("filename",$A$1))+1,255),Drill_Schedule_Region_Row,0)),"N/A")</f>
        <v>24</v>
      </c>
      <c r="AQ29" s="15"/>
      <c r="AR29" s="247">
        <f ca="1">$AT$9</f>
        <v>264.26249429806006</v>
      </c>
      <c r="AS29" s="247">
        <f ca="1">MIN(AP29,AR29)</f>
        <v>24</v>
      </c>
      <c r="AT29" s="247">
        <f ca="1">+AR29-AS29</f>
        <v>240.26249429806006</v>
      </c>
      <c r="AU29" s="15"/>
      <c r="AV29" s="247">
        <f ca="1">$AT$10</f>
        <v>1779.8143454332367</v>
      </c>
      <c r="AW29" s="247">
        <f ca="1">MIN(AV29,AP29-AS29)</f>
        <v>0</v>
      </c>
      <c r="AX29" s="247">
        <f ca="1">+AV29-AW29</f>
        <v>1779.8143454332367</v>
      </c>
      <c r="AY29" s="15"/>
      <c r="AZ29" s="247">
        <f ca="1">$AT$11</f>
        <v>1295.9231602687032</v>
      </c>
      <c r="BA29" s="247">
        <f ca="1">MIN(AZ29,AP29-AS29-AW29)</f>
        <v>0</v>
      </c>
      <c r="BB29" s="247">
        <f ca="1">+AZ29-BA29</f>
        <v>1295.9231602687032</v>
      </c>
      <c r="BC29" s="15"/>
      <c r="BD29" s="18"/>
      <c r="BE29" s="18"/>
      <c r="BF29" s="18"/>
      <c r="BG29" s="18"/>
      <c r="BH29" s="18"/>
      <c r="BI29" s="18"/>
      <c r="BJ29" s="18"/>
      <c r="BK29" s="18"/>
      <c r="BL29" s="357"/>
      <c r="BM29" s="2"/>
      <c r="BN29" s="2"/>
      <c r="BO29" s="2"/>
      <c r="BP29" s="2"/>
      <c r="BQ29" s="2"/>
      <c r="BR29" s="2"/>
    </row>
    <row r="30" spans="2:70" x14ac:dyDescent="0.3">
      <c r="B30" s="232"/>
      <c r="C30" s="270"/>
      <c r="D30" s="263"/>
      <c r="E30" s="263"/>
      <c r="F30" s="263"/>
      <c r="G30" s="263"/>
      <c r="H30" s="15"/>
      <c r="I30" s="35"/>
      <c r="J30" s="35"/>
      <c r="K30" s="35"/>
      <c r="L30" s="15"/>
      <c r="M30" s="35"/>
      <c r="N30" s="35"/>
      <c r="O30" s="35"/>
      <c r="P30" s="15"/>
      <c r="Q30" s="34"/>
      <c r="R30" s="34"/>
      <c r="S30" s="34"/>
      <c r="T30" s="34"/>
      <c r="U30" s="15"/>
      <c r="V30" s="35"/>
      <c r="W30" s="34"/>
      <c r="X30" s="35"/>
      <c r="Y30" s="34"/>
      <c r="Z30" s="35"/>
      <c r="AA30" s="34"/>
      <c r="AB30" s="34"/>
      <c r="AC30" s="15"/>
      <c r="AD30" s="34"/>
      <c r="AE30" s="34"/>
      <c r="AF30" s="34"/>
      <c r="AG30" s="15"/>
      <c r="AH30" s="272"/>
      <c r="AI30" s="267"/>
      <c r="AJ30" s="267"/>
      <c r="AK30" s="34"/>
      <c r="AL30" s="233"/>
      <c r="AN30" s="232"/>
      <c r="AO30" s="17">
        <f>AO29+1</f>
        <v>2014</v>
      </c>
      <c r="AP30" s="333">
        <f t="shared" ca="1" si="11"/>
        <v>40</v>
      </c>
      <c r="AQ30" s="15"/>
      <c r="AR30" s="247">
        <f ca="1">AT29</f>
        <v>240.26249429806006</v>
      </c>
      <c r="AS30" s="247">
        <f t="shared" ref="AS30:AS69" ca="1" si="12">MIN(AP30,AR30)</f>
        <v>40</v>
      </c>
      <c r="AT30" s="247">
        <f ca="1">+AR30-AS30</f>
        <v>200.26249429806006</v>
      </c>
      <c r="AU30" s="15"/>
      <c r="AV30" s="247">
        <f ca="1">AX29</f>
        <v>1779.8143454332367</v>
      </c>
      <c r="AW30" s="247">
        <f t="shared" ref="AW30:AW69" ca="1" si="13">MIN(AV30,AP30-AS30)</f>
        <v>0</v>
      </c>
      <c r="AX30" s="247">
        <f ca="1">+AV30-AW30</f>
        <v>1779.8143454332367</v>
      </c>
      <c r="AY30" s="15"/>
      <c r="AZ30" s="247">
        <f ca="1">BB29</f>
        <v>1295.9231602687032</v>
      </c>
      <c r="BA30" s="247">
        <f t="shared" ref="BA30:BA69" ca="1" si="14">MIN(AZ30,AP30-AS30-AW30)</f>
        <v>0</v>
      </c>
      <c r="BB30" s="247">
        <f ca="1">+AZ30-BA30</f>
        <v>1295.9231602687032</v>
      </c>
      <c r="BC30" s="15"/>
      <c r="BD30" s="18"/>
      <c r="BE30" s="18"/>
      <c r="BF30" s="18"/>
      <c r="BG30" s="18"/>
      <c r="BH30" s="18"/>
      <c r="BI30" s="18"/>
      <c r="BJ30" s="18"/>
      <c r="BK30" s="18"/>
      <c r="BL30" s="357"/>
      <c r="BM30" s="2"/>
      <c r="BN30" s="2"/>
      <c r="BO30" s="2"/>
      <c r="BP30" s="2"/>
      <c r="BQ30" s="2"/>
      <c r="BR30" s="2"/>
    </row>
    <row r="31" spans="2:70" x14ac:dyDescent="0.3">
      <c r="B31" s="232"/>
      <c r="C31" s="250"/>
      <c r="D31" s="263"/>
      <c r="E31" s="263"/>
      <c r="F31" s="263"/>
      <c r="G31" s="263"/>
      <c r="H31" s="15"/>
      <c r="I31" s="35"/>
      <c r="J31" s="35"/>
      <c r="K31" s="35"/>
      <c r="L31" s="15"/>
      <c r="M31" s="35"/>
      <c r="N31" s="35"/>
      <c r="O31" s="35"/>
      <c r="P31" s="15"/>
      <c r="Q31" s="34"/>
      <c r="R31" s="34"/>
      <c r="S31" s="34"/>
      <c r="T31" s="34"/>
      <c r="U31" s="15"/>
      <c r="V31" s="35"/>
      <c r="W31" s="34"/>
      <c r="X31" s="35"/>
      <c r="Y31" s="34"/>
      <c r="Z31" s="35"/>
      <c r="AA31" s="34"/>
      <c r="AB31" s="34"/>
      <c r="AC31" s="15"/>
      <c r="AD31" s="34"/>
      <c r="AE31" s="34"/>
      <c r="AF31" s="34"/>
      <c r="AG31" s="15"/>
      <c r="AH31" s="273"/>
      <c r="AI31" s="267"/>
      <c r="AJ31" s="267"/>
      <c r="AK31" s="34"/>
      <c r="AL31" s="233"/>
      <c r="AN31" s="232"/>
      <c r="AO31" s="17">
        <f t="shared" ref="AO31:AO69" si="15">AO30+1</f>
        <v>2015</v>
      </c>
      <c r="AP31" s="333">
        <f t="shared" ca="1" si="11"/>
        <v>60</v>
      </c>
      <c r="AQ31" s="15"/>
      <c r="AR31" s="247">
        <f t="shared" ref="AR31:AR69" ca="1" si="16">AT30</f>
        <v>200.26249429806006</v>
      </c>
      <c r="AS31" s="247">
        <f t="shared" ca="1" si="12"/>
        <v>60</v>
      </c>
      <c r="AT31" s="247">
        <f t="shared" ref="AT31:AT69" ca="1" si="17">+AR31-AS31</f>
        <v>140.26249429806006</v>
      </c>
      <c r="AU31" s="15"/>
      <c r="AV31" s="247">
        <f t="shared" ref="AV31:AV69" ca="1" si="18">AX30</f>
        <v>1779.8143454332367</v>
      </c>
      <c r="AW31" s="247">
        <f t="shared" ca="1" si="13"/>
        <v>0</v>
      </c>
      <c r="AX31" s="247">
        <f t="shared" ref="AX31:AX69" ca="1" si="19">+AV31-AW31</f>
        <v>1779.8143454332367</v>
      </c>
      <c r="AY31" s="15"/>
      <c r="AZ31" s="247">
        <f t="shared" ref="AZ31:AZ69" ca="1" si="20">BB30</f>
        <v>1295.9231602687032</v>
      </c>
      <c r="BA31" s="247">
        <f t="shared" ca="1" si="14"/>
        <v>0</v>
      </c>
      <c r="BB31" s="247">
        <f t="shared" ref="BB31:BB69" ca="1" si="21">+AZ31-BA31</f>
        <v>1295.9231602687032</v>
      </c>
      <c r="BC31" s="15"/>
      <c r="BD31" s="18"/>
      <c r="BE31" s="18"/>
      <c r="BF31" s="18"/>
      <c r="BG31" s="18"/>
      <c r="BH31" s="18"/>
      <c r="BI31" s="18"/>
      <c r="BJ31" s="18"/>
      <c r="BK31" s="18"/>
      <c r="BL31" s="357"/>
      <c r="BM31" s="2"/>
      <c r="BN31" s="2"/>
      <c r="BO31" s="2"/>
      <c r="BP31" s="2"/>
      <c r="BQ31" s="2"/>
      <c r="BR31" s="2"/>
    </row>
    <row r="32" spans="2:70" x14ac:dyDescent="0.3">
      <c r="B32" s="232"/>
      <c r="C32" s="250"/>
      <c r="D32" s="263"/>
      <c r="E32" s="263"/>
      <c r="F32" s="263"/>
      <c r="G32" s="263"/>
      <c r="H32" s="15"/>
      <c r="I32" s="35"/>
      <c r="J32" s="35"/>
      <c r="K32" s="35"/>
      <c r="L32" s="15"/>
      <c r="M32" s="35"/>
      <c r="N32" s="35"/>
      <c r="O32" s="35"/>
      <c r="P32" s="15"/>
      <c r="Q32" s="34"/>
      <c r="R32" s="34"/>
      <c r="S32" s="34"/>
      <c r="T32" s="34"/>
      <c r="U32" s="15"/>
      <c r="V32" s="35"/>
      <c r="W32" s="34"/>
      <c r="X32" s="35"/>
      <c r="Y32" s="34"/>
      <c r="Z32" s="35"/>
      <c r="AA32" s="34"/>
      <c r="AB32" s="34"/>
      <c r="AC32" s="15"/>
      <c r="AD32" s="34"/>
      <c r="AE32" s="34"/>
      <c r="AF32" s="34"/>
      <c r="AG32" s="15"/>
      <c r="AH32" s="273"/>
      <c r="AI32" s="267"/>
      <c r="AJ32" s="267"/>
      <c r="AK32" s="34"/>
      <c r="AL32" s="233"/>
      <c r="AN32" s="232"/>
      <c r="AO32" s="17">
        <f t="shared" si="15"/>
        <v>2016</v>
      </c>
      <c r="AP32" s="333">
        <f t="shared" ca="1" si="11"/>
        <v>75</v>
      </c>
      <c r="AQ32" s="15"/>
      <c r="AR32" s="247">
        <f t="shared" ca="1" si="16"/>
        <v>140.26249429806006</v>
      </c>
      <c r="AS32" s="247">
        <f t="shared" ca="1" si="12"/>
        <v>75</v>
      </c>
      <c r="AT32" s="247">
        <f t="shared" ca="1" si="17"/>
        <v>65.262494298060062</v>
      </c>
      <c r="AU32" s="15"/>
      <c r="AV32" s="247">
        <f t="shared" ca="1" si="18"/>
        <v>1779.8143454332367</v>
      </c>
      <c r="AW32" s="247">
        <f t="shared" ca="1" si="13"/>
        <v>0</v>
      </c>
      <c r="AX32" s="247">
        <f t="shared" ca="1" si="19"/>
        <v>1779.8143454332367</v>
      </c>
      <c r="AY32" s="15"/>
      <c r="AZ32" s="247">
        <f t="shared" ca="1" si="20"/>
        <v>1295.9231602687032</v>
      </c>
      <c r="BA32" s="247">
        <f t="shared" ca="1" si="14"/>
        <v>0</v>
      </c>
      <c r="BB32" s="247">
        <f t="shared" ca="1" si="21"/>
        <v>1295.9231602687032</v>
      </c>
      <c r="BC32" s="15"/>
      <c r="BD32" s="326"/>
      <c r="BE32" s="18"/>
      <c r="BF32" s="18"/>
      <c r="BG32" s="18"/>
      <c r="BH32" s="18"/>
      <c r="BI32" s="18"/>
      <c r="BJ32" s="18"/>
      <c r="BK32" s="18"/>
      <c r="BL32" s="357"/>
      <c r="BM32" s="2"/>
      <c r="BN32" s="2"/>
      <c r="BO32" s="2"/>
      <c r="BP32" s="2"/>
      <c r="BQ32" s="2"/>
      <c r="BR32" s="2"/>
    </row>
    <row r="33" spans="2:72" x14ac:dyDescent="0.3">
      <c r="B33" s="232"/>
      <c r="C33" s="250"/>
      <c r="D33" s="263"/>
      <c r="E33" s="263"/>
      <c r="F33" s="263"/>
      <c r="G33" s="263"/>
      <c r="H33" s="15"/>
      <c r="I33" s="35"/>
      <c r="J33" s="35"/>
      <c r="K33" s="35"/>
      <c r="L33" s="15"/>
      <c r="M33" s="35"/>
      <c r="N33" s="35"/>
      <c r="O33" s="35"/>
      <c r="P33" s="15"/>
      <c r="Q33" s="34"/>
      <c r="R33" s="34"/>
      <c r="S33" s="34"/>
      <c r="T33" s="34"/>
      <c r="U33" s="15"/>
      <c r="V33" s="35"/>
      <c r="W33" s="34"/>
      <c r="X33" s="35"/>
      <c r="Y33" s="34"/>
      <c r="Z33" s="35"/>
      <c r="AA33" s="34"/>
      <c r="AB33" s="34"/>
      <c r="AC33" s="15"/>
      <c r="AD33" s="34"/>
      <c r="AE33" s="34"/>
      <c r="AF33" s="34"/>
      <c r="AG33" s="15"/>
      <c r="AH33" s="273"/>
      <c r="AI33" s="267"/>
      <c r="AJ33" s="267"/>
      <c r="AK33" s="34"/>
      <c r="AL33" s="233"/>
      <c r="AN33" s="232"/>
      <c r="AO33" s="17">
        <f t="shared" si="15"/>
        <v>2017</v>
      </c>
      <c r="AP33" s="333">
        <f t="shared" ca="1" si="11"/>
        <v>90</v>
      </c>
      <c r="AQ33" s="15"/>
      <c r="AR33" s="247">
        <f t="shared" ca="1" si="16"/>
        <v>65.262494298060062</v>
      </c>
      <c r="AS33" s="247">
        <f t="shared" ca="1" si="12"/>
        <v>65.262494298060062</v>
      </c>
      <c r="AT33" s="247">
        <f t="shared" ca="1" si="17"/>
        <v>0</v>
      </c>
      <c r="AU33" s="15"/>
      <c r="AV33" s="247">
        <f t="shared" ca="1" si="18"/>
        <v>1779.8143454332367</v>
      </c>
      <c r="AW33" s="247">
        <f t="shared" ca="1" si="13"/>
        <v>24.737505701939938</v>
      </c>
      <c r="AX33" s="247">
        <f t="shared" ca="1" si="19"/>
        <v>1755.0768397312968</v>
      </c>
      <c r="AY33" s="15"/>
      <c r="AZ33" s="247">
        <f t="shared" ca="1" si="20"/>
        <v>1295.9231602687032</v>
      </c>
      <c r="BA33" s="247">
        <f t="shared" ca="1" si="14"/>
        <v>0</v>
      </c>
      <c r="BB33" s="247">
        <f t="shared" ca="1" si="21"/>
        <v>1295.9231602687032</v>
      </c>
      <c r="BC33" s="15"/>
      <c r="BD33" s="356"/>
      <c r="BE33" s="18"/>
      <c r="BF33" s="18"/>
      <c r="BG33" s="18"/>
      <c r="BH33" s="18"/>
      <c r="BI33" s="18"/>
      <c r="BJ33" s="18"/>
      <c r="BK33" s="18"/>
      <c r="BL33" s="357"/>
      <c r="BM33" s="2"/>
      <c r="BN33" s="2"/>
      <c r="BO33" s="2"/>
      <c r="BP33" s="2"/>
      <c r="BQ33" s="2"/>
      <c r="BR33" s="2"/>
    </row>
    <row r="34" spans="2:72" x14ac:dyDescent="0.3">
      <c r="B34" s="232"/>
      <c r="C34" s="250"/>
      <c r="D34" s="263"/>
      <c r="E34" s="263"/>
      <c r="F34" s="263"/>
      <c r="G34" s="263"/>
      <c r="H34" s="15"/>
      <c r="I34" s="35"/>
      <c r="J34" s="35"/>
      <c r="K34" s="35"/>
      <c r="L34" s="15"/>
      <c r="M34" s="35"/>
      <c r="N34" s="35"/>
      <c r="O34" s="35"/>
      <c r="P34" s="15"/>
      <c r="Q34" s="34"/>
      <c r="R34" s="34"/>
      <c r="S34" s="34"/>
      <c r="T34" s="34"/>
      <c r="U34" s="15"/>
      <c r="V34" s="35"/>
      <c r="W34" s="34"/>
      <c r="X34" s="35"/>
      <c r="Y34" s="34"/>
      <c r="Z34" s="35"/>
      <c r="AA34" s="34"/>
      <c r="AB34" s="34"/>
      <c r="AC34" s="15"/>
      <c r="AD34" s="34"/>
      <c r="AE34" s="34"/>
      <c r="AF34" s="34"/>
      <c r="AG34" s="15"/>
      <c r="AH34" s="273"/>
      <c r="AI34" s="267"/>
      <c r="AJ34" s="267"/>
      <c r="AK34" s="34"/>
      <c r="AL34" s="233"/>
      <c r="AN34" s="232"/>
      <c r="AO34" s="17">
        <f t="shared" si="15"/>
        <v>2018</v>
      </c>
      <c r="AP34" s="333">
        <f t="shared" ca="1" si="11"/>
        <v>100</v>
      </c>
      <c r="AQ34" s="15"/>
      <c r="AR34" s="247">
        <f t="shared" ca="1" si="16"/>
        <v>0</v>
      </c>
      <c r="AS34" s="247">
        <f t="shared" ca="1" si="12"/>
        <v>0</v>
      </c>
      <c r="AT34" s="247">
        <f t="shared" ca="1" si="17"/>
        <v>0</v>
      </c>
      <c r="AU34" s="15"/>
      <c r="AV34" s="247">
        <f t="shared" ca="1" si="18"/>
        <v>1755.0768397312968</v>
      </c>
      <c r="AW34" s="247">
        <f t="shared" ca="1" si="13"/>
        <v>100</v>
      </c>
      <c r="AX34" s="247">
        <f t="shared" ca="1" si="19"/>
        <v>1655.0768397312968</v>
      </c>
      <c r="AY34" s="15"/>
      <c r="AZ34" s="247">
        <f t="shared" ca="1" si="20"/>
        <v>1295.9231602687032</v>
      </c>
      <c r="BA34" s="247">
        <f t="shared" ca="1" si="14"/>
        <v>0</v>
      </c>
      <c r="BB34" s="247">
        <f t="shared" ca="1" si="21"/>
        <v>1295.9231602687032</v>
      </c>
      <c r="BC34" s="15"/>
      <c r="BD34" s="18"/>
      <c r="BE34" s="18"/>
      <c r="BF34" s="18"/>
      <c r="BG34" s="18"/>
      <c r="BH34" s="18"/>
      <c r="BI34" s="18"/>
      <c r="BJ34" s="18"/>
      <c r="BK34" s="18"/>
      <c r="BL34" s="357"/>
      <c r="BM34" s="2"/>
      <c r="BN34" s="2"/>
      <c r="BO34" s="2"/>
      <c r="BP34" s="2"/>
      <c r="BQ34" s="2"/>
      <c r="BR34" s="2"/>
    </row>
    <row r="35" spans="2:72" x14ac:dyDescent="0.3">
      <c r="B35" s="232"/>
      <c r="C35" s="250"/>
      <c r="D35" s="263"/>
      <c r="E35" s="263"/>
      <c r="F35" s="263"/>
      <c r="G35" s="263"/>
      <c r="H35" s="15"/>
      <c r="I35" s="35"/>
      <c r="J35" s="35"/>
      <c r="K35" s="35"/>
      <c r="L35" s="15"/>
      <c r="M35" s="35"/>
      <c r="N35" s="35"/>
      <c r="O35" s="35"/>
      <c r="P35" s="15"/>
      <c r="Q35" s="34"/>
      <c r="R35" s="34"/>
      <c r="S35" s="34"/>
      <c r="T35" s="34"/>
      <c r="U35" s="15"/>
      <c r="V35" s="35"/>
      <c r="W35" s="34"/>
      <c r="X35" s="35"/>
      <c r="Y35" s="34"/>
      <c r="Z35" s="35"/>
      <c r="AA35" s="34"/>
      <c r="AB35" s="34"/>
      <c r="AC35" s="15"/>
      <c r="AD35" s="34"/>
      <c r="AE35" s="34"/>
      <c r="AF35" s="34"/>
      <c r="AG35" s="15"/>
      <c r="AH35" s="273"/>
      <c r="AI35" s="267"/>
      <c r="AJ35" s="267"/>
      <c r="AK35" s="34"/>
      <c r="AL35" s="233"/>
      <c r="AN35" s="232"/>
      <c r="AO35" s="17">
        <f t="shared" si="15"/>
        <v>2019</v>
      </c>
      <c r="AP35" s="333">
        <f t="shared" ca="1" si="11"/>
        <v>100</v>
      </c>
      <c r="AQ35" s="15"/>
      <c r="AR35" s="247">
        <f t="shared" ca="1" si="16"/>
        <v>0</v>
      </c>
      <c r="AS35" s="247">
        <f t="shared" ca="1" si="12"/>
        <v>0</v>
      </c>
      <c r="AT35" s="247">
        <f t="shared" ca="1" si="17"/>
        <v>0</v>
      </c>
      <c r="AU35" s="15"/>
      <c r="AV35" s="247">
        <f t="shared" ca="1" si="18"/>
        <v>1655.0768397312968</v>
      </c>
      <c r="AW35" s="247">
        <f t="shared" ca="1" si="13"/>
        <v>100</v>
      </c>
      <c r="AX35" s="247">
        <f t="shared" ca="1" si="19"/>
        <v>1555.0768397312968</v>
      </c>
      <c r="AY35" s="15"/>
      <c r="AZ35" s="247">
        <f t="shared" ca="1" si="20"/>
        <v>1295.9231602687032</v>
      </c>
      <c r="BA35" s="247">
        <f t="shared" ca="1" si="14"/>
        <v>0</v>
      </c>
      <c r="BB35" s="247">
        <f t="shared" ca="1" si="21"/>
        <v>1295.9231602687032</v>
      </c>
      <c r="BC35" s="15"/>
      <c r="BD35" s="2"/>
      <c r="BE35" s="2"/>
      <c r="BF35" s="2"/>
      <c r="BG35" s="2"/>
      <c r="BH35" s="2"/>
      <c r="BI35" s="2"/>
      <c r="BJ35" s="2"/>
      <c r="BK35" s="2"/>
      <c r="BL35" s="357"/>
      <c r="BM35" s="2"/>
      <c r="BN35" s="2"/>
      <c r="BO35" s="2"/>
      <c r="BP35" s="2"/>
      <c r="BQ35" s="2"/>
      <c r="BR35" s="2"/>
    </row>
    <row r="36" spans="2:72" x14ac:dyDescent="0.3">
      <c r="B36" s="232"/>
      <c r="C36" s="250"/>
      <c r="D36" s="263"/>
      <c r="E36" s="263"/>
      <c r="F36" s="263"/>
      <c r="G36" s="263"/>
      <c r="H36" s="15"/>
      <c r="I36" s="35"/>
      <c r="J36" s="35"/>
      <c r="K36" s="35"/>
      <c r="L36" s="15"/>
      <c r="M36" s="35"/>
      <c r="N36" s="35"/>
      <c r="O36" s="35"/>
      <c r="P36" s="15"/>
      <c r="Q36" s="34"/>
      <c r="R36" s="34"/>
      <c r="S36" s="34"/>
      <c r="T36" s="34"/>
      <c r="U36" s="15"/>
      <c r="V36" s="35"/>
      <c r="W36" s="34"/>
      <c r="X36" s="35"/>
      <c r="Y36" s="34"/>
      <c r="Z36" s="35"/>
      <c r="AA36" s="34"/>
      <c r="AB36" s="34"/>
      <c r="AC36" s="15"/>
      <c r="AD36" s="34"/>
      <c r="AE36" s="34"/>
      <c r="AF36" s="34"/>
      <c r="AG36" s="15"/>
      <c r="AH36" s="273"/>
      <c r="AI36" s="267"/>
      <c r="AJ36" s="267"/>
      <c r="AK36" s="34"/>
      <c r="AL36" s="233"/>
      <c r="AN36" s="232"/>
      <c r="AO36" s="17">
        <f t="shared" si="15"/>
        <v>2020</v>
      </c>
      <c r="AP36" s="333">
        <f t="shared" ca="1" si="11"/>
        <v>100</v>
      </c>
      <c r="AQ36" s="15"/>
      <c r="AR36" s="247">
        <f t="shared" ca="1" si="16"/>
        <v>0</v>
      </c>
      <c r="AS36" s="247">
        <f t="shared" ca="1" si="12"/>
        <v>0</v>
      </c>
      <c r="AT36" s="247">
        <f t="shared" ca="1" si="17"/>
        <v>0</v>
      </c>
      <c r="AU36" s="15"/>
      <c r="AV36" s="247">
        <f t="shared" ca="1" si="18"/>
        <v>1555.0768397312968</v>
      </c>
      <c r="AW36" s="247">
        <f t="shared" ca="1" si="13"/>
        <v>100</v>
      </c>
      <c r="AX36" s="247">
        <f t="shared" ca="1" si="19"/>
        <v>1455.0768397312968</v>
      </c>
      <c r="AY36" s="15"/>
      <c r="AZ36" s="247">
        <f t="shared" ca="1" si="20"/>
        <v>1295.9231602687032</v>
      </c>
      <c r="BA36" s="247">
        <f t="shared" ca="1" si="14"/>
        <v>0</v>
      </c>
      <c r="BB36" s="247">
        <f t="shared" ca="1" si="21"/>
        <v>1295.9231602687032</v>
      </c>
      <c r="BC36" s="15"/>
      <c r="BD36" s="2"/>
      <c r="BE36" s="2"/>
      <c r="BF36" s="2"/>
      <c r="BG36" s="2"/>
      <c r="BH36" s="2"/>
      <c r="BI36" s="2"/>
      <c r="BJ36" s="2"/>
      <c r="BK36" s="2"/>
      <c r="BL36" s="357"/>
      <c r="BM36" s="2"/>
      <c r="BN36" s="2"/>
      <c r="BO36" s="2"/>
      <c r="BP36" s="2"/>
      <c r="BQ36" s="2"/>
      <c r="BR36" s="2"/>
    </row>
    <row r="37" spans="2:72" x14ac:dyDescent="0.3">
      <c r="B37" s="232"/>
      <c r="C37" s="250"/>
      <c r="D37" s="263"/>
      <c r="E37" s="263"/>
      <c r="F37" s="263"/>
      <c r="G37" s="263"/>
      <c r="H37" s="15"/>
      <c r="I37" s="35"/>
      <c r="J37" s="35"/>
      <c r="K37" s="35"/>
      <c r="L37" s="15"/>
      <c r="M37" s="35"/>
      <c r="N37" s="35"/>
      <c r="O37" s="35"/>
      <c r="P37" s="15"/>
      <c r="Q37" s="34"/>
      <c r="R37" s="34"/>
      <c r="S37" s="34"/>
      <c r="T37" s="34"/>
      <c r="U37" s="15"/>
      <c r="V37" s="35"/>
      <c r="W37" s="34"/>
      <c r="X37" s="35"/>
      <c r="Y37" s="34"/>
      <c r="Z37" s="35"/>
      <c r="AA37" s="34"/>
      <c r="AB37" s="34"/>
      <c r="AC37" s="15"/>
      <c r="AD37" s="34"/>
      <c r="AE37" s="34"/>
      <c r="AF37" s="34"/>
      <c r="AG37" s="15"/>
      <c r="AH37" s="273"/>
      <c r="AI37" s="267"/>
      <c r="AJ37" s="267"/>
      <c r="AK37" s="34"/>
      <c r="AL37" s="233"/>
      <c r="AN37" s="232"/>
      <c r="AO37" s="17">
        <f t="shared" si="15"/>
        <v>2021</v>
      </c>
      <c r="AP37" s="333">
        <f t="shared" ca="1" si="11"/>
        <v>100</v>
      </c>
      <c r="AQ37" s="15"/>
      <c r="AR37" s="247">
        <f t="shared" ca="1" si="16"/>
        <v>0</v>
      </c>
      <c r="AS37" s="247">
        <f t="shared" ca="1" si="12"/>
        <v>0</v>
      </c>
      <c r="AT37" s="247">
        <f t="shared" ca="1" si="17"/>
        <v>0</v>
      </c>
      <c r="AU37" s="15"/>
      <c r="AV37" s="247">
        <f t="shared" ca="1" si="18"/>
        <v>1455.0768397312968</v>
      </c>
      <c r="AW37" s="247">
        <f t="shared" ca="1" si="13"/>
        <v>100</v>
      </c>
      <c r="AX37" s="247">
        <f t="shared" ca="1" si="19"/>
        <v>1355.0768397312968</v>
      </c>
      <c r="AY37" s="15"/>
      <c r="AZ37" s="247">
        <f t="shared" ca="1" si="20"/>
        <v>1295.9231602687032</v>
      </c>
      <c r="BA37" s="247">
        <f t="shared" ca="1" si="14"/>
        <v>0</v>
      </c>
      <c r="BB37" s="247">
        <f t="shared" ca="1" si="21"/>
        <v>1295.9231602687032</v>
      </c>
      <c r="BC37" s="15"/>
      <c r="BD37" s="18"/>
      <c r="BE37" s="18"/>
      <c r="BF37" s="18"/>
      <c r="BG37" s="18"/>
      <c r="BH37" s="18"/>
      <c r="BI37" s="18"/>
      <c r="BJ37" s="18"/>
      <c r="BK37" s="18"/>
      <c r="BL37" s="357"/>
      <c r="BM37" s="2"/>
      <c r="BN37" s="2"/>
      <c r="BO37" s="2"/>
      <c r="BP37" s="2"/>
      <c r="BQ37" s="2"/>
      <c r="BR37" s="2"/>
    </row>
    <row r="38" spans="2:72" x14ac:dyDescent="0.3">
      <c r="B38" s="232"/>
      <c r="C38" s="250"/>
      <c r="D38" s="263"/>
      <c r="E38" s="263"/>
      <c r="F38" s="263"/>
      <c r="G38" s="263"/>
      <c r="H38" s="15"/>
      <c r="I38" s="35"/>
      <c r="J38" s="35"/>
      <c r="K38" s="35"/>
      <c r="L38" s="15"/>
      <c r="M38" s="35"/>
      <c r="N38" s="35"/>
      <c r="O38" s="35"/>
      <c r="P38" s="15"/>
      <c r="Q38" s="34"/>
      <c r="R38" s="34"/>
      <c r="S38" s="34"/>
      <c r="T38" s="34"/>
      <c r="U38" s="15"/>
      <c r="V38" s="35"/>
      <c r="W38" s="34"/>
      <c r="X38" s="35"/>
      <c r="Y38" s="34"/>
      <c r="Z38" s="35"/>
      <c r="AA38" s="34"/>
      <c r="AB38" s="34"/>
      <c r="AC38" s="15"/>
      <c r="AD38" s="34"/>
      <c r="AE38" s="34"/>
      <c r="AF38" s="34"/>
      <c r="AG38" s="15"/>
      <c r="AH38" s="273"/>
      <c r="AI38" s="267"/>
      <c r="AJ38" s="267"/>
      <c r="AK38" s="34"/>
      <c r="AL38" s="233"/>
      <c r="AN38" s="232"/>
      <c r="AO38" s="17">
        <f t="shared" si="15"/>
        <v>2022</v>
      </c>
      <c r="AP38" s="333">
        <f t="shared" ca="1" si="11"/>
        <v>100</v>
      </c>
      <c r="AQ38" s="15"/>
      <c r="AR38" s="247">
        <f t="shared" ca="1" si="16"/>
        <v>0</v>
      </c>
      <c r="AS38" s="247">
        <f t="shared" ca="1" si="12"/>
        <v>0</v>
      </c>
      <c r="AT38" s="247">
        <f t="shared" ca="1" si="17"/>
        <v>0</v>
      </c>
      <c r="AU38" s="15"/>
      <c r="AV38" s="247">
        <f t="shared" ca="1" si="18"/>
        <v>1355.0768397312968</v>
      </c>
      <c r="AW38" s="247">
        <f t="shared" ca="1" si="13"/>
        <v>100</v>
      </c>
      <c r="AX38" s="247">
        <f t="shared" ca="1" si="19"/>
        <v>1255.0768397312968</v>
      </c>
      <c r="AY38" s="15"/>
      <c r="AZ38" s="247">
        <f t="shared" ca="1" si="20"/>
        <v>1295.9231602687032</v>
      </c>
      <c r="BA38" s="247">
        <f t="shared" ca="1" si="14"/>
        <v>0</v>
      </c>
      <c r="BB38" s="247">
        <f t="shared" ca="1" si="21"/>
        <v>1295.9231602687032</v>
      </c>
      <c r="BC38" s="15"/>
      <c r="BD38" s="18"/>
      <c r="BE38" s="18"/>
      <c r="BF38" s="18"/>
      <c r="BG38" s="18"/>
      <c r="BH38" s="18"/>
      <c r="BI38" s="18"/>
      <c r="BJ38" s="18"/>
      <c r="BK38" s="18"/>
      <c r="BL38" s="357"/>
      <c r="BM38" s="2"/>
      <c r="BN38" s="2"/>
      <c r="BO38" s="2"/>
      <c r="BP38" s="2"/>
      <c r="BQ38" s="2"/>
      <c r="BR38" s="2"/>
    </row>
    <row r="39" spans="2:72" x14ac:dyDescent="0.3">
      <c r="B39" s="232"/>
      <c r="C39" s="250"/>
      <c r="D39" s="263"/>
      <c r="E39" s="263"/>
      <c r="F39" s="263"/>
      <c r="G39" s="263"/>
      <c r="H39" s="15"/>
      <c r="I39" s="35"/>
      <c r="J39" s="35"/>
      <c r="K39" s="35"/>
      <c r="L39" s="15"/>
      <c r="M39" s="35"/>
      <c r="N39" s="35"/>
      <c r="O39" s="35"/>
      <c r="P39" s="15"/>
      <c r="Q39" s="34"/>
      <c r="R39" s="34"/>
      <c r="S39" s="34"/>
      <c r="T39" s="34"/>
      <c r="U39" s="15"/>
      <c r="V39" s="35"/>
      <c r="W39" s="34"/>
      <c r="X39" s="35"/>
      <c r="Y39" s="34"/>
      <c r="Z39" s="35"/>
      <c r="AA39" s="34"/>
      <c r="AB39" s="34"/>
      <c r="AC39" s="15"/>
      <c r="AD39" s="34"/>
      <c r="AE39" s="34"/>
      <c r="AF39" s="34"/>
      <c r="AG39" s="15"/>
      <c r="AH39" s="273"/>
      <c r="AI39" s="267"/>
      <c r="AJ39" s="267"/>
      <c r="AK39" s="34"/>
      <c r="AL39" s="233"/>
      <c r="AN39" s="232"/>
      <c r="AO39" s="17">
        <f t="shared" si="15"/>
        <v>2023</v>
      </c>
      <c r="AP39" s="333">
        <f t="shared" ca="1" si="11"/>
        <v>100</v>
      </c>
      <c r="AQ39" s="15"/>
      <c r="AR39" s="247">
        <f t="shared" ca="1" si="16"/>
        <v>0</v>
      </c>
      <c r="AS39" s="247">
        <f t="shared" ca="1" si="12"/>
        <v>0</v>
      </c>
      <c r="AT39" s="247">
        <f t="shared" ca="1" si="17"/>
        <v>0</v>
      </c>
      <c r="AU39" s="15"/>
      <c r="AV39" s="247">
        <f t="shared" ca="1" si="18"/>
        <v>1255.0768397312968</v>
      </c>
      <c r="AW39" s="247">
        <f t="shared" ca="1" si="13"/>
        <v>100</v>
      </c>
      <c r="AX39" s="247">
        <f t="shared" ca="1" si="19"/>
        <v>1155.0768397312968</v>
      </c>
      <c r="AY39" s="15"/>
      <c r="AZ39" s="247">
        <f t="shared" ca="1" si="20"/>
        <v>1295.9231602687032</v>
      </c>
      <c r="BA39" s="247">
        <f t="shared" ca="1" si="14"/>
        <v>0</v>
      </c>
      <c r="BB39" s="247">
        <f t="shared" ca="1" si="21"/>
        <v>1295.9231602687032</v>
      </c>
      <c r="BC39" s="15"/>
      <c r="BD39" s="326"/>
      <c r="BE39" s="18"/>
      <c r="BF39" s="18"/>
      <c r="BG39" s="18"/>
      <c r="BH39" s="18"/>
      <c r="BI39" s="18"/>
      <c r="BJ39" s="18"/>
      <c r="BK39" s="18"/>
      <c r="BL39" s="357"/>
      <c r="BM39" s="2"/>
      <c r="BN39" s="2"/>
      <c r="BO39" s="2"/>
      <c r="BP39" s="2"/>
      <c r="BQ39" s="2"/>
      <c r="BR39" s="2"/>
      <c r="BS39" s="2"/>
      <c r="BT39" s="2"/>
    </row>
    <row r="40" spans="2:72" x14ac:dyDescent="0.3">
      <c r="B40" s="232"/>
      <c r="C40" s="250"/>
      <c r="D40" s="263"/>
      <c r="E40" s="263"/>
      <c r="F40" s="263"/>
      <c r="G40" s="263"/>
      <c r="H40" s="15"/>
      <c r="I40" s="35"/>
      <c r="J40" s="35"/>
      <c r="K40" s="35"/>
      <c r="L40" s="15"/>
      <c r="M40" s="35"/>
      <c r="N40" s="35"/>
      <c r="O40" s="35"/>
      <c r="P40" s="15"/>
      <c r="Q40" s="34"/>
      <c r="R40" s="34"/>
      <c r="S40" s="34"/>
      <c r="T40" s="34"/>
      <c r="U40" s="15"/>
      <c r="V40" s="35"/>
      <c r="W40" s="34"/>
      <c r="X40" s="35"/>
      <c r="Y40" s="34"/>
      <c r="Z40" s="35"/>
      <c r="AA40" s="34"/>
      <c r="AB40" s="34"/>
      <c r="AC40" s="15"/>
      <c r="AD40" s="34"/>
      <c r="AE40" s="34"/>
      <c r="AF40" s="34"/>
      <c r="AG40" s="15"/>
      <c r="AH40" s="273"/>
      <c r="AI40" s="267"/>
      <c r="AJ40" s="267"/>
      <c r="AK40" s="34"/>
      <c r="AL40" s="233"/>
      <c r="AN40" s="232"/>
      <c r="AO40" s="17">
        <f t="shared" si="15"/>
        <v>2024</v>
      </c>
      <c r="AP40" s="333">
        <f t="shared" ca="1" si="11"/>
        <v>100</v>
      </c>
      <c r="AQ40" s="15"/>
      <c r="AR40" s="247">
        <f t="shared" ca="1" si="16"/>
        <v>0</v>
      </c>
      <c r="AS40" s="247">
        <f t="shared" ca="1" si="12"/>
        <v>0</v>
      </c>
      <c r="AT40" s="247">
        <f t="shared" ca="1" si="17"/>
        <v>0</v>
      </c>
      <c r="AU40" s="15"/>
      <c r="AV40" s="247">
        <f t="shared" ca="1" si="18"/>
        <v>1155.0768397312968</v>
      </c>
      <c r="AW40" s="247">
        <f t="shared" ca="1" si="13"/>
        <v>100</v>
      </c>
      <c r="AX40" s="247">
        <f t="shared" ca="1" si="19"/>
        <v>1055.0768397312968</v>
      </c>
      <c r="AY40" s="15"/>
      <c r="AZ40" s="247">
        <f t="shared" ca="1" si="20"/>
        <v>1295.9231602687032</v>
      </c>
      <c r="BA40" s="247">
        <f t="shared" ca="1" si="14"/>
        <v>0</v>
      </c>
      <c r="BB40" s="247">
        <f t="shared" ca="1" si="21"/>
        <v>1295.9231602687032</v>
      </c>
      <c r="BC40" s="15"/>
      <c r="BD40" s="358"/>
      <c r="BE40" s="18"/>
      <c r="BF40" s="18"/>
      <c r="BG40" s="18"/>
      <c r="BH40" s="18"/>
      <c r="BI40" s="18"/>
      <c r="BJ40" s="18"/>
      <c r="BK40" s="18"/>
      <c r="BL40" s="357"/>
      <c r="BM40" s="2"/>
      <c r="BN40" s="2"/>
      <c r="BO40" s="2"/>
      <c r="BP40" s="2"/>
      <c r="BQ40" s="2"/>
      <c r="BR40" s="2"/>
      <c r="BS40" s="2"/>
      <c r="BT40" s="2"/>
    </row>
    <row r="41" spans="2:72" x14ac:dyDescent="0.3">
      <c r="B41" s="232"/>
      <c r="C41" s="250"/>
      <c r="D41" s="263"/>
      <c r="E41" s="263"/>
      <c r="F41" s="263"/>
      <c r="G41" s="263"/>
      <c r="H41" s="15"/>
      <c r="I41" s="35"/>
      <c r="J41" s="35"/>
      <c r="K41" s="35"/>
      <c r="L41" s="15"/>
      <c r="M41" s="35"/>
      <c r="N41" s="35"/>
      <c r="O41" s="35"/>
      <c r="P41" s="15"/>
      <c r="Q41" s="34"/>
      <c r="R41" s="34"/>
      <c r="S41" s="34"/>
      <c r="T41" s="34"/>
      <c r="U41" s="15"/>
      <c r="V41" s="35"/>
      <c r="W41" s="34"/>
      <c r="X41" s="35"/>
      <c r="Y41" s="34"/>
      <c r="Z41" s="35"/>
      <c r="AA41" s="34"/>
      <c r="AB41" s="34"/>
      <c r="AC41" s="15"/>
      <c r="AD41" s="34"/>
      <c r="AE41" s="34"/>
      <c r="AF41" s="34"/>
      <c r="AG41" s="15"/>
      <c r="AH41" s="273"/>
      <c r="AI41" s="267"/>
      <c r="AJ41" s="267"/>
      <c r="AK41" s="34"/>
      <c r="AL41" s="233"/>
      <c r="AN41" s="232"/>
      <c r="AO41" s="17">
        <f t="shared" si="15"/>
        <v>2025</v>
      </c>
      <c r="AP41" s="333">
        <f t="shared" ca="1" si="11"/>
        <v>100</v>
      </c>
      <c r="AQ41" s="15"/>
      <c r="AR41" s="247">
        <f t="shared" ca="1" si="16"/>
        <v>0</v>
      </c>
      <c r="AS41" s="247">
        <f t="shared" ca="1" si="12"/>
        <v>0</v>
      </c>
      <c r="AT41" s="247">
        <f t="shared" ca="1" si="17"/>
        <v>0</v>
      </c>
      <c r="AU41" s="15"/>
      <c r="AV41" s="247">
        <f t="shared" ca="1" si="18"/>
        <v>1055.0768397312968</v>
      </c>
      <c r="AW41" s="247">
        <f t="shared" ca="1" si="13"/>
        <v>100</v>
      </c>
      <c r="AX41" s="247">
        <f t="shared" ca="1" si="19"/>
        <v>955.07683973129679</v>
      </c>
      <c r="AY41" s="15"/>
      <c r="AZ41" s="247">
        <f t="shared" ca="1" si="20"/>
        <v>1295.9231602687032</v>
      </c>
      <c r="BA41" s="247">
        <f t="shared" ca="1" si="14"/>
        <v>0</v>
      </c>
      <c r="BB41" s="247">
        <f t="shared" ca="1" si="21"/>
        <v>1295.9231602687032</v>
      </c>
      <c r="BC41" s="15"/>
      <c r="BD41" s="2"/>
      <c r="BE41" s="18"/>
      <c r="BF41" s="18"/>
      <c r="BG41" s="18"/>
      <c r="BH41" s="18"/>
      <c r="BI41" s="18"/>
      <c r="BJ41" s="18"/>
      <c r="BK41" s="18"/>
      <c r="BL41" s="357"/>
      <c r="BM41" s="2"/>
      <c r="BN41" s="2"/>
      <c r="BO41" s="2"/>
      <c r="BP41" s="2"/>
      <c r="BQ41" s="2"/>
      <c r="BR41" s="2"/>
      <c r="BS41" s="2"/>
      <c r="BT41" s="2"/>
    </row>
    <row r="42" spans="2:72" x14ac:dyDescent="0.3">
      <c r="B42" s="232"/>
      <c r="C42" s="250"/>
      <c r="D42" s="263"/>
      <c r="E42" s="263"/>
      <c r="F42" s="263"/>
      <c r="G42" s="263"/>
      <c r="H42" s="15"/>
      <c r="I42" s="35"/>
      <c r="J42" s="35"/>
      <c r="K42" s="35"/>
      <c r="L42" s="15"/>
      <c r="M42" s="35"/>
      <c r="N42" s="35"/>
      <c r="O42" s="35"/>
      <c r="P42" s="15"/>
      <c r="Q42" s="34"/>
      <c r="R42" s="34"/>
      <c r="S42" s="34"/>
      <c r="T42" s="34"/>
      <c r="U42" s="15"/>
      <c r="V42" s="35"/>
      <c r="W42" s="34"/>
      <c r="X42" s="35"/>
      <c r="Y42" s="34"/>
      <c r="Z42" s="35"/>
      <c r="AA42" s="34"/>
      <c r="AB42" s="34"/>
      <c r="AC42" s="15"/>
      <c r="AD42" s="34"/>
      <c r="AE42" s="34"/>
      <c r="AF42" s="34"/>
      <c r="AG42" s="15"/>
      <c r="AH42" s="273"/>
      <c r="AI42" s="267"/>
      <c r="AJ42" s="267"/>
      <c r="AK42" s="34"/>
      <c r="AL42" s="233"/>
      <c r="AN42" s="232"/>
      <c r="AO42" s="17">
        <f t="shared" si="15"/>
        <v>2026</v>
      </c>
      <c r="AP42" s="333">
        <f t="shared" ca="1" si="11"/>
        <v>100</v>
      </c>
      <c r="AQ42" s="15"/>
      <c r="AR42" s="247">
        <f t="shared" ca="1" si="16"/>
        <v>0</v>
      </c>
      <c r="AS42" s="247">
        <f t="shared" ca="1" si="12"/>
        <v>0</v>
      </c>
      <c r="AT42" s="247">
        <f t="shared" ca="1" si="17"/>
        <v>0</v>
      </c>
      <c r="AU42" s="15"/>
      <c r="AV42" s="247">
        <f t="shared" ca="1" si="18"/>
        <v>955.07683973129679</v>
      </c>
      <c r="AW42" s="247">
        <f t="shared" ca="1" si="13"/>
        <v>100</v>
      </c>
      <c r="AX42" s="247">
        <f t="shared" ca="1" si="19"/>
        <v>855.07683973129679</v>
      </c>
      <c r="AY42" s="15"/>
      <c r="AZ42" s="247">
        <f t="shared" ca="1" si="20"/>
        <v>1295.9231602687032</v>
      </c>
      <c r="BA42" s="247">
        <f t="shared" ca="1" si="14"/>
        <v>0</v>
      </c>
      <c r="BB42" s="247">
        <f t="shared" ca="1" si="21"/>
        <v>1295.9231602687032</v>
      </c>
      <c r="BC42" s="15"/>
      <c r="BD42" s="114"/>
      <c r="BE42" s="18"/>
      <c r="BF42" s="18"/>
      <c r="BG42" s="18"/>
      <c r="BH42" s="18"/>
      <c r="BI42" s="18"/>
      <c r="BJ42" s="18"/>
      <c r="BK42" s="18"/>
      <c r="BL42" s="357"/>
      <c r="BM42" s="2"/>
      <c r="BN42" s="2"/>
      <c r="BO42" s="2"/>
      <c r="BP42" s="2"/>
      <c r="BQ42" s="2"/>
      <c r="BR42" s="2"/>
      <c r="BS42" s="2"/>
      <c r="BT42" s="2"/>
    </row>
    <row r="43" spans="2:72" x14ac:dyDescent="0.3">
      <c r="B43" s="232"/>
      <c r="C43" s="250"/>
      <c r="D43" s="263"/>
      <c r="E43" s="263"/>
      <c r="F43" s="263"/>
      <c r="G43" s="263"/>
      <c r="H43" s="15"/>
      <c r="I43" s="35"/>
      <c r="J43" s="35"/>
      <c r="K43" s="35"/>
      <c r="L43" s="15"/>
      <c r="M43" s="35"/>
      <c r="N43" s="35"/>
      <c r="O43" s="35"/>
      <c r="P43" s="15"/>
      <c r="Q43" s="34"/>
      <c r="R43" s="34"/>
      <c r="S43" s="34"/>
      <c r="T43" s="34"/>
      <c r="U43" s="15"/>
      <c r="V43" s="35"/>
      <c r="W43" s="34"/>
      <c r="X43" s="35"/>
      <c r="Y43" s="34"/>
      <c r="Z43" s="35"/>
      <c r="AA43" s="34"/>
      <c r="AB43" s="34"/>
      <c r="AC43" s="15"/>
      <c r="AD43" s="34"/>
      <c r="AE43" s="34"/>
      <c r="AF43" s="34"/>
      <c r="AG43" s="15"/>
      <c r="AH43" s="273"/>
      <c r="AI43" s="267"/>
      <c r="AJ43" s="267"/>
      <c r="AK43" s="34"/>
      <c r="AL43" s="233"/>
      <c r="AN43" s="232"/>
      <c r="AO43" s="17">
        <f t="shared" si="15"/>
        <v>2027</v>
      </c>
      <c r="AP43" s="333">
        <f t="shared" ca="1" si="11"/>
        <v>100</v>
      </c>
      <c r="AQ43" s="15"/>
      <c r="AR43" s="247">
        <f t="shared" ca="1" si="16"/>
        <v>0</v>
      </c>
      <c r="AS43" s="247">
        <f t="shared" ca="1" si="12"/>
        <v>0</v>
      </c>
      <c r="AT43" s="247">
        <f t="shared" ca="1" si="17"/>
        <v>0</v>
      </c>
      <c r="AU43" s="15"/>
      <c r="AV43" s="247">
        <f t="shared" ca="1" si="18"/>
        <v>855.07683973129679</v>
      </c>
      <c r="AW43" s="247">
        <f t="shared" ca="1" si="13"/>
        <v>100</v>
      </c>
      <c r="AX43" s="247">
        <f t="shared" ca="1" si="19"/>
        <v>755.07683973129679</v>
      </c>
      <c r="AY43" s="15"/>
      <c r="AZ43" s="247">
        <f t="shared" ca="1" si="20"/>
        <v>1295.9231602687032</v>
      </c>
      <c r="BA43" s="247">
        <f t="shared" ca="1" si="14"/>
        <v>0</v>
      </c>
      <c r="BB43" s="247">
        <f t="shared" ca="1" si="21"/>
        <v>1295.9231602687032</v>
      </c>
      <c r="BC43" s="15"/>
      <c r="BD43" s="114"/>
      <c r="BE43" s="18"/>
      <c r="BF43" s="18"/>
      <c r="BG43" s="18"/>
      <c r="BH43" s="18"/>
      <c r="BI43" s="18"/>
      <c r="BJ43" s="18"/>
      <c r="BK43" s="18"/>
      <c r="BL43" s="357"/>
      <c r="BM43" s="2"/>
      <c r="BN43" s="2"/>
      <c r="BO43" s="2"/>
      <c r="BP43" s="2"/>
      <c r="BQ43" s="2"/>
      <c r="BR43" s="2"/>
      <c r="BS43" s="2"/>
      <c r="BT43" s="2"/>
    </row>
    <row r="44" spans="2:72" x14ac:dyDescent="0.3">
      <c r="B44" s="232"/>
      <c r="C44" s="250"/>
      <c r="D44" s="263"/>
      <c r="E44" s="263"/>
      <c r="F44" s="263"/>
      <c r="G44" s="263"/>
      <c r="H44" s="15"/>
      <c r="I44" s="35"/>
      <c r="J44" s="35"/>
      <c r="K44" s="35"/>
      <c r="L44" s="15"/>
      <c r="M44" s="35"/>
      <c r="N44" s="35"/>
      <c r="O44" s="35"/>
      <c r="P44" s="15"/>
      <c r="Q44" s="34"/>
      <c r="R44" s="34"/>
      <c r="S44" s="34"/>
      <c r="T44" s="34"/>
      <c r="U44" s="15"/>
      <c r="V44" s="35"/>
      <c r="W44" s="34"/>
      <c r="X44" s="35"/>
      <c r="Y44" s="34"/>
      <c r="Z44" s="35"/>
      <c r="AA44" s="34"/>
      <c r="AB44" s="34"/>
      <c r="AC44" s="15"/>
      <c r="AD44" s="34"/>
      <c r="AE44" s="34"/>
      <c r="AF44" s="34"/>
      <c r="AG44" s="15"/>
      <c r="AH44" s="273"/>
      <c r="AI44" s="267"/>
      <c r="AJ44" s="267"/>
      <c r="AK44" s="34"/>
      <c r="AL44" s="233"/>
      <c r="AN44" s="232"/>
      <c r="AO44" s="17">
        <f t="shared" si="15"/>
        <v>2028</v>
      </c>
      <c r="AP44" s="333">
        <f t="shared" ca="1" si="11"/>
        <v>100</v>
      </c>
      <c r="AQ44" s="15"/>
      <c r="AR44" s="247">
        <f t="shared" ca="1" si="16"/>
        <v>0</v>
      </c>
      <c r="AS44" s="247">
        <f t="shared" ca="1" si="12"/>
        <v>0</v>
      </c>
      <c r="AT44" s="247">
        <f t="shared" ca="1" si="17"/>
        <v>0</v>
      </c>
      <c r="AU44" s="15"/>
      <c r="AV44" s="247">
        <f t="shared" ca="1" si="18"/>
        <v>755.07683973129679</v>
      </c>
      <c r="AW44" s="247">
        <f t="shared" ca="1" si="13"/>
        <v>100</v>
      </c>
      <c r="AX44" s="247">
        <f t="shared" ca="1" si="19"/>
        <v>655.07683973129679</v>
      </c>
      <c r="AY44" s="15"/>
      <c r="AZ44" s="247">
        <f t="shared" ca="1" si="20"/>
        <v>1295.9231602687032</v>
      </c>
      <c r="BA44" s="247">
        <f t="shared" ca="1" si="14"/>
        <v>0</v>
      </c>
      <c r="BB44" s="247">
        <f t="shared" ca="1" si="21"/>
        <v>1295.9231602687032</v>
      </c>
      <c r="BC44" s="15"/>
      <c r="BD44" s="18"/>
      <c r="BE44" s="18"/>
      <c r="BF44" s="18"/>
      <c r="BG44" s="18"/>
      <c r="BH44" s="18"/>
      <c r="BI44" s="18"/>
      <c r="BJ44" s="18"/>
      <c r="BK44" s="18"/>
      <c r="BL44" s="357"/>
      <c r="BM44" s="2"/>
      <c r="BN44" s="2"/>
      <c r="BO44" s="2"/>
      <c r="BP44" s="2"/>
      <c r="BQ44" s="2"/>
      <c r="BR44" s="2"/>
      <c r="BS44" s="2"/>
      <c r="BT44" s="2"/>
    </row>
    <row r="45" spans="2:72" x14ac:dyDescent="0.3">
      <c r="B45" s="232"/>
      <c r="C45" s="250"/>
      <c r="D45" s="263"/>
      <c r="E45" s="263"/>
      <c r="F45" s="263"/>
      <c r="G45" s="263"/>
      <c r="H45" s="15"/>
      <c r="I45" s="35"/>
      <c r="J45" s="35"/>
      <c r="K45" s="35"/>
      <c r="L45" s="15"/>
      <c r="M45" s="35"/>
      <c r="N45" s="35"/>
      <c r="O45" s="35"/>
      <c r="P45" s="15"/>
      <c r="Q45" s="34"/>
      <c r="R45" s="34"/>
      <c r="S45" s="34"/>
      <c r="T45" s="34"/>
      <c r="U45" s="15"/>
      <c r="V45" s="35"/>
      <c r="W45" s="34"/>
      <c r="X45" s="35"/>
      <c r="Y45" s="34"/>
      <c r="Z45" s="35"/>
      <c r="AA45" s="34"/>
      <c r="AB45" s="34"/>
      <c r="AC45" s="15"/>
      <c r="AD45" s="34"/>
      <c r="AE45" s="34"/>
      <c r="AF45" s="34"/>
      <c r="AG45" s="15"/>
      <c r="AH45" s="273"/>
      <c r="AI45" s="267"/>
      <c r="AJ45" s="267"/>
      <c r="AK45" s="34"/>
      <c r="AL45" s="233"/>
      <c r="AN45" s="232"/>
      <c r="AO45" s="17">
        <f t="shared" si="15"/>
        <v>2029</v>
      </c>
      <c r="AP45" s="333">
        <f t="shared" ca="1" si="11"/>
        <v>100</v>
      </c>
      <c r="AQ45" s="15"/>
      <c r="AR45" s="247">
        <f t="shared" ca="1" si="16"/>
        <v>0</v>
      </c>
      <c r="AS45" s="247">
        <f t="shared" ca="1" si="12"/>
        <v>0</v>
      </c>
      <c r="AT45" s="247">
        <f t="shared" ca="1" si="17"/>
        <v>0</v>
      </c>
      <c r="AU45" s="15"/>
      <c r="AV45" s="247">
        <f t="shared" ca="1" si="18"/>
        <v>655.07683973129679</v>
      </c>
      <c r="AW45" s="247">
        <f t="shared" ca="1" si="13"/>
        <v>100</v>
      </c>
      <c r="AX45" s="247">
        <f t="shared" ca="1" si="19"/>
        <v>555.07683973129679</v>
      </c>
      <c r="AY45" s="15"/>
      <c r="AZ45" s="247">
        <f t="shared" ca="1" si="20"/>
        <v>1295.9231602687032</v>
      </c>
      <c r="BA45" s="247">
        <f t="shared" ca="1" si="14"/>
        <v>0</v>
      </c>
      <c r="BB45" s="247">
        <f t="shared" ca="1" si="21"/>
        <v>1295.9231602687032</v>
      </c>
      <c r="BC45" s="15"/>
      <c r="BD45" s="18"/>
      <c r="BE45" s="18"/>
      <c r="BF45" s="18"/>
      <c r="BG45" s="18"/>
      <c r="BH45" s="18"/>
      <c r="BI45" s="18"/>
      <c r="BJ45" s="18"/>
      <c r="BK45" s="18"/>
      <c r="BL45" s="357"/>
      <c r="BM45" s="2"/>
      <c r="BN45" s="2"/>
      <c r="BO45" s="2"/>
      <c r="BP45" s="2"/>
      <c r="BQ45" s="2"/>
      <c r="BR45" s="2"/>
      <c r="BS45" s="2"/>
      <c r="BT45" s="2"/>
    </row>
    <row r="46" spans="2:72" x14ac:dyDescent="0.3">
      <c r="B46" s="232"/>
      <c r="C46" s="250"/>
      <c r="D46" s="263"/>
      <c r="E46" s="263"/>
      <c r="F46" s="263"/>
      <c r="G46" s="263"/>
      <c r="H46" s="15"/>
      <c r="I46" s="35"/>
      <c r="J46" s="35"/>
      <c r="K46" s="35"/>
      <c r="L46" s="15"/>
      <c r="M46" s="35"/>
      <c r="N46" s="35"/>
      <c r="O46" s="35"/>
      <c r="P46" s="15"/>
      <c r="Q46" s="34"/>
      <c r="R46" s="34"/>
      <c r="S46" s="34"/>
      <c r="T46" s="34"/>
      <c r="U46" s="15"/>
      <c r="V46" s="35"/>
      <c r="W46" s="34"/>
      <c r="X46" s="35"/>
      <c r="Y46" s="34"/>
      <c r="Z46" s="35"/>
      <c r="AA46" s="34"/>
      <c r="AB46" s="34"/>
      <c r="AC46" s="15"/>
      <c r="AD46" s="34"/>
      <c r="AE46" s="34"/>
      <c r="AF46" s="34"/>
      <c r="AG46" s="15"/>
      <c r="AH46" s="273"/>
      <c r="AI46" s="267"/>
      <c r="AJ46" s="267"/>
      <c r="AK46" s="34"/>
      <c r="AL46" s="233"/>
      <c r="AN46" s="232"/>
      <c r="AO46" s="17">
        <f t="shared" si="15"/>
        <v>2030</v>
      </c>
      <c r="AP46" s="333">
        <f t="shared" ca="1" si="11"/>
        <v>100</v>
      </c>
      <c r="AQ46" s="15"/>
      <c r="AR46" s="247">
        <f t="shared" ca="1" si="16"/>
        <v>0</v>
      </c>
      <c r="AS46" s="247">
        <f t="shared" ca="1" si="12"/>
        <v>0</v>
      </c>
      <c r="AT46" s="247">
        <f t="shared" ca="1" si="17"/>
        <v>0</v>
      </c>
      <c r="AU46" s="15"/>
      <c r="AV46" s="247">
        <f t="shared" ca="1" si="18"/>
        <v>555.07683973129679</v>
      </c>
      <c r="AW46" s="247">
        <f t="shared" ca="1" si="13"/>
        <v>100</v>
      </c>
      <c r="AX46" s="247">
        <f t="shared" ca="1" si="19"/>
        <v>455.07683973129679</v>
      </c>
      <c r="AY46" s="15"/>
      <c r="AZ46" s="247">
        <f t="shared" ca="1" si="20"/>
        <v>1295.9231602687032</v>
      </c>
      <c r="BA46" s="247">
        <f t="shared" ca="1" si="14"/>
        <v>0</v>
      </c>
      <c r="BB46" s="247">
        <f t="shared" ca="1" si="21"/>
        <v>1295.9231602687032</v>
      </c>
      <c r="BC46" s="15"/>
      <c r="BD46" s="128"/>
      <c r="BE46" s="18"/>
      <c r="BF46" s="18"/>
      <c r="BG46" s="18"/>
      <c r="BH46" s="18"/>
      <c r="BI46" s="18"/>
      <c r="BJ46" s="18"/>
      <c r="BK46" s="18"/>
      <c r="BL46" s="357"/>
      <c r="BM46" s="2"/>
      <c r="BN46" s="2"/>
      <c r="BO46" s="2"/>
      <c r="BP46" s="2"/>
      <c r="BQ46" s="2"/>
      <c r="BR46" s="2"/>
      <c r="BS46" s="2"/>
      <c r="BT46" s="2"/>
    </row>
    <row r="47" spans="2:72" x14ac:dyDescent="0.3">
      <c r="B47" s="232"/>
      <c r="C47" s="250"/>
      <c r="D47" s="263"/>
      <c r="E47" s="263"/>
      <c r="F47" s="263"/>
      <c r="G47" s="263"/>
      <c r="H47" s="15"/>
      <c r="I47" s="35"/>
      <c r="J47" s="35"/>
      <c r="K47" s="35"/>
      <c r="L47" s="15"/>
      <c r="M47" s="35"/>
      <c r="N47" s="35"/>
      <c r="O47" s="35"/>
      <c r="P47" s="15"/>
      <c r="Q47" s="34"/>
      <c r="R47" s="34"/>
      <c r="S47" s="34"/>
      <c r="T47" s="34"/>
      <c r="U47" s="15"/>
      <c r="V47" s="35"/>
      <c r="W47" s="34"/>
      <c r="X47" s="35"/>
      <c r="Y47" s="34"/>
      <c r="Z47" s="35"/>
      <c r="AA47" s="34"/>
      <c r="AB47" s="34"/>
      <c r="AC47" s="15"/>
      <c r="AD47" s="34"/>
      <c r="AE47" s="34"/>
      <c r="AF47" s="34"/>
      <c r="AG47" s="15"/>
      <c r="AH47" s="273"/>
      <c r="AI47" s="267"/>
      <c r="AJ47" s="267"/>
      <c r="AK47" s="34"/>
      <c r="AL47" s="233"/>
      <c r="AN47" s="232"/>
      <c r="AO47" s="17">
        <f t="shared" si="15"/>
        <v>2031</v>
      </c>
      <c r="AP47" s="333">
        <f t="shared" ca="1" si="11"/>
        <v>100</v>
      </c>
      <c r="AQ47" s="15"/>
      <c r="AR47" s="247">
        <f t="shared" ca="1" si="16"/>
        <v>0</v>
      </c>
      <c r="AS47" s="247">
        <f t="shared" ca="1" si="12"/>
        <v>0</v>
      </c>
      <c r="AT47" s="247">
        <f t="shared" ca="1" si="17"/>
        <v>0</v>
      </c>
      <c r="AU47" s="15"/>
      <c r="AV47" s="247">
        <f t="shared" ca="1" si="18"/>
        <v>455.07683973129679</v>
      </c>
      <c r="AW47" s="247">
        <f t="shared" ca="1" si="13"/>
        <v>100</v>
      </c>
      <c r="AX47" s="247">
        <f t="shared" ca="1" si="19"/>
        <v>355.07683973129679</v>
      </c>
      <c r="AY47" s="15"/>
      <c r="AZ47" s="247">
        <f t="shared" ca="1" si="20"/>
        <v>1295.9231602687032</v>
      </c>
      <c r="BA47" s="247">
        <f t="shared" ca="1" si="14"/>
        <v>0</v>
      </c>
      <c r="BB47" s="247">
        <f t="shared" ca="1" si="21"/>
        <v>1295.9231602687032</v>
      </c>
      <c r="BC47" s="15"/>
      <c r="BD47" s="18"/>
      <c r="BE47" s="18"/>
      <c r="BF47" s="18"/>
      <c r="BG47" s="18"/>
      <c r="BH47" s="18"/>
      <c r="BI47" s="18"/>
      <c r="BJ47" s="18"/>
      <c r="BK47" s="18"/>
      <c r="BL47" s="357"/>
      <c r="BM47" s="2"/>
      <c r="BN47" s="2"/>
      <c r="BO47" s="2"/>
      <c r="BP47" s="2"/>
      <c r="BQ47" s="2"/>
      <c r="BR47" s="2"/>
      <c r="BS47" s="2"/>
      <c r="BT47" s="2"/>
    </row>
    <row r="48" spans="2:72" x14ac:dyDescent="0.3">
      <c r="B48" s="232"/>
      <c r="C48" s="250"/>
      <c r="D48" s="263"/>
      <c r="E48" s="263"/>
      <c r="F48" s="263"/>
      <c r="G48" s="263"/>
      <c r="H48" s="15"/>
      <c r="I48" s="35"/>
      <c r="J48" s="35"/>
      <c r="K48" s="35"/>
      <c r="L48" s="15"/>
      <c r="M48" s="35"/>
      <c r="N48" s="35"/>
      <c r="O48" s="35"/>
      <c r="P48" s="15"/>
      <c r="Q48" s="34"/>
      <c r="R48" s="34"/>
      <c r="S48" s="34"/>
      <c r="T48" s="34"/>
      <c r="U48" s="15"/>
      <c r="V48" s="35"/>
      <c r="W48" s="34"/>
      <c r="X48" s="35"/>
      <c r="Y48" s="34"/>
      <c r="Z48" s="35"/>
      <c r="AA48" s="34"/>
      <c r="AB48" s="34"/>
      <c r="AC48" s="15"/>
      <c r="AD48" s="34"/>
      <c r="AE48" s="34"/>
      <c r="AF48" s="34"/>
      <c r="AG48" s="15"/>
      <c r="AH48" s="273"/>
      <c r="AI48" s="267"/>
      <c r="AJ48" s="267"/>
      <c r="AK48" s="34"/>
      <c r="AL48" s="233"/>
      <c r="AN48" s="232"/>
      <c r="AO48" s="17">
        <f t="shared" si="15"/>
        <v>2032</v>
      </c>
      <c r="AP48" s="333">
        <f t="shared" ca="1" si="11"/>
        <v>100</v>
      </c>
      <c r="AQ48" s="15"/>
      <c r="AR48" s="247">
        <f t="shared" ca="1" si="16"/>
        <v>0</v>
      </c>
      <c r="AS48" s="247">
        <f t="shared" ca="1" si="12"/>
        <v>0</v>
      </c>
      <c r="AT48" s="247">
        <f t="shared" ca="1" si="17"/>
        <v>0</v>
      </c>
      <c r="AU48" s="15"/>
      <c r="AV48" s="247">
        <f t="shared" ca="1" si="18"/>
        <v>355.07683973129679</v>
      </c>
      <c r="AW48" s="247">
        <f t="shared" ca="1" si="13"/>
        <v>100</v>
      </c>
      <c r="AX48" s="247">
        <f t="shared" ca="1" si="19"/>
        <v>255.07683973129679</v>
      </c>
      <c r="AY48" s="15"/>
      <c r="AZ48" s="247">
        <f t="shared" ca="1" si="20"/>
        <v>1295.9231602687032</v>
      </c>
      <c r="BA48" s="247">
        <f t="shared" ca="1" si="14"/>
        <v>0</v>
      </c>
      <c r="BB48" s="247">
        <f t="shared" ca="1" si="21"/>
        <v>1295.9231602687032</v>
      </c>
      <c r="BC48" s="15"/>
      <c r="BD48" s="326"/>
      <c r="BE48" s="18"/>
      <c r="BF48" s="18"/>
      <c r="BG48" s="18"/>
      <c r="BH48" s="18"/>
      <c r="BI48" s="18"/>
      <c r="BJ48" s="18"/>
      <c r="BK48" s="18"/>
      <c r="BL48" s="357"/>
      <c r="BM48" s="2"/>
      <c r="BN48" s="2"/>
      <c r="BO48" s="2"/>
      <c r="BP48" s="2"/>
      <c r="BQ48" s="2"/>
      <c r="BR48" s="2"/>
      <c r="BS48" s="2"/>
      <c r="BT48" s="2"/>
    </row>
    <row r="49" spans="2:72" x14ac:dyDescent="0.3">
      <c r="B49" s="232"/>
      <c r="C49" s="250"/>
      <c r="D49" s="263"/>
      <c r="E49" s="263"/>
      <c r="F49" s="263"/>
      <c r="G49" s="263"/>
      <c r="H49" s="15"/>
      <c r="I49" s="35"/>
      <c r="J49" s="35"/>
      <c r="K49" s="35"/>
      <c r="L49" s="15"/>
      <c r="M49" s="35"/>
      <c r="N49" s="35"/>
      <c r="O49" s="35"/>
      <c r="P49" s="15"/>
      <c r="Q49" s="34"/>
      <c r="R49" s="34"/>
      <c r="S49" s="34"/>
      <c r="T49" s="34"/>
      <c r="U49" s="15"/>
      <c r="V49" s="35"/>
      <c r="W49" s="34"/>
      <c r="X49" s="35"/>
      <c r="Y49" s="34"/>
      <c r="Z49" s="35"/>
      <c r="AA49" s="34"/>
      <c r="AB49" s="34"/>
      <c r="AC49" s="15"/>
      <c r="AD49" s="34"/>
      <c r="AE49" s="34"/>
      <c r="AF49" s="34"/>
      <c r="AG49" s="15"/>
      <c r="AH49" s="273"/>
      <c r="AI49" s="267"/>
      <c r="AJ49" s="267"/>
      <c r="AK49" s="34"/>
      <c r="AL49" s="233"/>
      <c r="AN49" s="232"/>
      <c r="AO49" s="17">
        <f t="shared" si="15"/>
        <v>2033</v>
      </c>
      <c r="AP49" s="333">
        <f t="shared" ca="1" si="11"/>
        <v>100</v>
      </c>
      <c r="AQ49" s="15"/>
      <c r="AR49" s="247">
        <f t="shared" ca="1" si="16"/>
        <v>0</v>
      </c>
      <c r="AS49" s="247">
        <f t="shared" ca="1" si="12"/>
        <v>0</v>
      </c>
      <c r="AT49" s="247">
        <f t="shared" ca="1" si="17"/>
        <v>0</v>
      </c>
      <c r="AU49" s="15"/>
      <c r="AV49" s="247">
        <f t="shared" ca="1" si="18"/>
        <v>255.07683973129679</v>
      </c>
      <c r="AW49" s="247">
        <f t="shared" ca="1" si="13"/>
        <v>100</v>
      </c>
      <c r="AX49" s="247">
        <f t="shared" ca="1" si="19"/>
        <v>155.07683973129679</v>
      </c>
      <c r="AY49" s="15"/>
      <c r="AZ49" s="247">
        <f t="shared" ca="1" si="20"/>
        <v>1295.9231602687032</v>
      </c>
      <c r="BA49" s="247">
        <f t="shared" ca="1" si="14"/>
        <v>0</v>
      </c>
      <c r="BB49" s="247">
        <f t="shared" ca="1" si="21"/>
        <v>1295.9231602687032</v>
      </c>
      <c r="BC49" s="15"/>
      <c r="BD49" s="128"/>
      <c r="BE49" s="18"/>
      <c r="BF49" s="18"/>
      <c r="BG49" s="18"/>
      <c r="BH49" s="18"/>
      <c r="BI49" s="18"/>
      <c r="BJ49" s="18"/>
      <c r="BK49" s="18"/>
      <c r="BL49" s="357"/>
      <c r="BM49" s="2"/>
      <c r="BN49" s="2"/>
      <c r="BO49" s="2"/>
      <c r="BP49" s="2"/>
      <c r="BQ49" s="2"/>
      <c r="BR49" s="2"/>
      <c r="BS49" s="2"/>
      <c r="BT49" s="2"/>
    </row>
    <row r="50" spans="2:72" x14ac:dyDescent="0.3">
      <c r="B50" s="232"/>
      <c r="C50" s="250"/>
      <c r="D50" s="263"/>
      <c r="E50" s="263"/>
      <c r="F50" s="263"/>
      <c r="G50" s="263"/>
      <c r="H50" s="15"/>
      <c r="I50" s="35"/>
      <c r="J50" s="35"/>
      <c r="K50" s="35"/>
      <c r="L50" s="15"/>
      <c r="M50" s="35"/>
      <c r="N50" s="35"/>
      <c r="O50" s="35"/>
      <c r="P50" s="15"/>
      <c r="Q50" s="34"/>
      <c r="R50" s="34"/>
      <c r="S50" s="34"/>
      <c r="T50" s="34"/>
      <c r="U50" s="15"/>
      <c r="V50" s="35"/>
      <c r="W50" s="34"/>
      <c r="X50" s="35"/>
      <c r="Y50" s="34"/>
      <c r="Z50" s="35"/>
      <c r="AA50" s="34"/>
      <c r="AB50" s="34"/>
      <c r="AC50" s="15"/>
      <c r="AD50" s="34"/>
      <c r="AE50" s="34"/>
      <c r="AF50" s="34"/>
      <c r="AG50" s="15"/>
      <c r="AH50" s="273"/>
      <c r="AI50" s="267"/>
      <c r="AJ50" s="267"/>
      <c r="AK50" s="34"/>
      <c r="AL50" s="233"/>
      <c r="AN50" s="232"/>
      <c r="AO50" s="17">
        <f t="shared" si="15"/>
        <v>2034</v>
      </c>
      <c r="AP50" s="333">
        <f t="shared" ca="1" si="11"/>
        <v>100</v>
      </c>
      <c r="AQ50" s="15"/>
      <c r="AR50" s="247">
        <f t="shared" ca="1" si="16"/>
        <v>0</v>
      </c>
      <c r="AS50" s="247">
        <f t="shared" ca="1" si="12"/>
        <v>0</v>
      </c>
      <c r="AT50" s="247">
        <f t="shared" ca="1" si="17"/>
        <v>0</v>
      </c>
      <c r="AU50" s="15"/>
      <c r="AV50" s="247">
        <f t="shared" ca="1" si="18"/>
        <v>155.07683973129679</v>
      </c>
      <c r="AW50" s="247">
        <f t="shared" ca="1" si="13"/>
        <v>100</v>
      </c>
      <c r="AX50" s="247">
        <f t="shared" ca="1" si="19"/>
        <v>55.076839731296786</v>
      </c>
      <c r="AY50" s="15"/>
      <c r="AZ50" s="247">
        <f t="shared" ca="1" si="20"/>
        <v>1295.9231602687032</v>
      </c>
      <c r="BA50" s="247">
        <f t="shared" ca="1" si="14"/>
        <v>0</v>
      </c>
      <c r="BB50" s="247">
        <f t="shared" ca="1" si="21"/>
        <v>1295.9231602687032</v>
      </c>
      <c r="BC50" s="15"/>
      <c r="BD50" s="18"/>
      <c r="BE50" s="18"/>
      <c r="BF50" s="18"/>
      <c r="BG50" s="18"/>
      <c r="BH50" s="18"/>
      <c r="BI50" s="18"/>
      <c r="BJ50" s="18"/>
      <c r="BK50" s="18"/>
      <c r="BL50" s="357"/>
      <c r="BM50" s="2"/>
      <c r="BN50" s="2"/>
      <c r="BO50" s="2"/>
      <c r="BP50" s="2"/>
      <c r="BQ50" s="2"/>
      <c r="BR50" s="2"/>
      <c r="BS50" s="2"/>
      <c r="BT50" s="2"/>
    </row>
    <row r="51" spans="2:72" x14ac:dyDescent="0.3">
      <c r="B51" s="232"/>
      <c r="C51" s="250"/>
      <c r="D51" s="263"/>
      <c r="E51" s="263"/>
      <c r="F51" s="263"/>
      <c r="G51" s="263"/>
      <c r="H51" s="15"/>
      <c r="I51" s="35"/>
      <c r="J51" s="35"/>
      <c r="K51" s="35"/>
      <c r="L51" s="15"/>
      <c r="M51" s="35"/>
      <c r="N51" s="35"/>
      <c r="O51" s="35"/>
      <c r="P51" s="15"/>
      <c r="Q51" s="34"/>
      <c r="R51" s="34"/>
      <c r="S51" s="34"/>
      <c r="T51" s="34"/>
      <c r="U51" s="15"/>
      <c r="V51" s="35"/>
      <c r="W51" s="34"/>
      <c r="X51" s="35"/>
      <c r="Y51" s="34"/>
      <c r="Z51" s="35"/>
      <c r="AA51" s="34"/>
      <c r="AB51" s="34"/>
      <c r="AC51" s="15"/>
      <c r="AD51" s="34"/>
      <c r="AE51" s="34"/>
      <c r="AF51" s="34"/>
      <c r="AG51" s="15"/>
      <c r="AH51" s="273"/>
      <c r="AI51" s="267"/>
      <c r="AJ51" s="267"/>
      <c r="AK51" s="34"/>
      <c r="AL51" s="233"/>
      <c r="AN51" s="232"/>
      <c r="AO51" s="17">
        <f t="shared" si="15"/>
        <v>2035</v>
      </c>
      <c r="AP51" s="333">
        <f t="shared" ca="1" si="11"/>
        <v>100</v>
      </c>
      <c r="AQ51" s="15"/>
      <c r="AR51" s="247">
        <f t="shared" ca="1" si="16"/>
        <v>0</v>
      </c>
      <c r="AS51" s="247">
        <f t="shared" ca="1" si="12"/>
        <v>0</v>
      </c>
      <c r="AT51" s="247">
        <f t="shared" ca="1" si="17"/>
        <v>0</v>
      </c>
      <c r="AU51" s="15"/>
      <c r="AV51" s="247">
        <f t="shared" ca="1" si="18"/>
        <v>55.076839731296786</v>
      </c>
      <c r="AW51" s="247">
        <f t="shared" ca="1" si="13"/>
        <v>55.076839731296786</v>
      </c>
      <c r="AX51" s="247">
        <f t="shared" ca="1" si="19"/>
        <v>0</v>
      </c>
      <c r="AY51" s="15"/>
      <c r="AZ51" s="247">
        <f t="shared" ca="1" si="20"/>
        <v>1295.9231602687032</v>
      </c>
      <c r="BA51" s="247">
        <f t="shared" ca="1" si="14"/>
        <v>44.923160268703214</v>
      </c>
      <c r="BB51" s="247">
        <f t="shared" ca="1" si="21"/>
        <v>1251</v>
      </c>
      <c r="BC51" s="15"/>
      <c r="BD51" s="326"/>
      <c r="BE51" s="18"/>
      <c r="BF51" s="18"/>
      <c r="BG51" s="18"/>
      <c r="BH51" s="18"/>
      <c r="BI51" s="18"/>
      <c r="BJ51" s="18"/>
      <c r="BK51" s="18"/>
      <c r="BL51" s="357"/>
      <c r="BM51" s="2"/>
      <c r="BN51" s="2"/>
      <c r="BO51" s="2"/>
      <c r="BP51" s="2"/>
      <c r="BQ51" s="2"/>
      <c r="BR51" s="2"/>
      <c r="BS51" s="2"/>
      <c r="BT51" s="2"/>
    </row>
    <row r="52" spans="2:72" x14ac:dyDescent="0.3">
      <c r="B52" s="232"/>
      <c r="C52" s="250"/>
      <c r="D52" s="263"/>
      <c r="E52" s="263"/>
      <c r="F52" s="263"/>
      <c r="G52" s="263"/>
      <c r="H52" s="15"/>
      <c r="I52" s="35"/>
      <c r="J52" s="35"/>
      <c r="K52" s="35"/>
      <c r="L52" s="15"/>
      <c r="M52" s="35"/>
      <c r="N52" s="35"/>
      <c r="O52" s="35"/>
      <c r="P52" s="15"/>
      <c r="Q52" s="34"/>
      <c r="R52" s="34"/>
      <c r="S52" s="34"/>
      <c r="T52" s="34"/>
      <c r="U52" s="15"/>
      <c r="V52" s="35"/>
      <c r="W52" s="34"/>
      <c r="X52" s="35"/>
      <c r="Y52" s="34"/>
      <c r="Z52" s="35"/>
      <c r="AA52" s="34"/>
      <c r="AB52" s="34"/>
      <c r="AC52" s="15"/>
      <c r="AD52" s="34"/>
      <c r="AE52" s="34"/>
      <c r="AF52" s="34"/>
      <c r="AG52" s="15"/>
      <c r="AH52" s="273"/>
      <c r="AI52" s="267"/>
      <c r="AJ52" s="267"/>
      <c r="AK52" s="34"/>
      <c r="AL52" s="233"/>
      <c r="AN52" s="232"/>
      <c r="AO52" s="17">
        <f t="shared" si="15"/>
        <v>2036</v>
      </c>
      <c r="AP52" s="333">
        <f t="shared" ca="1" si="11"/>
        <v>100</v>
      </c>
      <c r="AQ52" s="15"/>
      <c r="AR52" s="247">
        <f t="shared" ca="1" si="16"/>
        <v>0</v>
      </c>
      <c r="AS52" s="247">
        <f t="shared" ca="1" si="12"/>
        <v>0</v>
      </c>
      <c r="AT52" s="247">
        <f t="shared" ca="1" si="17"/>
        <v>0</v>
      </c>
      <c r="AU52" s="15"/>
      <c r="AV52" s="247">
        <f t="shared" ca="1" si="18"/>
        <v>0</v>
      </c>
      <c r="AW52" s="247">
        <f t="shared" ca="1" si="13"/>
        <v>0</v>
      </c>
      <c r="AX52" s="247">
        <f t="shared" ca="1" si="19"/>
        <v>0</v>
      </c>
      <c r="AY52" s="15"/>
      <c r="AZ52" s="247">
        <f t="shared" ca="1" si="20"/>
        <v>1251</v>
      </c>
      <c r="BA52" s="247">
        <f t="shared" ca="1" si="14"/>
        <v>100</v>
      </c>
      <c r="BB52" s="247">
        <f t="shared" ca="1" si="21"/>
        <v>1151</v>
      </c>
      <c r="BC52" s="15"/>
      <c r="BD52" s="128"/>
      <c r="BE52" s="18"/>
      <c r="BF52" s="18"/>
      <c r="BG52" s="18"/>
      <c r="BH52" s="18"/>
      <c r="BI52" s="18"/>
      <c r="BJ52" s="18"/>
      <c r="BK52" s="18"/>
      <c r="BL52" s="357"/>
      <c r="BM52" s="2"/>
      <c r="BN52" s="2"/>
      <c r="BO52" s="2"/>
      <c r="BP52" s="2"/>
      <c r="BQ52" s="2"/>
      <c r="BR52" s="2"/>
      <c r="BS52" s="2"/>
      <c r="BT52" s="2"/>
    </row>
    <row r="53" spans="2:72" x14ac:dyDescent="0.3">
      <c r="B53" s="232"/>
      <c r="C53" s="250"/>
      <c r="D53" s="263"/>
      <c r="E53" s="263"/>
      <c r="F53" s="263"/>
      <c r="G53" s="263"/>
      <c r="H53" s="15"/>
      <c r="I53" s="35"/>
      <c r="J53" s="35"/>
      <c r="K53" s="35"/>
      <c r="L53" s="15"/>
      <c r="M53" s="35"/>
      <c r="N53" s="35"/>
      <c r="O53" s="35"/>
      <c r="P53" s="15"/>
      <c r="Q53" s="34"/>
      <c r="R53" s="34"/>
      <c r="S53" s="34"/>
      <c r="T53" s="34"/>
      <c r="U53" s="15"/>
      <c r="V53" s="35"/>
      <c r="W53" s="34"/>
      <c r="X53" s="35"/>
      <c r="Y53" s="34"/>
      <c r="Z53" s="35"/>
      <c r="AA53" s="34"/>
      <c r="AB53" s="34"/>
      <c r="AC53" s="15"/>
      <c r="AD53" s="34"/>
      <c r="AE53" s="34"/>
      <c r="AF53" s="34"/>
      <c r="AG53" s="15"/>
      <c r="AH53" s="273"/>
      <c r="AI53" s="267"/>
      <c r="AJ53" s="267"/>
      <c r="AK53" s="34"/>
      <c r="AL53" s="233"/>
      <c r="AN53" s="232"/>
      <c r="AO53" s="17">
        <f t="shared" si="15"/>
        <v>2037</v>
      </c>
      <c r="AP53" s="333">
        <f t="shared" ca="1" si="11"/>
        <v>100</v>
      </c>
      <c r="AQ53" s="15"/>
      <c r="AR53" s="247">
        <f t="shared" ca="1" si="16"/>
        <v>0</v>
      </c>
      <c r="AS53" s="247">
        <f t="shared" ca="1" si="12"/>
        <v>0</v>
      </c>
      <c r="AT53" s="247">
        <f t="shared" ca="1" si="17"/>
        <v>0</v>
      </c>
      <c r="AU53" s="15"/>
      <c r="AV53" s="247">
        <f t="shared" ca="1" si="18"/>
        <v>0</v>
      </c>
      <c r="AW53" s="247">
        <f t="shared" ca="1" si="13"/>
        <v>0</v>
      </c>
      <c r="AX53" s="247">
        <f t="shared" ca="1" si="19"/>
        <v>0</v>
      </c>
      <c r="AY53" s="15"/>
      <c r="AZ53" s="247">
        <f t="shared" ca="1" si="20"/>
        <v>1151</v>
      </c>
      <c r="BA53" s="247">
        <f t="shared" ca="1" si="14"/>
        <v>100</v>
      </c>
      <c r="BB53" s="247">
        <f t="shared" ca="1" si="21"/>
        <v>1051</v>
      </c>
      <c r="BC53" s="15"/>
      <c r="BD53" s="18"/>
      <c r="BE53" s="18"/>
      <c r="BF53" s="18"/>
      <c r="BG53" s="18"/>
      <c r="BH53" s="18"/>
      <c r="BI53" s="18"/>
      <c r="BJ53" s="18"/>
      <c r="BK53" s="18"/>
      <c r="BL53" s="357"/>
      <c r="BM53" s="2"/>
      <c r="BN53" s="2"/>
      <c r="BO53" s="2"/>
      <c r="BP53" s="2"/>
      <c r="BQ53" s="2"/>
      <c r="BR53" s="2"/>
      <c r="BS53" s="2"/>
      <c r="BT53" s="2"/>
    </row>
    <row r="54" spans="2:72" x14ac:dyDescent="0.3">
      <c r="B54" s="232"/>
      <c r="C54" s="250"/>
      <c r="D54" s="263"/>
      <c r="E54" s="263"/>
      <c r="F54" s="263"/>
      <c r="G54" s="263"/>
      <c r="H54" s="15"/>
      <c r="I54" s="35"/>
      <c r="J54" s="35"/>
      <c r="K54" s="35"/>
      <c r="L54" s="15"/>
      <c r="M54" s="35"/>
      <c r="N54" s="35"/>
      <c r="O54" s="35"/>
      <c r="P54" s="15"/>
      <c r="Q54" s="34"/>
      <c r="R54" s="34"/>
      <c r="S54" s="34"/>
      <c r="T54" s="34"/>
      <c r="U54" s="15"/>
      <c r="V54" s="35"/>
      <c r="W54" s="34"/>
      <c r="X54" s="35"/>
      <c r="Y54" s="34"/>
      <c r="Z54" s="35"/>
      <c r="AA54" s="34"/>
      <c r="AB54" s="34"/>
      <c r="AC54" s="15"/>
      <c r="AD54" s="34"/>
      <c r="AE54" s="34"/>
      <c r="AF54" s="34"/>
      <c r="AG54" s="15"/>
      <c r="AH54" s="273"/>
      <c r="AI54" s="267"/>
      <c r="AJ54" s="267"/>
      <c r="AK54" s="34"/>
      <c r="AL54" s="233"/>
      <c r="AN54" s="232"/>
      <c r="AO54" s="17">
        <f t="shared" si="15"/>
        <v>2038</v>
      </c>
      <c r="AP54" s="333">
        <f t="shared" ca="1" si="11"/>
        <v>100</v>
      </c>
      <c r="AQ54" s="15"/>
      <c r="AR54" s="247">
        <f t="shared" ca="1" si="16"/>
        <v>0</v>
      </c>
      <c r="AS54" s="247">
        <f t="shared" ca="1" si="12"/>
        <v>0</v>
      </c>
      <c r="AT54" s="247">
        <f t="shared" ca="1" si="17"/>
        <v>0</v>
      </c>
      <c r="AU54" s="15"/>
      <c r="AV54" s="247">
        <f t="shared" ca="1" si="18"/>
        <v>0</v>
      </c>
      <c r="AW54" s="247">
        <f t="shared" ca="1" si="13"/>
        <v>0</v>
      </c>
      <c r="AX54" s="247">
        <f t="shared" ca="1" si="19"/>
        <v>0</v>
      </c>
      <c r="AY54" s="15"/>
      <c r="AZ54" s="247">
        <f t="shared" ca="1" si="20"/>
        <v>1051</v>
      </c>
      <c r="BA54" s="247">
        <f t="shared" ca="1" si="14"/>
        <v>100</v>
      </c>
      <c r="BB54" s="247">
        <f t="shared" ca="1" si="21"/>
        <v>951</v>
      </c>
      <c r="BC54" s="15"/>
      <c r="BD54" s="326"/>
      <c r="BE54" s="18"/>
      <c r="BF54" s="18"/>
      <c r="BG54" s="18"/>
      <c r="BH54" s="18"/>
      <c r="BI54" s="18"/>
      <c r="BJ54" s="18"/>
      <c r="BK54" s="18"/>
      <c r="BL54" s="357"/>
      <c r="BM54" s="2"/>
      <c r="BN54" s="2"/>
      <c r="BO54" s="2"/>
      <c r="BP54" s="2"/>
      <c r="BQ54" s="2"/>
      <c r="BR54" s="2"/>
      <c r="BS54" s="2"/>
      <c r="BT54" s="2"/>
    </row>
    <row r="55" spans="2:72" x14ac:dyDescent="0.3">
      <c r="B55" s="232"/>
      <c r="C55" s="250"/>
      <c r="D55" s="263"/>
      <c r="E55" s="263"/>
      <c r="F55" s="263"/>
      <c r="G55" s="263"/>
      <c r="H55" s="15"/>
      <c r="I55" s="35"/>
      <c r="J55" s="35"/>
      <c r="K55" s="35"/>
      <c r="L55" s="15"/>
      <c r="M55" s="35"/>
      <c r="N55" s="35"/>
      <c r="O55" s="35"/>
      <c r="P55" s="15"/>
      <c r="Q55" s="34"/>
      <c r="R55" s="34"/>
      <c r="S55" s="34"/>
      <c r="T55" s="34"/>
      <c r="U55" s="15"/>
      <c r="V55" s="35"/>
      <c r="W55" s="34"/>
      <c r="X55" s="35"/>
      <c r="Y55" s="34"/>
      <c r="Z55" s="35"/>
      <c r="AA55" s="34"/>
      <c r="AB55" s="34"/>
      <c r="AC55" s="15"/>
      <c r="AD55" s="34"/>
      <c r="AE55" s="34"/>
      <c r="AF55" s="34"/>
      <c r="AG55" s="15"/>
      <c r="AH55" s="273"/>
      <c r="AI55" s="267"/>
      <c r="AJ55" s="267"/>
      <c r="AK55" s="34"/>
      <c r="AL55" s="233"/>
      <c r="AN55" s="232"/>
      <c r="AO55" s="17">
        <f t="shared" si="15"/>
        <v>2039</v>
      </c>
      <c r="AP55" s="333">
        <f t="shared" ca="1" si="11"/>
        <v>100</v>
      </c>
      <c r="AQ55" s="15"/>
      <c r="AR55" s="247">
        <f t="shared" ca="1" si="16"/>
        <v>0</v>
      </c>
      <c r="AS55" s="247">
        <f t="shared" ca="1" si="12"/>
        <v>0</v>
      </c>
      <c r="AT55" s="247">
        <f t="shared" ca="1" si="17"/>
        <v>0</v>
      </c>
      <c r="AU55" s="15"/>
      <c r="AV55" s="247">
        <f t="shared" ca="1" si="18"/>
        <v>0</v>
      </c>
      <c r="AW55" s="247">
        <f t="shared" ca="1" si="13"/>
        <v>0</v>
      </c>
      <c r="AX55" s="247">
        <f t="shared" ca="1" si="19"/>
        <v>0</v>
      </c>
      <c r="AY55" s="15"/>
      <c r="AZ55" s="247">
        <f t="shared" ca="1" si="20"/>
        <v>951</v>
      </c>
      <c r="BA55" s="247">
        <f t="shared" ca="1" si="14"/>
        <v>100</v>
      </c>
      <c r="BB55" s="247">
        <f t="shared" ca="1" si="21"/>
        <v>851</v>
      </c>
      <c r="BC55" s="15"/>
      <c r="BD55" s="18"/>
      <c r="BE55" s="18"/>
      <c r="BF55" s="18"/>
      <c r="BG55" s="18"/>
      <c r="BH55" s="18"/>
      <c r="BI55" s="18"/>
      <c r="BJ55" s="18"/>
      <c r="BK55" s="18"/>
      <c r="BL55" s="357"/>
      <c r="BM55" s="2"/>
      <c r="BN55" s="2"/>
      <c r="BO55" s="2"/>
      <c r="BP55" s="2"/>
      <c r="BQ55" s="2"/>
      <c r="BR55" s="2"/>
      <c r="BS55" s="2"/>
      <c r="BT55" s="2"/>
    </row>
    <row r="56" spans="2:72" x14ac:dyDescent="0.3">
      <c r="B56" s="232"/>
      <c r="C56" s="250"/>
      <c r="D56" s="263"/>
      <c r="E56" s="263"/>
      <c r="F56" s="263"/>
      <c r="G56" s="263"/>
      <c r="H56" s="15"/>
      <c r="I56" s="35"/>
      <c r="J56" s="35"/>
      <c r="K56" s="35"/>
      <c r="L56" s="15"/>
      <c r="M56" s="35"/>
      <c r="N56" s="35"/>
      <c r="O56" s="35"/>
      <c r="P56" s="15"/>
      <c r="Q56" s="34"/>
      <c r="R56" s="34"/>
      <c r="S56" s="34"/>
      <c r="T56" s="34"/>
      <c r="U56" s="15"/>
      <c r="V56" s="35"/>
      <c r="W56" s="34"/>
      <c r="X56" s="35"/>
      <c r="Y56" s="34"/>
      <c r="Z56" s="35"/>
      <c r="AA56" s="34"/>
      <c r="AB56" s="34"/>
      <c r="AC56" s="15"/>
      <c r="AD56" s="34"/>
      <c r="AE56" s="34"/>
      <c r="AF56" s="34"/>
      <c r="AG56" s="15"/>
      <c r="AH56" s="273"/>
      <c r="AI56" s="267"/>
      <c r="AJ56" s="267"/>
      <c r="AK56" s="34"/>
      <c r="AL56" s="233"/>
      <c r="AN56" s="232"/>
      <c r="AO56" s="17">
        <f t="shared" si="15"/>
        <v>2040</v>
      </c>
      <c r="AP56" s="333">
        <f t="shared" ca="1" si="11"/>
        <v>0</v>
      </c>
      <c r="AQ56" s="15"/>
      <c r="AR56" s="247">
        <f t="shared" ca="1" si="16"/>
        <v>0</v>
      </c>
      <c r="AS56" s="247">
        <f t="shared" ca="1" si="12"/>
        <v>0</v>
      </c>
      <c r="AT56" s="247">
        <f t="shared" ca="1" si="17"/>
        <v>0</v>
      </c>
      <c r="AU56" s="15"/>
      <c r="AV56" s="247">
        <f t="shared" ca="1" si="18"/>
        <v>0</v>
      </c>
      <c r="AW56" s="247">
        <f t="shared" ca="1" si="13"/>
        <v>0</v>
      </c>
      <c r="AX56" s="247">
        <f t="shared" ca="1" si="19"/>
        <v>0</v>
      </c>
      <c r="AY56" s="15"/>
      <c r="AZ56" s="247">
        <f t="shared" ca="1" si="20"/>
        <v>851</v>
      </c>
      <c r="BA56" s="247">
        <f t="shared" ca="1" si="14"/>
        <v>0</v>
      </c>
      <c r="BB56" s="247">
        <f t="shared" ca="1" si="21"/>
        <v>851</v>
      </c>
      <c r="BC56" s="15"/>
      <c r="BD56" s="326"/>
      <c r="BE56" s="18"/>
      <c r="BF56" s="18"/>
      <c r="BG56" s="18"/>
      <c r="BH56" s="18"/>
      <c r="BI56" s="18"/>
      <c r="BJ56" s="18"/>
      <c r="BK56" s="18"/>
      <c r="BL56" s="357"/>
      <c r="BM56" s="2"/>
      <c r="BN56" s="2"/>
      <c r="BO56" s="2"/>
      <c r="BP56" s="2"/>
      <c r="BQ56" s="2"/>
      <c r="BR56" s="2"/>
      <c r="BS56" s="2"/>
      <c r="BT56" s="2"/>
    </row>
    <row r="57" spans="2:72" x14ac:dyDescent="0.3">
      <c r="B57" s="232"/>
      <c r="C57" s="250"/>
      <c r="D57" s="263"/>
      <c r="E57" s="263"/>
      <c r="F57" s="263"/>
      <c r="G57" s="263"/>
      <c r="H57" s="15"/>
      <c r="I57" s="35"/>
      <c r="J57" s="35"/>
      <c r="K57" s="35"/>
      <c r="L57" s="15"/>
      <c r="M57" s="35"/>
      <c r="N57" s="35"/>
      <c r="O57" s="35"/>
      <c r="P57" s="15"/>
      <c r="Q57" s="34"/>
      <c r="R57" s="34"/>
      <c r="S57" s="34"/>
      <c r="T57" s="34"/>
      <c r="U57" s="15"/>
      <c r="V57" s="35"/>
      <c r="W57" s="34"/>
      <c r="X57" s="35"/>
      <c r="Y57" s="34"/>
      <c r="Z57" s="35"/>
      <c r="AA57" s="34"/>
      <c r="AB57" s="34"/>
      <c r="AC57" s="15"/>
      <c r="AD57" s="34"/>
      <c r="AE57" s="34"/>
      <c r="AF57" s="34"/>
      <c r="AG57" s="15"/>
      <c r="AH57" s="273"/>
      <c r="AI57" s="267"/>
      <c r="AJ57" s="267"/>
      <c r="AK57" s="34"/>
      <c r="AL57" s="233"/>
      <c r="AN57" s="232"/>
      <c r="AO57" s="17">
        <f t="shared" si="15"/>
        <v>2041</v>
      </c>
      <c r="AP57" s="333">
        <f t="shared" ca="1" si="11"/>
        <v>0</v>
      </c>
      <c r="AQ57" s="15"/>
      <c r="AR57" s="247">
        <f t="shared" ca="1" si="16"/>
        <v>0</v>
      </c>
      <c r="AS57" s="247">
        <f t="shared" ca="1" si="12"/>
        <v>0</v>
      </c>
      <c r="AT57" s="247">
        <f t="shared" ca="1" si="17"/>
        <v>0</v>
      </c>
      <c r="AU57" s="15"/>
      <c r="AV57" s="247">
        <f t="shared" ca="1" si="18"/>
        <v>0</v>
      </c>
      <c r="AW57" s="247">
        <f t="shared" ca="1" si="13"/>
        <v>0</v>
      </c>
      <c r="AX57" s="247">
        <f t="shared" ca="1" si="19"/>
        <v>0</v>
      </c>
      <c r="AY57" s="15"/>
      <c r="AZ57" s="247">
        <f t="shared" ca="1" si="20"/>
        <v>851</v>
      </c>
      <c r="BA57" s="247">
        <f t="shared" ca="1" si="14"/>
        <v>0</v>
      </c>
      <c r="BB57" s="247">
        <f t="shared" ca="1" si="21"/>
        <v>851</v>
      </c>
      <c r="BC57" s="15"/>
      <c r="BD57" s="128"/>
      <c r="BE57" s="18"/>
      <c r="BF57" s="18"/>
      <c r="BG57" s="18"/>
      <c r="BH57" s="18"/>
      <c r="BI57" s="18"/>
      <c r="BJ57" s="18"/>
      <c r="BK57" s="18"/>
      <c r="BL57" s="357"/>
      <c r="BM57" s="2"/>
      <c r="BN57" s="2"/>
      <c r="BO57" s="2"/>
      <c r="BP57" s="2"/>
      <c r="BQ57" s="2"/>
      <c r="BR57" s="2"/>
      <c r="BS57" s="2"/>
      <c r="BT57" s="2"/>
    </row>
    <row r="58" spans="2:72" x14ac:dyDescent="0.3">
      <c r="B58" s="232"/>
      <c r="C58" s="250"/>
      <c r="D58" s="263"/>
      <c r="E58" s="263"/>
      <c r="F58" s="263"/>
      <c r="G58" s="263"/>
      <c r="H58" s="15"/>
      <c r="I58" s="35"/>
      <c r="J58" s="35"/>
      <c r="K58" s="35"/>
      <c r="L58" s="15"/>
      <c r="M58" s="35"/>
      <c r="N58" s="35"/>
      <c r="O58" s="35"/>
      <c r="P58" s="15"/>
      <c r="Q58" s="34"/>
      <c r="R58" s="34"/>
      <c r="S58" s="34"/>
      <c r="T58" s="34"/>
      <c r="U58" s="15"/>
      <c r="V58" s="35"/>
      <c r="W58" s="34"/>
      <c r="X58" s="35"/>
      <c r="Y58" s="34"/>
      <c r="Z58" s="35"/>
      <c r="AA58" s="34"/>
      <c r="AB58" s="34"/>
      <c r="AC58" s="15"/>
      <c r="AD58" s="34"/>
      <c r="AE58" s="34"/>
      <c r="AF58" s="34"/>
      <c r="AG58" s="15"/>
      <c r="AH58" s="273"/>
      <c r="AI58" s="267"/>
      <c r="AJ58" s="267"/>
      <c r="AK58" s="34"/>
      <c r="AL58" s="233"/>
      <c r="AN58" s="232"/>
      <c r="AO58" s="17">
        <f t="shared" si="15"/>
        <v>2042</v>
      </c>
      <c r="AP58" s="333">
        <f t="shared" ca="1" si="11"/>
        <v>0</v>
      </c>
      <c r="AQ58" s="15"/>
      <c r="AR58" s="247">
        <f t="shared" ca="1" si="16"/>
        <v>0</v>
      </c>
      <c r="AS58" s="247">
        <f t="shared" ca="1" si="12"/>
        <v>0</v>
      </c>
      <c r="AT58" s="247">
        <f t="shared" ca="1" si="17"/>
        <v>0</v>
      </c>
      <c r="AU58" s="15"/>
      <c r="AV58" s="247">
        <f t="shared" ca="1" si="18"/>
        <v>0</v>
      </c>
      <c r="AW58" s="247">
        <f t="shared" ca="1" si="13"/>
        <v>0</v>
      </c>
      <c r="AX58" s="247">
        <f t="shared" ca="1" si="19"/>
        <v>0</v>
      </c>
      <c r="AY58" s="15"/>
      <c r="AZ58" s="247">
        <f t="shared" ca="1" si="20"/>
        <v>851</v>
      </c>
      <c r="BA58" s="247">
        <f t="shared" ca="1" si="14"/>
        <v>0</v>
      </c>
      <c r="BB58" s="247">
        <f t="shared" ca="1" si="21"/>
        <v>851</v>
      </c>
      <c r="BC58" s="15"/>
      <c r="BD58" s="18"/>
      <c r="BE58" s="18"/>
      <c r="BF58" s="18"/>
      <c r="BG58" s="18"/>
      <c r="BH58" s="18"/>
      <c r="BI58" s="18"/>
      <c r="BJ58" s="18"/>
      <c r="BK58" s="18"/>
      <c r="BL58" s="357"/>
      <c r="BM58" s="2"/>
      <c r="BN58" s="2"/>
      <c r="BO58" s="2"/>
      <c r="BP58" s="2"/>
      <c r="BQ58" s="2"/>
      <c r="BR58" s="2"/>
      <c r="BS58" s="2"/>
      <c r="BT58" s="2"/>
    </row>
    <row r="59" spans="2:72" x14ac:dyDescent="0.3">
      <c r="B59" s="232"/>
      <c r="C59" s="250"/>
      <c r="D59" s="263"/>
      <c r="E59" s="263"/>
      <c r="F59" s="263"/>
      <c r="G59" s="263"/>
      <c r="H59" s="15"/>
      <c r="I59" s="35"/>
      <c r="J59" s="35"/>
      <c r="K59" s="35"/>
      <c r="L59" s="15"/>
      <c r="M59" s="35"/>
      <c r="N59" s="35"/>
      <c r="O59" s="35"/>
      <c r="P59" s="15"/>
      <c r="Q59" s="34"/>
      <c r="R59" s="34"/>
      <c r="S59" s="34"/>
      <c r="T59" s="34"/>
      <c r="U59" s="15"/>
      <c r="V59" s="35"/>
      <c r="W59" s="34"/>
      <c r="X59" s="35"/>
      <c r="Y59" s="34"/>
      <c r="Z59" s="35"/>
      <c r="AA59" s="34"/>
      <c r="AB59" s="34"/>
      <c r="AC59" s="15"/>
      <c r="AD59" s="34"/>
      <c r="AE59" s="34"/>
      <c r="AF59" s="34"/>
      <c r="AG59" s="15"/>
      <c r="AH59" s="273"/>
      <c r="AI59" s="267"/>
      <c r="AJ59" s="267"/>
      <c r="AK59" s="34"/>
      <c r="AL59" s="233"/>
      <c r="AN59" s="232"/>
      <c r="AO59" s="17">
        <f t="shared" si="15"/>
        <v>2043</v>
      </c>
      <c r="AP59" s="333">
        <f t="shared" ca="1" si="11"/>
        <v>0</v>
      </c>
      <c r="AQ59" s="15"/>
      <c r="AR59" s="247">
        <f t="shared" ca="1" si="16"/>
        <v>0</v>
      </c>
      <c r="AS59" s="247">
        <f t="shared" ca="1" si="12"/>
        <v>0</v>
      </c>
      <c r="AT59" s="247">
        <f t="shared" ca="1" si="17"/>
        <v>0</v>
      </c>
      <c r="AU59" s="15"/>
      <c r="AV59" s="247">
        <f t="shared" ca="1" si="18"/>
        <v>0</v>
      </c>
      <c r="AW59" s="247">
        <f t="shared" ca="1" si="13"/>
        <v>0</v>
      </c>
      <c r="AX59" s="247">
        <f t="shared" ca="1" si="19"/>
        <v>0</v>
      </c>
      <c r="AY59" s="15"/>
      <c r="AZ59" s="247">
        <f t="shared" ca="1" si="20"/>
        <v>851</v>
      </c>
      <c r="BA59" s="247">
        <f t="shared" ca="1" si="14"/>
        <v>0</v>
      </c>
      <c r="BB59" s="247">
        <f t="shared" ca="1" si="21"/>
        <v>851</v>
      </c>
      <c r="BC59" s="15"/>
      <c r="BD59" s="326"/>
      <c r="BE59" s="18"/>
      <c r="BF59" s="18"/>
      <c r="BG59" s="18"/>
      <c r="BH59" s="18"/>
      <c r="BI59" s="18"/>
      <c r="BJ59" s="18"/>
      <c r="BK59" s="18"/>
      <c r="BL59" s="357"/>
      <c r="BM59" s="2"/>
      <c r="BN59" s="2"/>
      <c r="BO59" s="2"/>
      <c r="BP59" s="2"/>
      <c r="BQ59" s="2"/>
      <c r="BR59" s="2"/>
      <c r="BS59" s="2"/>
      <c r="BT59" s="2"/>
    </row>
    <row r="60" spans="2:72" x14ac:dyDescent="0.3">
      <c r="B60" s="232"/>
      <c r="C60" s="250"/>
      <c r="D60" s="263"/>
      <c r="E60" s="263"/>
      <c r="F60" s="263"/>
      <c r="G60" s="263"/>
      <c r="H60" s="15"/>
      <c r="I60" s="35"/>
      <c r="J60" s="35"/>
      <c r="K60" s="35"/>
      <c r="L60" s="15"/>
      <c r="M60" s="35"/>
      <c r="N60" s="35"/>
      <c r="O60" s="35"/>
      <c r="P60" s="15"/>
      <c r="Q60" s="34"/>
      <c r="R60" s="34"/>
      <c r="S60" s="34"/>
      <c r="T60" s="34"/>
      <c r="U60" s="15"/>
      <c r="V60" s="35"/>
      <c r="W60" s="34"/>
      <c r="X60" s="35"/>
      <c r="Y60" s="34"/>
      <c r="Z60" s="35"/>
      <c r="AA60" s="34"/>
      <c r="AB60" s="34"/>
      <c r="AC60" s="15"/>
      <c r="AD60" s="34"/>
      <c r="AE60" s="34"/>
      <c r="AF60" s="34"/>
      <c r="AG60" s="15"/>
      <c r="AH60" s="273"/>
      <c r="AI60" s="267"/>
      <c r="AJ60" s="267"/>
      <c r="AK60" s="34"/>
      <c r="AL60" s="233"/>
      <c r="AN60" s="232"/>
      <c r="AO60" s="17">
        <f t="shared" si="15"/>
        <v>2044</v>
      </c>
      <c r="AP60" s="333">
        <f t="shared" ca="1" si="11"/>
        <v>0</v>
      </c>
      <c r="AQ60" s="15"/>
      <c r="AR60" s="247">
        <f t="shared" ca="1" si="16"/>
        <v>0</v>
      </c>
      <c r="AS60" s="247">
        <f t="shared" ca="1" si="12"/>
        <v>0</v>
      </c>
      <c r="AT60" s="247">
        <f t="shared" ca="1" si="17"/>
        <v>0</v>
      </c>
      <c r="AU60" s="15"/>
      <c r="AV60" s="247">
        <f t="shared" ca="1" si="18"/>
        <v>0</v>
      </c>
      <c r="AW60" s="247">
        <f t="shared" ca="1" si="13"/>
        <v>0</v>
      </c>
      <c r="AX60" s="247">
        <f t="shared" ca="1" si="19"/>
        <v>0</v>
      </c>
      <c r="AY60" s="15"/>
      <c r="AZ60" s="247">
        <f t="shared" ca="1" si="20"/>
        <v>851</v>
      </c>
      <c r="BA60" s="247">
        <f t="shared" ca="1" si="14"/>
        <v>0</v>
      </c>
      <c r="BB60" s="247">
        <f t="shared" ca="1" si="21"/>
        <v>851</v>
      </c>
      <c r="BC60" s="15"/>
      <c r="BD60" s="128"/>
      <c r="BE60" s="18"/>
      <c r="BF60" s="18"/>
      <c r="BG60" s="18"/>
      <c r="BH60" s="18"/>
      <c r="BI60" s="18"/>
      <c r="BJ60" s="18"/>
      <c r="BK60" s="18"/>
      <c r="BL60" s="357"/>
      <c r="BM60" s="2"/>
      <c r="BN60" s="2"/>
      <c r="BO60" s="2"/>
      <c r="BP60" s="2"/>
      <c r="BQ60" s="2"/>
      <c r="BR60" s="2"/>
      <c r="BS60" s="2"/>
      <c r="BT60" s="2"/>
    </row>
    <row r="61" spans="2:72" x14ac:dyDescent="0.3">
      <c r="B61" s="232"/>
      <c r="C61" s="250"/>
      <c r="D61" s="263"/>
      <c r="E61" s="263"/>
      <c r="F61" s="263"/>
      <c r="G61" s="263"/>
      <c r="H61" s="15"/>
      <c r="I61" s="35"/>
      <c r="J61" s="35"/>
      <c r="K61" s="35"/>
      <c r="L61" s="15"/>
      <c r="M61" s="35"/>
      <c r="N61" s="35"/>
      <c r="O61" s="35"/>
      <c r="P61" s="15"/>
      <c r="Q61" s="34"/>
      <c r="R61" s="34"/>
      <c r="S61" s="34"/>
      <c r="T61" s="34"/>
      <c r="U61" s="15"/>
      <c r="V61" s="35"/>
      <c r="W61" s="34"/>
      <c r="X61" s="35"/>
      <c r="Y61" s="34"/>
      <c r="Z61" s="35"/>
      <c r="AA61" s="34"/>
      <c r="AB61" s="34"/>
      <c r="AC61" s="15"/>
      <c r="AD61" s="34"/>
      <c r="AE61" s="34"/>
      <c r="AF61" s="34"/>
      <c r="AG61" s="15"/>
      <c r="AH61" s="273"/>
      <c r="AI61" s="267"/>
      <c r="AJ61" s="267"/>
      <c r="AK61" s="34"/>
      <c r="AL61" s="233"/>
      <c r="AN61" s="232"/>
      <c r="AO61" s="17">
        <f t="shared" si="15"/>
        <v>2045</v>
      </c>
      <c r="AP61" s="333">
        <f t="shared" ca="1" si="11"/>
        <v>0</v>
      </c>
      <c r="AQ61" s="15"/>
      <c r="AR61" s="247">
        <f t="shared" ca="1" si="16"/>
        <v>0</v>
      </c>
      <c r="AS61" s="247">
        <f t="shared" ca="1" si="12"/>
        <v>0</v>
      </c>
      <c r="AT61" s="247">
        <f t="shared" ca="1" si="17"/>
        <v>0</v>
      </c>
      <c r="AU61" s="15"/>
      <c r="AV61" s="247">
        <f t="shared" ca="1" si="18"/>
        <v>0</v>
      </c>
      <c r="AW61" s="247">
        <f t="shared" ca="1" si="13"/>
        <v>0</v>
      </c>
      <c r="AX61" s="247">
        <f t="shared" ca="1" si="19"/>
        <v>0</v>
      </c>
      <c r="AY61" s="15"/>
      <c r="AZ61" s="247">
        <f t="shared" ca="1" si="20"/>
        <v>851</v>
      </c>
      <c r="BA61" s="247">
        <f t="shared" ca="1" si="14"/>
        <v>0</v>
      </c>
      <c r="BB61" s="247">
        <f t="shared" ca="1" si="21"/>
        <v>851</v>
      </c>
      <c r="BC61" s="15"/>
      <c r="BD61" s="128"/>
      <c r="BE61" s="18"/>
      <c r="BF61" s="18"/>
      <c r="BG61" s="18"/>
      <c r="BH61" s="18"/>
      <c r="BI61" s="18"/>
      <c r="BJ61" s="18"/>
      <c r="BK61" s="18"/>
      <c r="BL61" s="357"/>
      <c r="BM61" s="2"/>
      <c r="BN61" s="2"/>
      <c r="BO61" s="2"/>
      <c r="BP61" s="2"/>
      <c r="BQ61" s="2"/>
      <c r="BR61" s="2"/>
      <c r="BS61" s="2"/>
      <c r="BT61" s="2"/>
    </row>
    <row r="62" spans="2:72" x14ac:dyDescent="0.3">
      <c r="B62" s="232"/>
      <c r="C62" s="250"/>
      <c r="D62" s="263"/>
      <c r="E62" s="263"/>
      <c r="F62" s="263"/>
      <c r="G62" s="263"/>
      <c r="H62" s="15"/>
      <c r="I62" s="35"/>
      <c r="J62" s="35"/>
      <c r="K62" s="35"/>
      <c r="L62" s="15"/>
      <c r="M62" s="35"/>
      <c r="N62" s="35"/>
      <c r="O62" s="35"/>
      <c r="P62" s="15"/>
      <c r="Q62" s="34"/>
      <c r="R62" s="34"/>
      <c r="S62" s="34"/>
      <c r="T62" s="34"/>
      <c r="U62" s="15"/>
      <c r="V62" s="35"/>
      <c r="W62" s="34"/>
      <c r="X62" s="35"/>
      <c r="Y62" s="34"/>
      <c r="Z62" s="35"/>
      <c r="AA62" s="34"/>
      <c r="AB62" s="34"/>
      <c r="AC62" s="15"/>
      <c r="AD62" s="34"/>
      <c r="AE62" s="34"/>
      <c r="AF62" s="34"/>
      <c r="AG62" s="15"/>
      <c r="AH62" s="273"/>
      <c r="AI62" s="267"/>
      <c r="AJ62" s="267"/>
      <c r="AK62" s="34"/>
      <c r="AL62" s="233"/>
      <c r="AN62" s="232"/>
      <c r="AO62" s="17">
        <f t="shared" si="15"/>
        <v>2046</v>
      </c>
      <c r="AP62" s="333">
        <f t="shared" ca="1" si="11"/>
        <v>0</v>
      </c>
      <c r="AQ62" s="15"/>
      <c r="AR62" s="247">
        <f t="shared" ca="1" si="16"/>
        <v>0</v>
      </c>
      <c r="AS62" s="247">
        <f t="shared" ca="1" si="12"/>
        <v>0</v>
      </c>
      <c r="AT62" s="247">
        <f t="shared" ca="1" si="17"/>
        <v>0</v>
      </c>
      <c r="AU62" s="15"/>
      <c r="AV62" s="247">
        <f t="shared" ca="1" si="18"/>
        <v>0</v>
      </c>
      <c r="AW62" s="247">
        <f t="shared" ca="1" si="13"/>
        <v>0</v>
      </c>
      <c r="AX62" s="247">
        <f t="shared" ca="1" si="19"/>
        <v>0</v>
      </c>
      <c r="AY62" s="15"/>
      <c r="AZ62" s="247">
        <f t="shared" ca="1" si="20"/>
        <v>851</v>
      </c>
      <c r="BA62" s="247">
        <f t="shared" ca="1" si="14"/>
        <v>0</v>
      </c>
      <c r="BB62" s="247">
        <f t="shared" ca="1" si="21"/>
        <v>851</v>
      </c>
      <c r="BC62" s="15"/>
      <c r="BD62" s="18"/>
      <c r="BE62" s="18"/>
      <c r="BF62" s="18"/>
      <c r="BG62" s="18"/>
      <c r="BH62" s="18"/>
      <c r="BI62" s="18"/>
      <c r="BJ62" s="18"/>
      <c r="BK62" s="18"/>
      <c r="BL62" s="357"/>
      <c r="BM62" s="2"/>
      <c r="BN62" s="2"/>
      <c r="BO62" s="2"/>
      <c r="BP62" s="2"/>
      <c r="BQ62" s="2"/>
      <c r="BR62" s="2"/>
    </row>
    <row r="63" spans="2:72" x14ac:dyDescent="0.3">
      <c r="B63" s="232"/>
      <c r="C63" s="250"/>
      <c r="D63" s="263"/>
      <c r="E63" s="263"/>
      <c r="F63" s="263"/>
      <c r="G63" s="263"/>
      <c r="H63" s="15"/>
      <c r="I63" s="35"/>
      <c r="J63" s="35"/>
      <c r="K63" s="35"/>
      <c r="L63" s="15"/>
      <c r="M63" s="35"/>
      <c r="N63" s="35"/>
      <c r="O63" s="35"/>
      <c r="P63" s="15"/>
      <c r="Q63" s="34"/>
      <c r="R63" s="34"/>
      <c r="S63" s="34"/>
      <c r="T63" s="34"/>
      <c r="U63" s="15"/>
      <c r="V63" s="35"/>
      <c r="W63" s="34"/>
      <c r="X63" s="35"/>
      <c r="Y63" s="34"/>
      <c r="Z63" s="35"/>
      <c r="AA63" s="34"/>
      <c r="AB63" s="34"/>
      <c r="AC63" s="15"/>
      <c r="AD63" s="34"/>
      <c r="AE63" s="34"/>
      <c r="AF63" s="34"/>
      <c r="AG63" s="15"/>
      <c r="AH63" s="273"/>
      <c r="AI63" s="267"/>
      <c r="AJ63" s="267"/>
      <c r="AK63" s="34"/>
      <c r="AL63" s="233"/>
      <c r="AN63" s="232"/>
      <c r="AO63" s="17">
        <f t="shared" si="15"/>
        <v>2047</v>
      </c>
      <c r="AP63" s="333">
        <f t="shared" ca="1" si="11"/>
        <v>0</v>
      </c>
      <c r="AQ63" s="15"/>
      <c r="AR63" s="247">
        <f t="shared" ca="1" si="16"/>
        <v>0</v>
      </c>
      <c r="AS63" s="247">
        <f t="shared" ca="1" si="12"/>
        <v>0</v>
      </c>
      <c r="AT63" s="247">
        <f t="shared" ca="1" si="17"/>
        <v>0</v>
      </c>
      <c r="AU63" s="15"/>
      <c r="AV63" s="247">
        <f t="shared" ca="1" si="18"/>
        <v>0</v>
      </c>
      <c r="AW63" s="247">
        <f t="shared" ca="1" si="13"/>
        <v>0</v>
      </c>
      <c r="AX63" s="247">
        <f t="shared" ca="1" si="19"/>
        <v>0</v>
      </c>
      <c r="AY63" s="15"/>
      <c r="AZ63" s="247">
        <f t="shared" ca="1" si="20"/>
        <v>851</v>
      </c>
      <c r="BA63" s="247">
        <f t="shared" ca="1" si="14"/>
        <v>0</v>
      </c>
      <c r="BB63" s="247">
        <f t="shared" ca="1" si="21"/>
        <v>851</v>
      </c>
      <c r="BC63" s="15"/>
      <c r="BD63" s="18"/>
      <c r="BE63" s="18"/>
      <c r="BF63" s="18"/>
      <c r="BG63" s="18"/>
      <c r="BH63" s="18"/>
      <c r="BI63" s="18"/>
      <c r="BJ63" s="18"/>
      <c r="BK63" s="18"/>
      <c r="BL63" s="357"/>
      <c r="BM63" s="2"/>
      <c r="BN63" s="2"/>
      <c r="BO63" s="2"/>
      <c r="BP63" s="2"/>
      <c r="BQ63" s="2"/>
      <c r="BR63" s="2"/>
    </row>
    <row r="64" spans="2:72" x14ac:dyDescent="0.3">
      <c r="B64" s="232"/>
      <c r="C64" s="250"/>
      <c r="D64" s="263"/>
      <c r="E64" s="263"/>
      <c r="F64" s="263"/>
      <c r="G64" s="263"/>
      <c r="H64" s="15"/>
      <c r="I64" s="35"/>
      <c r="J64" s="35"/>
      <c r="K64" s="35"/>
      <c r="L64" s="15"/>
      <c r="M64" s="35"/>
      <c r="N64" s="35"/>
      <c r="O64" s="35"/>
      <c r="P64" s="15"/>
      <c r="Q64" s="34"/>
      <c r="R64" s="34"/>
      <c r="S64" s="34"/>
      <c r="T64" s="34"/>
      <c r="U64" s="15"/>
      <c r="V64" s="35"/>
      <c r="W64" s="34"/>
      <c r="X64" s="35"/>
      <c r="Y64" s="34"/>
      <c r="Z64" s="35"/>
      <c r="AA64" s="34"/>
      <c r="AB64" s="34"/>
      <c r="AC64" s="15"/>
      <c r="AD64" s="34"/>
      <c r="AE64" s="34"/>
      <c r="AF64" s="34"/>
      <c r="AG64" s="15"/>
      <c r="AH64" s="273"/>
      <c r="AI64" s="267"/>
      <c r="AJ64" s="267"/>
      <c r="AK64" s="34"/>
      <c r="AL64" s="233"/>
      <c r="AN64" s="232"/>
      <c r="AO64" s="17">
        <f t="shared" si="15"/>
        <v>2048</v>
      </c>
      <c r="AP64" s="333">
        <f t="shared" ca="1" si="11"/>
        <v>0</v>
      </c>
      <c r="AQ64" s="15"/>
      <c r="AR64" s="247">
        <f t="shared" ca="1" si="16"/>
        <v>0</v>
      </c>
      <c r="AS64" s="247">
        <f t="shared" ca="1" si="12"/>
        <v>0</v>
      </c>
      <c r="AT64" s="247">
        <f t="shared" ca="1" si="17"/>
        <v>0</v>
      </c>
      <c r="AU64" s="15"/>
      <c r="AV64" s="247">
        <f t="shared" ca="1" si="18"/>
        <v>0</v>
      </c>
      <c r="AW64" s="247">
        <f t="shared" ca="1" si="13"/>
        <v>0</v>
      </c>
      <c r="AX64" s="247">
        <f t="shared" ca="1" si="19"/>
        <v>0</v>
      </c>
      <c r="AY64" s="15"/>
      <c r="AZ64" s="247">
        <f t="shared" ca="1" si="20"/>
        <v>851</v>
      </c>
      <c r="BA64" s="247">
        <f t="shared" ca="1" si="14"/>
        <v>0</v>
      </c>
      <c r="BB64" s="247">
        <f t="shared" ca="1" si="21"/>
        <v>851</v>
      </c>
      <c r="BC64" s="15"/>
      <c r="BD64" s="18"/>
      <c r="BE64" s="18"/>
      <c r="BF64" s="18"/>
      <c r="BG64" s="18"/>
      <c r="BH64" s="18"/>
      <c r="BI64" s="18"/>
      <c r="BJ64" s="18"/>
      <c r="BK64" s="18"/>
      <c r="BL64" s="357"/>
      <c r="BM64" s="2"/>
      <c r="BN64" s="2"/>
      <c r="BO64" s="2"/>
      <c r="BP64" s="2"/>
      <c r="BQ64" s="2"/>
      <c r="BR64" s="2"/>
    </row>
    <row r="65" spans="2:70" x14ac:dyDescent="0.3">
      <c r="B65" s="232"/>
      <c r="C65" s="250"/>
      <c r="D65" s="263"/>
      <c r="E65" s="263"/>
      <c r="F65" s="263"/>
      <c r="G65" s="263"/>
      <c r="H65" s="15"/>
      <c r="I65" s="35"/>
      <c r="J65" s="35"/>
      <c r="K65" s="35"/>
      <c r="L65" s="15"/>
      <c r="M65" s="35"/>
      <c r="N65" s="35"/>
      <c r="O65" s="35"/>
      <c r="P65" s="15"/>
      <c r="Q65" s="34"/>
      <c r="R65" s="34"/>
      <c r="S65" s="34"/>
      <c r="T65" s="34"/>
      <c r="U65" s="15"/>
      <c r="V65" s="35"/>
      <c r="W65" s="34"/>
      <c r="X65" s="35"/>
      <c r="Y65" s="34"/>
      <c r="Z65" s="35"/>
      <c r="AA65" s="34"/>
      <c r="AB65" s="34"/>
      <c r="AC65" s="15"/>
      <c r="AD65" s="34"/>
      <c r="AE65" s="34"/>
      <c r="AF65" s="34"/>
      <c r="AG65" s="15"/>
      <c r="AH65" s="273"/>
      <c r="AI65" s="267"/>
      <c r="AJ65" s="267"/>
      <c r="AK65" s="34"/>
      <c r="AL65" s="233"/>
      <c r="AN65" s="232"/>
      <c r="AO65" s="17">
        <f t="shared" si="15"/>
        <v>2049</v>
      </c>
      <c r="AP65" s="333">
        <f t="shared" ca="1" si="11"/>
        <v>0</v>
      </c>
      <c r="AQ65" s="15"/>
      <c r="AR65" s="247">
        <f t="shared" ca="1" si="16"/>
        <v>0</v>
      </c>
      <c r="AS65" s="247">
        <f t="shared" ca="1" si="12"/>
        <v>0</v>
      </c>
      <c r="AT65" s="247">
        <f t="shared" ca="1" si="17"/>
        <v>0</v>
      </c>
      <c r="AU65" s="15"/>
      <c r="AV65" s="247">
        <f t="shared" ca="1" si="18"/>
        <v>0</v>
      </c>
      <c r="AW65" s="247">
        <f t="shared" ca="1" si="13"/>
        <v>0</v>
      </c>
      <c r="AX65" s="247">
        <f t="shared" ca="1" si="19"/>
        <v>0</v>
      </c>
      <c r="AY65" s="15"/>
      <c r="AZ65" s="247">
        <f t="shared" ca="1" si="20"/>
        <v>851</v>
      </c>
      <c r="BA65" s="247">
        <f t="shared" ca="1" si="14"/>
        <v>0</v>
      </c>
      <c r="BB65" s="247">
        <f t="shared" ca="1" si="21"/>
        <v>851</v>
      </c>
      <c r="BC65" s="15"/>
      <c r="BD65" s="18"/>
      <c r="BE65" s="18"/>
      <c r="BF65" s="18"/>
      <c r="BG65" s="18"/>
      <c r="BH65" s="18"/>
      <c r="BI65" s="18"/>
      <c r="BJ65" s="18"/>
      <c r="BK65" s="18"/>
      <c r="BL65" s="357"/>
      <c r="BM65" s="2"/>
      <c r="BN65" s="2"/>
      <c r="BO65" s="2"/>
      <c r="BP65" s="2"/>
      <c r="BQ65" s="2"/>
      <c r="BR65" s="2"/>
    </row>
    <row r="66" spans="2:70" x14ac:dyDescent="0.3">
      <c r="B66" s="232"/>
      <c r="C66" s="250"/>
      <c r="D66" s="263"/>
      <c r="E66" s="263"/>
      <c r="F66" s="263"/>
      <c r="G66" s="263"/>
      <c r="H66" s="15"/>
      <c r="I66" s="35"/>
      <c r="J66" s="35"/>
      <c r="K66" s="35"/>
      <c r="L66" s="15"/>
      <c r="M66" s="35"/>
      <c r="N66" s="35"/>
      <c r="O66" s="35"/>
      <c r="P66" s="15"/>
      <c r="Q66" s="34"/>
      <c r="R66" s="34"/>
      <c r="S66" s="34"/>
      <c r="T66" s="34"/>
      <c r="U66" s="15"/>
      <c r="V66" s="35"/>
      <c r="W66" s="34"/>
      <c r="X66" s="35"/>
      <c r="Y66" s="34"/>
      <c r="Z66" s="35"/>
      <c r="AA66" s="34"/>
      <c r="AB66" s="34"/>
      <c r="AC66" s="15"/>
      <c r="AD66" s="34"/>
      <c r="AE66" s="34"/>
      <c r="AF66" s="34"/>
      <c r="AG66" s="15"/>
      <c r="AH66" s="273"/>
      <c r="AI66" s="267"/>
      <c r="AJ66" s="267"/>
      <c r="AK66" s="34"/>
      <c r="AL66" s="233"/>
      <c r="AN66" s="232"/>
      <c r="AO66" s="17">
        <f t="shared" si="15"/>
        <v>2050</v>
      </c>
      <c r="AP66" s="333">
        <f t="shared" ca="1" si="11"/>
        <v>0</v>
      </c>
      <c r="AQ66" s="15"/>
      <c r="AR66" s="247">
        <f t="shared" ca="1" si="16"/>
        <v>0</v>
      </c>
      <c r="AS66" s="247">
        <f t="shared" ca="1" si="12"/>
        <v>0</v>
      </c>
      <c r="AT66" s="247">
        <f t="shared" ca="1" si="17"/>
        <v>0</v>
      </c>
      <c r="AU66" s="15"/>
      <c r="AV66" s="247">
        <f t="shared" ca="1" si="18"/>
        <v>0</v>
      </c>
      <c r="AW66" s="247">
        <f t="shared" ca="1" si="13"/>
        <v>0</v>
      </c>
      <c r="AX66" s="247">
        <f t="shared" ca="1" si="19"/>
        <v>0</v>
      </c>
      <c r="AY66" s="15"/>
      <c r="AZ66" s="247">
        <f t="shared" ca="1" si="20"/>
        <v>851</v>
      </c>
      <c r="BA66" s="247">
        <f t="shared" ca="1" si="14"/>
        <v>0</v>
      </c>
      <c r="BB66" s="247">
        <f t="shared" ca="1" si="21"/>
        <v>851</v>
      </c>
      <c r="BC66" s="15"/>
      <c r="BD66" s="18"/>
      <c r="BE66" s="18"/>
      <c r="BF66" s="18"/>
      <c r="BG66" s="18"/>
      <c r="BH66" s="18"/>
      <c r="BI66" s="18"/>
      <c r="BJ66" s="18"/>
      <c r="BK66" s="18"/>
      <c r="BL66" s="357"/>
      <c r="BM66" s="2"/>
      <c r="BN66" s="2"/>
      <c r="BO66" s="2"/>
      <c r="BP66" s="2"/>
      <c r="BQ66" s="2"/>
      <c r="BR66" s="2"/>
    </row>
    <row r="67" spans="2:70" x14ac:dyDescent="0.3">
      <c r="B67" s="232"/>
      <c r="C67" s="250"/>
      <c r="D67" s="263"/>
      <c r="E67" s="263"/>
      <c r="F67" s="263"/>
      <c r="G67" s="263"/>
      <c r="H67" s="15"/>
      <c r="I67" s="35"/>
      <c r="J67" s="35"/>
      <c r="K67" s="35"/>
      <c r="L67" s="15"/>
      <c r="M67" s="35"/>
      <c r="N67" s="35"/>
      <c r="O67" s="35"/>
      <c r="P67" s="15"/>
      <c r="Q67" s="34"/>
      <c r="R67" s="34"/>
      <c r="S67" s="34"/>
      <c r="T67" s="34"/>
      <c r="U67" s="15"/>
      <c r="V67" s="35"/>
      <c r="W67" s="34"/>
      <c r="X67" s="35"/>
      <c r="Y67" s="34"/>
      <c r="Z67" s="35"/>
      <c r="AA67" s="34"/>
      <c r="AB67" s="34"/>
      <c r="AC67" s="15"/>
      <c r="AD67" s="34"/>
      <c r="AE67" s="34"/>
      <c r="AF67" s="34"/>
      <c r="AG67" s="15"/>
      <c r="AH67" s="273"/>
      <c r="AI67" s="267"/>
      <c r="AJ67" s="267"/>
      <c r="AK67" s="34"/>
      <c r="AL67" s="233"/>
      <c r="AN67" s="232"/>
      <c r="AO67" s="17">
        <f t="shared" si="15"/>
        <v>2051</v>
      </c>
      <c r="AP67" s="333">
        <f t="shared" ca="1" si="11"/>
        <v>0</v>
      </c>
      <c r="AQ67" s="15"/>
      <c r="AR67" s="247">
        <f t="shared" ca="1" si="16"/>
        <v>0</v>
      </c>
      <c r="AS67" s="247">
        <f t="shared" ca="1" si="12"/>
        <v>0</v>
      </c>
      <c r="AT67" s="247">
        <f t="shared" ca="1" si="17"/>
        <v>0</v>
      </c>
      <c r="AU67" s="15"/>
      <c r="AV67" s="247">
        <f t="shared" ca="1" si="18"/>
        <v>0</v>
      </c>
      <c r="AW67" s="247">
        <f t="shared" ca="1" si="13"/>
        <v>0</v>
      </c>
      <c r="AX67" s="247">
        <f t="shared" ca="1" si="19"/>
        <v>0</v>
      </c>
      <c r="AY67" s="15"/>
      <c r="AZ67" s="247">
        <f t="shared" ca="1" si="20"/>
        <v>851</v>
      </c>
      <c r="BA67" s="247">
        <f t="shared" ca="1" si="14"/>
        <v>0</v>
      </c>
      <c r="BB67" s="247">
        <f t="shared" ca="1" si="21"/>
        <v>851</v>
      </c>
      <c r="BC67" s="15"/>
      <c r="BD67" s="15"/>
      <c r="BE67" s="15"/>
      <c r="BF67" s="15"/>
      <c r="BG67" s="15"/>
      <c r="BH67" s="15"/>
      <c r="BI67" s="15"/>
      <c r="BJ67" s="15"/>
      <c r="BK67" s="15"/>
      <c r="BL67" s="233"/>
    </row>
    <row r="68" spans="2:70" x14ac:dyDescent="0.3">
      <c r="B68" s="232"/>
      <c r="C68" s="250"/>
      <c r="D68" s="263"/>
      <c r="E68" s="263"/>
      <c r="F68" s="263"/>
      <c r="G68" s="263"/>
      <c r="H68" s="15"/>
      <c r="I68" s="35"/>
      <c r="J68" s="35"/>
      <c r="K68" s="35"/>
      <c r="L68" s="15"/>
      <c r="M68" s="35"/>
      <c r="N68" s="35"/>
      <c r="O68" s="35"/>
      <c r="P68" s="15"/>
      <c r="Q68" s="34"/>
      <c r="R68" s="34"/>
      <c r="S68" s="34"/>
      <c r="T68" s="34"/>
      <c r="U68" s="15"/>
      <c r="V68" s="35"/>
      <c r="W68" s="34"/>
      <c r="X68" s="35"/>
      <c r="Y68" s="34"/>
      <c r="Z68" s="35"/>
      <c r="AA68" s="34"/>
      <c r="AB68" s="34"/>
      <c r="AC68" s="15"/>
      <c r="AD68" s="34"/>
      <c r="AE68" s="34"/>
      <c r="AF68" s="34"/>
      <c r="AG68" s="15"/>
      <c r="AH68" s="273"/>
      <c r="AI68" s="267"/>
      <c r="AJ68" s="267"/>
      <c r="AK68" s="34"/>
      <c r="AL68" s="233"/>
      <c r="AN68" s="232"/>
      <c r="AO68" s="17">
        <f t="shared" si="15"/>
        <v>2052</v>
      </c>
      <c r="AP68" s="333">
        <f t="shared" ca="1" si="11"/>
        <v>0</v>
      </c>
      <c r="AQ68" s="15"/>
      <c r="AR68" s="247">
        <f t="shared" ca="1" si="16"/>
        <v>0</v>
      </c>
      <c r="AS68" s="247">
        <f t="shared" ca="1" si="12"/>
        <v>0</v>
      </c>
      <c r="AT68" s="247">
        <f t="shared" ca="1" si="17"/>
        <v>0</v>
      </c>
      <c r="AU68" s="15"/>
      <c r="AV68" s="247">
        <f t="shared" ca="1" si="18"/>
        <v>0</v>
      </c>
      <c r="AW68" s="247">
        <f t="shared" ca="1" si="13"/>
        <v>0</v>
      </c>
      <c r="AX68" s="247">
        <f t="shared" ca="1" si="19"/>
        <v>0</v>
      </c>
      <c r="AY68" s="15"/>
      <c r="AZ68" s="247">
        <f t="shared" ca="1" si="20"/>
        <v>851</v>
      </c>
      <c r="BA68" s="247">
        <f t="shared" ca="1" si="14"/>
        <v>0</v>
      </c>
      <c r="BB68" s="247">
        <f t="shared" ca="1" si="21"/>
        <v>851</v>
      </c>
      <c r="BC68" s="15"/>
      <c r="BD68" s="15"/>
      <c r="BE68" s="15"/>
      <c r="BF68" s="15"/>
      <c r="BG68" s="15"/>
      <c r="BH68" s="15"/>
      <c r="BI68" s="15"/>
      <c r="BJ68" s="15"/>
      <c r="BK68" s="15"/>
      <c r="BL68" s="233"/>
    </row>
    <row r="69" spans="2:70" x14ac:dyDescent="0.3">
      <c r="B69" s="232"/>
      <c r="C69" s="250"/>
      <c r="D69" s="263"/>
      <c r="E69" s="263"/>
      <c r="F69" s="263"/>
      <c r="G69" s="263"/>
      <c r="H69" s="15"/>
      <c r="I69" s="35"/>
      <c r="J69" s="35"/>
      <c r="K69" s="35"/>
      <c r="L69" s="15"/>
      <c r="M69" s="35"/>
      <c r="N69" s="35"/>
      <c r="O69" s="35"/>
      <c r="P69" s="15"/>
      <c r="Q69" s="34"/>
      <c r="R69" s="34"/>
      <c r="S69" s="34"/>
      <c r="T69" s="34"/>
      <c r="U69" s="15"/>
      <c r="V69" s="35"/>
      <c r="W69" s="34"/>
      <c r="X69" s="35"/>
      <c r="Y69" s="34"/>
      <c r="Z69" s="35"/>
      <c r="AA69" s="34"/>
      <c r="AB69" s="34"/>
      <c r="AC69" s="15"/>
      <c r="AD69" s="34"/>
      <c r="AE69" s="34"/>
      <c r="AF69" s="34"/>
      <c r="AG69" s="15"/>
      <c r="AH69" s="273"/>
      <c r="AI69" s="267"/>
      <c r="AJ69" s="267"/>
      <c r="AK69" s="34"/>
      <c r="AL69" s="233"/>
      <c r="AN69" s="232"/>
      <c r="AO69" s="17">
        <f t="shared" si="15"/>
        <v>2053</v>
      </c>
      <c r="AP69" s="333">
        <f t="shared" ca="1" si="11"/>
        <v>0</v>
      </c>
      <c r="AQ69" s="15"/>
      <c r="AR69" s="247">
        <f t="shared" ca="1" si="16"/>
        <v>0</v>
      </c>
      <c r="AS69" s="247">
        <f t="shared" ca="1" si="12"/>
        <v>0</v>
      </c>
      <c r="AT69" s="247">
        <f t="shared" ca="1" si="17"/>
        <v>0</v>
      </c>
      <c r="AU69" s="15"/>
      <c r="AV69" s="247">
        <f t="shared" ca="1" si="18"/>
        <v>0</v>
      </c>
      <c r="AW69" s="247">
        <f t="shared" ca="1" si="13"/>
        <v>0</v>
      </c>
      <c r="AX69" s="247">
        <f t="shared" ca="1" si="19"/>
        <v>0</v>
      </c>
      <c r="AY69" s="15"/>
      <c r="AZ69" s="247">
        <f t="shared" ca="1" si="20"/>
        <v>851</v>
      </c>
      <c r="BA69" s="247">
        <f t="shared" ca="1" si="14"/>
        <v>0</v>
      </c>
      <c r="BB69" s="247">
        <f t="shared" ca="1" si="21"/>
        <v>851</v>
      </c>
      <c r="BC69" s="15"/>
      <c r="BD69" s="15"/>
      <c r="BE69" s="15"/>
      <c r="BF69" s="15"/>
      <c r="BG69" s="15"/>
      <c r="BH69" s="15"/>
      <c r="BI69" s="15"/>
      <c r="BJ69" s="15"/>
      <c r="BK69" s="15"/>
      <c r="BL69" s="233"/>
    </row>
    <row r="70" spans="2:70" x14ac:dyDescent="0.3">
      <c r="B70" s="232"/>
      <c r="C70" s="325"/>
      <c r="D70" s="291"/>
      <c r="E70" s="291"/>
      <c r="F70" s="291"/>
      <c r="G70" s="291"/>
      <c r="H70" s="15"/>
      <c r="I70" s="35"/>
      <c r="J70" s="35"/>
      <c r="K70" s="35"/>
      <c r="L70" s="15"/>
      <c r="M70" s="35"/>
      <c r="N70" s="35"/>
      <c r="O70" s="35"/>
      <c r="P70" s="15"/>
      <c r="Q70" s="183"/>
      <c r="R70" s="183"/>
      <c r="S70" s="183"/>
      <c r="T70" s="183"/>
      <c r="U70" s="15"/>
      <c r="V70" s="35"/>
      <c r="W70" s="183"/>
      <c r="X70" s="35"/>
      <c r="Y70" s="183"/>
      <c r="Z70" s="35"/>
      <c r="AA70" s="183"/>
      <c r="AB70" s="183"/>
      <c r="AC70" s="15"/>
      <c r="AD70" s="183"/>
      <c r="AE70" s="183"/>
      <c r="AF70" s="183"/>
      <c r="AG70" s="15"/>
      <c r="AH70" s="272"/>
      <c r="AI70" s="267"/>
      <c r="AJ70" s="267"/>
      <c r="AK70" s="183"/>
      <c r="AL70" s="233"/>
      <c r="AN70" s="232"/>
      <c r="AO70" s="274" t="s">
        <v>302</v>
      </c>
      <c r="AP70" s="207"/>
      <c r="AQ70" s="9"/>
      <c r="AR70" s="9"/>
      <c r="AS70" s="207">
        <f ca="1">SUM(AS29:AS69)</f>
        <v>264.26249429806006</v>
      </c>
      <c r="AT70" s="9"/>
      <c r="AU70" s="15"/>
      <c r="AV70" s="9"/>
      <c r="AW70" s="207">
        <f ca="1">SUM(AW29:AW69)</f>
        <v>1779.8143454332367</v>
      </c>
      <c r="AX70" s="9"/>
      <c r="AY70" s="15"/>
      <c r="AZ70" s="9"/>
      <c r="BA70" s="207">
        <f ca="1">SUM(BA29:BA69)</f>
        <v>444.92316026870321</v>
      </c>
      <c r="BB70" s="9"/>
      <c r="BC70" s="15"/>
      <c r="BD70" s="15"/>
      <c r="BE70" s="15"/>
      <c r="BF70" s="15"/>
      <c r="BG70" s="15"/>
      <c r="BH70" s="15"/>
      <c r="BI70" s="15"/>
      <c r="BJ70" s="15"/>
      <c r="BK70" s="15"/>
      <c r="BL70" s="233"/>
    </row>
    <row r="71" spans="2:70" x14ac:dyDescent="0.3">
      <c r="B71" s="232"/>
      <c r="C71" s="283"/>
      <c r="D71" s="263"/>
      <c r="E71" s="263"/>
      <c r="F71" s="263"/>
      <c r="G71" s="263"/>
      <c r="H71" s="15"/>
      <c r="I71" s="35"/>
      <c r="J71" s="35"/>
      <c r="K71" s="35"/>
      <c r="L71" s="15"/>
      <c r="M71" s="35"/>
      <c r="N71" s="35"/>
      <c r="O71" s="35"/>
      <c r="P71" s="15"/>
      <c r="Q71" s="34"/>
      <c r="R71" s="34"/>
      <c r="S71" s="34"/>
      <c r="T71" s="34"/>
      <c r="U71" s="15"/>
      <c r="V71" s="35"/>
      <c r="W71" s="34"/>
      <c r="X71" s="35"/>
      <c r="Y71" s="34"/>
      <c r="Z71" s="35"/>
      <c r="AA71" s="34"/>
      <c r="AB71" s="34"/>
      <c r="AC71" s="15"/>
      <c r="AD71" s="34"/>
      <c r="AE71" s="34"/>
      <c r="AF71" s="34"/>
      <c r="AG71" s="15"/>
      <c r="AH71" s="266"/>
      <c r="AI71" s="267"/>
      <c r="AJ71" s="267"/>
      <c r="AK71" s="34"/>
      <c r="AL71" s="233"/>
      <c r="AN71" s="232"/>
      <c r="AO71" s="283" t="s">
        <v>303</v>
      </c>
      <c r="AP71" s="334"/>
      <c r="AQ71" s="4"/>
      <c r="AR71" s="4"/>
      <c r="AS71" s="334">
        <f ca="1">AS72-AS70</f>
        <v>0</v>
      </c>
      <c r="AT71" s="4"/>
      <c r="AU71" s="15"/>
      <c r="AV71" s="4"/>
      <c r="AW71" s="334">
        <f ca="1">AW72-AW70</f>
        <v>0</v>
      </c>
      <c r="AX71" s="4"/>
      <c r="AY71" s="15"/>
      <c r="AZ71" s="4"/>
      <c r="BA71" s="334">
        <f ca="1">BA72-BA70</f>
        <v>851</v>
      </c>
      <c r="BB71" s="4"/>
      <c r="BC71" s="15"/>
      <c r="BD71" s="15"/>
      <c r="BE71" s="15"/>
      <c r="BF71" s="15"/>
      <c r="BG71" s="15"/>
      <c r="BH71" s="15"/>
      <c r="BI71" s="15"/>
      <c r="BJ71" s="15"/>
      <c r="BK71" s="15"/>
      <c r="BL71" s="233"/>
    </row>
    <row r="72" spans="2:70" x14ac:dyDescent="0.3">
      <c r="B72" s="232"/>
      <c r="C72" s="249"/>
      <c r="D72" s="291"/>
      <c r="E72" s="291"/>
      <c r="F72" s="291"/>
      <c r="G72" s="291"/>
      <c r="H72" s="15"/>
      <c r="I72" s="15"/>
      <c r="J72" s="15"/>
      <c r="K72" s="15"/>
      <c r="L72" s="15"/>
      <c r="M72" s="15"/>
      <c r="N72" s="15"/>
      <c r="O72" s="15"/>
      <c r="P72" s="15"/>
      <c r="Q72" s="183"/>
      <c r="R72" s="183"/>
      <c r="S72" s="183"/>
      <c r="T72" s="183"/>
      <c r="U72" s="15"/>
      <c r="V72" s="15"/>
      <c r="W72" s="183"/>
      <c r="X72" s="15"/>
      <c r="Y72" s="183"/>
      <c r="Z72" s="15"/>
      <c r="AA72" s="183"/>
      <c r="AB72" s="183"/>
      <c r="AC72" s="15"/>
      <c r="AD72" s="183"/>
      <c r="AE72" s="183"/>
      <c r="AF72" s="183"/>
      <c r="AG72" s="15"/>
      <c r="AH72" s="15"/>
      <c r="AI72" s="15"/>
      <c r="AJ72" s="15"/>
      <c r="AK72" s="183"/>
      <c r="AL72" s="233"/>
      <c r="AN72" s="232"/>
      <c r="AO72" s="60" t="s">
        <v>26</v>
      </c>
      <c r="AP72" s="335"/>
      <c r="AQ72" s="15"/>
      <c r="AR72" s="15"/>
      <c r="AS72" s="335">
        <f ca="1">$AT$9</f>
        <v>264.26249429806006</v>
      </c>
      <c r="AT72" s="15"/>
      <c r="AU72" s="15"/>
      <c r="AV72" s="15"/>
      <c r="AW72" s="335">
        <f ca="1">$AT$10</f>
        <v>1779.8143454332367</v>
      </c>
      <c r="AX72" s="15"/>
      <c r="AY72" s="15"/>
      <c r="AZ72" s="15"/>
      <c r="BA72" s="335">
        <f ca="1">$AT$11</f>
        <v>1295.9231602687032</v>
      </c>
      <c r="BB72" s="15"/>
      <c r="BC72" s="15"/>
      <c r="BD72" s="15"/>
      <c r="BE72" s="15"/>
      <c r="BF72" s="15"/>
      <c r="BG72" s="15"/>
      <c r="BH72" s="15"/>
      <c r="BI72" s="15"/>
      <c r="BJ72" s="15"/>
      <c r="BK72" s="15"/>
      <c r="BL72" s="233"/>
    </row>
    <row r="73" spans="2:70" x14ac:dyDescent="0.3">
      <c r="B73" s="232"/>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233"/>
      <c r="AN73" s="9"/>
      <c r="AO73" s="9"/>
      <c r="AP73" s="9"/>
      <c r="AQ73" s="9"/>
      <c r="AR73" s="9"/>
      <c r="AS73" s="9"/>
      <c r="AT73" s="9"/>
      <c r="AU73" s="9"/>
      <c r="AV73" s="9"/>
      <c r="AW73" s="9"/>
      <c r="AX73" s="9"/>
      <c r="AY73" s="9"/>
      <c r="AZ73" s="9"/>
      <c r="BA73" s="9"/>
      <c r="BB73" s="9"/>
      <c r="BC73" s="9"/>
      <c r="BD73" s="9"/>
      <c r="BE73" s="9"/>
      <c r="BF73" s="9"/>
      <c r="BG73" s="9"/>
      <c r="BH73" s="9"/>
      <c r="BI73" s="9"/>
      <c r="BJ73" s="9"/>
      <c r="BK73" s="9"/>
      <c r="BL73" s="9"/>
    </row>
    <row r="74" spans="2:70" x14ac:dyDescent="0.3">
      <c r="B74" s="285" t="s">
        <v>28</v>
      </c>
      <c r="C74" s="286"/>
      <c r="D74" s="287"/>
      <c r="E74" s="287"/>
      <c r="F74" s="287"/>
      <c r="G74" s="287"/>
      <c r="H74" s="287"/>
      <c r="I74" s="287"/>
      <c r="J74" s="287"/>
      <c r="K74" s="287"/>
      <c r="L74" s="287"/>
      <c r="M74" s="287"/>
      <c r="N74" s="287"/>
      <c r="O74" s="287"/>
      <c r="P74" s="287"/>
      <c r="Q74" s="286" t="str">
        <f>B74</f>
        <v>PDNP</v>
      </c>
      <c r="R74" s="287"/>
      <c r="S74" s="287"/>
      <c r="T74" s="287"/>
      <c r="U74" s="287"/>
      <c r="V74" s="287"/>
      <c r="W74" s="287"/>
      <c r="X74" s="287"/>
      <c r="Y74" s="287"/>
      <c r="Z74" s="287"/>
      <c r="AA74" s="287"/>
      <c r="AB74" s="287"/>
      <c r="AC74" s="287"/>
      <c r="AD74" s="286" t="str">
        <f>Q74</f>
        <v>PDNP</v>
      </c>
      <c r="AE74" s="287"/>
      <c r="AF74" s="287"/>
      <c r="AG74" s="287"/>
      <c r="AH74" s="287"/>
      <c r="AI74" s="287"/>
      <c r="AJ74" s="287"/>
      <c r="AK74" s="287"/>
      <c r="AL74" s="288"/>
      <c r="AN74" s="15"/>
      <c r="AO74" s="15"/>
      <c r="AP74" s="15"/>
      <c r="AQ74" s="15"/>
      <c r="AR74" s="15"/>
      <c r="AS74" s="15"/>
      <c r="AT74" s="15"/>
      <c r="AU74" s="15"/>
      <c r="AV74" s="15"/>
      <c r="AW74" s="15"/>
      <c r="AX74" s="15"/>
      <c r="AY74" s="15"/>
      <c r="AZ74" s="15"/>
      <c r="BA74" s="263"/>
      <c r="BB74" s="15"/>
      <c r="BC74" s="15"/>
      <c r="BD74" s="15"/>
      <c r="BE74" s="15"/>
      <c r="BF74" s="15"/>
      <c r="BG74" s="15"/>
      <c r="BH74" s="15"/>
      <c r="BI74" s="15"/>
      <c r="BJ74" s="15"/>
      <c r="BK74" s="15"/>
      <c r="BL74" s="15"/>
    </row>
    <row r="75" spans="2:70" x14ac:dyDescent="0.3">
      <c r="B75" s="232"/>
      <c r="C75" s="292" t="s">
        <v>305</v>
      </c>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233"/>
    </row>
    <row r="76" spans="2:70" x14ac:dyDescent="0.3">
      <c r="B76" s="232"/>
      <c r="C76" s="236"/>
      <c r="D76" s="237"/>
      <c r="E76" s="237"/>
      <c r="F76" s="237"/>
      <c r="G76" s="237"/>
      <c r="H76" s="261"/>
      <c r="I76" s="236"/>
      <c r="J76" s="237"/>
      <c r="K76" s="237"/>
      <c r="L76" s="15"/>
      <c r="M76" s="236"/>
      <c r="N76" s="237"/>
      <c r="O76" s="237"/>
      <c r="P76" s="15"/>
      <c r="Q76" s="236"/>
      <c r="R76" s="237"/>
      <c r="S76" s="237"/>
      <c r="T76" s="237"/>
      <c r="U76" s="15"/>
      <c r="V76" s="236"/>
      <c r="W76" s="237"/>
      <c r="X76" s="237"/>
      <c r="Y76" s="237"/>
      <c r="Z76" s="237"/>
      <c r="AA76" s="237"/>
      <c r="AB76" s="15"/>
      <c r="AC76" s="15"/>
      <c r="AD76" s="236"/>
      <c r="AE76" s="237"/>
      <c r="AF76" s="237"/>
      <c r="AG76" s="15"/>
      <c r="AH76" s="236"/>
      <c r="AI76" s="237"/>
      <c r="AJ76" s="237"/>
      <c r="AK76" s="237"/>
      <c r="AL76" s="233"/>
    </row>
    <row r="77" spans="2:70" x14ac:dyDescent="0.3">
      <c r="B77" s="232"/>
      <c r="C77" s="250"/>
      <c r="D77" s="250"/>
      <c r="E77" s="250"/>
      <c r="F77" s="250"/>
      <c r="G77" s="250"/>
      <c r="H77" s="261"/>
      <c r="I77" s="262"/>
      <c r="J77" s="262"/>
      <c r="K77" s="262"/>
      <c r="L77" s="15"/>
      <c r="M77" s="262"/>
      <c r="N77" s="262"/>
      <c r="O77" s="262"/>
      <c r="P77" s="15"/>
      <c r="Q77" s="262"/>
      <c r="R77" s="262"/>
      <c r="S77" s="262"/>
      <c r="T77" s="262"/>
      <c r="U77" s="15"/>
      <c r="V77" s="262"/>
      <c r="W77" s="262"/>
      <c r="X77" s="262"/>
      <c r="Y77" s="262"/>
      <c r="Z77" s="262"/>
      <c r="AA77" s="262"/>
      <c r="AB77" s="262"/>
      <c r="AC77" s="15"/>
      <c r="AD77" s="262"/>
      <c r="AE77" s="262"/>
      <c r="AF77" s="262"/>
      <c r="AG77" s="15"/>
      <c r="AH77" s="262"/>
      <c r="AI77" s="262"/>
      <c r="AJ77" s="262"/>
      <c r="AK77" s="262"/>
      <c r="AL77" s="233"/>
    </row>
    <row r="78" spans="2:70" x14ac:dyDescent="0.3">
      <c r="B78" s="232"/>
      <c r="C78" s="250"/>
      <c r="D78" s="250"/>
      <c r="E78" s="250"/>
      <c r="F78" s="250"/>
      <c r="G78" s="250"/>
      <c r="H78" s="15"/>
      <c r="I78" s="250"/>
      <c r="J78" s="250"/>
      <c r="K78" s="250"/>
      <c r="L78" s="15"/>
      <c r="M78" s="250"/>
      <c r="N78" s="250"/>
      <c r="O78" s="250"/>
      <c r="P78" s="15"/>
      <c r="Q78" s="250"/>
      <c r="R78" s="250"/>
      <c r="S78" s="250"/>
      <c r="T78" s="250"/>
      <c r="U78" s="15"/>
      <c r="V78" s="250"/>
      <c r="W78" s="250"/>
      <c r="X78" s="250"/>
      <c r="Y78" s="250"/>
      <c r="Z78" s="250"/>
      <c r="AA78" s="250"/>
      <c r="AB78" s="250"/>
      <c r="AC78" s="15"/>
      <c r="AD78" s="250"/>
      <c r="AE78" s="250"/>
      <c r="AF78" s="250"/>
      <c r="AG78" s="15"/>
      <c r="AH78" s="250"/>
      <c r="AI78" s="250"/>
      <c r="AJ78" s="250"/>
      <c r="AK78" s="250"/>
      <c r="AL78" s="233"/>
    </row>
    <row r="79" spans="2:70" x14ac:dyDescent="0.3">
      <c r="B79" s="232"/>
      <c r="C79" s="250"/>
      <c r="D79" s="263"/>
      <c r="E79" s="263"/>
      <c r="F79" s="263"/>
      <c r="G79" s="263"/>
      <c r="H79" s="15"/>
      <c r="I79" s="51"/>
      <c r="J79" s="51"/>
      <c r="K79" s="51"/>
      <c r="L79" s="15"/>
      <c r="M79" s="51"/>
      <c r="N79" s="51"/>
      <c r="O79" s="51"/>
      <c r="P79" s="15"/>
      <c r="Q79" s="265"/>
      <c r="R79" s="265"/>
      <c r="S79" s="265"/>
      <c r="T79" s="265"/>
      <c r="U79" s="15"/>
      <c r="V79" s="51"/>
      <c r="W79" s="265"/>
      <c r="X79" s="51"/>
      <c r="Y79" s="265"/>
      <c r="Z79" s="51"/>
      <c r="AA79" s="265"/>
      <c r="AB79" s="265"/>
      <c r="AC79" s="15"/>
      <c r="AD79" s="265"/>
      <c r="AE79" s="265"/>
      <c r="AF79" s="265"/>
      <c r="AG79" s="15"/>
      <c r="AH79" s="272"/>
      <c r="AI79" s="267"/>
      <c r="AJ79" s="267"/>
      <c r="AK79" s="265"/>
      <c r="AL79" s="233"/>
    </row>
    <row r="80" spans="2:70" x14ac:dyDescent="0.3">
      <c r="B80" s="232"/>
      <c r="C80" s="270"/>
      <c r="D80" s="263"/>
      <c r="E80" s="263"/>
      <c r="F80" s="263"/>
      <c r="G80" s="263"/>
      <c r="H80" s="15"/>
      <c r="I80" s="35"/>
      <c r="J80" s="35"/>
      <c r="K80" s="35"/>
      <c r="L80" s="15"/>
      <c r="M80" s="35"/>
      <c r="N80" s="35"/>
      <c r="O80" s="35"/>
      <c r="P80" s="15"/>
      <c r="Q80" s="34"/>
      <c r="R80" s="34"/>
      <c r="S80" s="34"/>
      <c r="T80" s="34"/>
      <c r="U80" s="15"/>
      <c r="V80" s="35"/>
      <c r="W80" s="34"/>
      <c r="X80" s="35"/>
      <c r="Y80" s="34"/>
      <c r="Z80" s="35"/>
      <c r="AA80" s="34"/>
      <c r="AB80" s="34"/>
      <c r="AC80" s="15"/>
      <c r="AD80" s="34"/>
      <c r="AE80" s="34"/>
      <c r="AF80" s="34"/>
      <c r="AG80" s="15"/>
      <c r="AH80" s="272"/>
      <c r="AI80" s="267"/>
      <c r="AJ80" s="267"/>
      <c r="AK80" s="34"/>
      <c r="AL80" s="233"/>
    </row>
    <row r="81" spans="2:52" x14ac:dyDescent="0.3">
      <c r="B81" s="232"/>
      <c r="C81" s="250"/>
      <c r="D81" s="263"/>
      <c r="E81" s="263"/>
      <c r="F81" s="263"/>
      <c r="G81" s="263"/>
      <c r="H81" s="15"/>
      <c r="I81" s="35"/>
      <c r="J81" s="35"/>
      <c r="K81" s="35"/>
      <c r="L81" s="15"/>
      <c r="M81" s="35"/>
      <c r="N81" s="35"/>
      <c r="O81" s="35"/>
      <c r="P81" s="15"/>
      <c r="Q81" s="34"/>
      <c r="R81" s="34"/>
      <c r="S81" s="34"/>
      <c r="T81" s="34"/>
      <c r="U81" s="15"/>
      <c r="V81" s="35"/>
      <c r="W81" s="34"/>
      <c r="X81" s="35"/>
      <c r="Y81" s="34"/>
      <c r="Z81" s="35"/>
      <c r="AA81" s="34"/>
      <c r="AB81" s="34"/>
      <c r="AC81" s="15"/>
      <c r="AD81" s="34"/>
      <c r="AE81" s="34"/>
      <c r="AF81" s="34"/>
      <c r="AG81" s="15"/>
      <c r="AH81" s="272"/>
      <c r="AI81" s="267"/>
      <c r="AJ81" s="267"/>
      <c r="AK81" s="34"/>
      <c r="AL81" s="233"/>
    </row>
    <row r="82" spans="2:52" x14ac:dyDescent="0.3">
      <c r="B82" s="232"/>
      <c r="C82" s="250"/>
      <c r="D82" s="263"/>
      <c r="E82" s="263"/>
      <c r="F82" s="263"/>
      <c r="G82" s="263"/>
      <c r="H82" s="15"/>
      <c r="I82" s="35"/>
      <c r="J82" s="35"/>
      <c r="K82" s="35"/>
      <c r="L82" s="15"/>
      <c r="M82" s="35"/>
      <c r="N82" s="35"/>
      <c r="O82" s="35"/>
      <c r="P82" s="15"/>
      <c r="Q82" s="34"/>
      <c r="R82" s="34"/>
      <c r="S82" s="34"/>
      <c r="T82" s="34"/>
      <c r="U82" s="15"/>
      <c r="V82" s="35"/>
      <c r="W82" s="34"/>
      <c r="X82" s="35"/>
      <c r="Y82" s="34"/>
      <c r="Z82" s="35"/>
      <c r="AA82" s="34"/>
      <c r="AB82" s="34"/>
      <c r="AC82" s="15"/>
      <c r="AD82" s="34"/>
      <c r="AE82" s="34"/>
      <c r="AF82" s="34"/>
      <c r="AG82" s="15"/>
      <c r="AH82" s="272"/>
      <c r="AI82" s="267"/>
      <c r="AJ82" s="267"/>
      <c r="AK82" s="34"/>
      <c r="AL82" s="233"/>
    </row>
    <row r="83" spans="2:52" x14ac:dyDescent="0.3">
      <c r="B83" s="232"/>
      <c r="C83" s="250"/>
      <c r="D83" s="263"/>
      <c r="E83" s="263"/>
      <c r="F83" s="263"/>
      <c r="G83" s="263"/>
      <c r="H83" s="15"/>
      <c r="I83" s="35"/>
      <c r="J83" s="35"/>
      <c r="K83" s="35"/>
      <c r="L83" s="15"/>
      <c r="M83" s="35"/>
      <c r="N83" s="35"/>
      <c r="O83" s="35"/>
      <c r="P83" s="15"/>
      <c r="Q83" s="34"/>
      <c r="R83" s="34"/>
      <c r="S83" s="34"/>
      <c r="T83" s="34"/>
      <c r="U83" s="15"/>
      <c r="V83" s="35"/>
      <c r="W83" s="34"/>
      <c r="X83" s="35"/>
      <c r="Y83" s="34"/>
      <c r="Z83" s="35"/>
      <c r="AA83" s="34"/>
      <c r="AB83" s="34"/>
      <c r="AC83" s="15"/>
      <c r="AD83" s="34"/>
      <c r="AE83" s="34"/>
      <c r="AF83" s="34"/>
      <c r="AG83" s="15"/>
      <c r="AH83" s="272"/>
      <c r="AI83" s="267"/>
      <c r="AJ83" s="267"/>
      <c r="AK83" s="34"/>
      <c r="AL83" s="233"/>
      <c r="AZ83" s="2"/>
    </row>
    <row r="84" spans="2:52" x14ac:dyDescent="0.3">
      <c r="B84" s="232"/>
      <c r="C84" s="250"/>
      <c r="D84" s="263"/>
      <c r="E84" s="263"/>
      <c r="F84" s="263"/>
      <c r="G84" s="263"/>
      <c r="H84" s="15"/>
      <c r="I84" s="35"/>
      <c r="J84" s="35"/>
      <c r="K84" s="35"/>
      <c r="L84" s="15"/>
      <c r="M84" s="35"/>
      <c r="N84" s="35"/>
      <c r="O84" s="35"/>
      <c r="P84" s="15"/>
      <c r="Q84" s="34"/>
      <c r="R84" s="34"/>
      <c r="S84" s="34"/>
      <c r="T84" s="34"/>
      <c r="U84" s="15"/>
      <c r="V84" s="35"/>
      <c r="W84" s="34"/>
      <c r="X84" s="35"/>
      <c r="Y84" s="34"/>
      <c r="Z84" s="35"/>
      <c r="AA84" s="34"/>
      <c r="AB84" s="34"/>
      <c r="AC84" s="15"/>
      <c r="AD84" s="34"/>
      <c r="AE84" s="34"/>
      <c r="AF84" s="34"/>
      <c r="AG84" s="15"/>
      <c r="AH84" s="272"/>
      <c r="AI84" s="267"/>
      <c r="AJ84" s="267"/>
      <c r="AK84" s="34"/>
      <c r="AL84" s="233"/>
      <c r="AZ84" s="2"/>
    </row>
    <row r="85" spans="2:52" x14ac:dyDescent="0.3">
      <c r="B85" s="232"/>
      <c r="C85" s="250"/>
      <c r="D85" s="263"/>
      <c r="E85" s="263"/>
      <c r="F85" s="263"/>
      <c r="G85" s="263"/>
      <c r="H85" s="15"/>
      <c r="I85" s="35"/>
      <c r="J85" s="35"/>
      <c r="K85" s="35"/>
      <c r="L85" s="15"/>
      <c r="M85" s="35"/>
      <c r="N85" s="35"/>
      <c r="O85" s="35"/>
      <c r="P85" s="15"/>
      <c r="Q85" s="34"/>
      <c r="R85" s="34"/>
      <c r="S85" s="34"/>
      <c r="T85" s="34"/>
      <c r="U85" s="15"/>
      <c r="V85" s="35"/>
      <c r="W85" s="34"/>
      <c r="X85" s="35"/>
      <c r="Y85" s="34"/>
      <c r="Z85" s="35"/>
      <c r="AA85" s="34"/>
      <c r="AB85" s="34"/>
      <c r="AC85" s="15"/>
      <c r="AD85" s="34"/>
      <c r="AE85" s="34"/>
      <c r="AF85" s="34"/>
      <c r="AG85" s="15"/>
      <c r="AH85" s="272"/>
      <c r="AI85" s="267"/>
      <c r="AJ85" s="267"/>
      <c r="AK85" s="34"/>
      <c r="AL85" s="233"/>
      <c r="AZ85" s="2"/>
    </row>
    <row r="86" spans="2:52" x14ac:dyDescent="0.3">
      <c r="B86" s="232"/>
      <c r="C86" s="250"/>
      <c r="D86" s="263"/>
      <c r="E86" s="263"/>
      <c r="F86" s="263"/>
      <c r="G86" s="263"/>
      <c r="H86" s="15"/>
      <c r="I86" s="35"/>
      <c r="J86" s="35"/>
      <c r="K86" s="35"/>
      <c r="L86" s="15"/>
      <c r="M86" s="35"/>
      <c r="N86" s="35"/>
      <c r="O86" s="35"/>
      <c r="P86" s="15"/>
      <c r="Q86" s="34"/>
      <c r="R86" s="34"/>
      <c r="S86" s="34"/>
      <c r="T86" s="34"/>
      <c r="U86" s="15"/>
      <c r="V86" s="35"/>
      <c r="W86" s="34"/>
      <c r="X86" s="35"/>
      <c r="Y86" s="34"/>
      <c r="Z86" s="35"/>
      <c r="AA86" s="34"/>
      <c r="AB86" s="34"/>
      <c r="AC86" s="15"/>
      <c r="AD86" s="34"/>
      <c r="AE86" s="34"/>
      <c r="AF86" s="34"/>
      <c r="AG86" s="15"/>
      <c r="AH86" s="272"/>
      <c r="AI86" s="267"/>
      <c r="AJ86" s="267"/>
      <c r="AK86" s="34"/>
      <c r="AL86" s="233"/>
      <c r="AZ86" s="2"/>
    </row>
    <row r="87" spans="2:52" x14ac:dyDescent="0.3">
      <c r="B87" s="232"/>
      <c r="C87" s="250"/>
      <c r="D87" s="263"/>
      <c r="E87" s="263"/>
      <c r="F87" s="263"/>
      <c r="G87" s="263"/>
      <c r="H87" s="15"/>
      <c r="I87" s="35"/>
      <c r="J87" s="35"/>
      <c r="K87" s="35"/>
      <c r="L87" s="15"/>
      <c r="M87" s="35"/>
      <c r="N87" s="35"/>
      <c r="O87" s="35"/>
      <c r="P87" s="15"/>
      <c r="Q87" s="34"/>
      <c r="R87" s="34"/>
      <c r="S87" s="34"/>
      <c r="T87" s="34"/>
      <c r="U87" s="15"/>
      <c r="V87" s="35"/>
      <c r="W87" s="34"/>
      <c r="X87" s="35"/>
      <c r="Y87" s="34"/>
      <c r="Z87" s="35"/>
      <c r="AA87" s="34"/>
      <c r="AB87" s="34"/>
      <c r="AC87" s="15"/>
      <c r="AD87" s="34"/>
      <c r="AE87" s="34"/>
      <c r="AF87" s="34"/>
      <c r="AG87" s="15"/>
      <c r="AH87" s="272"/>
      <c r="AI87" s="267"/>
      <c r="AJ87" s="267"/>
      <c r="AK87" s="34"/>
      <c r="AL87" s="233"/>
      <c r="AZ87" s="2"/>
    </row>
    <row r="88" spans="2:52" x14ac:dyDescent="0.3">
      <c r="B88" s="232"/>
      <c r="C88" s="250"/>
      <c r="D88" s="263"/>
      <c r="E88" s="263"/>
      <c r="F88" s="263"/>
      <c r="G88" s="263"/>
      <c r="H88" s="15"/>
      <c r="I88" s="35"/>
      <c r="J88" s="35"/>
      <c r="K88" s="35"/>
      <c r="L88" s="15"/>
      <c r="M88" s="35"/>
      <c r="N88" s="35"/>
      <c r="O88" s="35"/>
      <c r="P88" s="15"/>
      <c r="Q88" s="34"/>
      <c r="R88" s="34"/>
      <c r="S88" s="34"/>
      <c r="T88" s="34"/>
      <c r="U88" s="15"/>
      <c r="V88" s="35"/>
      <c r="W88" s="34"/>
      <c r="X88" s="35"/>
      <c r="Y88" s="34"/>
      <c r="Z88" s="35"/>
      <c r="AA88" s="34"/>
      <c r="AB88" s="34"/>
      <c r="AC88" s="15"/>
      <c r="AD88" s="34"/>
      <c r="AE88" s="34"/>
      <c r="AF88" s="34"/>
      <c r="AG88" s="15"/>
      <c r="AH88" s="272"/>
      <c r="AI88" s="267"/>
      <c r="AJ88" s="267"/>
      <c r="AK88" s="34"/>
      <c r="AL88" s="233"/>
      <c r="AZ88" s="2"/>
    </row>
    <row r="89" spans="2:52" x14ac:dyDescent="0.3">
      <c r="B89" s="232"/>
      <c r="C89" s="250"/>
      <c r="D89" s="263"/>
      <c r="E89" s="263"/>
      <c r="F89" s="263"/>
      <c r="G89" s="263"/>
      <c r="H89" s="15"/>
      <c r="I89" s="35"/>
      <c r="J89" s="35"/>
      <c r="K89" s="35"/>
      <c r="L89" s="15"/>
      <c r="M89" s="35"/>
      <c r="N89" s="35"/>
      <c r="O89" s="35"/>
      <c r="P89" s="15"/>
      <c r="Q89" s="34"/>
      <c r="R89" s="34"/>
      <c r="S89" s="34"/>
      <c r="T89" s="34"/>
      <c r="U89" s="15"/>
      <c r="V89" s="35"/>
      <c r="W89" s="34"/>
      <c r="X89" s="35"/>
      <c r="Y89" s="34"/>
      <c r="Z89" s="35"/>
      <c r="AA89" s="34"/>
      <c r="AB89" s="34"/>
      <c r="AC89" s="15"/>
      <c r="AD89" s="34"/>
      <c r="AE89" s="34"/>
      <c r="AF89" s="34"/>
      <c r="AG89" s="15"/>
      <c r="AH89" s="272"/>
      <c r="AI89" s="267"/>
      <c r="AJ89" s="267"/>
      <c r="AK89" s="34"/>
      <c r="AL89" s="233"/>
      <c r="AZ89" s="2"/>
    </row>
    <row r="90" spans="2:52" x14ac:dyDescent="0.3">
      <c r="B90" s="232"/>
      <c r="C90" s="250"/>
      <c r="D90" s="263"/>
      <c r="E90" s="263"/>
      <c r="F90" s="263"/>
      <c r="G90" s="263"/>
      <c r="H90" s="15"/>
      <c r="I90" s="35"/>
      <c r="J90" s="35"/>
      <c r="K90" s="35"/>
      <c r="L90" s="15"/>
      <c r="M90" s="35"/>
      <c r="N90" s="35"/>
      <c r="O90" s="35"/>
      <c r="P90" s="15"/>
      <c r="Q90" s="34"/>
      <c r="R90" s="34"/>
      <c r="S90" s="34"/>
      <c r="T90" s="34"/>
      <c r="U90" s="15"/>
      <c r="V90" s="35"/>
      <c r="W90" s="34"/>
      <c r="X90" s="35"/>
      <c r="Y90" s="34"/>
      <c r="Z90" s="35"/>
      <c r="AA90" s="34"/>
      <c r="AB90" s="34"/>
      <c r="AC90" s="15"/>
      <c r="AD90" s="34"/>
      <c r="AE90" s="34"/>
      <c r="AF90" s="34"/>
      <c r="AG90" s="15"/>
      <c r="AH90" s="272"/>
      <c r="AI90" s="267"/>
      <c r="AJ90" s="267"/>
      <c r="AK90" s="34"/>
      <c r="AL90" s="233"/>
      <c r="AZ90" s="2"/>
    </row>
    <row r="91" spans="2:52" x14ac:dyDescent="0.3">
      <c r="B91" s="232"/>
      <c r="C91" s="250"/>
      <c r="D91" s="263"/>
      <c r="E91" s="263"/>
      <c r="F91" s="263"/>
      <c r="G91" s="263"/>
      <c r="H91" s="15"/>
      <c r="I91" s="35"/>
      <c r="J91" s="35"/>
      <c r="K91" s="35"/>
      <c r="L91" s="15"/>
      <c r="M91" s="35"/>
      <c r="N91" s="35"/>
      <c r="O91" s="35"/>
      <c r="P91" s="15"/>
      <c r="Q91" s="34"/>
      <c r="R91" s="34"/>
      <c r="S91" s="34"/>
      <c r="T91" s="34"/>
      <c r="U91" s="15"/>
      <c r="V91" s="35"/>
      <c r="W91" s="34"/>
      <c r="X91" s="35"/>
      <c r="Y91" s="34"/>
      <c r="Z91" s="35"/>
      <c r="AA91" s="34"/>
      <c r="AB91" s="34"/>
      <c r="AC91" s="15"/>
      <c r="AD91" s="34"/>
      <c r="AE91" s="34"/>
      <c r="AF91" s="34"/>
      <c r="AG91" s="15"/>
      <c r="AH91" s="272"/>
      <c r="AI91" s="267"/>
      <c r="AJ91" s="267"/>
      <c r="AK91" s="34"/>
      <c r="AL91" s="233"/>
      <c r="AZ91" s="2"/>
    </row>
    <row r="92" spans="2:52" x14ac:dyDescent="0.3">
      <c r="B92" s="232"/>
      <c r="C92" s="250"/>
      <c r="D92" s="263"/>
      <c r="E92" s="263"/>
      <c r="F92" s="263"/>
      <c r="G92" s="263"/>
      <c r="H92" s="15"/>
      <c r="I92" s="35"/>
      <c r="J92" s="35"/>
      <c r="K92" s="35"/>
      <c r="L92" s="15"/>
      <c r="M92" s="35"/>
      <c r="N92" s="35"/>
      <c r="O92" s="35"/>
      <c r="P92" s="15"/>
      <c r="Q92" s="34"/>
      <c r="R92" s="34"/>
      <c r="S92" s="34"/>
      <c r="T92" s="34"/>
      <c r="U92" s="15"/>
      <c r="V92" s="35"/>
      <c r="W92" s="34"/>
      <c r="X92" s="35"/>
      <c r="Y92" s="34"/>
      <c r="Z92" s="35"/>
      <c r="AA92" s="34"/>
      <c r="AB92" s="34"/>
      <c r="AC92" s="15"/>
      <c r="AD92" s="34"/>
      <c r="AE92" s="34"/>
      <c r="AF92" s="34"/>
      <c r="AG92" s="15"/>
      <c r="AH92" s="272"/>
      <c r="AI92" s="267"/>
      <c r="AJ92" s="267"/>
      <c r="AK92" s="34"/>
      <c r="AL92" s="233"/>
      <c r="AZ92" s="2"/>
    </row>
    <row r="93" spans="2:52" x14ac:dyDescent="0.3">
      <c r="B93" s="232"/>
      <c r="C93" s="250"/>
      <c r="D93" s="263"/>
      <c r="E93" s="263"/>
      <c r="F93" s="263"/>
      <c r="G93" s="263"/>
      <c r="H93" s="15"/>
      <c r="I93" s="35"/>
      <c r="J93" s="35"/>
      <c r="K93" s="35"/>
      <c r="L93" s="15"/>
      <c r="M93" s="35"/>
      <c r="N93" s="35"/>
      <c r="O93" s="35"/>
      <c r="P93" s="15"/>
      <c r="Q93" s="34"/>
      <c r="R93" s="34"/>
      <c r="S93" s="34"/>
      <c r="T93" s="34"/>
      <c r="U93" s="15"/>
      <c r="V93" s="35"/>
      <c r="W93" s="34"/>
      <c r="X93" s="35"/>
      <c r="Y93" s="34"/>
      <c r="Z93" s="35"/>
      <c r="AA93" s="34"/>
      <c r="AB93" s="34"/>
      <c r="AC93" s="15"/>
      <c r="AD93" s="34"/>
      <c r="AE93" s="34"/>
      <c r="AF93" s="34"/>
      <c r="AG93" s="15"/>
      <c r="AH93" s="272"/>
      <c r="AI93" s="267"/>
      <c r="AJ93" s="267"/>
      <c r="AK93" s="34"/>
      <c r="AL93" s="233"/>
      <c r="AZ93" s="2"/>
    </row>
    <row r="94" spans="2:52" x14ac:dyDescent="0.3">
      <c r="B94" s="232"/>
      <c r="C94" s="250"/>
      <c r="D94" s="263"/>
      <c r="E94" s="263"/>
      <c r="F94" s="263"/>
      <c r="G94" s="263"/>
      <c r="H94" s="15"/>
      <c r="I94" s="35"/>
      <c r="J94" s="35"/>
      <c r="K94" s="35"/>
      <c r="L94" s="15"/>
      <c r="M94" s="35"/>
      <c r="N94" s="35"/>
      <c r="O94" s="35"/>
      <c r="P94" s="15"/>
      <c r="Q94" s="34"/>
      <c r="R94" s="34"/>
      <c r="S94" s="34"/>
      <c r="T94" s="34"/>
      <c r="U94" s="15"/>
      <c r="V94" s="35"/>
      <c r="W94" s="34"/>
      <c r="X94" s="35"/>
      <c r="Y94" s="34"/>
      <c r="Z94" s="35"/>
      <c r="AA94" s="34"/>
      <c r="AB94" s="34"/>
      <c r="AC94" s="15"/>
      <c r="AD94" s="34"/>
      <c r="AE94" s="34"/>
      <c r="AF94" s="34"/>
      <c r="AG94" s="15"/>
      <c r="AH94" s="272"/>
      <c r="AI94" s="267"/>
      <c r="AJ94" s="267"/>
      <c r="AK94" s="34"/>
      <c r="AL94" s="233"/>
      <c r="AZ94" s="2"/>
    </row>
    <row r="95" spans="2:52" x14ac:dyDescent="0.3">
      <c r="B95" s="232"/>
      <c r="C95" s="367"/>
      <c r="D95" s="284"/>
      <c r="E95" s="284"/>
      <c r="F95" s="284"/>
      <c r="G95" s="284"/>
      <c r="H95" s="18"/>
      <c r="I95" s="107"/>
      <c r="J95" s="107"/>
      <c r="K95" s="107"/>
      <c r="L95" s="18"/>
      <c r="M95" s="35"/>
      <c r="N95" s="35"/>
      <c r="O95" s="35"/>
      <c r="P95" s="15"/>
      <c r="Q95" s="34"/>
      <c r="R95" s="34"/>
      <c r="S95" s="34"/>
      <c r="T95" s="34"/>
      <c r="U95" s="15"/>
      <c r="V95" s="35"/>
      <c r="W95" s="34"/>
      <c r="X95" s="35"/>
      <c r="Y95" s="34"/>
      <c r="Z95" s="35"/>
      <c r="AA95" s="34"/>
      <c r="AB95" s="34"/>
      <c r="AC95" s="15"/>
      <c r="AD95" s="34"/>
      <c r="AE95" s="34"/>
      <c r="AF95" s="34"/>
      <c r="AG95" s="15"/>
      <c r="AH95" s="272"/>
      <c r="AI95" s="267"/>
      <c r="AJ95" s="267"/>
      <c r="AK95" s="34"/>
      <c r="AL95" s="233"/>
      <c r="AZ95" s="2"/>
    </row>
    <row r="96" spans="2:52" x14ac:dyDescent="0.3">
      <c r="B96" s="232"/>
      <c r="C96" s="367"/>
      <c r="D96" s="284"/>
      <c r="E96" s="284"/>
      <c r="F96" s="284"/>
      <c r="G96" s="284"/>
      <c r="H96" s="18"/>
      <c r="I96" s="107"/>
      <c r="J96" s="107"/>
      <c r="K96" s="107"/>
      <c r="L96" s="18"/>
      <c r="M96" s="35"/>
      <c r="N96" s="35"/>
      <c r="O96" s="35"/>
      <c r="P96" s="15"/>
      <c r="Q96" s="34"/>
      <c r="R96" s="34"/>
      <c r="S96" s="34"/>
      <c r="T96" s="34"/>
      <c r="U96" s="15"/>
      <c r="V96" s="35"/>
      <c r="W96" s="34"/>
      <c r="X96" s="35"/>
      <c r="Y96" s="34"/>
      <c r="Z96" s="35"/>
      <c r="AA96" s="34"/>
      <c r="AB96" s="34"/>
      <c r="AC96" s="15"/>
      <c r="AD96" s="34"/>
      <c r="AE96" s="34"/>
      <c r="AF96" s="34"/>
      <c r="AG96" s="15"/>
      <c r="AH96" s="272"/>
      <c r="AI96" s="267"/>
      <c r="AJ96" s="267"/>
      <c r="AK96" s="34"/>
      <c r="AL96" s="233"/>
      <c r="AZ96" s="2"/>
    </row>
    <row r="97" spans="2:52" x14ac:dyDescent="0.3">
      <c r="B97" s="232"/>
      <c r="C97" s="367"/>
      <c r="D97" s="284"/>
      <c r="E97" s="284"/>
      <c r="F97" s="284"/>
      <c r="G97" s="284"/>
      <c r="H97" s="18"/>
      <c r="I97" s="107"/>
      <c r="J97" s="107"/>
      <c r="K97" s="107"/>
      <c r="L97" s="18"/>
      <c r="M97" s="35"/>
      <c r="N97" s="35"/>
      <c r="O97" s="35"/>
      <c r="P97" s="15"/>
      <c r="Q97" s="34"/>
      <c r="R97" s="34"/>
      <c r="S97" s="34"/>
      <c r="T97" s="34"/>
      <c r="U97" s="15"/>
      <c r="V97" s="35"/>
      <c r="W97" s="34"/>
      <c r="X97" s="35"/>
      <c r="Y97" s="34"/>
      <c r="Z97" s="35"/>
      <c r="AA97" s="34"/>
      <c r="AB97" s="34"/>
      <c r="AC97" s="15"/>
      <c r="AD97" s="34"/>
      <c r="AE97" s="34"/>
      <c r="AF97" s="34"/>
      <c r="AG97" s="15"/>
      <c r="AH97" s="272"/>
      <c r="AI97" s="267"/>
      <c r="AJ97" s="267"/>
      <c r="AK97" s="34"/>
      <c r="AL97" s="233"/>
      <c r="AO97" s="2"/>
      <c r="AP97" s="2"/>
      <c r="AQ97" s="2"/>
      <c r="AR97" s="2"/>
      <c r="AS97" s="2"/>
      <c r="AT97" s="2"/>
      <c r="AU97" s="2"/>
      <c r="AV97" s="2"/>
      <c r="AW97" s="2"/>
      <c r="AX97" s="2"/>
      <c r="AY97" s="2"/>
      <c r="AZ97" s="2"/>
    </row>
    <row r="98" spans="2:52" x14ac:dyDescent="0.3">
      <c r="B98" s="232"/>
      <c r="C98" s="367"/>
      <c r="D98" s="284"/>
      <c r="E98" s="284"/>
      <c r="F98" s="284"/>
      <c r="G98" s="284"/>
      <c r="H98" s="18"/>
      <c r="I98" s="107"/>
      <c r="J98" s="107"/>
      <c r="K98" s="107"/>
      <c r="L98" s="18"/>
      <c r="M98" s="35"/>
      <c r="N98" s="35"/>
      <c r="O98" s="35"/>
      <c r="P98" s="15"/>
      <c r="Q98" s="34"/>
      <c r="R98" s="34"/>
      <c r="S98" s="34"/>
      <c r="T98" s="34"/>
      <c r="U98" s="15"/>
      <c r="V98" s="35"/>
      <c r="W98" s="34"/>
      <c r="X98" s="35"/>
      <c r="Y98" s="34"/>
      <c r="Z98" s="35"/>
      <c r="AA98" s="34"/>
      <c r="AB98" s="34"/>
      <c r="AC98" s="15"/>
      <c r="AD98" s="34"/>
      <c r="AE98" s="34"/>
      <c r="AF98" s="34"/>
      <c r="AG98" s="15"/>
      <c r="AH98" s="272"/>
      <c r="AI98" s="267"/>
      <c r="AJ98" s="267"/>
      <c r="AK98" s="34"/>
      <c r="AL98" s="233"/>
      <c r="AO98" s="2"/>
      <c r="AP98" s="2"/>
      <c r="AQ98" s="2"/>
      <c r="AR98" s="2"/>
      <c r="AS98" s="2"/>
      <c r="AT98" s="2"/>
      <c r="AU98" s="2"/>
      <c r="AV98" s="2"/>
      <c r="AW98" s="2"/>
      <c r="AX98" s="2"/>
      <c r="AY98" s="2"/>
      <c r="AZ98" s="2"/>
    </row>
    <row r="99" spans="2:52" x14ac:dyDescent="0.3">
      <c r="B99" s="232"/>
      <c r="C99" s="368"/>
      <c r="D99" s="284"/>
      <c r="E99" s="284"/>
      <c r="F99" s="284"/>
      <c r="G99" s="284"/>
      <c r="H99" s="18"/>
      <c r="I99" s="107"/>
      <c r="J99" s="107"/>
      <c r="K99" s="107"/>
      <c r="L99" s="18"/>
      <c r="M99" s="35"/>
      <c r="N99" s="35"/>
      <c r="O99" s="35"/>
      <c r="P99" s="15"/>
      <c r="Q99" s="34"/>
      <c r="R99" s="34"/>
      <c r="S99" s="34"/>
      <c r="T99" s="34"/>
      <c r="U99" s="15"/>
      <c r="V99" s="35"/>
      <c r="W99" s="34"/>
      <c r="X99" s="35"/>
      <c r="Y99" s="34"/>
      <c r="Z99" s="35"/>
      <c r="AA99" s="34"/>
      <c r="AB99" s="34"/>
      <c r="AC99" s="15"/>
      <c r="AD99" s="34"/>
      <c r="AE99" s="34"/>
      <c r="AF99" s="34"/>
      <c r="AG99" s="15"/>
      <c r="AH99" s="272"/>
      <c r="AI99" s="267"/>
      <c r="AJ99" s="267"/>
      <c r="AK99" s="34"/>
      <c r="AL99" s="233"/>
      <c r="AO99" s="2"/>
      <c r="AP99" s="2"/>
      <c r="AQ99" s="2"/>
      <c r="AR99" s="2"/>
      <c r="AS99" s="2"/>
      <c r="AT99" s="2"/>
      <c r="AU99" s="2"/>
      <c r="AV99" s="2"/>
      <c r="AW99" s="2"/>
      <c r="AX99" s="2"/>
      <c r="AY99" s="2"/>
      <c r="AZ99" s="2"/>
    </row>
    <row r="100" spans="2:52" x14ac:dyDescent="0.3">
      <c r="B100" s="232"/>
      <c r="C100" s="367"/>
      <c r="D100" s="284"/>
      <c r="E100" s="284"/>
      <c r="F100" s="284"/>
      <c r="G100" s="284"/>
      <c r="H100" s="18"/>
      <c r="I100" s="107"/>
      <c r="J100" s="107"/>
      <c r="K100" s="107"/>
      <c r="L100" s="18"/>
      <c r="M100" s="35"/>
      <c r="N100" s="35"/>
      <c r="O100" s="35"/>
      <c r="P100" s="15"/>
      <c r="Q100" s="34"/>
      <c r="R100" s="34"/>
      <c r="S100" s="34"/>
      <c r="T100" s="34"/>
      <c r="U100" s="15"/>
      <c r="V100" s="35"/>
      <c r="W100" s="34"/>
      <c r="X100" s="35"/>
      <c r="Y100" s="34"/>
      <c r="Z100" s="35"/>
      <c r="AA100" s="34"/>
      <c r="AB100" s="34"/>
      <c r="AC100" s="15"/>
      <c r="AD100" s="34"/>
      <c r="AE100" s="34"/>
      <c r="AF100" s="34"/>
      <c r="AG100" s="15"/>
      <c r="AH100" s="272"/>
      <c r="AI100" s="267"/>
      <c r="AJ100" s="267"/>
      <c r="AK100" s="34"/>
      <c r="AL100" s="233"/>
      <c r="AO100" s="2"/>
      <c r="AP100" s="2"/>
      <c r="AQ100" s="2"/>
      <c r="AR100" s="2"/>
      <c r="AS100" s="2"/>
      <c r="AT100" s="2"/>
      <c r="AU100" s="2"/>
      <c r="AV100" s="2"/>
      <c r="AW100" s="2"/>
      <c r="AX100" s="2"/>
      <c r="AY100" s="2"/>
      <c r="AZ100" s="2"/>
    </row>
    <row r="101" spans="2:52" x14ac:dyDescent="0.3">
      <c r="B101" s="232"/>
      <c r="C101" s="367"/>
      <c r="D101" s="284"/>
      <c r="E101" s="284"/>
      <c r="F101" s="284"/>
      <c r="G101" s="284"/>
      <c r="H101" s="18"/>
      <c r="I101" s="107"/>
      <c r="J101" s="107"/>
      <c r="K101" s="107"/>
      <c r="L101" s="18"/>
      <c r="M101" s="35"/>
      <c r="N101" s="35"/>
      <c r="O101" s="35"/>
      <c r="P101" s="15"/>
      <c r="Q101" s="34"/>
      <c r="R101" s="34"/>
      <c r="S101" s="34"/>
      <c r="T101" s="34"/>
      <c r="U101" s="15"/>
      <c r="V101" s="35"/>
      <c r="W101" s="34"/>
      <c r="X101" s="35"/>
      <c r="Y101" s="34"/>
      <c r="Z101" s="35"/>
      <c r="AA101" s="34"/>
      <c r="AB101" s="34"/>
      <c r="AC101" s="15"/>
      <c r="AD101" s="34"/>
      <c r="AE101" s="34"/>
      <c r="AF101" s="34"/>
      <c r="AG101" s="15"/>
      <c r="AH101" s="272"/>
      <c r="AI101" s="267"/>
      <c r="AJ101" s="267"/>
      <c r="AK101" s="34"/>
      <c r="AL101" s="233"/>
      <c r="AO101" s="2"/>
      <c r="AP101" s="2"/>
      <c r="AQ101" s="2"/>
      <c r="AR101" s="2"/>
      <c r="AS101" s="2"/>
      <c r="AT101" s="2"/>
      <c r="AU101" s="2"/>
      <c r="AV101" s="2"/>
      <c r="AW101" s="2"/>
      <c r="AX101" s="2"/>
      <c r="AY101" s="2"/>
      <c r="AZ101" s="2"/>
    </row>
    <row r="102" spans="2:52" x14ac:dyDescent="0.3">
      <c r="B102" s="232"/>
      <c r="C102" s="367"/>
      <c r="D102" s="284"/>
      <c r="E102" s="284"/>
      <c r="F102" s="284"/>
      <c r="G102" s="284"/>
      <c r="H102" s="18"/>
      <c r="I102" s="107"/>
      <c r="J102" s="107"/>
      <c r="K102" s="107"/>
      <c r="L102" s="18"/>
      <c r="M102" s="35"/>
      <c r="N102" s="35"/>
      <c r="O102" s="35"/>
      <c r="P102" s="15"/>
      <c r="Q102" s="34"/>
      <c r="R102" s="34"/>
      <c r="S102" s="34"/>
      <c r="T102" s="34"/>
      <c r="U102" s="15"/>
      <c r="V102" s="35"/>
      <c r="W102" s="34"/>
      <c r="X102" s="35"/>
      <c r="Y102" s="34"/>
      <c r="Z102" s="35"/>
      <c r="AA102" s="34"/>
      <c r="AB102" s="34"/>
      <c r="AC102" s="15"/>
      <c r="AD102" s="34"/>
      <c r="AE102" s="34"/>
      <c r="AF102" s="34"/>
      <c r="AG102" s="15"/>
      <c r="AH102" s="272"/>
      <c r="AI102" s="267"/>
      <c r="AJ102" s="267"/>
      <c r="AK102" s="34"/>
      <c r="AL102" s="233"/>
      <c r="AO102" s="2"/>
      <c r="AP102" s="2"/>
      <c r="AQ102" s="2"/>
      <c r="AR102" s="2"/>
      <c r="AS102" s="2"/>
      <c r="AT102" s="2"/>
      <c r="AU102" s="2"/>
      <c r="AV102" s="2"/>
      <c r="AW102" s="2"/>
      <c r="AX102" s="2"/>
      <c r="AY102" s="2"/>
      <c r="AZ102" s="2"/>
    </row>
    <row r="103" spans="2:52" x14ac:dyDescent="0.3">
      <c r="B103" s="232"/>
      <c r="C103" s="2"/>
      <c r="D103" s="2"/>
      <c r="E103" s="2"/>
      <c r="F103" s="2"/>
      <c r="G103" s="2"/>
      <c r="H103" s="2"/>
      <c r="I103" s="2"/>
      <c r="J103" s="2"/>
      <c r="K103" s="2"/>
      <c r="L103" s="2"/>
      <c r="M103" s="35"/>
      <c r="N103" s="35"/>
      <c r="O103" s="35"/>
      <c r="P103" s="15"/>
      <c r="Q103" s="34"/>
      <c r="R103" s="34"/>
      <c r="S103" s="34"/>
      <c r="T103" s="34"/>
      <c r="U103" s="15"/>
      <c r="V103" s="35"/>
      <c r="W103" s="34"/>
      <c r="X103" s="35"/>
      <c r="Y103" s="34"/>
      <c r="Z103" s="35"/>
      <c r="AA103" s="34"/>
      <c r="AB103" s="34"/>
      <c r="AC103" s="15"/>
      <c r="AD103" s="34"/>
      <c r="AE103" s="34"/>
      <c r="AF103" s="34"/>
      <c r="AG103" s="15"/>
      <c r="AH103" s="272"/>
      <c r="AI103" s="267"/>
      <c r="AJ103" s="267"/>
      <c r="AK103" s="34"/>
      <c r="AL103" s="233"/>
      <c r="AO103" s="2"/>
      <c r="AP103" s="2"/>
      <c r="AQ103" s="2"/>
      <c r="AR103" s="2"/>
      <c r="AS103" s="2"/>
      <c r="AT103" s="2"/>
      <c r="AU103" s="2"/>
      <c r="AV103" s="2"/>
      <c r="AW103" s="2"/>
      <c r="AX103" s="2"/>
      <c r="AY103" s="2"/>
      <c r="AZ103" s="2"/>
    </row>
    <row r="104" spans="2:52" x14ac:dyDescent="0.3">
      <c r="B104" s="232"/>
      <c r="C104" s="2"/>
      <c r="D104" s="2"/>
      <c r="E104" s="2"/>
      <c r="F104" s="2"/>
      <c r="G104" s="2"/>
      <c r="H104" s="2"/>
      <c r="I104" s="2"/>
      <c r="J104" s="2"/>
      <c r="K104" s="2"/>
      <c r="L104" s="2"/>
      <c r="N104" s="35"/>
      <c r="O104" s="35"/>
      <c r="P104" s="15"/>
      <c r="Q104" s="34"/>
      <c r="R104" s="34"/>
      <c r="S104" s="34"/>
      <c r="T104" s="34"/>
      <c r="U104" s="15"/>
      <c r="V104" s="35"/>
      <c r="W104" s="34"/>
      <c r="X104" s="35"/>
      <c r="Y104" s="34"/>
      <c r="Z104" s="35"/>
      <c r="AA104" s="34"/>
      <c r="AB104" s="34"/>
      <c r="AC104" s="15"/>
      <c r="AD104" s="34"/>
      <c r="AE104" s="34"/>
      <c r="AF104" s="34"/>
      <c r="AG104" s="15"/>
      <c r="AH104" s="272"/>
      <c r="AI104" s="267"/>
      <c r="AJ104" s="267"/>
      <c r="AK104" s="34"/>
      <c r="AL104" s="233"/>
      <c r="AO104" s="2"/>
      <c r="AP104" s="2"/>
      <c r="AQ104" s="2"/>
      <c r="AR104" s="2"/>
      <c r="AS104" s="2"/>
      <c r="AT104" s="2"/>
      <c r="AU104" s="2"/>
      <c r="AV104" s="2"/>
      <c r="AW104" s="2"/>
      <c r="AX104" s="2"/>
      <c r="AY104" s="2"/>
      <c r="AZ104" s="2"/>
    </row>
    <row r="105" spans="2:52" x14ac:dyDescent="0.3">
      <c r="B105" s="232"/>
      <c r="C105" s="2"/>
      <c r="D105" s="2"/>
      <c r="E105" s="2"/>
      <c r="F105" s="2"/>
      <c r="G105" s="2"/>
      <c r="H105" s="2"/>
      <c r="I105" s="2"/>
      <c r="J105" s="2"/>
      <c r="K105" s="2"/>
      <c r="L105" s="2"/>
      <c r="N105" s="35"/>
      <c r="O105" s="35"/>
      <c r="P105" s="15"/>
      <c r="Q105" s="34"/>
      <c r="R105" s="34"/>
      <c r="S105" s="34"/>
      <c r="T105" s="34"/>
      <c r="U105" s="15"/>
      <c r="V105" s="35"/>
      <c r="W105" s="34"/>
      <c r="X105" s="35"/>
      <c r="Y105" s="34"/>
      <c r="Z105" s="35"/>
      <c r="AA105" s="34"/>
      <c r="AB105" s="34"/>
      <c r="AC105" s="15"/>
      <c r="AD105" s="34"/>
      <c r="AE105" s="34"/>
      <c r="AF105" s="34"/>
      <c r="AG105" s="15"/>
      <c r="AH105" s="272"/>
      <c r="AI105" s="267"/>
      <c r="AJ105" s="267"/>
      <c r="AK105" s="34"/>
      <c r="AL105" s="233"/>
      <c r="AO105" s="2"/>
      <c r="AP105" s="2"/>
      <c r="AQ105" s="2"/>
      <c r="AR105" s="2"/>
      <c r="AS105" s="2"/>
      <c r="AT105" s="2"/>
      <c r="AU105" s="2"/>
      <c r="AV105" s="2"/>
      <c r="AW105" s="2"/>
      <c r="AX105" s="2"/>
      <c r="AY105" s="2"/>
      <c r="AZ105" s="2"/>
    </row>
    <row r="106" spans="2:52" x14ac:dyDescent="0.3">
      <c r="B106" s="232"/>
      <c r="C106" s="2"/>
      <c r="D106" s="2"/>
      <c r="E106" s="2"/>
      <c r="F106" s="2"/>
      <c r="G106" s="2"/>
      <c r="H106" s="2"/>
      <c r="I106" s="2"/>
      <c r="J106" s="2"/>
      <c r="K106" s="2"/>
      <c r="L106" s="2"/>
      <c r="N106" s="35"/>
      <c r="O106" s="35"/>
      <c r="P106" s="15"/>
      <c r="Q106" s="34"/>
      <c r="R106" s="34"/>
      <c r="S106" s="34"/>
      <c r="T106" s="34"/>
      <c r="U106" s="15"/>
      <c r="V106" s="35"/>
      <c r="W106" s="34"/>
      <c r="X106" s="35"/>
      <c r="Y106" s="34"/>
      <c r="Z106" s="35"/>
      <c r="AA106" s="34"/>
      <c r="AB106" s="34"/>
      <c r="AC106" s="15"/>
      <c r="AD106" s="34"/>
      <c r="AE106" s="34"/>
      <c r="AF106" s="34"/>
      <c r="AG106" s="15"/>
      <c r="AH106" s="272"/>
      <c r="AI106" s="267"/>
      <c r="AJ106" s="267"/>
      <c r="AK106" s="34"/>
      <c r="AL106" s="233"/>
      <c r="AO106" s="2"/>
      <c r="AP106" s="2"/>
      <c r="AQ106" s="2"/>
      <c r="AR106" s="2"/>
      <c r="AS106" s="2"/>
      <c r="AT106" s="2"/>
      <c r="AU106" s="2"/>
      <c r="AV106" s="2"/>
      <c r="AW106" s="2"/>
      <c r="AX106" s="2"/>
      <c r="AY106" s="2"/>
      <c r="AZ106" s="2"/>
    </row>
    <row r="107" spans="2:52" x14ac:dyDescent="0.3">
      <c r="B107" s="232"/>
      <c r="C107" s="367"/>
      <c r="D107" s="284"/>
      <c r="E107" s="284"/>
      <c r="F107" s="284"/>
      <c r="G107" s="284"/>
      <c r="H107" s="18"/>
      <c r="I107" s="107"/>
      <c r="J107" s="107"/>
      <c r="K107" s="107"/>
      <c r="L107" s="18"/>
      <c r="N107" s="35"/>
      <c r="O107" s="35"/>
      <c r="P107" s="15"/>
      <c r="Q107" s="34"/>
      <c r="R107" s="34"/>
      <c r="S107" s="34"/>
      <c r="T107" s="34"/>
      <c r="U107" s="15"/>
      <c r="V107" s="35"/>
      <c r="W107" s="34"/>
      <c r="X107" s="35"/>
      <c r="Y107" s="34"/>
      <c r="Z107" s="35"/>
      <c r="AA107" s="34"/>
      <c r="AB107" s="34"/>
      <c r="AC107" s="15"/>
      <c r="AD107" s="34"/>
      <c r="AE107" s="34"/>
      <c r="AF107" s="34"/>
      <c r="AG107" s="15"/>
      <c r="AH107" s="272"/>
      <c r="AI107" s="267"/>
      <c r="AJ107" s="267"/>
      <c r="AK107" s="34"/>
      <c r="AL107" s="233"/>
      <c r="AO107" s="2"/>
      <c r="AP107" s="2"/>
      <c r="AQ107" s="2"/>
      <c r="AR107" s="2"/>
      <c r="AS107" s="2"/>
      <c r="AT107" s="2"/>
      <c r="AU107" s="2"/>
      <c r="AV107" s="2"/>
      <c r="AW107" s="2"/>
      <c r="AX107" s="2"/>
      <c r="AY107" s="2"/>
      <c r="AZ107" s="2"/>
    </row>
    <row r="108" spans="2:52" x14ac:dyDescent="0.3">
      <c r="B108" s="232"/>
      <c r="C108" s="367"/>
      <c r="D108" s="284"/>
      <c r="E108" s="284"/>
      <c r="F108" s="284"/>
      <c r="G108" s="284"/>
      <c r="H108" s="18"/>
      <c r="I108" s="107"/>
      <c r="J108" s="107"/>
      <c r="K108" s="107"/>
      <c r="L108" s="18"/>
      <c r="M108" s="35"/>
      <c r="N108" s="35"/>
      <c r="O108" s="35"/>
      <c r="P108" s="15"/>
      <c r="Q108" s="34"/>
      <c r="R108" s="34"/>
      <c r="S108" s="34"/>
      <c r="T108" s="34"/>
      <c r="U108" s="15"/>
      <c r="V108" s="35"/>
      <c r="W108" s="34"/>
      <c r="X108" s="35"/>
      <c r="Y108" s="34"/>
      <c r="Z108" s="35"/>
      <c r="AA108" s="34"/>
      <c r="AB108" s="34"/>
      <c r="AC108" s="15"/>
      <c r="AD108" s="34"/>
      <c r="AE108" s="34"/>
      <c r="AF108" s="34"/>
      <c r="AG108" s="15"/>
      <c r="AH108" s="272"/>
      <c r="AI108" s="267"/>
      <c r="AJ108" s="267"/>
      <c r="AK108" s="34"/>
      <c r="AL108" s="233"/>
      <c r="AO108" s="223"/>
      <c r="AP108" s="2"/>
      <c r="AQ108" s="2"/>
      <c r="AR108" s="2"/>
      <c r="AS108" s="2"/>
      <c r="AT108" s="2"/>
      <c r="AU108" s="2"/>
      <c r="AV108" s="2"/>
      <c r="AW108" s="2"/>
      <c r="AX108" s="2"/>
      <c r="AY108" s="2"/>
      <c r="AZ108" s="2"/>
    </row>
    <row r="109" spans="2:52" x14ac:dyDescent="0.3">
      <c r="B109" s="232"/>
      <c r="C109" s="367"/>
      <c r="D109" s="284"/>
      <c r="E109" s="284"/>
      <c r="F109" s="284"/>
      <c r="G109" s="284"/>
      <c r="H109" s="18"/>
      <c r="I109" s="107"/>
      <c r="J109" s="107"/>
      <c r="K109" s="107"/>
      <c r="L109" s="18"/>
      <c r="M109" s="35"/>
      <c r="N109" s="35"/>
      <c r="O109" s="35"/>
      <c r="P109" s="15"/>
      <c r="Q109" s="34"/>
      <c r="R109" s="34"/>
      <c r="S109" s="34"/>
      <c r="T109" s="34"/>
      <c r="U109" s="15"/>
      <c r="V109" s="35"/>
      <c r="W109" s="34"/>
      <c r="X109" s="35"/>
      <c r="Y109" s="34"/>
      <c r="Z109" s="35"/>
      <c r="AA109" s="34"/>
      <c r="AB109" s="34"/>
      <c r="AC109" s="15"/>
      <c r="AD109" s="34"/>
      <c r="AE109" s="34"/>
      <c r="AF109" s="34"/>
      <c r="AG109" s="15"/>
      <c r="AH109" s="272"/>
      <c r="AI109" s="267"/>
      <c r="AJ109" s="267"/>
      <c r="AK109" s="34"/>
      <c r="AL109" s="233"/>
      <c r="AO109" s="223"/>
      <c r="AP109" s="2"/>
      <c r="AQ109" s="2"/>
      <c r="AR109" s="2"/>
      <c r="AS109" s="2"/>
      <c r="AT109" s="2"/>
      <c r="AU109" s="2"/>
      <c r="AV109" s="2"/>
      <c r="AW109" s="2"/>
      <c r="AX109" s="2"/>
      <c r="AY109" s="2"/>
      <c r="AZ109" s="2"/>
    </row>
    <row r="110" spans="2:52" x14ac:dyDescent="0.3">
      <c r="B110" s="232"/>
      <c r="C110" s="209"/>
      <c r="D110" s="284"/>
      <c r="E110" s="284"/>
      <c r="F110" s="284"/>
      <c r="G110" s="284"/>
      <c r="H110" s="18"/>
      <c r="I110" s="107"/>
      <c r="J110" s="107"/>
      <c r="K110" s="107"/>
      <c r="L110" s="18"/>
      <c r="M110" s="35"/>
      <c r="N110" s="35"/>
      <c r="O110" s="35"/>
      <c r="P110" s="15"/>
      <c r="Q110" s="34"/>
      <c r="R110" s="34"/>
      <c r="S110" s="34"/>
      <c r="T110" s="34"/>
      <c r="U110" s="15"/>
      <c r="V110" s="35"/>
      <c r="W110" s="34"/>
      <c r="X110" s="35"/>
      <c r="Y110" s="34"/>
      <c r="Z110" s="35"/>
      <c r="AA110" s="34"/>
      <c r="AB110" s="34"/>
      <c r="AC110" s="15"/>
      <c r="AD110" s="34"/>
      <c r="AE110" s="34"/>
      <c r="AF110" s="34"/>
      <c r="AG110" s="15"/>
      <c r="AH110" s="272"/>
      <c r="AI110" s="267"/>
      <c r="AJ110" s="267"/>
      <c r="AK110" s="34"/>
      <c r="AL110" s="233"/>
      <c r="AO110" s="2"/>
      <c r="AP110" s="2"/>
      <c r="AQ110" s="2"/>
      <c r="AR110" s="2"/>
      <c r="AS110" s="2"/>
      <c r="AT110" s="2"/>
      <c r="AU110" s="2"/>
      <c r="AV110" s="2"/>
      <c r="AW110" s="2"/>
      <c r="AX110" s="2"/>
      <c r="AY110" s="2"/>
      <c r="AZ110" s="2"/>
    </row>
    <row r="111" spans="2:52" x14ac:dyDescent="0.3">
      <c r="B111" s="232"/>
      <c r="C111" s="367"/>
      <c r="D111" s="284"/>
      <c r="E111" s="284"/>
      <c r="F111" s="284"/>
      <c r="G111" s="284"/>
      <c r="H111" s="18"/>
      <c r="I111" s="107"/>
      <c r="J111" s="107"/>
      <c r="K111" s="107"/>
      <c r="L111" s="18"/>
      <c r="M111" s="35"/>
      <c r="N111" s="35"/>
      <c r="O111" s="35"/>
      <c r="P111" s="15"/>
      <c r="Q111" s="34"/>
      <c r="R111" s="34"/>
      <c r="S111" s="34"/>
      <c r="T111" s="34"/>
      <c r="U111" s="15"/>
      <c r="V111" s="35"/>
      <c r="W111" s="34"/>
      <c r="X111" s="35"/>
      <c r="Y111" s="34"/>
      <c r="Z111" s="35"/>
      <c r="AA111" s="34"/>
      <c r="AB111" s="34"/>
      <c r="AC111" s="15"/>
      <c r="AD111" s="34"/>
      <c r="AE111" s="34"/>
      <c r="AF111" s="34"/>
      <c r="AG111" s="15"/>
      <c r="AH111" s="272"/>
      <c r="AI111" s="267"/>
      <c r="AJ111" s="267"/>
      <c r="AK111" s="34"/>
      <c r="AL111" s="233"/>
      <c r="AO111" s="2"/>
      <c r="AP111" s="2"/>
      <c r="AQ111" s="2"/>
      <c r="AR111" s="2"/>
      <c r="AS111" s="2"/>
      <c r="AT111" s="2"/>
      <c r="AU111" s="2"/>
      <c r="AV111" s="2"/>
      <c r="AW111" s="2"/>
      <c r="AX111" s="2"/>
      <c r="AY111" s="2"/>
      <c r="AZ111" s="2"/>
    </row>
    <row r="112" spans="2:52" x14ac:dyDescent="0.3">
      <c r="B112" s="232"/>
      <c r="C112" s="367"/>
      <c r="D112" s="284"/>
      <c r="E112" s="284"/>
      <c r="F112" s="284"/>
      <c r="G112" s="284"/>
      <c r="H112" s="18"/>
      <c r="I112" s="107"/>
      <c r="J112" s="107"/>
      <c r="K112" s="107"/>
      <c r="L112" s="18"/>
      <c r="M112" s="35"/>
      <c r="N112" s="35"/>
      <c r="O112" s="35"/>
      <c r="P112" s="15"/>
      <c r="Q112" s="34"/>
      <c r="R112" s="34"/>
      <c r="S112" s="34"/>
      <c r="T112" s="34"/>
      <c r="U112" s="15"/>
      <c r="V112" s="35"/>
      <c r="W112" s="34"/>
      <c r="X112" s="35"/>
      <c r="Y112" s="34"/>
      <c r="Z112" s="35"/>
      <c r="AA112" s="34"/>
      <c r="AB112" s="34"/>
      <c r="AC112" s="15"/>
      <c r="AD112" s="34"/>
      <c r="AE112" s="34"/>
      <c r="AF112" s="34"/>
      <c r="AG112" s="15"/>
      <c r="AH112" s="272"/>
      <c r="AI112" s="267"/>
      <c r="AJ112" s="267"/>
      <c r="AK112" s="34"/>
      <c r="AL112" s="233"/>
      <c r="AO112" s="362"/>
      <c r="AP112" s="2"/>
      <c r="AQ112" s="2"/>
      <c r="AR112" s="2"/>
      <c r="AS112" s="2"/>
      <c r="AT112" s="2"/>
      <c r="AU112" s="2"/>
      <c r="AV112" s="2"/>
      <c r="AW112" s="2"/>
      <c r="AX112" s="2"/>
      <c r="AY112" s="2"/>
      <c r="AZ112" s="2"/>
    </row>
    <row r="113" spans="2:98" x14ac:dyDescent="0.3">
      <c r="B113" s="232"/>
      <c r="C113" s="128"/>
      <c r="D113" s="284"/>
      <c r="E113" s="284"/>
      <c r="F113" s="284"/>
      <c r="G113" s="284"/>
      <c r="H113" s="18"/>
      <c r="I113" s="107"/>
      <c r="J113" s="107"/>
      <c r="K113" s="107"/>
      <c r="L113" s="18"/>
      <c r="M113" s="35"/>
      <c r="N113" s="35"/>
      <c r="O113" s="35"/>
      <c r="P113" s="15"/>
      <c r="Q113" s="34"/>
      <c r="R113" s="34"/>
      <c r="S113" s="34"/>
      <c r="T113" s="34"/>
      <c r="U113" s="15"/>
      <c r="V113" s="35"/>
      <c r="W113" s="34"/>
      <c r="X113" s="35"/>
      <c r="Y113" s="34"/>
      <c r="Z113" s="35"/>
      <c r="AA113" s="34"/>
      <c r="AB113" s="34"/>
      <c r="AC113" s="15"/>
      <c r="AD113" s="34"/>
      <c r="AE113" s="34"/>
      <c r="AF113" s="34"/>
      <c r="AG113" s="15"/>
      <c r="AH113" s="272"/>
      <c r="AI113" s="267"/>
      <c r="AJ113" s="267"/>
      <c r="AK113" s="34"/>
      <c r="AL113" s="233"/>
      <c r="AO113" s="2"/>
      <c r="AP113" s="2"/>
      <c r="AQ113" s="2"/>
      <c r="AR113" s="2"/>
      <c r="AS113" s="2"/>
      <c r="AT113" s="2"/>
      <c r="AU113" s="2"/>
      <c r="AV113" s="2"/>
      <c r="AW113" s="2"/>
      <c r="AX113" s="2"/>
      <c r="AY113" s="2"/>
      <c r="AZ113" s="2"/>
    </row>
    <row r="114" spans="2:98" x14ac:dyDescent="0.3">
      <c r="B114" s="232"/>
      <c r="C114" s="209"/>
      <c r="D114" s="284"/>
      <c r="E114" s="284"/>
      <c r="F114" s="284"/>
      <c r="G114" s="284"/>
      <c r="H114" s="18"/>
      <c r="I114" s="107"/>
      <c r="J114" s="107"/>
      <c r="K114" s="107"/>
      <c r="L114" s="18"/>
      <c r="M114" s="35"/>
      <c r="N114" s="35"/>
      <c r="O114" s="35"/>
      <c r="P114" s="15"/>
      <c r="Q114" s="34"/>
      <c r="R114" s="34"/>
      <c r="S114" s="34"/>
      <c r="T114" s="34"/>
      <c r="U114" s="15"/>
      <c r="V114" s="35"/>
      <c r="W114" s="34"/>
      <c r="X114" s="35"/>
      <c r="Y114" s="34"/>
      <c r="Z114" s="35"/>
      <c r="AA114" s="34"/>
      <c r="AB114" s="34"/>
      <c r="AC114" s="15"/>
      <c r="AD114" s="34"/>
      <c r="AE114" s="34"/>
      <c r="AF114" s="34"/>
      <c r="AG114" s="15"/>
      <c r="AH114" s="272"/>
      <c r="AI114" s="267"/>
      <c r="AJ114" s="267"/>
      <c r="AK114" s="34"/>
      <c r="AL114" s="233"/>
      <c r="AO114" s="2"/>
      <c r="AP114" s="2"/>
      <c r="AQ114" s="2"/>
      <c r="AR114" s="2"/>
      <c r="AS114" s="2"/>
      <c r="AT114" s="2"/>
      <c r="AU114" s="2"/>
      <c r="AV114" s="2"/>
      <c r="AW114" s="2"/>
      <c r="AX114" s="2"/>
      <c r="AY114" s="2"/>
    </row>
    <row r="115" spans="2:98" x14ac:dyDescent="0.3">
      <c r="B115" s="232"/>
      <c r="C115" s="367"/>
      <c r="D115" s="284"/>
      <c r="E115" s="284"/>
      <c r="F115" s="284"/>
      <c r="G115" s="284"/>
      <c r="H115" s="18"/>
      <c r="I115" s="107"/>
      <c r="J115" s="107"/>
      <c r="K115" s="107"/>
      <c r="L115" s="18"/>
      <c r="M115" s="35"/>
      <c r="N115" s="35"/>
      <c r="O115" s="35"/>
      <c r="P115" s="15"/>
      <c r="Q115" s="34"/>
      <c r="R115" s="34"/>
      <c r="S115" s="34"/>
      <c r="T115" s="34"/>
      <c r="U115" s="15"/>
      <c r="V115" s="35"/>
      <c r="W115" s="34"/>
      <c r="X115" s="35"/>
      <c r="Y115" s="34"/>
      <c r="Z115" s="35"/>
      <c r="AA115" s="34"/>
      <c r="AB115" s="34"/>
      <c r="AC115" s="15"/>
      <c r="AD115" s="34"/>
      <c r="AE115" s="34"/>
      <c r="AF115" s="34"/>
      <c r="AG115" s="15"/>
      <c r="AH115" s="272"/>
      <c r="AI115" s="267"/>
      <c r="AJ115" s="267"/>
      <c r="AK115" s="34"/>
      <c r="AL115" s="233"/>
      <c r="AO115" s="223"/>
      <c r="AP115" s="2"/>
      <c r="AQ115" s="2"/>
      <c r="AR115" s="2"/>
      <c r="AS115" s="2"/>
      <c r="AT115" s="2"/>
      <c r="AU115" s="2"/>
      <c r="AV115" s="2"/>
      <c r="AW115" s="2"/>
      <c r="AX115" s="2"/>
      <c r="AY115" s="2"/>
    </row>
    <row r="116" spans="2:98" x14ac:dyDescent="0.3">
      <c r="B116" s="232"/>
      <c r="C116" s="367"/>
      <c r="D116" s="284"/>
      <c r="E116" s="284"/>
      <c r="F116" s="284"/>
      <c r="G116" s="284"/>
      <c r="H116" s="18"/>
      <c r="I116" s="107"/>
      <c r="J116" s="107"/>
      <c r="K116" s="107"/>
      <c r="L116" s="18"/>
      <c r="M116" s="35"/>
      <c r="N116" s="35"/>
      <c r="O116" s="35"/>
      <c r="P116" s="15"/>
      <c r="Q116" s="34"/>
      <c r="R116" s="34"/>
      <c r="S116" s="34"/>
      <c r="T116" s="34"/>
      <c r="U116" s="15"/>
      <c r="V116" s="35"/>
      <c r="W116" s="34"/>
      <c r="X116" s="35"/>
      <c r="Y116" s="34"/>
      <c r="Z116" s="35"/>
      <c r="AA116" s="34"/>
      <c r="AB116" s="34"/>
      <c r="AC116" s="15"/>
      <c r="AD116" s="34"/>
      <c r="AE116" s="34"/>
      <c r="AF116" s="34"/>
      <c r="AG116" s="15"/>
      <c r="AH116" s="272"/>
      <c r="AI116" s="267"/>
      <c r="AJ116" s="267"/>
      <c r="AK116" s="34"/>
      <c r="AL116" s="233"/>
      <c r="AO116" s="366"/>
      <c r="AP116" s="2"/>
      <c r="AQ116" s="2"/>
      <c r="AR116" s="2"/>
      <c r="AS116" s="2"/>
      <c r="AT116" s="2"/>
      <c r="AU116" s="2"/>
      <c r="AV116" s="2"/>
      <c r="AW116" s="2"/>
      <c r="AX116" s="2"/>
      <c r="AY116" s="2"/>
    </row>
    <row r="117" spans="2:98" x14ac:dyDescent="0.3">
      <c r="B117" s="232"/>
      <c r="C117" s="209"/>
      <c r="D117" s="284"/>
      <c r="E117" s="284"/>
      <c r="F117" s="284"/>
      <c r="G117" s="284"/>
      <c r="H117" s="18"/>
      <c r="I117" s="107"/>
      <c r="J117" s="107"/>
      <c r="K117" s="107"/>
      <c r="L117" s="18"/>
      <c r="M117" s="35"/>
      <c r="N117" s="35"/>
      <c r="O117" s="35"/>
      <c r="P117" s="15"/>
      <c r="Q117" s="34"/>
      <c r="R117" s="34"/>
      <c r="S117" s="34"/>
      <c r="T117" s="34"/>
      <c r="U117" s="15"/>
      <c r="V117" s="35"/>
      <c r="W117" s="34"/>
      <c r="X117" s="35"/>
      <c r="Y117" s="34"/>
      <c r="Z117" s="35"/>
      <c r="AA117" s="34"/>
      <c r="AB117" s="34"/>
      <c r="AC117" s="15"/>
      <c r="AD117" s="34"/>
      <c r="AE117" s="34"/>
      <c r="AF117" s="34"/>
      <c r="AG117" s="15"/>
      <c r="AH117" s="272"/>
      <c r="AI117" s="267"/>
      <c r="AJ117" s="267"/>
      <c r="AK117" s="34"/>
      <c r="AL117" s="233"/>
      <c r="AO117" s="2"/>
      <c r="AP117" s="2"/>
      <c r="AQ117" s="2"/>
      <c r="AR117" s="2"/>
      <c r="AS117" s="2"/>
      <c r="AT117" s="2"/>
      <c r="AU117" s="2"/>
      <c r="AV117" s="2"/>
      <c r="AW117" s="2"/>
      <c r="AX117" s="2"/>
      <c r="AY117" s="2"/>
    </row>
    <row r="118" spans="2:98" x14ac:dyDescent="0.3">
      <c r="B118" s="232"/>
      <c r="C118" s="209"/>
      <c r="D118" s="284"/>
      <c r="E118" s="284"/>
      <c r="F118" s="284"/>
      <c r="G118" s="284"/>
      <c r="H118" s="18"/>
      <c r="I118" s="107"/>
      <c r="J118" s="107"/>
      <c r="K118" s="107"/>
      <c r="L118" s="18"/>
      <c r="M118" s="35"/>
      <c r="N118" s="35"/>
      <c r="O118" s="35"/>
      <c r="P118" s="15"/>
      <c r="Q118" s="34"/>
      <c r="R118" s="34"/>
      <c r="S118" s="34"/>
      <c r="T118" s="34"/>
      <c r="U118" s="15"/>
      <c r="V118" s="35"/>
      <c r="W118" s="34"/>
      <c r="X118" s="35"/>
      <c r="Y118" s="34"/>
      <c r="Z118" s="35"/>
      <c r="AA118" s="34"/>
      <c r="AB118" s="34"/>
      <c r="AC118" s="15"/>
      <c r="AD118" s="34"/>
      <c r="AE118" s="34"/>
      <c r="AF118" s="34"/>
      <c r="AG118" s="15"/>
      <c r="AH118" s="272"/>
      <c r="AI118" s="267"/>
      <c r="AJ118" s="267"/>
      <c r="AK118" s="34"/>
      <c r="AL118" s="233"/>
      <c r="AN118" s="1"/>
      <c r="AO118" s="2"/>
      <c r="AP118" s="2"/>
      <c r="AQ118" s="2"/>
      <c r="AR118" s="2"/>
      <c r="AS118" s="2"/>
      <c r="AT118" s="2"/>
      <c r="AU118" s="2"/>
      <c r="AV118" s="2"/>
      <c r="AW118" s="2"/>
      <c r="AX118" s="2"/>
      <c r="AY118" s="2"/>
      <c r="AZ118" s="2"/>
    </row>
    <row r="119" spans="2:98" x14ac:dyDescent="0.3">
      <c r="B119" s="232"/>
      <c r="C119" s="2"/>
      <c r="D119" s="284"/>
      <c r="E119" s="284"/>
      <c r="F119" s="284"/>
      <c r="G119" s="284"/>
      <c r="H119" s="18"/>
      <c r="I119" s="18"/>
      <c r="J119" s="18"/>
      <c r="K119" s="18"/>
      <c r="L119" s="18"/>
      <c r="M119" s="35"/>
      <c r="N119" s="35"/>
      <c r="O119" s="35"/>
      <c r="P119" s="15"/>
      <c r="Q119" s="34"/>
      <c r="R119" s="34"/>
      <c r="S119" s="34"/>
      <c r="T119" s="34"/>
      <c r="U119" s="15"/>
      <c r="V119" s="35"/>
      <c r="W119" s="34"/>
      <c r="X119" s="35"/>
      <c r="Y119" s="34"/>
      <c r="Z119" s="35"/>
      <c r="AA119" s="34"/>
      <c r="AB119" s="34"/>
      <c r="AC119" s="15"/>
      <c r="AD119" s="34"/>
      <c r="AE119" s="34"/>
      <c r="AF119" s="34"/>
      <c r="AG119" s="15"/>
      <c r="AH119" s="272"/>
      <c r="AI119" s="267"/>
      <c r="AJ119" s="267"/>
      <c r="AK119" s="34"/>
      <c r="AL119" s="233"/>
      <c r="AO119" s="2"/>
      <c r="AP119" s="2"/>
      <c r="AQ119" s="2"/>
      <c r="AR119" s="2"/>
      <c r="AS119" s="2"/>
      <c r="AT119" s="2"/>
      <c r="AU119" s="2"/>
      <c r="AV119" s="2"/>
      <c r="AW119" s="2"/>
      <c r="AX119" s="2"/>
      <c r="AY119" s="2"/>
      <c r="AZ119" s="2"/>
    </row>
    <row r="120" spans="2:98" x14ac:dyDescent="0.3">
      <c r="B120" s="232"/>
      <c r="C120" s="2"/>
      <c r="D120" s="284"/>
      <c r="E120" s="284"/>
      <c r="F120" s="284"/>
      <c r="G120" s="284"/>
      <c r="H120" s="18"/>
      <c r="I120" s="18"/>
      <c r="J120" s="18"/>
      <c r="K120" s="18"/>
      <c r="L120" s="18"/>
      <c r="M120" s="35"/>
      <c r="N120" s="35"/>
      <c r="O120" s="35"/>
      <c r="P120" s="15"/>
      <c r="Q120" s="183"/>
      <c r="R120" s="183"/>
      <c r="S120" s="183"/>
      <c r="T120" s="183"/>
      <c r="U120" s="15"/>
      <c r="V120" s="35"/>
      <c r="W120" s="183"/>
      <c r="X120" s="35"/>
      <c r="Y120" s="183"/>
      <c r="Z120" s="35"/>
      <c r="AA120" s="183"/>
      <c r="AB120" s="183"/>
      <c r="AC120" s="15"/>
      <c r="AD120" s="183"/>
      <c r="AE120" s="183"/>
      <c r="AF120" s="183"/>
      <c r="AG120" s="15"/>
      <c r="AH120" s="272"/>
      <c r="AI120" s="267"/>
      <c r="AJ120" s="267"/>
      <c r="AK120" s="183"/>
      <c r="AL120" s="233"/>
      <c r="AO120" s="2"/>
      <c r="AP120" s="2"/>
      <c r="AQ120" s="2"/>
      <c r="AR120" s="2"/>
      <c r="AS120" s="2"/>
      <c r="AT120" s="2"/>
      <c r="AU120" s="2"/>
      <c r="AV120" s="2"/>
      <c r="AW120" s="2"/>
      <c r="AX120" s="2"/>
      <c r="AY120" s="2"/>
    </row>
    <row r="121" spans="2:98" x14ac:dyDescent="0.3">
      <c r="B121" s="232"/>
      <c r="C121" s="2"/>
      <c r="D121" s="2"/>
      <c r="E121" s="2"/>
      <c r="F121" s="2"/>
      <c r="G121" s="2"/>
      <c r="H121" s="2"/>
      <c r="I121" s="2"/>
      <c r="J121" s="2"/>
      <c r="K121" s="2"/>
      <c r="L121" s="2"/>
      <c r="M121" s="35"/>
      <c r="N121" s="35"/>
      <c r="O121" s="35"/>
      <c r="P121" s="15"/>
      <c r="Q121" s="34"/>
      <c r="R121" s="34"/>
      <c r="S121" s="34"/>
      <c r="T121" s="34"/>
      <c r="U121" s="15"/>
      <c r="V121" s="35"/>
      <c r="W121" s="34"/>
      <c r="X121" s="35"/>
      <c r="Y121" s="34"/>
      <c r="Z121" s="35"/>
      <c r="AA121" s="34"/>
      <c r="AB121" s="34"/>
      <c r="AC121" s="15"/>
      <c r="AD121" s="34"/>
      <c r="AE121" s="62"/>
      <c r="AF121" s="34"/>
      <c r="AG121" s="15"/>
      <c r="AH121" s="266"/>
      <c r="AI121" s="267"/>
      <c r="AJ121" s="267"/>
      <c r="AK121" s="34"/>
      <c r="AL121" s="233"/>
      <c r="AO121" s="2"/>
      <c r="AP121" s="2"/>
      <c r="AQ121" s="2"/>
      <c r="AR121" s="2"/>
      <c r="AS121" s="2"/>
      <c r="AT121" s="2"/>
      <c r="AU121" s="2"/>
      <c r="AV121" s="2"/>
      <c r="AW121" s="2"/>
      <c r="AX121" s="2"/>
      <c r="AY121" s="2"/>
    </row>
    <row r="122" spans="2:98" x14ac:dyDescent="0.3">
      <c r="B122" s="232"/>
      <c r="C122" s="329"/>
      <c r="D122" s="291"/>
      <c r="E122" s="291"/>
      <c r="F122" s="291"/>
      <c r="G122" s="291"/>
      <c r="H122" s="15"/>
      <c r="I122" s="15"/>
      <c r="J122" s="15"/>
      <c r="K122" s="15"/>
      <c r="L122" s="15"/>
      <c r="M122" s="15"/>
      <c r="N122" s="15"/>
      <c r="O122" s="15"/>
      <c r="P122" s="15"/>
      <c r="Q122" s="183"/>
      <c r="R122" s="183"/>
      <c r="S122" s="183"/>
      <c r="T122" s="183"/>
      <c r="U122" s="15"/>
      <c r="V122" s="15"/>
      <c r="W122" s="183"/>
      <c r="X122" s="15"/>
      <c r="Y122" s="183"/>
      <c r="Z122" s="15"/>
      <c r="AA122" s="183"/>
      <c r="AB122" s="183"/>
      <c r="AC122" s="15"/>
      <c r="AD122" s="183"/>
      <c r="AE122" s="183"/>
      <c r="AF122" s="183"/>
      <c r="AG122" s="15"/>
      <c r="AH122" s="15"/>
      <c r="AI122" s="15"/>
      <c r="AJ122" s="15"/>
      <c r="AK122" s="183"/>
      <c r="AL122" s="233"/>
    </row>
    <row r="123" spans="2:98" x14ac:dyDescent="0.3">
      <c r="B123" s="232"/>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233"/>
      <c r="AN123" s="225" t="s">
        <v>340</v>
      </c>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226"/>
    </row>
    <row r="124" spans="2:98" x14ac:dyDescent="0.3">
      <c r="B124" s="285" t="s">
        <v>29</v>
      </c>
      <c r="C124" s="286"/>
      <c r="D124" s="287"/>
      <c r="E124" s="287"/>
      <c r="F124" s="287"/>
      <c r="G124" s="287"/>
      <c r="H124" s="287"/>
      <c r="I124" s="287"/>
      <c r="J124" s="287"/>
      <c r="K124" s="287"/>
      <c r="L124" s="287"/>
      <c r="M124" s="287"/>
      <c r="N124" s="287"/>
      <c r="O124" s="287"/>
      <c r="P124" s="287"/>
      <c r="Q124" s="286" t="str">
        <f>B124</f>
        <v>PUD</v>
      </c>
      <c r="R124" s="287"/>
      <c r="S124" s="287"/>
      <c r="T124" s="287"/>
      <c r="U124" s="287"/>
      <c r="V124" s="287"/>
      <c r="W124" s="287"/>
      <c r="X124" s="287"/>
      <c r="Y124" s="287"/>
      <c r="Z124" s="287"/>
      <c r="AA124" s="287"/>
      <c r="AB124" s="287"/>
      <c r="AC124" s="287"/>
      <c r="AD124" s="286" t="str">
        <f>Q124</f>
        <v>PUD</v>
      </c>
      <c r="AE124" s="287"/>
      <c r="AF124" s="287"/>
      <c r="AG124" s="287"/>
      <c r="AH124" s="287"/>
      <c r="AI124" s="287"/>
      <c r="AJ124" s="287"/>
      <c r="AK124" s="287"/>
      <c r="AL124" s="288"/>
      <c r="AN124" s="259" t="str">
        <f>B124&amp;" - Total Production (Net) (Mmcfe)"</f>
        <v>PUD - Total Production (Net) (Mmcfe)</v>
      </c>
      <c r="AO124" s="228"/>
      <c r="AP124" s="54"/>
      <c r="AQ124" s="54"/>
      <c r="AR124" s="54"/>
      <c r="AS124" s="54"/>
      <c r="AT124" s="54"/>
      <c r="AU124" s="54"/>
      <c r="AV124" s="228"/>
      <c r="AW124" s="54"/>
      <c r="AX124" s="54"/>
      <c r="AY124" s="54"/>
      <c r="AZ124" s="54"/>
      <c r="BA124" s="54"/>
      <c r="BB124" s="54"/>
      <c r="BC124" s="228"/>
      <c r="BD124" s="54"/>
      <c r="BE124" s="54"/>
      <c r="BF124" s="54"/>
      <c r="BG124" s="54"/>
      <c r="BH124" s="228"/>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229"/>
    </row>
    <row r="125" spans="2:98" x14ac:dyDescent="0.3">
      <c r="B125" s="232"/>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233"/>
      <c r="AN125" s="232"/>
      <c r="AO125" t="s">
        <v>341</v>
      </c>
      <c r="AR125" s="336">
        <f ca="1">$M$8*365</f>
        <v>2336</v>
      </c>
      <c r="AS125" s="359" t="s">
        <v>353</v>
      </c>
      <c r="AT125" s="360">
        <f>Assumptions!$Q$29</f>
        <v>0</v>
      </c>
      <c r="AV125" s="15"/>
      <c r="AW125" s="15"/>
      <c r="AX125" s="15"/>
      <c r="AY125" s="15"/>
      <c r="AZ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231"/>
    </row>
    <row r="126" spans="2:98" x14ac:dyDescent="0.3">
      <c r="B126" s="232"/>
      <c r="C126" s="37" t="s">
        <v>277</v>
      </c>
      <c r="D126" s="23"/>
      <c r="E126" s="23"/>
      <c r="F126" s="23"/>
      <c r="G126" s="23"/>
      <c r="H126" s="261"/>
      <c r="I126" s="37" t="s">
        <v>15</v>
      </c>
      <c r="J126" s="23"/>
      <c r="K126" s="23"/>
      <c r="L126" s="15"/>
      <c r="M126" s="37" t="s">
        <v>278</v>
      </c>
      <c r="N126" s="23"/>
      <c r="O126" s="23"/>
      <c r="P126" s="15"/>
      <c r="Q126" s="37" t="s">
        <v>279</v>
      </c>
      <c r="R126" s="23"/>
      <c r="S126" s="23"/>
      <c r="T126" s="23"/>
      <c r="U126" s="15"/>
      <c r="V126" s="37" t="s">
        <v>280</v>
      </c>
      <c r="W126" s="23"/>
      <c r="X126" s="23"/>
      <c r="Y126" s="23"/>
      <c r="Z126" s="23"/>
      <c r="AA126" s="23"/>
      <c r="AB126" s="4"/>
      <c r="AC126" s="15"/>
      <c r="AD126" s="37" t="s">
        <v>281</v>
      </c>
      <c r="AE126" s="23"/>
      <c r="AF126" s="23"/>
      <c r="AG126" s="15"/>
      <c r="AH126" s="37" t="s">
        <v>282</v>
      </c>
      <c r="AI126" s="23"/>
      <c r="AJ126" s="23"/>
      <c r="AK126" s="23"/>
      <c r="AL126" s="233"/>
      <c r="AN126" s="232"/>
      <c r="AO126" s="15" t="s">
        <v>342</v>
      </c>
      <c r="AP126" s="15"/>
      <c r="AQ126" s="245"/>
      <c r="AR126" s="294">
        <v>0.6</v>
      </c>
      <c r="AS126" s="361" t="s">
        <v>355</v>
      </c>
      <c r="AT126" s="12">
        <f>Data!$K$60*Units</f>
        <v>7694.2121125604954</v>
      </c>
      <c r="AV126" s="337"/>
      <c r="AW126" s="15"/>
      <c r="AX126" s="15"/>
      <c r="AY126" s="15"/>
      <c r="BA126" s="338" t="s">
        <v>343</v>
      </c>
      <c r="BB126" s="339">
        <f t="array" aca="1" ref="BB126:CR126" ca="1">TRANSPOSE(AS29:AS71)*$AR$9</f>
        <v>12.21556886227545</v>
      </c>
      <c r="BC126" s="339">
        <f ca="1"/>
        <v>20.359281437125748</v>
      </c>
      <c r="BD126" s="339">
        <f ca="1"/>
        <v>30.538922155688624</v>
      </c>
      <c r="BE126" s="339">
        <f ca="1"/>
        <v>38.17365269461078</v>
      </c>
      <c r="BF126" s="339">
        <f ca="1"/>
        <v>33.21743721757548</v>
      </c>
      <c r="BG126" s="339">
        <f ca="1"/>
        <v>0</v>
      </c>
      <c r="BH126" s="339">
        <f ca="1"/>
        <v>0</v>
      </c>
      <c r="BI126" s="339">
        <f ca="1"/>
        <v>0</v>
      </c>
      <c r="BJ126" s="339">
        <f ca="1"/>
        <v>0</v>
      </c>
      <c r="BK126" s="339">
        <f ca="1"/>
        <v>0</v>
      </c>
      <c r="BL126" s="339">
        <f ca="1"/>
        <v>0</v>
      </c>
      <c r="BM126" s="339">
        <f ca="1"/>
        <v>0</v>
      </c>
      <c r="BN126" s="339">
        <f ca="1"/>
        <v>0</v>
      </c>
      <c r="BO126" s="339">
        <f ca="1"/>
        <v>0</v>
      </c>
      <c r="BP126" s="339">
        <f ca="1"/>
        <v>0</v>
      </c>
      <c r="BQ126" s="339">
        <f ca="1"/>
        <v>0</v>
      </c>
      <c r="BR126" s="339">
        <f ca="1"/>
        <v>0</v>
      </c>
      <c r="BS126" s="339">
        <f ca="1"/>
        <v>0</v>
      </c>
      <c r="BT126" s="339">
        <f ca="1"/>
        <v>0</v>
      </c>
      <c r="BU126" s="339">
        <f ca="1"/>
        <v>0</v>
      </c>
      <c r="BV126" s="339">
        <f ca="1"/>
        <v>0</v>
      </c>
      <c r="BW126" s="339">
        <f ca="1"/>
        <v>0</v>
      </c>
      <c r="BX126" s="339">
        <f ca="1"/>
        <v>0</v>
      </c>
      <c r="BY126" s="339">
        <f ca="1"/>
        <v>0</v>
      </c>
      <c r="BZ126" s="339">
        <f ca="1"/>
        <v>0</v>
      </c>
      <c r="CA126" s="339">
        <f ca="1"/>
        <v>0</v>
      </c>
      <c r="CB126" s="339">
        <f ca="1"/>
        <v>0</v>
      </c>
      <c r="CC126" s="339">
        <f ca="1"/>
        <v>0</v>
      </c>
      <c r="CD126" s="339">
        <f ca="1"/>
        <v>0</v>
      </c>
      <c r="CE126" s="339">
        <f ca="1"/>
        <v>0</v>
      </c>
      <c r="CF126" s="339">
        <f ca="1"/>
        <v>0</v>
      </c>
      <c r="CG126" s="339">
        <f ca="1"/>
        <v>0</v>
      </c>
      <c r="CH126" s="339">
        <f ca="1"/>
        <v>0</v>
      </c>
      <c r="CI126" s="339">
        <f ca="1"/>
        <v>0</v>
      </c>
      <c r="CJ126" s="339">
        <f ca="1"/>
        <v>0</v>
      </c>
      <c r="CK126" s="339">
        <f ca="1"/>
        <v>0</v>
      </c>
      <c r="CL126" s="339">
        <f ca="1"/>
        <v>0</v>
      </c>
      <c r="CM126" s="339">
        <f ca="1"/>
        <v>0</v>
      </c>
      <c r="CN126" s="339">
        <f ca="1"/>
        <v>0</v>
      </c>
      <c r="CO126" s="339">
        <f ca="1"/>
        <v>0</v>
      </c>
      <c r="CP126" s="339">
        <f ca="1"/>
        <v>0</v>
      </c>
      <c r="CQ126" s="339">
        <f ca="1"/>
        <v>134.50486236727608</v>
      </c>
      <c r="CR126" s="340">
        <f ca="1"/>
        <v>0</v>
      </c>
      <c r="CS126" s="340">
        <f ca="1">CQ126+CR126</f>
        <v>134.50486236727608</v>
      </c>
      <c r="CT126" s="233"/>
    </row>
    <row r="127" spans="2:98" x14ac:dyDescent="0.3">
      <c r="B127" s="232"/>
      <c r="C127" s="250"/>
      <c r="D127" s="250" t="s">
        <v>10</v>
      </c>
      <c r="E127" s="250" t="s">
        <v>11</v>
      </c>
      <c r="F127" s="250" t="s">
        <v>245</v>
      </c>
      <c r="G127" s="250" t="s">
        <v>12</v>
      </c>
      <c r="H127" s="261"/>
      <c r="I127" s="262" t="s">
        <v>10</v>
      </c>
      <c r="J127" s="262" t="s">
        <v>11</v>
      </c>
      <c r="K127" s="262" t="s">
        <v>245</v>
      </c>
      <c r="L127" s="15"/>
      <c r="M127" s="262" t="s">
        <v>10</v>
      </c>
      <c r="N127" s="262" t="s">
        <v>11</v>
      </c>
      <c r="O127" s="262" t="s">
        <v>245</v>
      </c>
      <c r="P127" s="15"/>
      <c r="Q127" s="262" t="s">
        <v>10</v>
      </c>
      <c r="R127" s="262" t="s">
        <v>11</v>
      </c>
      <c r="S127" s="262" t="s">
        <v>245</v>
      </c>
      <c r="T127" s="262" t="s">
        <v>12</v>
      </c>
      <c r="U127" s="15"/>
      <c r="V127" s="262" t="s">
        <v>283</v>
      </c>
      <c r="W127" s="262" t="s">
        <v>283</v>
      </c>
      <c r="X127" s="262" t="s">
        <v>284</v>
      </c>
      <c r="Y127" s="262" t="s">
        <v>284</v>
      </c>
      <c r="Z127" s="262" t="s">
        <v>285</v>
      </c>
      <c r="AA127" s="262" t="s">
        <v>285</v>
      </c>
      <c r="AB127" s="262" t="s">
        <v>12</v>
      </c>
      <c r="AC127" s="15"/>
      <c r="AD127" s="262" t="s">
        <v>286</v>
      </c>
      <c r="AE127" s="262" t="s">
        <v>287</v>
      </c>
      <c r="AF127" s="262" t="s">
        <v>281</v>
      </c>
      <c r="AG127" s="15"/>
      <c r="AH127" s="262"/>
      <c r="AI127" s="262" t="s">
        <v>288</v>
      </c>
      <c r="AJ127" s="262" t="s">
        <v>288</v>
      </c>
      <c r="AK127" s="262" t="s">
        <v>289</v>
      </c>
      <c r="AL127" s="233"/>
      <c r="AN127" s="341"/>
      <c r="AO127" s="18"/>
      <c r="AP127" s="37" t="s">
        <v>344</v>
      </c>
      <c r="AQ127" s="331"/>
      <c r="AR127" s="331"/>
      <c r="AS127" s="11" t="s">
        <v>12</v>
      </c>
      <c r="AT127" s="236" t="s">
        <v>345</v>
      </c>
      <c r="AU127" s="38" t="s">
        <v>354</v>
      </c>
      <c r="AW127" s="37" t="s">
        <v>346</v>
      </c>
      <c r="AX127" s="331"/>
      <c r="AY127" s="331"/>
      <c r="AZ127" s="11" t="s">
        <v>12</v>
      </c>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233"/>
    </row>
    <row r="128" spans="2:98" x14ac:dyDescent="0.3">
      <c r="B128" s="232"/>
      <c r="C128" s="13" t="s">
        <v>9</v>
      </c>
      <c r="D128" s="13" t="s">
        <v>307</v>
      </c>
      <c r="E128" s="13" t="s">
        <v>308</v>
      </c>
      <c r="F128" s="13" t="s">
        <v>308</v>
      </c>
      <c r="G128" s="13" t="s">
        <v>248</v>
      </c>
      <c r="H128" s="4"/>
      <c r="I128" s="13" t="s">
        <v>24</v>
      </c>
      <c r="J128" s="13" t="s">
        <v>25</v>
      </c>
      <c r="K128" s="13" t="s">
        <v>25</v>
      </c>
      <c r="L128" s="4"/>
      <c r="M128" s="13" t="s">
        <v>24</v>
      </c>
      <c r="N128" s="13" t="s">
        <v>25</v>
      </c>
      <c r="O128" s="13" t="s">
        <v>25</v>
      </c>
      <c r="P128" s="4"/>
      <c r="Q128" s="13" t="s">
        <v>293</v>
      </c>
      <c r="R128" s="13" t="s">
        <v>293</v>
      </c>
      <c r="S128" s="13" t="s">
        <v>293</v>
      </c>
      <c r="T128" s="13" t="s">
        <v>293</v>
      </c>
      <c r="U128" s="4"/>
      <c r="V128" s="13" t="s">
        <v>294</v>
      </c>
      <c r="W128" s="13" t="s">
        <v>293</v>
      </c>
      <c r="X128" s="13" t="s">
        <v>294</v>
      </c>
      <c r="Y128" s="13" t="s">
        <v>293</v>
      </c>
      <c r="Z128" s="13" t="s">
        <v>294</v>
      </c>
      <c r="AA128" s="13" t="s">
        <v>293</v>
      </c>
      <c r="AB128" s="13" t="s">
        <v>293</v>
      </c>
      <c r="AC128" s="4"/>
      <c r="AD128" s="13" t="s">
        <v>293</v>
      </c>
      <c r="AE128" s="13" t="s">
        <v>293</v>
      </c>
      <c r="AF128" s="13" t="s">
        <v>293</v>
      </c>
      <c r="AG128" s="4"/>
      <c r="AH128" s="13" t="s">
        <v>295</v>
      </c>
      <c r="AI128" s="13" t="s">
        <v>296</v>
      </c>
      <c r="AJ128" s="13" t="s">
        <v>297</v>
      </c>
      <c r="AK128" s="13" t="s">
        <v>293</v>
      </c>
      <c r="AL128" s="233"/>
      <c r="AN128" s="342"/>
      <c r="AO128" s="24" t="s">
        <v>296</v>
      </c>
      <c r="AP128" s="24" t="s">
        <v>347</v>
      </c>
      <c r="AQ128" s="24" t="s">
        <v>351</v>
      </c>
      <c r="AR128" s="24" t="s">
        <v>352</v>
      </c>
      <c r="AS128" s="343" t="s">
        <v>169</v>
      </c>
      <c r="AT128" s="344" t="s">
        <v>348</v>
      </c>
      <c r="AU128" s="11" t="s">
        <v>26</v>
      </c>
      <c r="AW128" s="24" t="s">
        <v>347</v>
      </c>
      <c r="AX128" s="24" t="s">
        <v>351</v>
      </c>
      <c r="AY128" s="24" t="s">
        <v>352</v>
      </c>
      <c r="AZ128" s="343" t="s">
        <v>169</v>
      </c>
      <c r="BB128" s="40">
        <v>0</v>
      </c>
      <c r="BC128" s="13">
        <f>BB128+1</f>
        <v>1</v>
      </c>
      <c r="BD128" s="13">
        <f t="shared" ref="BD128:CP128" si="22">BC128+1</f>
        <v>2</v>
      </c>
      <c r="BE128" s="13">
        <f t="shared" si="22"/>
        <v>3</v>
      </c>
      <c r="BF128" s="13">
        <f t="shared" si="22"/>
        <v>4</v>
      </c>
      <c r="BG128" s="13">
        <f t="shared" si="22"/>
        <v>5</v>
      </c>
      <c r="BH128" s="13">
        <f t="shared" si="22"/>
        <v>6</v>
      </c>
      <c r="BI128" s="13">
        <f t="shared" si="22"/>
        <v>7</v>
      </c>
      <c r="BJ128" s="13">
        <f t="shared" si="22"/>
        <v>8</v>
      </c>
      <c r="BK128" s="13">
        <f t="shared" si="22"/>
        <v>9</v>
      </c>
      <c r="BL128" s="13">
        <f t="shared" si="22"/>
        <v>10</v>
      </c>
      <c r="BM128" s="13">
        <f t="shared" si="22"/>
        <v>11</v>
      </c>
      <c r="BN128" s="13">
        <f t="shared" si="22"/>
        <v>12</v>
      </c>
      <c r="BO128" s="13">
        <f t="shared" si="22"/>
        <v>13</v>
      </c>
      <c r="BP128" s="13">
        <f t="shared" si="22"/>
        <v>14</v>
      </c>
      <c r="BQ128" s="13">
        <f t="shared" si="22"/>
        <v>15</v>
      </c>
      <c r="BR128" s="13">
        <f t="shared" si="22"/>
        <v>16</v>
      </c>
      <c r="BS128" s="13">
        <f t="shared" si="22"/>
        <v>17</v>
      </c>
      <c r="BT128" s="13">
        <f t="shared" si="22"/>
        <v>18</v>
      </c>
      <c r="BU128" s="13">
        <f t="shared" si="22"/>
        <v>19</v>
      </c>
      <c r="BV128" s="13">
        <f t="shared" si="22"/>
        <v>20</v>
      </c>
      <c r="BW128" s="13">
        <f t="shared" si="22"/>
        <v>21</v>
      </c>
      <c r="BX128" s="13">
        <f t="shared" si="22"/>
        <v>22</v>
      </c>
      <c r="BY128" s="13">
        <f t="shared" si="22"/>
        <v>23</v>
      </c>
      <c r="BZ128" s="13">
        <f t="shared" si="22"/>
        <v>24</v>
      </c>
      <c r="CA128" s="13">
        <f t="shared" si="22"/>
        <v>25</v>
      </c>
      <c r="CB128" s="13">
        <f t="shared" si="22"/>
        <v>26</v>
      </c>
      <c r="CC128" s="13">
        <f t="shared" si="22"/>
        <v>27</v>
      </c>
      <c r="CD128" s="13">
        <f t="shared" si="22"/>
        <v>28</v>
      </c>
      <c r="CE128" s="13">
        <f t="shared" si="22"/>
        <v>29</v>
      </c>
      <c r="CF128" s="13">
        <f t="shared" si="22"/>
        <v>30</v>
      </c>
      <c r="CG128" s="13">
        <f t="shared" si="22"/>
        <v>31</v>
      </c>
      <c r="CH128" s="13">
        <f t="shared" si="22"/>
        <v>32</v>
      </c>
      <c r="CI128" s="13">
        <f t="shared" si="22"/>
        <v>33</v>
      </c>
      <c r="CJ128" s="13">
        <f t="shared" si="22"/>
        <v>34</v>
      </c>
      <c r="CK128" s="13">
        <f t="shared" si="22"/>
        <v>35</v>
      </c>
      <c r="CL128" s="13">
        <f t="shared" si="22"/>
        <v>36</v>
      </c>
      <c r="CM128" s="13">
        <f t="shared" si="22"/>
        <v>37</v>
      </c>
      <c r="CN128" s="13">
        <f t="shared" si="22"/>
        <v>38</v>
      </c>
      <c r="CO128" s="13">
        <f t="shared" si="22"/>
        <v>39</v>
      </c>
      <c r="CP128" s="13">
        <f t="shared" si="22"/>
        <v>40</v>
      </c>
      <c r="CQ128" s="11" t="s">
        <v>349</v>
      </c>
      <c r="CR128" s="11" t="s">
        <v>350</v>
      </c>
      <c r="CS128" s="11" t="s">
        <v>12</v>
      </c>
      <c r="CT128" s="233"/>
    </row>
    <row r="129" spans="2:98" x14ac:dyDescent="0.3">
      <c r="B129" s="232"/>
      <c r="C129" s="250">
        <f>YEAR(FY_Date)</f>
        <v>2013</v>
      </c>
      <c r="D129" s="263">
        <f ca="1">$G129*$M$12</f>
        <v>16467.789363513053</v>
      </c>
      <c r="E129" s="263">
        <f t="shared" ref="E129:E169" ca="1" si="23">$G129*$M$14/Bbl_to_Mcfe</f>
        <v>108.92532564203583</v>
      </c>
      <c r="F129" s="263">
        <f t="shared" ref="F129:F169" ca="1" si="24">$G129*$M$13/Bbl_to_Mcfe</f>
        <v>0</v>
      </c>
      <c r="G129" s="263">
        <f ca="1">CS129*$AQ$9</f>
        <v>17121.34131736527</v>
      </c>
      <c r="H129" s="15"/>
      <c r="I129" s="264">
        <f ca="1">Assumptions!O$63</f>
        <v>3.7</v>
      </c>
      <c r="J129" s="264">
        <f ca="1">Assumptions!P$63</f>
        <v>101</v>
      </c>
      <c r="K129" s="264">
        <f t="shared" ref="K129:K169" ca="1" si="25">J129*$R$7</f>
        <v>50.5</v>
      </c>
      <c r="L129" s="15"/>
      <c r="M129" s="51">
        <f ca="1">I129*$R$5</f>
        <v>3.4779999999999998</v>
      </c>
      <c r="N129" s="51">
        <f t="shared" ref="N129:N169" ca="1" si="26">J129*$R$6</f>
        <v>93.93</v>
      </c>
      <c r="O129" s="51">
        <f t="shared" ref="O129:O169" ca="1" si="27">N129*$R$7</f>
        <v>46.965000000000003</v>
      </c>
      <c r="P129" s="15"/>
      <c r="Q129" s="265">
        <f ca="1">D129*M129</f>
        <v>57274.971406298391</v>
      </c>
      <c r="R129" s="265">
        <f ca="1">E129*N129</f>
        <v>10231.355837556426</v>
      </c>
      <c r="S129" s="265">
        <f ca="1">F129*O129</f>
        <v>0</v>
      </c>
      <c r="T129" s="265">
        <f ca="1">SUM(Q129:S129)</f>
        <v>67506.327243854816</v>
      </c>
      <c r="U129" s="15"/>
      <c r="V129" s="51">
        <f>$M$18</f>
        <v>0.31</v>
      </c>
      <c r="W129" s="265">
        <f ca="1">V129*$G129/(1-$M$6)</f>
        <v>5307.6158083832333</v>
      </c>
      <c r="X129" s="51">
        <f>$M$17</f>
        <v>0.37</v>
      </c>
      <c r="Y129" s="265">
        <f ca="1">X129*$G129/(1-$M$6)</f>
        <v>6334.8962874251501</v>
      </c>
      <c r="Z129" s="51">
        <f>$M$19</f>
        <v>0.57999999999999996</v>
      </c>
      <c r="AA129" s="265">
        <f ca="1">Z129*$G129/(1-$M$6)</f>
        <v>9930.3779640718567</v>
      </c>
      <c r="AB129" s="265">
        <f ca="1">W129+Y129+AA129</f>
        <v>21572.890059880239</v>
      </c>
      <c r="AC129" s="15"/>
      <c r="AD129" s="265">
        <f ca="1">T129-AB129</f>
        <v>45933.437183974573</v>
      </c>
      <c r="AE129" s="265">
        <f t="array" aca="1" ref="AE129:AE169" ca="1">TRANSPOSE(BB126:CP126)*$M$9*$AQ$9*Units</f>
        <v>85508.982035928158</v>
      </c>
      <c r="AF129" s="265">
        <f ca="1">AD129-AE129</f>
        <v>-39575.544851953586</v>
      </c>
      <c r="AG129" s="15"/>
      <c r="AH129" s="272">
        <f>FY_Date</f>
        <v>41639</v>
      </c>
      <c r="AI129" s="267">
        <f t="shared" ref="AI129:AI169" si="28">DAYS360(Valuation_Date,AH129)/360-MIN(0.5,0.5*DAYS360(Valuation_Date,AH129)/360)</f>
        <v>8.3333333333333329E-2</v>
      </c>
      <c r="AJ129" s="267">
        <f t="shared" ref="AJ129:AJ169" si="29">1/((1+Discount_Rate)^AI129)</f>
        <v>0.99208894344699095</v>
      </c>
      <c r="AK129" s="265">
        <f ca="1">AJ129*AF129*Stub_Per_Adj</f>
        <v>-9815.6151196284081</v>
      </c>
      <c r="AL129" s="233"/>
      <c r="AN129" s="345"/>
      <c r="AO129" s="268">
        <v>0</v>
      </c>
      <c r="AP129" s="34">
        <f ca="1">AS129*$M$12</f>
        <v>1348.0984429934706</v>
      </c>
      <c r="AQ129" s="34">
        <f t="shared" ref="AQ129:AQ169" ca="1" si="30">AS129*$M$14/Bbl_to_Mcfe</f>
        <v>8.9169261677548928</v>
      </c>
      <c r="AR129" s="34">
        <f t="shared" ref="AR129:AR169" ca="1" si="31">AS129*$M$13/Bbl_to_Mcfe</f>
        <v>0</v>
      </c>
      <c r="AS129" s="34">
        <f ca="1">AU129*(1+$AT$125)</f>
        <v>1401.6</v>
      </c>
      <c r="AU129" s="34">
        <f ca="1">MIN(AR125*AR126,$AT$126)</f>
        <v>1401.6</v>
      </c>
      <c r="AV129" s="19"/>
      <c r="AW129" s="34">
        <f ca="1">AP129*(1-$M$6)</f>
        <v>1348.0984429934706</v>
      </c>
      <c r="AX129" s="34">
        <f t="shared" ref="AX129:AX169" ca="1" si="32">AQ129*(1-$M$6)</f>
        <v>8.9169261677548928</v>
      </c>
      <c r="AY129" s="34">
        <f t="shared" ref="AY129:AY169" ca="1" si="33">AR129*(1-$M$6)</f>
        <v>0</v>
      </c>
      <c r="AZ129" s="34">
        <f t="shared" ref="AZ129:AZ169" ca="1" si="34">AS129*(1-$M$6)</f>
        <v>1401.6</v>
      </c>
      <c r="BA129" s="365"/>
      <c r="BB129" s="34">
        <f ca="1">IF($AO129&lt;BB$128,0,OFFSET($AZ$128,$AO129-BB$128+1,0)*BB$126)</f>
        <v>17121.34131736527</v>
      </c>
      <c r="BC129" s="34">
        <f t="shared" ref="BC129:BR144" ca="1" si="35">IF($AO129&lt;BC$128,0,OFFSET($AZ$128,$AO129-BC$128+1,0)*BC$126)</f>
        <v>0</v>
      </c>
      <c r="BD129" s="34">
        <f t="shared" ca="1" si="35"/>
        <v>0</v>
      </c>
      <c r="BE129" s="34">
        <f t="shared" ca="1" si="35"/>
        <v>0</v>
      </c>
      <c r="BF129" s="34">
        <f t="shared" ca="1" si="35"/>
        <v>0</v>
      </c>
      <c r="BG129" s="34">
        <f t="shared" ca="1" si="35"/>
        <v>0</v>
      </c>
      <c r="BH129" s="34">
        <f t="shared" ca="1" si="35"/>
        <v>0</v>
      </c>
      <c r="BI129" s="34">
        <f t="shared" ca="1" si="35"/>
        <v>0</v>
      </c>
      <c r="BJ129" s="34">
        <f t="shared" ca="1" si="35"/>
        <v>0</v>
      </c>
      <c r="BK129" s="34">
        <f t="shared" ca="1" si="35"/>
        <v>0</v>
      </c>
      <c r="BL129" s="34">
        <f t="shared" ca="1" si="35"/>
        <v>0</v>
      </c>
      <c r="BM129" s="34">
        <f t="shared" ca="1" si="35"/>
        <v>0</v>
      </c>
      <c r="BN129" s="34">
        <f t="shared" ca="1" si="35"/>
        <v>0</v>
      </c>
      <c r="BO129" s="34">
        <f t="shared" ca="1" si="35"/>
        <v>0</v>
      </c>
      <c r="BP129" s="34">
        <f t="shared" ca="1" si="35"/>
        <v>0</v>
      </c>
      <c r="BQ129" s="34">
        <f t="shared" ca="1" si="35"/>
        <v>0</v>
      </c>
      <c r="BR129" s="34">
        <f t="shared" ca="1" si="35"/>
        <v>0</v>
      </c>
      <c r="BS129" s="34">
        <f t="shared" ref="BS129:CH144" ca="1" si="36">IF($AO129&lt;BS$128,0,OFFSET($AZ$128,$AO129-BS$128+1,0)*BS$126)</f>
        <v>0</v>
      </c>
      <c r="BT129" s="34">
        <f t="shared" ca="1" si="36"/>
        <v>0</v>
      </c>
      <c r="BU129" s="34">
        <f t="shared" ca="1" si="36"/>
        <v>0</v>
      </c>
      <c r="BV129" s="34">
        <f t="shared" ca="1" si="36"/>
        <v>0</v>
      </c>
      <c r="BW129" s="34">
        <f t="shared" ca="1" si="36"/>
        <v>0</v>
      </c>
      <c r="BX129" s="34">
        <f t="shared" ca="1" si="36"/>
        <v>0</v>
      </c>
      <c r="BY129" s="34">
        <f t="shared" ca="1" si="36"/>
        <v>0</v>
      </c>
      <c r="BZ129" s="34">
        <f t="shared" ca="1" si="36"/>
        <v>0</v>
      </c>
      <c r="CA129" s="34">
        <f t="shared" ca="1" si="36"/>
        <v>0</v>
      </c>
      <c r="CB129" s="34">
        <f t="shared" ca="1" si="36"/>
        <v>0</v>
      </c>
      <c r="CC129" s="34">
        <f t="shared" ca="1" si="36"/>
        <v>0</v>
      </c>
      <c r="CD129" s="34">
        <f t="shared" ca="1" si="36"/>
        <v>0</v>
      </c>
      <c r="CE129" s="34">
        <f t="shared" ca="1" si="36"/>
        <v>0</v>
      </c>
      <c r="CF129" s="34">
        <f t="shared" ca="1" si="36"/>
        <v>0</v>
      </c>
      <c r="CG129" s="34">
        <f t="shared" ca="1" si="36"/>
        <v>0</v>
      </c>
      <c r="CH129" s="34">
        <f t="shared" ca="1" si="36"/>
        <v>0</v>
      </c>
      <c r="CI129" s="34">
        <f t="shared" ref="CI129:CP144" ca="1" si="37">IF($AO129&lt;CI$128,0,OFFSET($AZ$128,$AO129-CI$128+1,0)*CI$126)</f>
        <v>0</v>
      </c>
      <c r="CJ129" s="34">
        <f t="shared" ca="1" si="37"/>
        <v>0</v>
      </c>
      <c r="CK129" s="34">
        <f t="shared" ca="1" si="37"/>
        <v>0</v>
      </c>
      <c r="CL129" s="34">
        <f t="shared" ca="1" si="37"/>
        <v>0</v>
      </c>
      <c r="CM129" s="34">
        <f t="shared" ca="1" si="37"/>
        <v>0</v>
      </c>
      <c r="CN129" s="34">
        <f t="shared" ca="1" si="37"/>
        <v>0</v>
      </c>
      <c r="CO129" s="34">
        <f t="shared" ca="1" si="37"/>
        <v>0</v>
      </c>
      <c r="CP129" s="34">
        <f t="shared" ca="1" si="37"/>
        <v>0</v>
      </c>
      <c r="CQ129" s="34">
        <f ca="1">SUM(BB129:CP129)</f>
        <v>17121.34131736527</v>
      </c>
      <c r="CR129" s="363">
        <v>0</v>
      </c>
      <c r="CS129" s="34">
        <f ca="1">CQ129+CR129</f>
        <v>17121.34131736527</v>
      </c>
      <c r="CT129" s="233"/>
    </row>
    <row r="130" spans="2:98" x14ac:dyDescent="0.3">
      <c r="B130" s="232"/>
      <c r="C130" s="270">
        <f>C129+1</f>
        <v>2014</v>
      </c>
      <c r="D130" s="263">
        <f t="shared" ref="D130:D172" ca="1" si="38">$G130*$M$12</f>
        <v>35070.128419892528</v>
      </c>
      <c r="E130" s="263">
        <f t="shared" ca="1" si="23"/>
        <v>231.96951783392785</v>
      </c>
      <c r="F130" s="263">
        <f t="shared" ca="1" si="24"/>
        <v>0</v>
      </c>
      <c r="G130" s="263">
        <f t="shared" ref="G130:G169" ca="1" si="39">CS130*$AQ$9</f>
        <v>36461.945526896096</v>
      </c>
      <c r="H130" s="15"/>
      <c r="I130" s="271">
        <f ca="1">Assumptions!O$64</f>
        <v>3.8</v>
      </c>
      <c r="J130" s="271">
        <f ca="1">Assumptions!P$64</f>
        <v>92</v>
      </c>
      <c r="K130" s="271">
        <f t="shared" ca="1" si="25"/>
        <v>46</v>
      </c>
      <c r="L130" s="15"/>
      <c r="M130" s="35">
        <f t="shared" ref="M130:M169" ca="1" si="40">I130*$R$5</f>
        <v>3.5719999999999996</v>
      </c>
      <c r="N130" s="35">
        <f t="shared" ca="1" si="26"/>
        <v>85.56</v>
      </c>
      <c r="O130" s="35">
        <f t="shared" ca="1" si="27"/>
        <v>42.78</v>
      </c>
      <c r="P130" s="15"/>
      <c r="Q130" s="34">
        <f t="shared" ref="Q130:S169" ca="1" si="41">D130*M130</f>
        <v>125270.4987158561</v>
      </c>
      <c r="R130" s="34">
        <f t="shared" ca="1" si="41"/>
        <v>19847.311945870868</v>
      </c>
      <c r="S130" s="34">
        <f t="shared" ca="1" si="41"/>
        <v>0</v>
      </c>
      <c r="T130" s="34">
        <f t="shared" ref="T130:T170" ca="1" si="42">SUM(Q130:S130)</f>
        <v>145117.81066172698</v>
      </c>
      <c r="U130" s="15"/>
      <c r="V130" s="35">
        <f t="shared" ref="V130:V169" si="43">$M$18</f>
        <v>0.31</v>
      </c>
      <c r="W130" s="34">
        <f t="shared" ref="W130:W169" ca="1" si="44">V130*$G130/(1-$M$6)</f>
        <v>11303.20311333779</v>
      </c>
      <c r="X130" s="35">
        <f t="shared" ref="X130:X169" si="45">$M$17</f>
        <v>0.37</v>
      </c>
      <c r="Y130" s="34">
        <f t="shared" ref="Y130:Y169" ca="1" si="46">X130*$G130/(1-$M$6)</f>
        <v>13490.919844951555</v>
      </c>
      <c r="Z130" s="35">
        <f t="shared" ref="Z130:Z169" si="47">$M$19</f>
        <v>0.57999999999999996</v>
      </c>
      <c r="AA130" s="34">
        <f t="shared" ref="AA130:AA169" ca="1" si="48">Z130*$G130/(1-$M$6)</f>
        <v>21147.928405599734</v>
      </c>
      <c r="AB130" s="34">
        <f t="shared" ref="AB130:AB169" ca="1" si="49">W130+Y130+AA130</f>
        <v>45942.051363889077</v>
      </c>
      <c r="AC130" s="15"/>
      <c r="AD130" s="34">
        <f t="shared" ref="AD130:AD169" ca="1" si="50">T130-AB130</f>
        <v>99175.759297837911</v>
      </c>
      <c r="AE130" s="34">
        <f ca="1"/>
        <v>142514.97005988023</v>
      </c>
      <c r="AF130" s="34">
        <f t="shared" ref="AF130:AF169" ca="1" si="51">AD130-AE130</f>
        <v>-43339.210762042319</v>
      </c>
      <c r="AG130" s="15"/>
      <c r="AH130" s="272">
        <f>EOMONTH(AH129,12)</f>
        <v>42004</v>
      </c>
      <c r="AI130" s="267">
        <f t="shared" si="28"/>
        <v>0.66666666666666674</v>
      </c>
      <c r="AJ130" s="267">
        <f t="shared" si="29"/>
        <v>0.93843646859669738</v>
      </c>
      <c r="AK130" s="34">
        <f ca="1">AJ130*AF130</f>
        <v>-40671.095899298976</v>
      </c>
      <c r="AL130" s="233"/>
      <c r="AN130" s="346"/>
      <c r="AO130" s="237">
        <f t="shared" ref="AO130:AO169" si="52">AO129+1</f>
        <v>1</v>
      </c>
      <c r="AP130" s="34">
        <f t="shared" ref="AP130:AP169" ca="1" si="53">AS130*$M$12</f>
        <v>624.10624507071179</v>
      </c>
      <c r="AQ130" s="34">
        <f t="shared" ca="1" si="30"/>
        <v>4.1281178960290754</v>
      </c>
      <c r="AR130" s="34">
        <f t="shared" ca="1" si="31"/>
        <v>0</v>
      </c>
      <c r="AS130" s="34">
        <f t="shared" ref="AS130:AS169" ca="1" si="54">AU130*(1+$AT$125)</f>
        <v>648.87495244688625</v>
      </c>
      <c r="AT130" s="347">
        <v>-0.53704698027476716</v>
      </c>
      <c r="AU130" s="34">
        <f ca="1">MIN(AU129*(1+AT130),$AT$126-SUM(AU$129:AU129))</f>
        <v>648.87495244688625</v>
      </c>
      <c r="AV130" s="348"/>
      <c r="AW130" s="34">
        <f t="shared" ref="AW130:AW169" ca="1" si="55">AP130*(1-$M$6)</f>
        <v>624.10624507071179</v>
      </c>
      <c r="AX130" s="34">
        <f t="shared" ca="1" si="32"/>
        <v>4.1281178960290754</v>
      </c>
      <c r="AY130" s="34">
        <f t="shared" ca="1" si="33"/>
        <v>0</v>
      </c>
      <c r="AZ130" s="34">
        <f t="shared" ca="1" si="34"/>
        <v>648.87495244688625</v>
      </c>
      <c r="BA130" s="365"/>
      <c r="BB130" s="34">
        <f t="shared" ref="BB130:BQ145" ca="1" si="56">IF($AO130&lt;BB$128,0,OFFSET($AZ$128,$AO130-BB$128+1,0)*BB$126)</f>
        <v>7926.3766646206477</v>
      </c>
      <c r="BC130" s="34">
        <f t="shared" ca="1" si="35"/>
        <v>28535.568862275446</v>
      </c>
      <c r="BD130" s="34">
        <f t="shared" ca="1" si="35"/>
        <v>0</v>
      </c>
      <c r="BE130" s="34">
        <f t="shared" ca="1" si="35"/>
        <v>0</v>
      </c>
      <c r="BF130" s="34">
        <f t="shared" ca="1" si="35"/>
        <v>0</v>
      </c>
      <c r="BG130" s="34">
        <f t="shared" ca="1" si="35"/>
        <v>0</v>
      </c>
      <c r="BH130" s="34">
        <f t="shared" ca="1" si="35"/>
        <v>0</v>
      </c>
      <c r="BI130" s="34">
        <f t="shared" ca="1" si="35"/>
        <v>0</v>
      </c>
      <c r="BJ130" s="34">
        <f t="shared" ca="1" si="35"/>
        <v>0</v>
      </c>
      <c r="BK130" s="34">
        <f t="shared" ca="1" si="35"/>
        <v>0</v>
      </c>
      <c r="BL130" s="34">
        <f t="shared" ca="1" si="35"/>
        <v>0</v>
      </c>
      <c r="BM130" s="34">
        <f t="shared" ca="1" si="35"/>
        <v>0</v>
      </c>
      <c r="BN130" s="34">
        <f t="shared" ca="1" si="35"/>
        <v>0</v>
      </c>
      <c r="BO130" s="34">
        <f t="shared" ca="1" si="35"/>
        <v>0</v>
      </c>
      <c r="BP130" s="34">
        <f t="shared" ca="1" si="35"/>
        <v>0</v>
      </c>
      <c r="BQ130" s="34">
        <f t="shared" ca="1" si="35"/>
        <v>0</v>
      </c>
      <c r="BR130" s="34">
        <f t="shared" ca="1" si="35"/>
        <v>0</v>
      </c>
      <c r="BS130" s="34">
        <f t="shared" ca="1" si="36"/>
        <v>0</v>
      </c>
      <c r="BT130" s="34">
        <f t="shared" ca="1" si="36"/>
        <v>0</v>
      </c>
      <c r="BU130" s="34">
        <f t="shared" ca="1" si="36"/>
        <v>0</v>
      </c>
      <c r="BV130" s="34">
        <f t="shared" ca="1" si="36"/>
        <v>0</v>
      </c>
      <c r="BW130" s="34">
        <f t="shared" ca="1" si="36"/>
        <v>0</v>
      </c>
      <c r="BX130" s="34">
        <f t="shared" ca="1" si="36"/>
        <v>0</v>
      </c>
      <c r="BY130" s="34">
        <f t="shared" ca="1" si="36"/>
        <v>0</v>
      </c>
      <c r="BZ130" s="34">
        <f t="shared" ca="1" si="36"/>
        <v>0</v>
      </c>
      <c r="CA130" s="34">
        <f t="shared" ca="1" si="36"/>
        <v>0</v>
      </c>
      <c r="CB130" s="34">
        <f t="shared" ca="1" si="36"/>
        <v>0</v>
      </c>
      <c r="CC130" s="34">
        <f t="shared" ca="1" si="36"/>
        <v>0</v>
      </c>
      <c r="CD130" s="34">
        <f t="shared" ca="1" si="36"/>
        <v>0</v>
      </c>
      <c r="CE130" s="34">
        <f t="shared" ca="1" si="36"/>
        <v>0</v>
      </c>
      <c r="CF130" s="34">
        <f t="shared" ca="1" si="36"/>
        <v>0</v>
      </c>
      <c r="CG130" s="34">
        <f t="shared" ca="1" si="36"/>
        <v>0</v>
      </c>
      <c r="CH130" s="34">
        <f t="shared" ca="1" si="36"/>
        <v>0</v>
      </c>
      <c r="CI130" s="34">
        <f t="shared" ca="1" si="37"/>
        <v>0</v>
      </c>
      <c r="CJ130" s="34">
        <f t="shared" ca="1" si="37"/>
        <v>0</v>
      </c>
      <c r="CK130" s="34">
        <f t="shared" ca="1" si="37"/>
        <v>0</v>
      </c>
      <c r="CL130" s="34">
        <f t="shared" ca="1" si="37"/>
        <v>0</v>
      </c>
      <c r="CM130" s="34">
        <f t="shared" ca="1" si="37"/>
        <v>0</v>
      </c>
      <c r="CN130" s="34">
        <f t="shared" ca="1" si="37"/>
        <v>0</v>
      </c>
      <c r="CO130" s="34">
        <f t="shared" ca="1" si="37"/>
        <v>0</v>
      </c>
      <c r="CP130" s="34">
        <f t="shared" ca="1" si="37"/>
        <v>0</v>
      </c>
      <c r="CQ130" s="34">
        <f t="shared" ref="CQ130:CQ169" ca="1" si="57">SUM(BB130:CP130)</f>
        <v>36461.945526896096</v>
      </c>
      <c r="CR130" s="363">
        <v>0</v>
      </c>
      <c r="CS130" s="34">
        <f t="shared" ref="CS130:CS169" ca="1" si="58">CQ130+CR130</f>
        <v>36461.945526896096</v>
      </c>
      <c r="CT130" s="233"/>
    </row>
    <row r="131" spans="2:98" x14ac:dyDescent="0.3">
      <c r="B131" s="232"/>
      <c r="C131" s="250">
        <f t="shared" ref="C131:C169" si="59">C130+1</f>
        <v>2015</v>
      </c>
      <c r="D131" s="263">
        <f t="shared" ca="1" si="38"/>
        <v>59399.542258890717</v>
      </c>
      <c r="E131" s="263">
        <f t="shared" ca="1" si="23"/>
        <v>392.89514461929434</v>
      </c>
      <c r="F131" s="263">
        <f t="shared" ca="1" si="24"/>
        <v>0</v>
      </c>
      <c r="G131" s="263">
        <f t="shared" ca="1" si="39"/>
        <v>61756.91312660648</v>
      </c>
      <c r="H131" s="15"/>
      <c r="I131" s="271">
        <f ca="1">Assumptions!O$65</f>
        <v>4</v>
      </c>
      <c r="J131" s="271">
        <f ca="1">Assumptions!P$65</f>
        <v>88</v>
      </c>
      <c r="K131" s="271">
        <f t="shared" ca="1" si="25"/>
        <v>44</v>
      </c>
      <c r="L131" s="15"/>
      <c r="M131" s="35">
        <f t="shared" ca="1" si="40"/>
        <v>3.76</v>
      </c>
      <c r="N131" s="35">
        <f t="shared" ca="1" si="26"/>
        <v>81.84</v>
      </c>
      <c r="O131" s="35">
        <f t="shared" ca="1" si="27"/>
        <v>40.92</v>
      </c>
      <c r="P131" s="15"/>
      <c r="Q131" s="34">
        <f t="shared" ca="1" si="41"/>
        <v>223342.27889342909</v>
      </c>
      <c r="R131" s="34">
        <f t="shared" ca="1" si="41"/>
        <v>32154.53863564305</v>
      </c>
      <c r="S131" s="34">
        <f t="shared" ca="1" si="41"/>
        <v>0</v>
      </c>
      <c r="T131" s="34">
        <f t="shared" ca="1" si="42"/>
        <v>255496.81752907214</v>
      </c>
      <c r="U131" s="15"/>
      <c r="V131" s="35">
        <f t="shared" si="43"/>
        <v>0.31</v>
      </c>
      <c r="W131" s="34">
        <f t="shared" ca="1" si="44"/>
        <v>19144.64306924801</v>
      </c>
      <c r="X131" s="35">
        <f t="shared" si="45"/>
        <v>0.37</v>
      </c>
      <c r="Y131" s="34">
        <f t="shared" ca="1" si="46"/>
        <v>22850.057856844396</v>
      </c>
      <c r="Z131" s="35">
        <f t="shared" si="47"/>
        <v>0.57999999999999996</v>
      </c>
      <c r="AA131" s="34">
        <f t="shared" ca="1" si="48"/>
        <v>35819.009613431757</v>
      </c>
      <c r="AB131" s="34">
        <f t="shared" ca="1" si="49"/>
        <v>77813.710539524167</v>
      </c>
      <c r="AC131" s="15"/>
      <c r="AD131" s="34">
        <f t="shared" ca="1" si="50"/>
        <v>177683.10698954796</v>
      </c>
      <c r="AE131" s="34">
        <f ca="1"/>
        <v>213772.45508982037</v>
      </c>
      <c r="AF131" s="34">
        <f t="shared" ca="1" si="51"/>
        <v>-36089.348100272415</v>
      </c>
      <c r="AG131" s="15"/>
      <c r="AH131" s="272">
        <f t="shared" ref="AH131:AH169" si="60">EOMONTH(AH130,12)</f>
        <v>42369</v>
      </c>
      <c r="AI131" s="267">
        <f t="shared" si="28"/>
        <v>1.6666666666666665</v>
      </c>
      <c r="AJ131" s="267">
        <f t="shared" si="29"/>
        <v>0.85312406236063398</v>
      </c>
      <c r="AK131" s="34">
        <f t="shared" ref="AK131:AK171" ca="1" si="61">AJ131*AF131</f>
        <v>-30788.691259251431</v>
      </c>
      <c r="AL131" s="233"/>
      <c r="AN131" s="349"/>
      <c r="AO131" s="237">
        <f t="shared" si="52"/>
        <v>2</v>
      </c>
      <c r="AP131" s="34">
        <f t="shared" ca="1" si="53"/>
        <v>452.18640427824948</v>
      </c>
      <c r="AQ131" s="34">
        <f t="shared" ca="1" si="30"/>
        <v>2.9909631614575236</v>
      </c>
      <c r="AR131" s="34">
        <f t="shared" ca="1" si="31"/>
        <v>0</v>
      </c>
      <c r="AS131" s="34">
        <f t="shared" ca="1" si="54"/>
        <v>470.1321832469946</v>
      </c>
      <c r="AT131" s="350">
        <v>-0.27546566333907407</v>
      </c>
      <c r="AU131" s="34">
        <f ca="1">MIN(AU130*(1+AT131),$AT$126-SUM(AU$129:AU130))</f>
        <v>470.1321832469946</v>
      </c>
      <c r="AV131" s="348"/>
      <c r="AW131" s="34">
        <f t="shared" ca="1" si="55"/>
        <v>452.18640427824948</v>
      </c>
      <c r="AX131" s="34">
        <f t="shared" ca="1" si="32"/>
        <v>2.9909631614575236</v>
      </c>
      <c r="AY131" s="34">
        <f t="shared" ca="1" si="33"/>
        <v>0</v>
      </c>
      <c r="AZ131" s="34">
        <f t="shared" ca="1" si="34"/>
        <v>470.1321832469946</v>
      </c>
      <c r="BA131" s="365"/>
      <c r="BB131" s="34">
        <f t="shared" ca="1" si="56"/>
        <v>5742.9320588255632</v>
      </c>
      <c r="BC131" s="34">
        <f t="shared" ca="1" si="35"/>
        <v>13210.627774367744</v>
      </c>
      <c r="BD131" s="34">
        <f t="shared" ca="1" si="35"/>
        <v>42803.353293413173</v>
      </c>
      <c r="BE131" s="34">
        <f t="shared" ca="1" si="35"/>
        <v>0</v>
      </c>
      <c r="BF131" s="34">
        <f t="shared" ca="1" si="35"/>
        <v>0</v>
      </c>
      <c r="BG131" s="34">
        <f t="shared" ca="1" si="35"/>
        <v>0</v>
      </c>
      <c r="BH131" s="34">
        <f t="shared" ca="1" si="35"/>
        <v>0</v>
      </c>
      <c r="BI131" s="34">
        <f t="shared" ca="1" si="35"/>
        <v>0</v>
      </c>
      <c r="BJ131" s="34">
        <f t="shared" ca="1" si="35"/>
        <v>0</v>
      </c>
      <c r="BK131" s="34">
        <f t="shared" ca="1" si="35"/>
        <v>0</v>
      </c>
      <c r="BL131" s="34">
        <f t="shared" ca="1" si="35"/>
        <v>0</v>
      </c>
      <c r="BM131" s="34">
        <f t="shared" ca="1" si="35"/>
        <v>0</v>
      </c>
      <c r="BN131" s="34">
        <f t="shared" ca="1" si="35"/>
        <v>0</v>
      </c>
      <c r="BO131" s="34">
        <f t="shared" ca="1" si="35"/>
        <v>0</v>
      </c>
      <c r="BP131" s="34">
        <f t="shared" ca="1" si="35"/>
        <v>0</v>
      </c>
      <c r="BQ131" s="34">
        <f t="shared" ca="1" si="35"/>
        <v>0</v>
      </c>
      <c r="BR131" s="34">
        <f t="shared" ca="1" si="35"/>
        <v>0</v>
      </c>
      <c r="BS131" s="34">
        <f t="shared" ca="1" si="36"/>
        <v>0</v>
      </c>
      <c r="BT131" s="34">
        <f t="shared" ca="1" si="36"/>
        <v>0</v>
      </c>
      <c r="BU131" s="34">
        <f t="shared" ca="1" si="36"/>
        <v>0</v>
      </c>
      <c r="BV131" s="34">
        <f t="shared" ca="1" si="36"/>
        <v>0</v>
      </c>
      <c r="BW131" s="34">
        <f t="shared" ca="1" si="36"/>
        <v>0</v>
      </c>
      <c r="BX131" s="34">
        <f t="shared" ca="1" si="36"/>
        <v>0</v>
      </c>
      <c r="BY131" s="34">
        <f t="shared" ca="1" si="36"/>
        <v>0</v>
      </c>
      <c r="BZ131" s="34">
        <f t="shared" ca="1" si="36"/>
        <v>0</v>
      </c>
      <c r="CA131" s="34">
        <f t="shared" ca="1" si="36"/>
        <v>0</v>
      </c>
      <c r="CB131" s="34">
        <f t="shared" ca="1" si="36"/>
        <v>0</v>
      </c>
      <c r="CC131" s="34">
        <f t="shared" ca="1" si="36"/>
        <v>0</v>
      </c>
      <c r="CD131" s="34">
        <f t="shared" ca="1" si="36"/>
        <v>0</v>
      </c>
      <c r="CE131" s="34">
        <f t="shared" ca="1" si="36"/>
        <v>0</v>
      </c>
      <c r="CF131" s="34">
        <f t="shared" ca="1" si="36"/>
        <v>0</v>
      </c>
      <c r="CG131" s="34">
        <f t="shared" ca="1" si="36"/>
        <v>0</v>
      </c>
      <c r="CH131" s="34">
        <f t="shared" ca="1" si="36"/>
        <v>0</v>
      </c>
      <c r="CI131" s="34">
        <f t="shared" ca="1" si="37"/>
        <v>0</v>
      </c>
      <c r="CJ131" s="34">
        <f t="shared" ca="1" si="37"/>
        <v>0</v>
      </c>
      <c r="CK131" s="34">
        <f t="shared" ca="1" si="37"/>
        <v>0</v>
      </c>
      <c r="CL131" s="34">
        <f t="shared" ca="1" si="37"/>
        <v>0</v>
      </c>
      <c r="CM131" s="34">
        <f t="shared" ca="1" si="37"/>
        <v>0</v>
      </c>
      <c r="CN131" s="34">
        <f t="shared" ca="1" si="37"/>
        <v>0</v>
      </c>
      <c r="CO131" s="34">
        <f t="shared" ca="1" si="37"/>
        <v>0</v>
      </c>
      <c r="CP131" s="34">
        <f t="shared" ca="1" si="37"/>
        <v>0</v>
      </c>
      <c r="CQ131" s="34">
        <f t="shared" ca="1" si="57"/>
        <v>61756.91312660648</v>
      </c>
      <c r="CR131" s="363">
        <v>0</v>
      </c>
      <c r="CS131" s="34">
        <f t="shared" ca="1" si="58"/>
        <v>61756.91312660648</v>
      </c>
      <c r="CT131" s="233"/>
    </row>
    <row r="132" spans="2:98" x14ac:dyDescent="0.3">
      <c r="B132" s="232"/>
      <c r="C132" s="250">
        <f t="shared" si="59"/>
        <v>2016</v>
      </c>
      <c r="D132" s="263">
        <f t="shared" ca="1" si="38"/>
        <v>84193.532104523547</v>
      </c>
      <c r="E132" s="263">
        <f t="shared" ca="1" si="23"/>
        <v>556.89368493853669</v>
      </c>
      <c r="F132" s="263">
        <f t="shared" ca="1" si="24"/>
        <v>0</v>
      </c>
      <c r="G132" s="263">
        <f t="shared" ca="1" si="39"/>
        <v>87534.894214154774</v>
      </c>
      <c r="H132" s="15"/>
      <c r="I132" s="271">
        <f ca="1">Assumptions!O$66</f>
        <v>4.0999999999999996</v>
      </c>
      <c r="J132" s="271">
        <f ca="1">Assumptions!P$66</f>
        <v>84</v>
      </c>
      <c r="K132" s="271">
        <f t="shared" ca="1" si="25"/>
        <v>42</v>
      </c>
      <c r="L132" s="15"/>
      <c r="M132" s="35">
        <f t="shared" ca="1" si="40"/>
        <v>3.8539999999999996</v>
      </c>
      <c r="N132" s="35">
        <f t="shared" ca="1" si="26"/>
        <v>78.12</v>
      </c>
      <c r="O132" s="35">
        <f t="shared" ca="1" si="27"/>
        <v>39.06</v>
      </c>
      <c r="P132" s="15"/>
      <c r="Q132" s="34">
        <f t="shared" ca="1" si="41"/>
        <v>324481.87273083371</v>
      </c>
      <c r="R132" s="34">
        <f t="shared" ca="1" si="41"/>
        <v>43504.53466739849</v>
      </c>
      <c r="S132" s="34">
        <f t="shared" ca="1" si="41"/>
        <v>0</v>
      </c>
      <c r="T132" s="34">
        <f t="shared" ca="1" si="42"/>
        <v>367986.4073982322</v>
      </c>
      <c r="U132" s="15"/>
      <c r="V132" s="35">
        <f t="shared" si="43"/>
        <v>0.31</v>
      </c>
      <c r="W132" s="34">
        <f t="shared" ca="1" si="44"/>
        <v>27135.817206387979</v>
      </c>
      <c r="X132" s="35">
        <f t="shared" si="45"/>
        <v>0.37</v>
      </c>
      <c r="Y132" s="34">
        <f t="shared" ca="1" si="46"/>
        <v>32387.910859237265</v>
      </c>
      <c r="Z132" s="35">
        <f t="shared" si="47"/>
        <v>0.57999999999999996</v>
      </c>
      <c r="AA132" s="34">
        <f t="shared" ca="1" si="48"/>
        <v>50770.238644209763</v>
      </c>
      <c r="AB132" s="34">
        <f t="shared" ca="1" si="49"/>
        <v>110293.966709835</v>
      </c>
      <c r="AC132" s="15"/>
      <c r="AD132" s="34">
        <f t="shared" ca="1" si="50"/>
        <v>257692.44068839721</v>
      </c>
      <c r="AE132" s="34">
        <f ca="1"/>
        <v>267215.56886227545</v>
      </c>
      <c r="AF132" s="34">
        <f t="shared" ca="1" si="51"/>
        <v>-9523.1281738782418</v>
      </c>
      <c r="AG132" s="15"/>
      <c r="AH132" s="272">
        <f t="shared" si="60"/>
        <v>42735</v>
      </c>
      <c r="AI132" s="267">
        <f t="shared" si="28"/>
        <v>2.6666666666666665</v>
      </c>
      <c r="AJ132" s="267">
        <f t="shared" si="29"/>
        <v>0.77556732941875806</v>
      </c>
      <c r="AK132" s="34">
        <f t="shared" ca="1" si="61"/>
        <v>-7385.8270855272822</v>
      </c>
      <c r="AL132" s="233"/>
      <c r="AN132" s="349"/>
      <c r="AO132" s="237">
        <f t="shared" si="52"/>
        <v>3</v>
      </c>
      <c r="AP132" s="34">
        <f t="shared" ca="1" si="53"/>
        <v>365.59640341440161</v>
      </c>
      <c r="AQ132" s="34">
        <f t="shared" ca="1" si="30"/>
        <v>2.4182181600952579</v>
      </c>
      <c r="AR132" s="34">
        <f t="shared" ca="1" si="31"/>
        <v>0</v>
      </c>
      <c r="AS132" s="34">
        <f t="shared" ca="1" si="54"/>
        <v>380.10571237497317</v>
      </c>
      <c r="AT132" s="350">
        <v>-0.19149182736278239</v>
      </c>
      <c r="AU132" s="34">
        <f ca="1">MIN(AU131*(1+AT132),$AT$126-SUM(AU$129:AU131))</f>
        <v>380.10571237497317</v>
      </c>
      <c r="AV132" s="348"/>
      <c r="AW132" s="34">
        <f t="shared" ca="1" si="55"/>
        <v>365.59640341440161</v>
      </c>
      <c r="AX132" s="34">
        <f t="shared" ca="1" si="32"/>
        <v>2.4182181600952579</v>
      </c>
      <c r="AY132" s="34">
        <f t="shared" ca="1" si="33"/>
        <v>0</v>
      </c>
      <c r="AZ132" s="34">
        <f t="shared" ca="1" si="34"/>
        <v>380.10571237497317</v>
      </c>
      <c r="BA132" s="365"/>
      <c r="BB132" s="34">
        <f t="shared" ca="1" si="56"/>
        <v>4643.2075044607509</v>
      </c>
      <c r="BC132" s="34">
        <f t="shared" ca="1" si="35"/>
        <v>9571.5534313759381</v>
      </c>
      <c r="BD132" s="34">
        <f t="shared" ca="1" si="35"/>
        <v>19815.941661551617</v>
      </c>
      <c r="BE132" s="34">
        <f t="shared" ca="1" si="35"/>
        <v>53504.191616766468</v>
      </c>
      <c r="BF132" s="34">
        <f t="shared" ca="1" si="35"/>
        <v>0</v>
      </c>
      <c r="BG132" s="34">
        <f t="shared" ca="1" si="35"/>
        <v>0</v>
      </c>
      <c r="BH132" s="34">
        <f t="shared" ca="1" si="35"/>
        <v>0</v>
      </c>
      <c r="BI132" s="34">
        <f t="shared" ca="1" si="35"/>
        <v>0</v>
      </c>
      <c r="BJ132" s="34">
        <f t="shared" ca="1" si="35"/>
        <v>0</v>
      </c>
      <c r="BK132" s="34">
        <f t="shared" ca="1" si="35"/>
        <v>0</v>
      </c>
      <c r="BL132" s="34">
        <f t="shared" ca="1" si="35"/>
        <v>0</v>
      </c>
      <c r="BM132" s="34">
        <f t="shared" ca="1" si="35"/>
        <v>0</v>
      </c>
      <c r="BN132" s="34">
        <f t="shared" ca="1" si="35"/>
        <v>0</v>
      </c>
      <c r="BO132" s="34">
        <f t="shared" ca="1" si="35"/>
        <v>0</v>
      </c>
      <c r="BP132" s="34">
        <f t="shared" ca="1" si="35"/>
        <v>0</v>
      </c>
      <c r="BQ132" s="34">
        <f t="shared" ca="1" si="35"/>
        <v>0</v>
      </c>
      <c r="BR132" s="34">
        <f t="shared" ca="1" si="35"/>
        <v>0</v>
      </c>
      <c r="BS132" s="34">
        <f t="shared" ca="1" si="36"/>
        <v>0</v>
      </c>
      <c r="BT132" s="34">
        <f t="shared" ca="1" si="36"/>
        <v>0</v>
      </c>
      <c r="BU132" s="34">
        <f t="shared" ca="1" si="36"/>
        <v>0</v>
      </c>
      <c r="BV132" s="34">
        <f t="shared" ca="1" si="36"/>
        <v>0</v>
      </c>
      <c r="BW132" s="34">
        <f t="shared" ca="1" si="36"/>
        <v>0</v>
      </c>
      <c r="BX132" s="34">
        <f t="shared" ca="1" si="36"/>
        <v>0</v>
      </c>
      <c r="BY132" s="34">
        <f t="shared" ca="1" si="36"/>
        <v>0</v>
      </c>
      <c r="BZ132" s="34">
        <f t="shared" ca="1" si="36"/>
        <v>0</v>
      </c>
      <c r="CA132" s="34">
        <f t="shared" ca="1" si="36"/>
        <v>0</v>
      </c>
      <c r="CB132" s="34">
        <f t="shared" ca="1" si="36"/>
        <v>0</v>
      </c>
      <c r="CC132" s="34">
        <f t="shared" ca="1" si="36"/>
        <v>0</v>
      </c>
      <c r="CD132" s="34">
        <f t="shared" ca="1" si="36"/>
        <v>0</v>
      </c>
      <c r="CE132" s="34">
        <f t="shared" ca="1" si="36"/>
        <v>0</v>
      </c>
      <c r="CF132" s="34">
        <f t="shared" ca="1" si="36"/>
        <v>0</v>
      </c>
      <c r="CG132" s="34">
        <f t="shared" ca="1" si="36"/>
        <v>0</v>
      </c>
      <c r="CH132" s="34">
        <f t="shared" ca="1" si="36"/>
        <v>0</v>
      </c>
      <c r="CI132" s="34">
        <f t="shared" ca="1" si="37"/>
        <v>0</v>
      </c>
      <c r="CJ132" s="34">
        <f t="shared" ca="1" si="37"/>
        <v>0</v>
      </c>
      <c r="CK132" s="34">
        <f t="shared" ca="1" si="37"/>
        <v>0</v>
      </c>
      <c r="CL132" s="34">
        <f t="shared" ca="1" si="37"/>
        <v>0</v>
      </c>
      <c r="CM132" s="34">
        <f t="shared" ca="1" si="37"/>
        <v>0</v>
      </c>
      <c r="CN132" s="34">
        <f t="shared" ca="1" si="37"/>
        <v>0</v>
      </c>
      <c r="CO132" s="34">
        <f t="shared" ca="1" si="37"/>
        <v>0</v>
      </c>
      <c r="CP132" s="34">
        <f t="shared" ca="1" si="37"/>
        <v>0</v>
      </c>
      <c r="CQ132" s="34">
        <f t="shared" ca="1" si="57"/>
        <v>87534.894214154774</v>
      </c>
      <c r="CR132" s="363">
        <v>0</v>
      </c>
      <c r="CS132" s="34">
        <f t="shared" ca="1" si="58"/>
        <v>87534.894214154774</v>
      </c>
      <c r="CT132" s="233"/>
    </row>
    <row r="133" spans="2:98" x14ac:dyDescent="0.3">
      <c r="B133" s="232"/>
      <c r="C133" s="250">
        <f t="shared" si="59"/>
        <v>2017</v>
      </c>
      <c r="D133" s="263">
        <f t="shared" ca="1" si="38"/>
        <v>93665.384998050518</v>
      </c>
      <c r="E133" s="263">
        <f t="shared" ca="1" si="23"/>
        <v>619.54475716726154</v>
      </c>
      <c r="F133" s="263">
        <f t="shared" ca="1" si="24"/>
        <v>0</v>
      </c>
      <c r="G133" s="263">
        <f t="shared" ca="1" si="39"/>
        <v>97382.653541054082</v>
      </c>
      <c r="H133" s="15"/>
      <c r="I133" s="271">
        <f ca="1">Assumptions!O$67</f>
        <v>4.2</v>
      </c>
      <c r="J133" s="271">
        <f ca="1">Assumptions!P$67</f>
        <v>82</v>
      </c>
      <c r="K133" s="271">
        <f t="shared" ca="1" si="25"/>
        <v>41</v>
      </c>
      <c r="L133" s="15"/>
      <c r="M133" s="35">
        <f t="shared" ca="1" si="40"/>
        <v>3.948</v>
      </c>
      <c r="N133" s="35">
        <f t="shared" ca="1" si="26"/>
        <v>76.260000000000005</v>
      </c>
      <c r="O133" s="35">
        <f t="shared" ca="1" si="27"/>
        <v>38.130000000000003</v>
      </c>
      <c r="P133" s="15"/>
      <c r="Q133" s="34">
        <f t="shared" ca="1" si="41"/>
        <v>369790.93997230346</v>
      </c>
      <c r="R133" s="34">
        <f t="shared" ca="1" si="41"/>
        <v>47246.483181575371</v>
      </c>
      <c r="S133" s="34">
        <f t="shared" ca="1" si="41"/>
        <v>0</v>
      </c>
      <c r="T133" s="34">
        <f t="shared" ca="1" si="42"/>
        <v>417037.42315387883</v>
      </c>
      <c r="U133" s="15"/>
      <c r="V133" s="35">
        <f t="shared" si="43"/>
        <v>0.31</v>
      </c>
      <c r="W133" s="34">
        <f t="shared" ca="1" si="44"/>
        <v>30188.622597726764</v>
      </c>
      <c r="X133" s="35">
        <f t="shared" si="45"/>
        <v>0.37</v>
      </c>
      <c r="Y133" s="34">
        <f t="shared" ca="1" si="46"/>
        <v>36031.581810190008</v>
      </c>
      <c r="Z133" s="35">
        <f t="shared" si="47"/>
        <v>0.57999999999999996</v>
      </c>
      <c r="AA133" s="34">
        <f t="shared" ca="1" si="48"/>
        <v>56481.939053811366</v>
      </c>
      <c r="AB133" s="34">
        <f t="shared" ca="1" si="49"/>
        <v>122702.14346172813</v>
      </c>
      <c r="AC133" s="15"/>
      <c r="AD133" s="34">
        <f t="shared" ca="1" si="50"/>
        <v>294335.27969215071</v>
      </c>
      <c r="AE133" s="34">
        <f ca="1"/>
        <v>232522.06052302837</v>
      </c>
      <c r="AF133" s="34">
        <f t="shared" ca="1" si="51"/>
        <v>61813.219169122342</v>
      </c>
      <c r="AG133" s="15"/>
      <c r="AH133" s="272">
        <f t="shared" si="60"/>
        <v>43100</v>
      </c>
      <c r="AI133" s="267">
        <f t="shared" si="28"/>
        <v>3.666666666666667</v>
      </c>
      <c r="AJ133" s="267">
        <f t="shared" si="29"/>
        <v>0.7050612085625072</v>
      </c>
      <c r="AK133" s="34">
        <f t="shared" ca="1" si="61"/>
        <v>43582.103012520536</v>
      </c>
      <c r="AL133" s="233"/>
      <c r="AN133" s="349"/>
      <c r="AO133" s="237">
        <f t="shared" si="52"/>
        <v>4</v>
      </c>
      <c r="AP133" s="34">
        <f t="shared" ca="1" si="53"/>
        <v>311.73571482763862</v>
      </c>
      <c r="AQ133" s="34">
        <f t="shared" ca="1" si="30"/>
        <v>2.06195947144478</v>
      </c>
      <c r="AR133" s="34">
        <f t="shared" ca="1" si="31"/>
        <v>0</v>
      </c>
      <c r="AS133" s="34">
        <f t="shared" ca="1" si="54"/>
        <v>324.10747165630727</v>
      </c>
      <c r="AT133" s="350">
        <v>-0.14732280756523811</v>
      </c>
      <c r="AU133" s="34">
        <f ca="1">MIN(AU132*(1+AT133),$AT$126-SUM(AU$129:AU132))</f>
        <v>324.10747165630727</v>
      </c>
      <c r="AV133" s="348"/>
      <c r="AW133" s="34">
        <f t="shared" ca="1" si="55"/>
        <v>311.73571482763862</v>
      </c>
      <c r="AX133" s="34">
        <f t="shared" ca="1" si="32"/>
        <v>2.06195947144478</v>
      </c>
      <c r="AY133" s="34">
        <f t="shared" ca="1" si="33"/>
        <v>0</v>
      </c>
      <c r="AZ133" s="34">
        <f t="shared" ca="1" si="34"/>
        <v>324.10747165630727</v>
      </c>
      <c r="BA133" s="365"/>
      <c r="BB133" s="34">
        <f t="shared" ca="1" si="56"/>
        <v>3959.1571387956101</v>
      </c>
      <c r="BC133" s="34">
        <f t="shared" ca="1" si="35"/>
        <v>7738.6791741012503</v>
      </c>
      <c r="BD133" s="34">
        <f t="shared" ca="1" si="35"/>
        <v>14357.330147063907</v>
      </c>
      <c r="BE133" s="34">
        <f t="shared" ca="1" si="35"/>
        <v>24769.927076939523</v>
      </c>
      <c r="BF133" s="34">
        <f t="shared" ca="1" si="35"/>
        <v>46557.560004153791</v>
      </c>
      <c r="BG133" s="34">
        <f t="shared" ca="1" si="35"/>
        <v>0</v>
      </c>
      <c r="BH133" s="34">
        <f t="shared" ca="1" si="35"/>
        <v>0</v>
      </c>
      <c r="BI133" s="34">
        <f t="shared" ca="1" si="35"/>
        <v>0</v>
      </c>
      <c r="BJ133" s="34">
        <f t="shared" ca="1" si="35"/>
        <v>0</v>
      </c>
      <c r="BK133" s="34">
        <f t="shared" ca="1" si="35"/>
        <v>0</v>
      </c>
      <c r="BL133" s="34">
        <f t="shared" ca="1" si="35"/>
        <v>0</v>
      </c>
      <c r="BM133" s="34">
        <f t="shared" ca="1" si="35"/>
        <v>0</v>
      </c>
      <c r="BN133" s="34">
        <f t="shared" ca="1" si="35"/>
        <v>0</v>
      </c>
      <c r="BO133" s="34">
        <f t="shared" ca="1" si="35"/>
        <v>0</v>
      </c>
      <c r="BP133" s="34">
        <f t="shared" ca="1" si="35"/>
        <v>0</v>
      </c>
      <c r="BQ133" s="34">
        <f t="shared" ca="1" si="35"/>
        <v>0</v>
      </c>
      <c r="BR133" s="34">
        <f t="shared" ca="1" si="35"/>
        <v>0</v>
      </c>
      <c r="BS133" s="34">
        <f t="shared" ca="1" si="36"/>
        <v>0</v>
      </c>
      <c r="BT133" s="34">
        <f t="shared" ca="1" si="36"/>
        <v>0</v>
      </c>
      <c r="BU133" s="34">
        <f t="shared" ca="1" si="36"/>
        <v>0</v>
      </c>
      <c r="BV133" s="34">
        <f t="shared" ca="1" si="36"/>
        <v>0</v>
      </c>
      <c r="BW133" s="34">
        <f t="shared" ca="1" si="36"/>
        <v>0</v>
      </c>
      <c r="BX133" s="34">
        <f t="shared" ca="1" si="36"/>
        <v>0</v>
      </c>
      <c r="BY133" s="34">
        <f t="shared" ca="1" si="36"/>
        <v>0</v>
      </c>
      <c r="BZ133" s="34">
        <f t="shared" ca="1" si="36"/>
        <v>0</v>
      </c>
      <c r="CA133" s="34">
        <f t="shared" ca="1" si="36"/>
        <v>0</v>
      </c>
      <c r="CB133" s="34">
        <f t="shared" ca="1" si="36"/>
        <v>0</v>
      </c>
      <c r="CC133" s="34">
        <f t="shared" ca="1" si="36"/>
        <v>0</v>
      </c>
      <c r="CD133" s="34">
        <f t="shared" ca="1" si="36"/>
        <v>0</v>
      </c>
      <c r="CE133" s="34">
        <f t="shared" ca="1" si="36"/>
        <v>0</v>
      </c>
      <c r="CF133" s="34">
        <f t="shared" ca="1" si="36"/>
        <v>0</v>
      </c>
      <c r="CG133" s="34">
        <f t="shared" ca="1" si="36"/>
        <v>0</v>
      </c>
      <c r="CH133" s="34">
        <f t="shared" ca="1" si="36"/>
        <v>0</v>
      </c>
      <c r="CI133" s="34">
        <f t="shared" ca="1" si="37"/>
        <v>0</v>
      </c>
      <c r="CJ133" s="34">
        <f t="shared" ca="1" si="37"/>
        <v>0</v>
      </c>
      <c r="CK133" s="34">
        <f t="shared" ca="1" si="37"/>
        <v>0</v>
      </c>
      <c r="CL133" s="34">
        <f t="shared" ca="1" si="37"/>
        <v>0</v>
      </c>
      <c r="CM133" s="34">
        <f t="shared" ca="1" si="37"/>
        <v>0</v>
      </c>
      <c r="CN133" s="34">
        <f t="shared" ca="1" si="37"/>
        <v>0</v>
      </c>
      <c r="CO133" s="34">
        <f t="shared" ca="1" si="37"/>
        <v>0</v>
      </c>
      <c r="CP133" s="34">
        <f t="shared" ca="1" si="37"/>
        <v>0</v>
      </c>
      <c r="CQ133" s="34">
        <f t="shared" ca="1" si="57"/>
        <v>97382.653541054082</v>
      </c>
      <c r="CR133" s="363">
        <v>0</v>
      </c>
      <c r="CS133" s="34">
        <f t="shared" ca="1" si="58"/>
        <v>97382.653541054082</v>
      </c>
      <c r="CT133" s="233"/>
    </row>
    <row r="134" spans="2:98" x14ac:dyDescent="0.3">
      <c r="B134" s="232"/>
      <c r="C134" s="250">
        <f t="shared" si="59"/>
        <v>2018</v>
      </c>
      <c r="D134" s="263">
        <f t="shared" ca="1" si="38"/>
        <v>58856.086780294092</v>
      </c>
      <c r="E134" s="263">
        <f t="shared" ca="1" si="23"/>
        <v>389.30048697148385</v>
      </c>
      <c r="F134" s="263">
        <f t="shared" ca="1" si="24"/>
        <v>0</v>
      </c>
      <c r="G134" s="263">
        <f t="shared" ca="1" si="39"/>
        <v>61191.889702122993</v>
      </c>
      <c r="H134" s="15"/>
      <c r="I134" s="271">
        <f ca="1">Assumptions!O$68</f>
        <v>4.5</v>
      </c>
      <c r="J134" s="271">
        <f ca="1">Assumptions!P$68</f>
        <v>80</v>
      </c>
      <c r="K134" s="271">
        <f t="shared" ca="1" si="25"/>
        <v>40</v>
      </c>
      <c r="L134" s="15"/>
      <c r="M134" s="35">
        <f t="shared" ca="1" si="40"/>
        <v>4.2299999999999995</v>
      </c>
      <c r="N134" s="35">
        <f t="shared" ca="1" si="26"/>
        <v>74.400000000000006</v>
      </c>
      <c r="O134" s="35">
        <f t="shared" ca="1" si="27"/>
        <v>37.200000000000003</v>
      </c>
      <c r="P134" s="15"/>
      <c r="Q134" s="34">
        <f t="shared" ca="1" si="41"/>
        <v>248961.24708064398</v>
      </c>
      <c r="R134" s="34">
        <f t="shared" ca="1" si="41"/>
        <v>28963.956230678399</v>
      </c>
      <c r="S134" s="34">
        <f t="shared" ca="1" si="41"/>
        <v>0</v>
      </c>
      <c r="T134" s="34">
        <f t="shared" ca="1" si="42"/>
        <v>277925.20331132237</v>
      </c>
      <c r="U134" s="15"/>
      <c r="V134" s="35">
        <f t="shared" si="43"/>
        <v>0.31</v>
      </c>
      <c r="W134" s="34">
        <f t="shared" ca="1" si="44"/>
        <v>18969.485807658129</v>
      </c>
      <c r="X134" s="35">
        <f t="shared" si="45"/>
        <v>0.37</v>
      </c>
      <c r="Y134" s="34">
        <f t="shared" ca="1" si="46"/>
        <v>22640.999189785507</v>
      </c>
      <c r="Z134" s="35">
        <f t="shared" si="47"/>
        <v>0.57999999999999996</v>
      </c>
      <c r="AA134" s="34">
        <f t="shared" ca="1" si="48"/>
        <v>35491.296027231336</v>
      </c>
      <c r="AB134" s="34">
        <f t="shared" ca="1" si="49"/>
        <v>77101.781024674972</v>
      </c>
      <c r="AC134" s="15"/>
      <c r="AD134" s="34">
        <f t="shared" ca="1" si="50"/>
        <v>200823.4222866474</v>
      </c>
      <c r="AE134" s="34">
        <f ca="1"/>
        <v>0</v>
      </c>
      <c r="AF134" s="34">
        <f t="shared" ca="1" si="51"/>
        <v>200823.4222866474</v>
      </c>
      <c r="AG134" s="15"/>
      <c r="AH134" s="272">
        <f t="shared" si="60"/>
        <v>43465</v>
      </c>
      <c r="AI134" s="267">
        <f t="shared" si="28"/>
        <v>4.666666666666667</v>
      </c>
      <c r="AJ134" s="267">
        <f t="shared" si="29"/>
        <v>0.64096473505682472</v>
      </c>
      <c r="AK134" s="34">
        <f t="shared" ca="1" si="61"/>
        <v>128720.73165916579</v>
      </c>
      <c r="AL134" s="233"/>
      <c r="AN134" s="349"/>
      <c r="AO134" s="237">
        <f t="shared" si="52"/>
        <v>5</v>
      </c>
      <c r="AP134" s="34">
        <f t="shared" ca="1" si="53"/>
        <v>274.37402209873375</v>
      </c>
      <c r="AQ134" s="34">
        <f t="shared" ca="1" si="30"/>
        <v>1.8148325221500221</v>
      </c>
      <c r="AR134" s="34">
        <f t="shared" ca="1" si="31"/>
        <v>0</v>
      </c>
      <c r="AS134" s="34">
        <f t="shared" ca="1" si="54"/>
        <v>285.26301723163385</v>
      </c>
      <c r="AT134" s="350">
        <v>-0.11985053669439986</v>
      </c>
      <c r="AU134" s="34">
        <f ca="1">MIN(AU133*(1+AT134),$AT$126-SUM(AU$129:AU133))</f>
        <v>285.26301723163385</v>
      </c>
      <c r="AV134" s="348"/>
      <c r="AW134" s="34">
        <f t="shared" ca="1" si="55"/>
        <v>274.37402209873375</v>
      </c>
      <c r="AX134" s="34">
        <f t="shared" ca="1" si="32"/>
        <v>1.8148325221500221</v>
      </c>
      <c r="AY134" s="34">
        <f t="shared" ca="1" si="33"/>
        <v>0</v>
      </c>
      <c r="AZ134" s="34">
        <f t="shared" ca="1" si="34"/>
        <v>285.26301723163385</v>
      </c>
      <c r="BA134" s="365"/>
      <c r="BB134" s="34">
        <f t="shared" ca="1" si="56"/>
        <v>3484.6500308534919</v>
      </c>
      <c r="BC134" s="34">
        <f t="shared" ca="1" si="35"/>
        <v>6598.5952313260159</v>
      </c>
      <c r="BD134" s="34">
        <f t="shared" ca="1" si="35"/>
        <v>11608.018761151876</v>
      </c>
      <c r="BE134" s="34">
        <f t="shared" ca="1" si="35"/>
        <v>17946.662683829883</v>
      </c>
      <c r="BF134" s="34">
        <f t="shared" ca="1" si="35"/>
        <v>21553.962994961719</v>
      </c>
      <c r="BG134" s="34">
        <f t="shared" ca="1" si="35"/>
        <v>0</v>
      </c>
      <c r="BH134" s="34">
        <f t="shared" ca="1" si="35"/>
        <v>0</v>
      </c>
      <c r="BI134" s="34">
        <f t="shared" ca="1" si="35"/>
        <v>0</v>
      </c>
      <c r="BJ134" s="34">
        <f t="shared" ca="1" si="35"/>
        <v>0</v>
      </c>
      <c r="BK134" s="34">
        <f t="shared" ca="1" si="35"/>
        <v>0</v>
      </c>
      <c r="BL134" s="34">
        <f t="shared" ca="1" si="35"/>
        <v>0</v>
      </c>
      <c r="BM134" s="34">
        <f t="shared" ca="1" si="35"/>
        <v>0</v>
      </c>
      <c r="BN134" s="34">
        <f t="shared" ca="1" si="35"/>
        <v>0</v>
      </c>
      <c r="BO134" s="34">
        <f t="shared" ca="1" si="35"/>
        <v>0</v>
      </c>
      <c r="BP134" s="34">
        <f t="shared" ca="1" si="35"/>
        <v>0</v>
      </c>
      <c r="BQ134" s="34">
        <f t="shared" ca="1" si="35"/>
        <v>0</v>
      </c>
      <c r="BR134" s="34">
        <f t="shared" ca="1" si="35"/>
        <v>0</v>
      </c>
      <c r="BS134" s="34">
        <f t="shared" ca="1" si="36"/>
        <v>0</v>
      </c>
      <c r="BT134" s="34">
        <f t="shared" ca="1" si="36"/>
        <v>0</v>
      </c>
      <c r="BU134" s="34">
        <f t="shared" ca="1" si="36"/>
        <v>0</v>
      </c>
      <c r="BV134" s="34">
        <f t="shared" ca="1" si="36"/>
        <v>0</v>
      </c>
      <c r="BW134" s="34">
        <f t="shared" ca="1" si="36"/>
        <v>0</v>
      </c>
      <c r="BX134" s="34">
        <f t="shared" ca="1" si="36"/>
        <v>0</v>
      </c>
      <c r="BY134" s="34">
        <f t="shared" ca="1" si="36"/>
        <v>0</v>
      </c>
      <c r="BZ134" s="34">
        <f t="shared" ca="1" si="36"/>
        <v>0</v>
      </c>
      <c r="CA134" s="34">
        <f t="shared" ca="1" si="36"/>
        <v>0</v>
      </c>
      <c r="CB134" s="34">
        <f t="shared" ca="1" si="36"/>
        <v>0</v>
      </c>
      <c r="CC134" s="34">
        <f t="shared" ca="1" si="36"/>
        <v>0</v>
      </c>
      <c r="CD134" s="34">
        <f t="shared" ca="1" si="36"/>
        <v>0</v>
      </c>
      <c r="CE134" s="34">
        <f t="shared" ca="1" si="36"/>
        <v>0</v>
      </c>
      <c r="CF134" s="34">
        <f t="shared" ca="1" si="36"/>
        <v>0</v>
      </c>
      <c r="CG134" s="34">
        <f t="shared" ca="1" si="36"/>
        <v>0</v>
      </c>
      <c r="CH134" s="34">
        <f t="shared" ca="1" si="36"/>
        <v>0</v>
      </c>
      <c r="CI134" s="34">
        <f t="shared" ca="1" si="37"/>
        <v>0</v>
      </c>
      <c r="CJ134" s="34">
        <f t="shared" ca="1" si="37"/>
        <v>0</v>
      </c>
      <c r="CK134" s="34">
        <f t="shared" ca="1" si="37"/>
        <v>0</v>
      </c>
      <c r="CL134" s="34">
        <f t="shared" ca="1" si="37"/>
        <v>0</v>
      </c>
      <c r="CM134" s="34">
        <f t="shared" ca="1" si="37"/>
        <v>0</v>
      </c>
      <c r="CN134" s="34">
        <f t="shared" ca="1" si="37"/>
        <v>0</v>
      </c>
      <c r="CO134" s="34">
        <f t="shared" ca="1" si="37"/>
        <v>0</v>
      </c>
      <c r="CP134" s="34">
        <f t="shared" ca="1" si="37"/>
        <v>0</v>
      </c>
      <c r="CQ134" s="34">
        <f t="shared" ca="1" si="57"/>
        <v>61191.889702122993</v>
      </c>
      <c r="CR134" s="363">
        <v>0</v>
      </c>
      <c r="CS134" s="34">
        <f t="shared" ca="1" si="58"/>
        <v>61191.889702122993</v>
      </c>
      <c r="CT134" s="233"/>
    </row>
    <row r="135" spans="2:98" x14ac:dyDescent="0.3">
      <c r="B135" s="232"/>
      <c r="C135" s="250">
        <f t="shared" si="59"/>
        <v>2019</v>
      </c>
      <c r="D135" s="263">
        <f t="shared" ca="1" si="38"/>
        <v>47095.664703481241</v>
      </c>
      <c r="E135" s="263">
        <f t="shared" ca="1" si="23"/>
        <v>311.51179438333963</v>
      </c>
      <c r="F135" s="263">
        <f t="shared" ca="1" si="24"/>
        <v>0</v>
      </c>
      <c r="G135" s="263">
        <f t="shared" ca="1" si="39"/>
        <v>48964.735469781277</v>
      </c>
      <c r="H135" s="15"/>
      <c r="I135" s="271">
        <f ca="1">Assumptions!O$68</f>
        <v>4.5</v>
      </c>
      <c r="J135" s="271">
        <f ca="1">Assumptions!P$68</f>
        <v>80</v>
      </c>
      <c r="K135" s="271">
        <f t="shared" ca="1" si="25"/>
        <v>40</v>
      </c>
      <c r="L135" s="15"/>
      <c r="M135" s="35">
        <f t="shared" ca="1" si="40"/>
        <v>4.2299999999999995</v>
      </c>
      <c r="N135" s="35">
        <f t="shared" ca="1" si="26"/>
        <v>74.400000000000006</v>
      </c>
      <c r="O135" s="35">
        <f t="shared" ca="1" si="27"/>
        <v>37.200000000000003</v>
      </c>
      <c r="P135" s="15"/>
      <c r="Q135" s="34">
        <f t="shared" ca="1" si="41"/>
        <v>199214.66169572563</v>
      </c>
      <c r="R135" s="34">
        <f t="shared" ca="1" si="41"/>
        <v>23176.47750212047</v>
      </c>
      <c r="S135" s="34">
        <f t="shared" ca="1" si="41"/>
        <v>0</v>
      </c>
      <c r="T135" s="34">
        <f t="shared" ca="1" si="42"/>
        <v>222391.13919784612</v>
      </c>
      <c r="U135" s="15"/>
      <c r="V135" s="35">
        <f t="shared" si="43"/>
        <v>0.31</v>
      </c>
      <c r="W135" s="34">
        <f t="shared" ca="1" si="44"/>
        <v>15179.067995632196</v>
      </c>
      <c r="X135" s="35">
        <f t="shared" si="45"/>
        <v>0.37</v>
      </c>
      <c r="Y135" s="34">
        <f t="shared" ca="1" si="46"/>
        <v>18116.952123819072</v>
      </c>
      <c r="Z135" s="35">
        <f t="shared" si="47"/>
        <v>0.57999999999999996</v>
      </c>
      <c r="AA135" s="34">
        <f t="shared" ca="1" si="48"/>
        <v>28399.54657247314</v>
      </c>
      <c r="AB135" s="34">
        <f t="shared" ca="1" si="49"/>
        <v>61695.56669192441</v>
      </c>
      <c r="AC135" s="15"/>
      <c r="AD135" s="34">
        <f t="shared" ca="1" si="50"/>
        <v>160695.57250592171</v>
      </c>
      <c r="AE135" s="34">
        <f ca="1"/>
        <v>0</v>
      </c>
      <c r="AF135" s="34">
        <f t="shared" ca="1" si="51"/>
        <v>160695.57250592171</v>
      </c>
      <c r="AG135" s="15"/>
      <c r="AH135" s="272">
        <f t="shared" si="60"/>
        <v>43830</v>
      </c>
      <c r="AI135" s="267">
        <f t="shared" si="28"/>
        <v>5.666666666666667</v>
      </c>
      <c r="AJ135" s="267">
        <f t="shared" si="29"/>
        <v>0.58269521368802246</v>
      </c>
      <c r="AK135" s="34">
        <f t="shared" ca="1" si="61"/>
        <v>93636.540960057158</v>
      </c>
      <c r="AL135" s="233"/>
      <c r="AN135" s="349"/>
      <c r="AO135" s="237">
        <f t="shared" si="52"/>
        <v>6</v>
      </c>
      <c r="AP135" s="34">
        <f t="shared" ca="1" si="53"/>
        <v>246.6451173205852</v>
      </c>
      <c r="AQ135" s="34">
        <f t="shared" ca="1" si="30"/>
        <v>1.6314211415460804</v>
      </c>
      <c r="AR135" s="34">
        <f t="shared" ca="1" si="31"/>
        <v>0</v>
      </c>
      <c r="AS135" s="34">
        <f t="shared" ca="1" si="54"/>
        <v>256.43364416986168</v>
      </c>
      <c r="AT135" s="350">
        <v>-0.10106242772564769</v>
      </c>
      <c r="AU135" s="34">
        <f ca="1">MIN(AU134*(1+AT135),$AT$126-SUM(AU$129:AU134))</f>
        <v>256.43364416986168</v>
      </c>
      <c r="AV135" s="348"/>
      <c r="AW135" s="34">
        <f t="shared" ca="1" si="55"/>
        <v>246.6451173205852</v>
      </c>
      <c r="AX135" s="34">
        <f t="shared" ca="1" si="32"/>
        <v>1.6314211415460804</v>
      </c>
      <c r="AY135" s="34">
        <f t="shared" ca="1" si="33"/>
        <v>0</v>
      </c>
      <c r="AZ135" s="34">
        <f t="shared" ca="1" si="34"/>
        <v>256.43364416986168</v>
      </c>
      <c r="BA135" s="365"/>
      <c r="BB135" s="34">
        <f t="shared" ca="1" si="56"/>
        <v>3132.4828389611848</v>
      </c>
      <c r="BC135" s="34">
        <f t="shared" ca="1" si="35"/>
        <v>5807.7500514224857</v>
      </c>
      <c r="BD135" s="34">
        <f t="shared" ca="1" si="35"/>
        <v>9897.8928469890252</v>
      </c>
      <c r="BE135" s="34">
        <f t="shared" ca="1" si="35"/>
        <v>14510.023451439845</v>
      </c>
      <c r="BF135" s="34">
        <f t="shared" ca="1" si="35"/>
        <v>15616.586280968733</v>
      </c>
      <c r="BG135" s="34">
        <f t="shared" ca="1" si="35"/>
        <v>0</v>
      </c>
      <c r="BH135" s="34">
        <f t="shared" ca="1" si="35"/>
        <v>0</v>
      </c>
      <c r="BI135" s="34">
        <f t="shared" ca="1" si="35"/>
        <v>0</v>
      </c>
      <c r="BJ135" s="34">
        <f t="shared" ca="1" si="35"/>
        <v>0</v>
      </c>
      <c r="BK135" s="34">
        <f t="shared" ca="1" si="35"/>
        <v>0</v>
      </c>
      <c r="BL135" s="34">
        <f t="shared" ca="1" si="35"/>
        <v>0</v>
      </c>
      <c r="BM135" s="34">
        <f t="shared" ca="1" si="35"/>
        <v>0</v>
      </c>
      <c r="BN135" s="34">
        <f t="shared" ca="1" si="35"/>
        <v>0</v>
      </c>
      <c r="BO135" s="34">
        <f t="shared" ca="1" si="35"/>
        <v>0</v>
      </c>
      <c r="BP135" s="34">
        <f t="shared" ca="1" si="35"/>
        <v>0</v>
      </c>
      <c r="BQ135" s="34">
        <f t="shared" ca="1" si="35"/>
        <v>0</v>
      </c>
      <c r="BR135" s="34">
        <f t="shared" ca="1" si="35"/>
        <v>0</v>
      </c>
      <c r="BS135" s="34">
        <f t="shared" ca="1" si="36"/>
        <v>0</v>
      </c>
      <c r="BT135" s="34">
        <f t="shared" ca="1" si="36"/>
        <v>0</v>
      </c>
      <c r="BU135" s="34">
        <f t="shared" ca="1" si="36"/>
        <v>0</v>
      </c>
      <c r="BV135" s="34">
        <f t="shared" ca="1" si="36"/>
        <v>0</v>
      </c>
      <c r="BW135" s="34">
        <f t="shared" ca="1" si="36"/>
        <v>0</v>
      </c>
      <c r="BX135" s="34">
        <f t="shared" ca="1" si="36"/>
        <v>0</v>
      </c>
      <c r="BY135" s="34">
        <f t="shared" ca="1" si="36"/>
        <v>0</v>
      </c>
      <c r="BZ135" s="34">
        <f t="shared" ca="1" si="36"/>
        <v>0</v>
      </c>
      <c r="CA135" s="34">
        <f t="shared" ca="1" si="36"/>
        <v>0</v>
      </c>
      <c r="CB135" s="34">
        <f t="shared" ca="1" si="36"/>
        <v>0</v>
      </c>
      <c r="CC135" s="34">
        <f t="shared" ca="1" si="36"/>
        <v>0</v>
      </c>
      <c r="CD135" s="34">
        <f t="shared" ca="1" si="36"/>
        <v>0</v>
      </c>
      <c r="CE135" s="34">
        <f t="shared" ca="1" si="36"/>
        <v>0</v>
      </c>
      <c r="CF135" s="34">
        <f t="shared" ca="1" si="36"/>
        <v>0</v>
      </c>
      <c r="CG135" s="34">
        <f t="shared" ca="1" si="36"/>
        <v>0</v>
      </c>
      <c r="CH135" s="34">
        <f t="shared" ca="1" si="36"/>
        <v>0</v>
      </c>
      <c r="CI135" s="34">
        <f t="shared" ca="1" si="37"/>
        <v>0</v>
      </c>
      <c r="CJ135" s="34">
        <f t="shared" ca="1" si="37"/>
        <v>0</v>
      </c>
      <c r="CK135" s="34">
        <f t="shared" ca="1" si="37"/>
        <v>0</v>
      </c>
      <c r="CL135" s="34">
        <f t="shared" ca="1" si="37"/>
        <v>0</v>
      </c>
      <c r="CM135" s="34">
        <f t="shared" ca="1" si="37"/>
        <v>0</v>
      </c>
      <c r="CN135" s="34">
        <f t="shared" ca="1" si="37"/>
        <v>0</v>
      </c>
      <c r="CO135" s="34">
        <f t="shared" ca="1" si="37"/>
        <v>0</v>
      </c>
      <c r="CP135" s="34">
        <f t="shared" ca="1" si="37"/>
        <v>0</v>
      </c>
      <c r="CQ135" s="34">
        <f t="shared" ca="1" si="57"/>
        <v>48964.735469781277</v>
      </c>
      <c r="CR135" s="363">
        <v>0</v>
      </c>
      <c r="CS135" s="34">
        <f t="shared" ca="1" si="58"/>
        <v>48964.735469781277</v>
      </c>
      <c r="CT135" s="233"/>
    </row>
    <row r="136" spans="2:98" x14ac:dyDescent="0.3">
      <c r="B136" s="232"/>
      <c r="C136" s="250">
        <f t="shared" si="59"/>
        <v>2020</v>
      </c>
      <c r="D136" s="263">
        <f t="shared" ca="1" si="38"/>
        <v>40194.491635619706</v>
      </c>
      <c r="E136" s="263">
        <f t="shared" ca="1" si="23"/>
        <v>265.86434850366373</v>
      </c>
      <c r="F136" s="263">
        <f t="shared" ca="1" si="24"/>
        <v>0</v>
      </c>
      <c r="G136" s="263">
        <f t="shared" ca="1" si="39"/>
        <v>41789.67772664169</v>
      </c>
      <c r="H136" s="15"/>
      <c r="I136" s="271">
        <f ca="1">Assumptions!O$68</f>
        <v>4.5</v>
      </c>
      <c r="J136" s="271">
        <f ca="1">Assumptions!P$68</f>
        <v>80</v>
      </c>
      <c r="K136" s="271">
        <f t="shared" ca="1" si="25"/>
        <v>40</v>
      </c>
      <c r="L136" s="15"/>
      <c r="M136" s="35">
        <f t="shared" ca="1" si="40"/>
        <v>4.2299999999999995</v>
      </c>
      <c r="N136" s="35">
        <f t="shared" ca="1" si="26"/>
        <v>74.400000000000006</v>
      </c>
      <c r="O136" s="35">
        <f t="shared" ca="1" si="27"/>
        <v>37.200000000000003</v>
      </c>
      <c r="P136" s="15"/>
      <c r="Q136" s="34">
        <f t="shared" ca="1" si="41"/>
        <v>170022.69961867135</v>
      </c>
      <c r="R136" s="34">
        <f t="shared" ca="1" si="41"/>
        <v>19780.307528672583</v>
      </c>
      <c r="S136" s="34">
        <f t="shared" ca="1" si="41"/>
        <v>0</v>
      </c>
      <c r="T136" s="34">
        <f t="shared" ca="1" si="42"/>
        <v>189803.00714734395</v>
      </c>
      <c r="U136" s="15"/>
      <c r="V136" s="35">
        <f t="shared" si="43"/>
        <v>0.31</v>
      </c>
      <c r="W136" s="34">
        <f t="shared" ca="1" si="44"/>
        <v>12954.800095258925</v>
      </c>
      <c r="X136" s="35">
        <f t="shared" si="45"/>
        <v>0.37</v>
      </c>
      <c r="Y136" s="34">
        <f t="shared" ca="1" si="46"/>
        <v>15462.180758857425</v>
      </c>
      <c r="Z136" s="35">
        <f t="shared" si="47"/>
        <v>0.57999999999999996</v>
      </c>
      <c r="AA136" s="34">
        <f t="shared" ca="1" si="48"/>
        <v>24238.01308145218</v>
      </c>
      <c r="AB136" s="34">
        <f t="shared" ca="1" si="49"/>
        <v>52654.993935568535</v>
      </c>
      <c r="AC136" s="15"/>
      <c r="AD136" s="34">
        <f t="shared" ca="1" si="50"/>
        <v>137148.0132117754</v>
      </c>
      <c r="AE136" s="34">
        <f ca="1"/>
        <v>0</v>
      </c>
      <c r="AF136" s="34">
        <f t="shared" ca="1" si="51"/>
        <v>137148.0132117754</v>
      </c>
      <c r="AG136" s="15"/>
      <c r="AH136" s="272">
        <f t="shared" si="60"/>
        <v>44196</v>
      </c>
      <c r="AI136" s="267">
        <f t="shared" si="28"/>
        <v>6.666666666666667</v>
      </c>
      <c r="AJ136" s="267">
        <f t="shared" si="29"/>
        <v>0.52972292153456579</v>
      </c>
      <c r="AK136" s="34">
        <f t="shared" ca="1" si="61"/>
        <v>72650.446241202895</v>
      </c>
      <c r="AL136" s="233"/>
      <c r="AN136" s="349"/>
      <c r="AO136" s="237">
        <f t="shared" si="52"/>
        <v>7</v>
      </c>
      <c r="AP136" s="34">
        <f t="shared" ca="1" si="53"/>
        <v>225.09151377683958</v>
      </c>
      <c r="AQ136" s="34">
        <f t="shared" ca="1" si="30"/>
        <v>1.4888559657998084</v>
      </c>
      <c r="AR136" s="34">
        <f t="shared" ca="1" si="31"/>
        <v>0</v>
      </c>
      <c r="AS136" s="34">
        <f t="shared" ca="1" si="54"/>
        <v>234.02464957163843</v>
      </c>
      <c r="AT136" s="350">
        <v>-8.7387108157225737E-2</v>
      </c>
      <c r="AU136" s="34">
        <f ca="1">MIN(AU135*(1+AT136),$AT$126-SUM(AU$129:AU135))</f>
        <v>234.02464957163843</v>
      </c>
      <c r="AV136" s="348"/>
      <c r="AW136" s="34">
        <f t="shared" ca="1" si="55"/>
        <v>225.09151377683958</v>
      </c>
      <c r="AX136" s="34">
        <f t="shared" ca="1" si="32"/>
        <v>1.4888559657998084</v>
      </c>
      <c r="AY136" s="34">
        <f t="shared" ca="1" si="33"/>
        <v>0</v>
      </c>
      <c r="AZ136" s="34">
        <f t="shared" ca="1" si="34"/>
        <v>234.02464957163843</v>
      </c>
      <c r="BA136" s="365"/>
      <c r="BB136" s="34">
        <f t="shared" ca="1" si="56"/>
        <v>2858.7442223122302</v>
      </c>
      <c r="BC136" s="34">
        <f t="shared" ca="1" si="35"/>
        <v>5220.8047316019738</v>
      </c>
      <c r="BD136" s="34">
        <f t="shared" ca="1" si="35"/>
        <v>8711.6250771337291</v>
      </c>
      <c r="BE136" s="34">
        <f t="shared" ca="1" si="35"/>
        <v>12372.366058736281</v>
      </c>
      <c r="BF136" s="34">
        <f t="shared" ca="1" si="35"/>
        <v>12626.137636857475</v>
      </c>
      <c r="BG136" s="34">
        <f t="shared" ca="1" si="35"/>
        <v>0</v>
      </c>
      <c r="BH136" s="34">
        <f t="shared" ca="1" si="35"/>
        <v>0</v>
      </c>
      <c r="BI136" s="34">
        <f t="shared" ca="1" si="35"/>
        <v>0</v>
      </c>
      <c r="BJ136" s="34">
        <f t="shared" ca="1" si="35"/>
        <v>0</v>
      </c>
      <c r="BK136" s="34">
        <f t="shared" ca="1" si="35"/>
        <v>0</v>
      </c>
      <c r="BL136" s="34">
        <f t="shared" ca="1" si="35"/>
        <v>0</v>
      </c>
      <c r="BM136" s="34">
        <f t="shared" ca="1" si="35"/>
        <v>0</v>
      </c>
      <c r="BN136" s="34">
        <f t="shared" ca="1" si="35"/>
        <v>0</v>
      </c>
      <c r="BO136" s="34">
        <f t="shared" ca="1" si="35"/>
        <v>0</v>
      </c>
      <c r="BP136" s="34">
        <f t="shared" ca="1" si="35"/>
        <v>0</v>
      </c>
      <c r="BQ136" s="34">
        <f t="shared" ca="1" si="35"/>
        <v>0</v>
      </c>
      <c r="BR136" s="34">
        <f t="shared" ca="1" si="35"/>
        <v>0</v>
      </c>
      <c r="BS136" s="34">
        <f t="shared" ca="1" si="36"/>
        <v>0</v>
      </c>
      <c r="BT136" s="34">
        <f t="shared" ca="1" si="36"/>
        <v>0</v>
      </c>
      <c r="BU136" s="34">
        <f t="shared" ca="1" si="36"/>
        <v>0</v>
      </c>
      <c r="BV136" s="34">
        <f t="shared" ca="1" si="36"/>
        <v>0</v>
      </c>
      <c r="BW136" s="34">
        <f t="shared" ca="1" si="36"/>
        <v>0</v>
      </c>
      <c r="BX136" s="34">
        <f t="shared" ca="1" si="36"/>
        <v>0</v>
      </c>
      <c r="BY136" s="34">
        <f t="shared" ca="1" si="36"/>
        <v>0</v>
      </c>
      <c r="BZ136" s="34">
        <f t="shared" ca="1" si="36"/>
        <v>0</v>
      </c>
      <c r="CA136" s="34">
        <f t="shared" ca="1" si="36"/>
        <v>0</v>
      </c>
      <c r="CB136" s="34">
        <f t="shared" ca="1" si="36"/>
        <v>0</v>
      </c>
      <c r="CC136" s="34">
        <f t="shared" ca="1" si="36"/>
        <v>0</v>
      </c>
      <c r="CD136" s="34">
        <f t="shared" ca="1" si="36"/>
        <v>0</v>
      </c>
      <c r="CE136" s="34">
        <f t="shared" ca="1" si="36"/>
        <v>0</v>
      </c>
      <c r="CF136" s="34">
        <f t="shared" ca="1" si="36"/>
        <v>0</v>
      </c>
      <c r="CG136" s="34">
        <f t="shared" ca="1" si="36"/>
        <v>0</v>
      </c>
      <c r="CH136" s="34">
        <f t="shared" ca="1" si="36"/>
        <v>0</v>
      </c>
      <c r="CI136" s="34">
        <f t="shared" ca="1" si="37"/>
        <v>0</v>
      </c>
      <c r="CJ136" s="34">
        <f t="shared" ca="1" si="37"/>
        <v>0</v>
      </c>
      <c r="CK136" s="34">
        <f t="shared" ca="1" si="37"/>
        <v>0</v>
      </c>
      <c r="CL136" s="34">
        <f t="shared" ca="1" si="37"/>
        <v>0</v>
      </c>
      <c r="CM136" s="34">
        <f t="shared" ca="1" si="37"/>
        <v>0</v>
      </c>
      <c r="CN136" s="34">
        <f t="shared" ca="1" si="37"/>
        <v>0</v>
      </c>
      <c r="CO136" s="34">
        <f t="shared" ca="1" si="37"/>
        <v>0</v>
      </c>
      <c r="CP136" s="34">
        <f t="shared" ca="1" si="37"/>
        <v>0</v>
      </c>
      <c r="CQ136" s="34">
        <f t="shared" ca="1" si="57"/>
        <v>41789.67772664169</v>
      </c>
      <c r="CR136" s="363">
        <v>0</v>
      </c>
      <c r="CS136" s="34">
        <f t="shared" ca="1" si="58"/>
        <v>41789.67772664169</v>
      </c>
      <c r="CT136" s="233"/>
    </row>
    <row r="137" spans="2:98" x14ac:dyDescent="0.3">
      <c r="B137" s="232"/>
      <c r="C137" s="250">
        <f t="shared" si="59"/>
        <v>2021</v>
      </c>
      <c r="D137" s="263">
        <f t="shared" ca="1" si="38"/>
        <v>35481.848395506619</v>
      </c>
      <c r="E137" s="263">
        <f t="shared" ca="1" si="23"/>
        <v>234.69281793372514</v>
      </c>
      <c r="F137" s="263">
        <f t="shared" ca="1" si="24"/>
        <v>0</v>
      </c>
      <c r="G137" s="263">
        <f t="shared" ca="1" si="39"/>
        <v>36890.00530310897</v>
      </c>
      <c r="H137" s="15"/>
      <c r="I137" s="271">
        <f ca="1">Assumptions!O$68</f>
        <v>4.5</v>
      </c>
      <c r="J137" s="271">
        <f ca="1">Assumptions!P$68</f>
        <v>80</v>
      </c>
      <c r="K137" s="271">
        <f t="shared" ca="1" si="25"/>
        <v>40</v>
      </c>
      <c r="L137" s="15"/>
      <c r="M137" s="35">
        <f t="shared" ca="1" si="40"/>
        <v>4.2299999999999995</v>
      </c>
      <c r="N137" s="35">
        <f t="shared" ca="1" si="26"/>
        <v>74.400000000000006</v>
      </c>
      <c r="O137" s="35">
        <f t="shared" ca="1" si="27"/>
        <v>37.200000000000003</v>
      </c>
      <c r="P137" s="15"/>
      <c r="Q137" s="34">
        <f t="shared" ca="1" si="41"/>
        <v>150088.21871299297</v>
      </c>
      <c r="R137" s="34">
        <f t="shared" ca="1" si="41"/>
        <v>17461.145654269152</v>
      </c>
      <c r="S137" s="34">
        <f t="shared" ca="1" si="41"/>
        <v>0</v>
      </c>
      <c r="T137" s="34">
        <f t="shared" ca="1" si="42"/>
        <v>167549.36436726211</v>
      </c>
      <c r="U137" s="15"/>
      <c r="V137" s="35">
        <f t="shared" si="43"/>
        <v>0.31</v>
      </c>
      <c r="W137" s="34">
        <f t="shared" ca="1" si="44"/>
        <v>11435.90164396378</v>
      </c>
      <c r="X137" s="35">
        <f t="shared" si="45"/>
        <v>0.37</v>
      </c>
      <c r="Y137" s="34">
        <f t="shared" ca="1" si="46"/>
        <v>13649.301962150319</v>
      </c>
      <c r="Z137" s="35">
        <f t="shared" si="47"/>
        <v>0.57999999999999996</v>
      </c>
      <c r="AA137" s="34">
        <f t="shared" ca="1" si="48"/>
        <v>21396.203075803202</v>
      </c>
      <c r="AB137" s="34">
        <f t="shared" ca="1" si="49"/>
        <v>46481.406681917302</v>
      </c>
      <c r="AC137" s="15"/>
      <c r="AD137" s="34">
        <f t="shared" ca="1" si="50"/>
        <v>121067.95768534481</v>
      </c>
      <c r="AE137" s="34">
        <f ca="1"/>
        <v>0</v>
      </c>
      <c r="AF137" s="34">
        <f t="shared" ca="1" si="51"/>
        <v>121067.95768534481</v>
      </c>
      <c r="AG137" s="15"/>
      <c r="AH137" s="272">
        <f t="shared" si="60"/>
        <v>44561</v>
      </c>
      <c r="AI137" s="267">
        <f t="shared" si="28"/>
        <v>7.6666666666666661</v>
      </c>
      <c r="AJ137" s="267">
        <f t="shared" si="29"/>
        <v>0.48156629230415066</v>
      </c>
      <c r="AK137" s="34">
        <f t="shared" ca="1" si="61"/>
        <v>58302.247499367302</v>
      </c>
      <c r="AL137" s="233"/>
      <c r="AN137" s="349"/>
      <c r="AO137" s="237">
        <f t="shared" si="52"/>
        <v>8</v>
      </c>
      <c r="AP137" s="34">
        <f t="shared" ca="1" si="53"/>
        <v>207.76361251053979</v>
      </c>
      <c r="AQ137" s="34">
        <f t="shared" ca="1" si="30"/>
        <v>1.3742414752655367</v>
      </c>
      <c r="AR137" s="34">
        <f t="shared" ca="1" si="31"/>
        <v>0</v>
      </c>
      <c r="AS137" s="34">
        <f t="shared" ca="1" si="54"/>
        <v>216.009061362133</v>
      </c>
      <c r="AT137" s="350">
        <v>-7.69815839591316E-2</v>
      </c>
      <c r="AU137" s="34">
        <f ca="1">MIN(AU136*(1+AT137),$AT$126-SUM(AU$129:AU136))</f>
        <v>216.009061362133</v>
      </c>
      <c r="AV137" s="348"/>
      <c r="AW137" s="34">
        <f t="shared" ca="1" si="55"/>
        <v>207.76361251053979</v>
      </c>
      <c r="AX137" s="34">
        <f t="shared" ca="1" si="32"/>
        <v>1.3742414752655367</v>
      </c>
      <c r="AY137" s="34">
        <f t="shared" ca="1" si="33"/>
        <v>0</v>
      </c>
      <c r="AZ137" s="34">
        <f t="shared" ca="1" si="34"/>
        <v>216.009061362133</v>
      </c>
      <c r="BA137" s="365"/>
      <c r="BB137" s="34">
        <f t="shared" ca="1" si="56"/>
        <v>2638.6735639446188</v>
      </c>
      <c r="BC137" s="34">
        <f t="shared" ca="1" si="35"/>
        <v>4764.5737038537163</v>
      </c>
      <c r="BD137" s="34">
        <f t="shared" ca="1" si="35"/>
        <v>7831.2070974029621</v>
      </c>
      <c r="BE137" s="34">
        <f t="shared" ca="1" si="35"/>
        <v>10889.531346417161</v>
      </c>
      <c r="BF137" s="34">
        <f t="shared" ca="1" si="35"/>
        <v>10766.019591490511</v>
      </c>
      <c r="BG137" s="34">
        <f t="shared" ca="1" si="35"/>
        <v>0</v>
      </c>
      <c r="BH137" s="34">
        <f t="shared" ca="1" si="35"/>
        <v>0</v>
      </c>
      <c r="BI137" s="34">
        <f t="shared" ca="1" si="35"/>
        <v>0</v>
      </c>
      <c r="BJ137" s="34">
        <f t="shared" ca="1" si="35"/>
        <v>0</v>
      </c>
      <c r="BK137" s="34">
        <f t="shared" ca="1" si="35"/>
        <v>0</v>
      </c>
      <c r="BL137" s="34">
        <f t="shared" ca="1" si="35"/>
        <v>0</v>
      </c>
      <c r="BM137" s="34">
        <f t="shared" ca="1" si="35"/>
        <v>0</v>
      </c>
      <c r="BN137" s="34">
        <f t="shared" ca="1" si="35"/>
        <v>0</v>
      </c>
      <c r="BO137" s="34">
        <f t="shared" ca="1" si="35"/>
        <v>0</v>
      </c>
      <c r="BP137" s="34">
        <f t="shared" ca="1" si="35"/>
        <v>0</v>
      </c>
      <c r="BQ137" s="34">
        <f t="shared" ca="1" si="35"/>
        <v>0</v>
      </c>
      <c r="BR137" s="34">
        <f t="shared" ca="1" si="35"/>
        <v>0</v>
      </c>
      <c r="BS137" s="34">
        <f t="shared" ca="1" si="36"/>
        <v>0</v>
      </c>
      <c r="BT137" s="34">
        <f t="shared" ca="1" si="36"/>
        <v>0</v>
      </c>
      <c r="BU137" s="34">
        <f t="shared" ca="1" si="36"/>
        <v>0</v>
      </c>
      <c r="BV137" s="34">
        <f t="shared" ca="1" si="36"/>
        <v>0</v>
      </c>
      <c r="BW137" s="34">
        <f t="shared" ca="1" si="36"/>
        <v>0</v>
      </c>
      <c r="BX137" s="34">
        <f t="shared" ca="1" si="36"/>
        <v>0</v>
      </c>
      <c r="BY137" s="34">
        <f t="shared" ca="1" si="36"/>
        <v>0</v>
      </c>
      <c r="BZ137" s="34">
        <f t="shared" ca="1" si="36"/>
        <v>0</v>
      </c>
      <c r="CA137" s="34">
        <f t="shared" ca="1" si="36"/>
        <v>0</v>
      </c>
      <c r="CB137" s="34">
        <f t="shared" ca="1" si="36"/>
        <v>0</v>
      </c>
      <c r="CC137" s="34">
        <f t="shared" ca="1" si="36"/>
        <v>0</v>
      </c>
      <c r="CD137" s="34">
        <f t="shared" ca="1" si="36"/>
        <v>0</v>
      </c>
      <c r="CE137" s="34">
        <f t="shared" ca="1" si="36"/>
        <v>0</v>
      </c>
      <c r="CF137" s="34">
        <f t="shared" ca="1" si="36"/>
        <v>0</v>
      </c>
      <c r="CG137" s="34">
        <f t="shared" ca="1" si="36"/>
        <v>0</v>
      </c>
      <c r="CH137" s="34">
        <f t="shared" ca="1" si="36"/>
        <v>0</v>
      </c>
      <c r="CI137" s="34">
        <f t="shared" ca="1" si="37"/>
        <v>0</v>
      </c>
      <c r="CJ137" s="34">
        <f t="shared" ca="1" si="37"/>
        <v>0</v>
      </c>
      <c r="CK137" s="34">
        <f t="shared" ca="1" si="37"/>
        <v>0</v>
      </c>
      <c r="CL137" s="34">
        <f t="shared" ca="1" si="37"/>
        <v>0</v>
      </c>
      <c r="CM137" s="34">
        <f t="shared" ca="1" si="37"/>
        <v>0</v>
      </c>
      <c r="CN137" s="34">
        <f t="shared" ca="1" si="37"/>
        <v>0</v>
      </c>
      <c r="CO137" s="34">
        <f t="shared" ca="1" si="37"/>
        <v>0</v>
      </c>
      <c r="CP137" s="34">
        <f t="shared" ca="1" si="37"/>
        <v>0</v>
      </c>
      <c r="CQ137" s="34">
        <f t="shared" ca="1" si="57"/>
        <v>36890.00530310897</v>
      </c>
      <c r="CR137" s="363">
        <v>0</v>
      </c>
      <c r="CS137" s="34">
        <f t="shared" ca="1" si="58"/>
        <v>36890.00530310897</v>
      </c>
      <c r="CT137" s="233"/>
    </row>
    <row r="138" spans="2:98" x14ac:dyDescent="0.3">
      <c r="B138" s="232"/>
      <c r="C138" s="250">
        <f t="shared" si="59"/>
        <v>2022</v>
      </c>
      <c r="D138" s="263">
        <f t="shared" ca="1" si="38"/>
        <v>31996.667562132399</v>
      </c>
      <c r="E138" s="263">
        <f t="shared" ca="1" si="23"/>
        <v>211.64027282176338</v>
      </c>
      <c r="F138" s="263">
        <f t="shared" ca="1" si="24"/>
        <v>0</v>
      </c>
      <c r="G138" s="263">
        <f t="shared" ca="1" si="39"/>
        <v>33266.509199062981</v>
      </c>
      <c r="H138" s="15"/>
      <c r="I138" s="271">
        <f ca="1">Assumptions!O$68</f>
        <v>4.5</v>
      </c>
      <c r="J138" s="271">
        <f ca="1">Assumptions!P$68</f>
        <v>80</v>
      </c>
      <c r="K138" s="271">
        <f t="shared" ca="1" si="25"/>
        <v>40</v>
      </c>
      <c r="L138" s="15"/>
      <c r="M138" s="35">
        <f t="shared" ca="1" si="40"/>
        <v>4.2299999999999995</v>
      </c>
      <c r="N138" s="35">
        <f t="shared" ca="1" si="26"/>
        <v>74.400000000000006</v>
      </c>
      <c r="O138" s="35">
        <f t="shared" ca="1" si="27"/>
        <v>37.200000000000003</v>
      </c>
      <c r="P138" s="15"/>
      <c r="Q138" s="34">
        <f t="shared" ca="1" si="41"/>
        <v>135345.90378782005</v>
      </c>
      <c r="R138" s="34">
        <f t="shared" ca="1" si="41"/>
        <v>15746.036297939196</v>
      </c>
      <c r="S138" s="34">
        <f t="shared" ca="1" si="41"/>
        <v>0</v>
      </c>
      <c r="T138" s="34">
        <f t="shared" ca="1" si="42"/>
        <v>151091.94008575924</v>
      </c>
      <c r="U138" s="15"/>
      <c r="V138" s="35">
        <f t="shared" si="43"/>
        <v>0.31</v>
      </c>
      <c r="W138" s="34">
        <f t="shared" ca="1" si="44"/>
        <v>10312.617851709523</v>
      </c>
      <c r="X138" s="35">
        <f t="shared" si="45"/>
        <v>0.37</v>
      </c>
      <c r="Y138" s="34">
        <f t="shared" ca="1" si="46"/>
        <v>12308.608403653303</v>
      </c>
      <c r="Z138" s="35">
        <f t="shared" si="47"/>
        <v>0.57999999999999996</v>
      </c>
      <c r="AA138" s="34">
        <f t="shared" ca="1" si="48"/>
        <v>19294.575335456528</v>
      </c>
      <c r="AB138" s="34">
        <f t="shared" ca="1" si="49"/>
        <v>41915.801590819348</v>
      </c>
      <c r="AC138" s="15"/>
      <c r="AD138" s="34">
        <f t="shared" ca="1" si="50"/>
        <v>109176.13849493989</v>
      </c>
      <c r="AE138" s="34">
        <f ca="1"/>
        <v>0</v>
      </c>
      <c r="AF138" s="34">
        <f t="shared" ca="1" si="51"/>
        <v>109176.13849493989</v>
      </c>
      <c r="AG138" s="15"/>
      <c r="AH138" s="272">
        <f t="shared" si="60"/>
        <v>44926</v>
      </c>
      <c r="AI138" s="267">
        <f t="shared" si="28"/>
        <v>8.6666666666666661</v>
      </c>
      <c r="AJ138" s="267">
        <f t="shared" si="29"/>
        <v>0.4377875384583188</v>
      </c>
      <c r="AK138" s="34">
        <f t="shared" ca="1" si="61"/>
        <v>47795.952930084241</v>
      </c>
      <c r="AL138" s="233"/>
      <c r="AN138" s="349"/>
      <c r="AO138" s="237">
        <f t="shared" si="52"/>
        <v>9</v>
      </c>
      <c r="AP138" s="34">
        <f t="shared" ca="1" si="53"/>
        <v>193.47036650761675</v>
      </c>
      <c r="AQ138" s="34">
        <f t="shared" ca="1" si="30"/>
        <v>1.2796995521826688</v>
      </c>
      <c r="AR138" s="34">
        <f t="shared" ca="1" si="31"/>
        <v>0</v>
      </c>
      <c r="AS138" s="34">
        <f t="shared" ca="1" si="54"/>
        <v>201.14856382071275</v>
      </c>
      <c r="AT138" s="350">
        <v>-6.8795713696968644E-2</v>
      </c>
      <c r="AU138" s="34">
        <f ca="1">MIN(AU137*(1+AT138),$AT$126-SUM(AU$129:AU137))</f>
        <v>201.14856382071275</v>
      </c>
      <c r="AV138" s="348"/>
      <c r="AW138" s="34">
        <f t="shared" ca="1" si="55"/>
        <v>193.47036650761675</v>
      </c>
      <c r="AX138" s="34">
        <f t="shared" ca="1" si="32"/>
        <v>1.2796995521826688</v>
      </c>
      <c r="AY138" s="34">
        <f t="shared" ca="1" si="33"/>
        <v>0</v>
      </c>
      <c r="AZ138" s="34">
        <f t="shared" ca="1" si="34"/>
        <v>201.14856382071275</v>
      </c>
      <c r="BA138" s="365"/>
      <c r="BB138" s="34">
        <f t="shared" ca="1" si="56"/>
        <v>2457.1441328997248</v>
      </c>
      <c r="BC138" s="34">
        <f t="shared" ca="1" si="35"/>
        <v>4397.789273241031</v>
      </c>
      <c r="BD138" s="34">
        <f t="shared" ca="1" si="35"/>
        <v>7146.8605557805749</v>
      </c>
      <c r="BE138" s="34">
        <f t="shared" ca="1" si="35"/>
        <v>9789.0088717537019</v>
      </c>
      <c r="BF138" s="34">
        <f t="shared" ca="1" si="35"/>
        <v>9475.7063653879504</v>
      </c>
      <c r="BG138" s="34">
        <f t="shared" ca="1" si="35"/>
        <v>0</v>
      </c>
      <c r="BH138" s="34">
        <f t="shared" ca="1" si="35"/>
        <v>0</v>
      </c>
      <c r="BI138" s="34">
        <f t="shared" ca="1" si="35"/>
        <v>0</v>
      </c>
      <c r="BJ138" s="34">
        <f t="shared" ca="1" si="35"/>
        <v>0</v>
      </c>
      <c r="BK138" s="34">
        <f t="shared" ca="1" si="35"/>
        <v>0</v>
      </c>
      <c r="BL138" s="34">
        <f t="shared" ca="1" si="35"/>
        <v>0</v>
      </c>
      <c r="BM138" s="34">
        <f t="shared" ca="1" si="35"/>
        <v>0</v>
      </c>
      <c r="BN138" s="34">
        <f t="shared" ca="1" si="35"/>
        <v>0</v>
      </c>
      <c r="BO138" s="34">
        <f t="shared" ca="1" si="35"/>
        <v>0</v>
      </c>
      <c r="BP138" s="34">
        <f t="shared" ca="1" si="35"/>
        <v>0</v>
      </c>
      <c r="BQ138" s="34">
        <f t="shared" ca="1" si="35"/>
        <v>0</v>
      </c>
      <c r="BR138" s="34">
        <f t="shared" ca="1" si="35"/>
        <v>0</v>
      </c>
      <c r="BS138" s="34">
        <f t="shared" ca="1" si="36"/>
        <v>0</v>
      </c>
      <c r="BT138" s="34">
        <f t="shared" ca="1" si="36"/>
        <v>0</v>
      </c>
      <c r="BU138" s="34">
        <f t="shared" ca="1" si="36"/>
        <v>0</v>
      </c>
      <c r="BV138" s="34">
        <f t="shared" ca="1" si="36"/>
        <v>0</v>
      </c>
      <c r="BW138" s="34">
        <f t="shared" ca="1" si="36"/>
        <v>0</v>
      </c>
      <c r="BX138" s="34">
        <f t="shared" ca="1" si="36"/>
        <v>0</v>
      </c>
      <c r="BY138" s="34">
        <f t="shared" ca="1" si="36"/>
        <v>0</v>
      </c>
      <c r="BZ138" s="34">
        <f t="shared" ca="1" si="36"/>
        <v>0</v>
      </c>
      <c r="CA138" s="34">
        <f t="shared" ca="1" si="36"/>
        <v>0</v>
      </c>
      <c r="CB138" s="34">
        <f t="shared" ca="1" si="36"/>
        <v>0</v>
      </c>
      <c r="CC138" s="34">
        <f t="shared" ca="1" si="36"/>
        <v>0</v>
      </c>
      <c r="CD138" s="34">
        <f t="shared" ca="1" si="36"/>
        <v>0</v>
      </c>
      <c r="CE138" s="34">
        <f t="shared" ca="1" si="36"/>
        <v>0</v>
      </c>
      <c r="CF138" s="34">
        <f t="shared" ca="1" si="36"/>
        <v>0</v>
      </c>
      <c r="CG138" s="34">
        <f t="shared" ca="1" si="36"/>
        <v>0</v>
      </c>
      <c r="CH138" s="34">
        <f t="shared" ca="1" si="36"/>
        <v>0</v>
      </c>
      <c r="CI138" s="34">
        <f t="shared" ca="1" si="37"/>
        <v>0</v>
      </c>
      <c r="CJ138" s="34">
        <f t="shared" ca="1" si="37"/>
        <v>0</v>
      </c>
      <c r="CK138" s="34">
        <f t="shared" ca="1" si="37"/>
        <v>0</v>
      </c>
      <c r="CL138" s="34">
        <f t="shared" ca="1" si="37"/>
        <v>0</v>
      </c>
      <c r="CM138" s="34">
        <f t="shared" ca="1" si="37"/>
        <v>0</v>
      </c>
      <c r="CN138" s="34">
        <f t="shared" ca="1" si="37"/>
        <v>0</v>
      </c>
      <c r="CO138" s="34">
        <f t="shared" ca="1" si="37"/>
        <v>0</v>
      </c>
      <c r="CP138" s="34">
        <f t="shared" ca="1" si="37"/>
        <v>0</v>
      </c>
      <c r="CQ138" s="34">
        <f t="shared" ca="1" si="57"/>
        <v>33266.509199062981</v>
      </c>
      <c r="CR138" s="363">
        <v>0</v>
      </c>
      <c r="CS138" s="34">
        <f t="shared" ca="1" si="58"/>
        <v>33266.509199062981</v>
      </c>
      <c r="CT138" s="233"/>
    </row>
    <row r="139" spans="2:98" x14ac:dyDescent="0.3">
      <c r="B139" s="232"/>
      <c r="C139" s="250">
        <f t="shared" si="59"/>
        <v>2023</v>
      </c>
      <c r="D139" s="263">
        <f t="shared" ca="1" si="38"/>
        <v>29285.660718416912</v>
      </c>
      <c r="E139" s="263">
        <f t="shared" ca="1" si="23"/>
        <v>193.70846080066875</v>
      </c>
      <c r="F139" s="263">
        <f t="shared" ca="1" si="24"/>
        <v>0</v>
      </c>
      <c r="G139" s="263">
        <f t="shared" ca="1" si="39"/>
        <v>30447.911483220923</v>
      </c>
      <c r="H139" s="15"/>
      <c r="I139" s="271">
        <f ca="1">Assumptions!O$68</f>
        <v>4.5</v>
      </c>
      <c r="J139" s="271">
        <f ca="1">Assumptions!P$68</f>
        <v>80</v>
      </c>
      <c r="K139" s="271">
        <f t="shared" ca="1" si="25"/>
        <v>40</v>
      </c>
      <c r="L139" s="15"/>
      <c r="M139" s="35">
        <f t="shared" ca="1" si="40"/>
        <v>4.2299999999999995</v>
      </c>
      <c r="N139" s="35">
        <f t="shared" ca="1" si="26"/>
        <v>74.400000000000006</v>
      </c>
      <c r="O139" s="35">
        <f t="shared" ca="1" si="27"/>
        <v>37.200000000000003</v>
      </c>
      <c r="P139" s="15"/>
      <c r="Q139" s="34">
        <f t="shared" ca="1" si="41"/>
        <v>123878.34483890352</v>
      </c>
      <c r="R139" s="34">
        <f t="shared" ca="1" si="41"/>
        <v>14411.909483569756</v>
      </c>
      <c r="S139" s="34">
        <f t="shared" ca="1" si="41"/>
        <v>0</v>
      </c>
      <c r="T139" s="34">
        <f t="shared" ca="1" si="42"/>
        <v>138290.25432247328</v>
      </c>
      <c r="U139" s="15"/>
      <c r="V139" s="35">
        <f t="shared" si="43"/>
        <v>0.31</v>
      </c>
      <c r="W139" s="34">
        <f t="shared" ca="1" si="44"/>
        <v>9438.8525597984863</v>
      </c>
      <c r="X139" s="35">
        <f t="shared" si="45"/>
        <v>0.37</v>
      </c>
      <c r="Y139" s="34">
        <f t="shared" ca="1" si="46"/>
        <v>11265.727248791742</v>
      </c>
      <c r="Z139" s="35">
        <f t="shared" si="47"/>
        <v>0.57999999999999996</v>
      </c>
      <c r="AA139" s="34">
        <f t="shared" ca="1" si="48"/>
        <v>17659.788660268136</v>
      </c>
      <c r="AB139" s="34">
        <f t="shared" ca="1" si="49"/>
        <v>38364.36846885836</v>
      </c>
      <c r="AC139" s="15"/>
      <c r="AD139" s="34">
        <f t="shared" ca="1" si="50"/>
        <v>99925.88585361492</v>
      </c>
      <c r="AE139" s="34">
        <f ca="1"/>
        <v>0</v>
      </c>
      <c r="AF139" s="34">
        <f t="shared" ca="1" si="51"/>
        <v>99925.88585361492</v>
      </c>
      <c r="AG139" s="15"/>
      <c r="AH139" s="272">
        <f t="shared" si="60"/>
        <v>45291</v>
      </c>
      <c r="AI139" s="267">
        <f t="shared" si="28"/>
        <v>9.6666666666666661</v>
      </c>
      <c r="AJ139" s="267">
        <f t="shared" si="29"/>
        <v>0.39798867132574434</v>
      </c>
      <c r="AK139" s="34">
        <f t="shared" ca="1" si="61"/>
        <v>39769.370541928191</v>
      </c>
      <c r="AL139" s="233"/>
      <c r="AN139" s="349"/>
      <c r="AO139" s="237">
        <f t="shared" si="52"/>
        <v>10</v>
      </c>
      <c r="AP139" s="34">
        <f t="shared" ca="1" si="53"/>
        <v>181.43914062862891</v>
      </c>
      <c r="AQ139" s="34">
        <f t="shared" ca="1" si="30"/>
        <v>1.2001196421040723</v>
      </c>
      <c r="AR139" s="34">
        <f t="shared" ca="1" si="31"/>
        <v>0</v>
      </c>
      <c r="AS139" s="34">
        <f t="shared" ca="1" si="54"/>
        <v>188.63985848125333</v>
      </c>
      <c r="AT139" s="350">
        <v>-6.2186401443107699E-2</v>
      </c>
      <c r="AU139" s="34">
        <f ca="1">MIN(AU138*(1+AT139),$AT$126-SUM(AU$129:AU138))</f>
        <v>188.63985848125333</v>
      </c>
      <c r="AV139" s="348"/>
      <c r="AW139" s="34">
        <f t="shared" ca="1" si="55"/>
        <v>181.43914062862891</v>
      </c>
      <c r="AX139" s="34">
        <f t="shared" ca="1" si="32"/>
        <v>1.2001196421040723</v>
      </c>
      <c r="AY139" s="34">
        <f t="shared" ca="1" si="33"/>
        <v>0</v>
      </c>
      <c r="AZ139" s="34">
        <f t="shared" ca="1" si="34"/>
        <v>188.63985848125333</v>
      </c>
      <c r="BB139" s="34">
        <f t="shared" ca="1" si="56"/>
        <v>2304.3431814476457</v>
      </c>
      <c r="BC139" s="34">
        <f t="shared" ca="1" si="35"/>
        <v>4095.2402214995409</v>
      </c>
      <c r="BD139" s="34">
        <f t="shared" ca="1" si="35"/>
        <v>6596.6839098615465</v>
      </c>
      <c r="BE139" s="34">
        <f t="shared" ca="1" si="35"/>
        <v>8933.5756947257196</v>
      </c>
      <c r="BF139" s="34">
        <f t="shared" ca="1" si="35"/>
        <v>8518.0684756864703</v>
      </c>
      <c r="BG139" s="34">
        <f t="shared" ca="1" si="35"/>
        <v>0</v>
      </c>
      <c r="BH139" s="34">
        <f t="shared" ca="1" si="35"/>
        <v>0</v>
      </c>
      <c r="BI139" s="34">
        <f t="shared" ca="1" si="35"/>
        <v>0</v>
      </c>
      <c r="BJ139" s="34">
        <f t="shared" ca="1" si="35"/>
        <v>0</v>
      </c>
      <c r="BK139" s="34">
        <f t="shared" ca="1" si="35"/>
        <v>0</v>
      </c>
      <c r="BL139" s="34">
        <f t="shared" ca="1" si="35"/>
        <v>0</v>
      </c>
      <c r="BM139" s="34">
        <f t="shared" ca="1" si="35"/>
        <v>0</v>
      </c>
      <c r="BN139" s="34">
        <f t="shared" ca="1" si="35"/>
        <v>0</v>
      </c>
      <c r="BO139" s="34">
        <f t="shared" ca="1" si="35"/>
        <v>0</v>
      </c>
      <c r="BP139" s="34">
        <f t="shared" ca="1" si="35"/>
        <v>0</v>
      </c>
      <c r="BQ139" s="34">
        <f t="shared" ca="1" si="35"/>
        <v>0</v>
      </c>
      <c r="BR139" s="34">
        <f t="shared" ca="1" si="35"/>
        <v>0</v>
      </c>
      <c r="BS139" s="34">
        <f t="shared" ca="1" si="36"/>
        <v>0</v>
      </c>
      <c r="BT139" s="34">
        <f t="shared" ca="1" si="36"/>
        <v>0</v>
      </c>
      <c r="BU139" s="34">
        <f t="shared" ca="1" si="36"/>
        <v>0</v>
      </c>
      <c r="BV139" s="34">
        <f t="shared" ca="1" si="36"/>
        <v>0</v>
      </c>
      <c r="BW139" s="34">
        <f t="shared" ca="1" si="36"/>
        <v>0</v>
      </c>
      <c r="BX139" s="34">
        <f t="shared" ca="1" si="36"/>
        <v>0</v>
      </c>
      <c r="BY139" s="34">
        <f t="shared" ca="1" si="36"/>
        <v>0</v>
      </c>
      <c r="BZ139" s="34">
        <f t="shared" ca="1" si="36"/>
        <v>0</v>
      </c>
      <c r="CA139" s="34">
        <f t="shared" ca="1" si="36"/>
        <v>0</v>
      </c>
      <c r="CB139" s="34">
        <f t="shared" ca="1" si="36"/>
        <v>0</v>
      </c>
      <c r="CC139" s="34">
        <f t="shared" ca="1" si="36"/>
        <v>0</v>
      </c>
      <c r="CD139" s="34">
        <f t="shared" ca="1" si="36"/>
        <v>0</v>
      </c>
      <c r="CE139" s="34">
        <f t="shared" ca="1" si="36"/>
        <v>0</v>
      </c>
      <c r="CF139" s="34">
        <f t="shared" ca="1" si="36"/>
        <v>0</v>
      </c>
      <c r="CG139" s="34">
        <f t="shared" ca="1" si="36"/>
        <v>0</v>
      </c>
      <c r="CH139" s="34">
        <f t="shared" ca="1" si="36"/>
        <v>0</v>
      </c>
      <c r="CI139" s="34">
        <f t="shared" ca="1" si="37"/>
        <v>0</v>
      </c>
      <c r="CJ139" s="34">
        <f t="shared" ca="1" si="37"/>
        <v>0</v>
      </c>
      <c r="CK139" s="34">
        <f t="shared" ca="1" si="37"/>
        <v>0</v>
      </c>
      <c r="CL139" s="34">
        <f t="shared" ca="1" si="37"/>
        <v>0</v>
      </c>
      <c r="CM139" s="34">
        <f t="shared" ca="1" si="37"/>
        <v>0</v>
      </c>
      <c r="CN139" s="34">
        <f t="shared" ca="1" si="37"/>
        <v>0</v>
      </c>
      <c r="CO139" s="34">
        <f t="shared" ca="1" si="37"/>
        <v>0</v>
      </c>
      <c r="CP139" s="34">
        <f t="shared" ca="1" si="37"/>
        <v>0</v>
      </c>
      <c r="CQ139" s="34">
        <f t="shared" ca="1" si="57"/>
        <v>30447.911483220923</v>
      </c>
      <c r="CR139" s="363">
        <v>0</v>
      </c>
      <c r="CS139" s="34">
        <f t="shared" ca="1" si="58"/>
        <v>30447.911483220923</v>
      </c>
      <c r="CT139" s="233"/>
    </row>
    <row r="140" spans="2:98" x14ac:dyDescent="0.3">
      <c r="B140" s="232"/>
      <c r="C140" s="250">
        <f t="shared" si="59"/>
        <v>2024</v>
      </c>
      <c r="D140" s="263">
        <f t="shared" ca="1" si="38"/>
        <v>27101.036386815256</v>
      </c>
      <c r="E140" s="263">
        <f t="shared" ca="1" si="23"/>
        <v>179.25837818955253</v>
      </c>
      <c r="F140" s="263">
        <f t="shared" ca="1" si="24"/>
        <v>0</v>
      </c>
      <c r="G140" s="263">
        <f t="shared" ca="1" si="39"/>
        <v>28176.586655952571</v>
      </c>
      <c r="H140" s="15"/>
      <c r="I140" s="271">
        <f ca="1">Assumptions!O$68</f>
        <v>4.5</v>
      </c>
      <c r="J140" s="271">
        <f ca="1">Assumptions!P$68</f>
        <v>80</v>
      </c>
      <c r="K140" s="271">
        <f t="shared" ca="1" si="25"/>
        <v>40</v>
      </c>
      <c r="L140" s="15"/>
      <c r="M140" s="35">
        <f t="shared" ca="1" si="40"/>
        <v>4.2299999999999995</v>
      </c>
      <c r="N140" s="35">
        <f t="shared" ca="1" si="26"/>
        <v>74.400000000000006</v>
      </c>
      <c r="O140" s="35">
        <f t="shared" ca="1" si="27"/>
        <v>37.200000000000003</v>
      </c>
      <c r="P140" s="15"/>
      <c r="Q140" s="34">
        <f t="shared" ca="1" si="41"/>
        <v>114637.38391622851</v>
      </c>
      <c r="R140" s="34">
        <f t="shared" ca="1" si="41"/>
        <v>13336.823337302709</v>
      </c>
      <c r="S140" s="34">
        <f t="shared" ca="1" si="41"/>
        <v>0</v>
      </c>
      <c r="T140" s="34">
        <f t="shared" ca="1" si="42"/>
        <v>127974.20725353122</v>
      </c>
      <c r="U140" s="15"/>
      <c r="V140" s="35">
        <f t="shared" si="43"/>
        <v>0.31</v>
      </c>
      <c r="W140" s="34">
        <f t="shared" ca="1" si="44"/>
        <v>8734.7418633452962</v>
      </c>
      <c r="X140" s="35">
        <f t="shared" si="45"/>
        <v>0.37</v>
      </c>
      <c r="Y140" s="34">
        <f t="shared" ca="1" si="46"/>
        <v>10425.337062702451</v>
      </c>
      <c r="Z140" s="35">
        <f t="shared" si="47"/>
        <v>0.57999999999999996</v>
      </c>
      <c r="AA140" s="34">
        <f t="shared" ca="1" si="48"/>
        <v>16342.420260452491</v>
      </c>
      <c r="AB140" s="34">
        <f t="shared" ca="1" si="49"/>
        <v>35502.499186500238</v>
      </c>
      <c r="AC140" s="15"/>
      <c r="AD140" s="34">
        <f t="shared" ca="1" si="50"/>
        <v>92471.708067030981</v>
      </c>
      <c r="AE140" s="34">
        <f ca="1"/>
        <v>0</v>
      </c>
      <c r="AF140" s="34">
        <f t="shared" ca="1" si="51"/>
        <v>92471.708067030981</v>
      </c>
      <c r="AG140" s="15"/>
      <c r="AH140" s="272">
        <f t="shared" si="60"/>
        <v>45657</v>
      </c>
      <c r="AI140" s="267">
        <f t="shared" si="28"/>
        <v>10.666666666666666</v>
      </c>
      <c r="AJ140" s="267">
        <f t="shared" si="29"/>
        <v>0.36180788302340394</v>
      </c>
      <c r="AK140" s="34">
        <f t="shared" ca="1" si="61"/>
        <v>33456.992935290706</v>
      </c>
      <c r="AL140" s="233"/>
      <c r="AN140" s="349"/>
      <c r="AO140" s="237">
        <f t="shared" si="52"/>
        <v>11</v>
      </c>
      <c r="AP140" s="34">
        <f t="shared" ca="1" si="53"/>
        <v>171.14472578090351</v>
      </c>
      <c r="AQ140" s="34">
        <f t="shared" ca="1" si="30"/>
        <v>1.1320277771408758</v>
      </c>
      <c r="AR140" s="34">
        <f t="shared" ca="1" si="31"/>
        <v>0</v>
      </c>
      <c r="AS140" s="34">
        <f t="shared" ca="1" si="54"/>
        <v>177.93689244374877</v>
      </c>
      <c r="AT140" s="350">
        <v>-5.6737563968052858E-2</v>
      </c>
      <c r="AU140" s="34">
        <f ca="1">MIN(AU139*(1+AT140),$AT$126-SUM(AU$129:AU139))</f>
        <v>177.93689244374877</v>
      </c>
      <c r="AV140" s="348"/>
      <c r="AW140" s="34">
        <f t="shared" ca="1" si="55"/>
        <v>171.14472578090351</v>
      </c>
      <c r="AX140" s="34">
        <f t="shared" ca="1" si="32"/>
        <v>1.1320277771408758</v>
      </c>
      <c r="AY140" s="34">
        <f t="shared" ca="1" si="33"/>
        <v>0</v>
      </c>
      <c r="AZ140" s="34">
        <f t="shared" ca="1" si="34"/>
        <v>177.93689244374877</v>
      </c>
      <c r="BB140" s="34">
        <f t="shared" ca="1" si="56"/>
        <v>2173.6003627859136</v>
      </c>
      <c r="BC140" s="34">
        <f t="shared" ca="1" si="35"/>
        <v>3840.571969079409</v>
      </c>
      <c r="BD140" s="34">
        <f t="shared" ca="1" si="35"/>
        <v>6142.8603322493118</v>
      </c>
      <c r="BE140" s="34">
        <f t="shared" ca="1" si="35"/>
        <v>8245.8548873269337</v>
      </c>
      <c r="BF140" s="34">
        <f t="shared" ca="1" si="35"/>
        <v>7773.6991045110017</v>
      </c>
      <c r="BG140" s="34">
        <f t="shared" ca="1" si="35"/>
        <v>0</v>
      </c>
      <c r="BH140" s="34">
        <f t="shared" ca="1" si="35"/>
        <v>0</v>
      </c>
      <c r="BI140" s="34">
        <f t="shared" ca="1" si="35"/>
        <v>0</v>
      </c>
      <c r="BJ140" s="34">
        <f t="shared" ca="1" si="35"/>
        <v>0</v>
      </c>
      <c r="BK140" s="34">
        <f t="shared" ca="1" si="35"/>
        <v>0</v>
      </c>
      <c r="BL140" s="34">
        <f t="shared" ca="1" si="35"/>
        <v>0</v>
      </c>
      <c r="BM140" s="34">
        <f t="shared" ca="1" si="35"/>
        <v>0</v>
      </c>
      <c r="BN140" s="34">
        <f t="shared" ca="1" si="35"/>
        <v>0</v>
      </c>
      <c r="BO140" s="34">
        <f t="shared" ca="1" si="35"/>
        <v>0</v>
      </c>
      <c r="BP140" s="34">
        <f t="shared" ca="1" si="35"/>
        <v>0</v>
      </c>
      <c r="BQ140" s="34">
        <f t="shared" ca="1" si="35"/>
        <v>0</v>
      </c>
      <c r="BR140" s="34">
        <f t="shared" ca="1" si="35"/>
        <v>0</v>
      </c>
      <c r="BS140" s="34">
        <f t="shared" ca="1" si="36"/>
        <v>0</v>
      </c>
      <c r="BT140" s="34">
        <f t="shared" ca="1" si="36"/>
        <v>0</v>
      </c>
      <c r="BU140" s="34">
        <f t="shared" ca="1" si="36"/>
        <v>0</v>
      </c>
      <c r="BV140" s="34">
        <f t="shared" ca="1" si="36"/>
        <v>0</v>
      </c>
      <c r="BW140" s="34">
        <f t="shared" ca="1" si="36"/>
        <v>0</v>
      </c>
      <c r="BX140" s="34">
        <f t="shared" ca="1" si="36"/>
        <v>0</v>
      </c>
      <c r="BY140" s="34">
        <f t="shared" ca="1" si="36"/>
        <v>0</v>
      </c>
      <c r="BZ140" s="34">
        <f t="shared" ca="1" si="36"/>
        <v>0</v>
      </c>
      <c r="CA140" s="34">
        <f t="shared" ca="1" si="36"/>
        <v>0</v>
      </c>
      <c r="CB140" s="34">
        <f t="shared" ca="1" si="36"/>
        <v>0</v>
      </c>
      <c r="CC140" s="34">
        <f t="shared" ca="1" si="36"/>
        <v>0</v>
      </c>
      <c r="CD140" s="34">
        <f t="shared" ca="1" si="36"/>
        <v>0</v>
      </c>
      <c r="CE140" s="34">
        <f t="shared" ca="1" si="36"/>
        <v>0</v>
      </c>
      <c r="CF140" s="34">
        <f t="shared" ca="1" si="36"/>
        <v>0</v>
      </c>
      <c r="CG140" s="34">
        <f t="shared" ca="1" si="36"/>
        <v>0</v>
      </c>
      <c r="CH140" s="34">
        <f t="shared" ca="1" si="36"/>
        <v>0</v>
      </c>
      <c r="CI140" s="34">
        <f t="shared" ca="1" si="37"/>
        <v>0</v>
      </c>
      <c r="CJ140" s="34">
        <f t="shared" ca="1" si="37"/>
        <v>0</v>
      </c>
      <c r="CK140" s="34">
        <f t="shared" ca="1" si="37"/>
        <v>0</v>
      </c>
      <c r="CL140" s="34">
        <f t="shared" ca="1" si="37"/>
        <v>0</v>
      </c>
      <c r="CM140" s="34">
        <f t="shared" ca="1" si="37"/>
        <v>0</v>
      </c>
      <c r="CN140" s="34">
        <f t="shared" ca="1" si="37"/>
        <v>0</v>
      </c>
      <c r="CO140" s="34">
        <f t="shared" ca="1" si="37"/>
        <v>0</v>
      </c>
      <c r="CP140" s="34">
        <f t="shared" ca="1" si="37"/>
        <v>0</v>
      </c>
      <c r="CQ140" s="34">
        <f t="shared" ca="1" si="57"/>
        <v>28176.586655952571</v>
      </c>
      <c r="CR140" s="363">
        <v>0</v>
      </c>
      <c r="CS140" s="34">
        <f t="shared" ca="1" si="58"/>
        <v>28176.586655952571</v>
      </c>
      <c r="CT140" s="233"/>
    </row>
    <row r="141" spans="2:98" x14ac:dyDescent="0.3">
      <c r="B141" s="232"/>
      <c r="C141" s="250">
        <f t="shared" si="59"/>
        <v>2025</v>
      </c>
      <c r="D141" s="263">
        <f t="shared" ca="1" si="38"/>
        <v>25293.751368477399</v>
      </c>
      <c r="E141" s="263">
        <f t="shared" ca="1" si="23"/>
        <v>167.30418659741352</v>
      </c>
      <c r="F141" s="263">
        <f t="shared" ca="1" si="24"/>
        <v>0</v>
      </c>
      <c r="G141" s="263">
        <f t="shared" ca="1" si="39"/>
        <v>26297.576488061881</v>
      </c>
      <c r="H141" s="15"/>
      <c r="I141" s="271">
        <f ca="1">Assumptions!O$68</f>
        <v>4.5</v>
      </c>
      <c r="J141" s="271">
        <f ca="1">Assumptions!P$68</f>
        <v>80</v>
      </c>
      <c r="K141" s="271">
        <f t="shared" ca="1" si="25"/>
        <v>40</v>
      </c>
      <c r="L141" s="15"/>
      <c r="M141" s="35">
        <f t="shared" ca="1" si="40"/>
        <v>4.2299999999999995</v>
      </c>
      <c r="N141" s="35">
        <f t="shared" ca="1" si="26"/>
        <v>74.400000000000006</v>
      </c>
      <c r="O141" s="35">
        <f t="shared" ca="1" si="27"/>
        <v>37.200000000000003</v>
      </c>
      <c r="P141" s="15"/>
      <c r="Q141" s="34">
        <f t="shared" ca="1" si="41"/>
        <v>106992.56828865939</v>
      </c>
      <c r="R141" s="34">
        <f t="shared" ca="1" si="41"/>
        <v>12447.431482847567</v>
      </c>
      <c r="S141" s="34">
        <f t="shared" ca="1" si="41"/>
        <v>0</v>
      </c>
      <c r="T141" s="34">
        <f t="shared" ca="1" si="42"/>
        <v>119439.99977150695</v>
      </c>
      <c r="U141" s="15"/>
      <c r="V141" s="35">
        <f t="shared" si="43"/>
        <v>0.31</v>
      </c>
      <c r="W141" s="34">
        <f t="shared" ca="1" si="44"/>
        <v>8152.248711299183</v>
      </c>
      <c r="X141" s="35">
        <f t="shared" si="45"/>
        <v>0.37</v>
      </c>
      <c r="Y141" s="34">
        <f t="shared" ca="1" si="46"/>
        <v>9730.1033005828958</v>
      </c>
      <c r="Z141" s="35">
        <f t="shared" si="47"/>
        <v>0.57999999999999996</v>
      </c>
      <c r="AA141" s="34">
        <f t="shared" ca="1" si="48"/>
        <v>15252.59436307589</v>
      </c>
      <c r="AB141" s="34">
        <f t="shared" ca="1" si="49"/>
        <v>33134.946374957966</v>
      </c>
      <c r="AC141" s="15"/>
      <c r="AD141" s="34">
        <f t="shared" ca="1" si="50"/>
        <v>86305.053396548989</v>
      </c>
      <c r="AE141" s="34">
        <f ca="1"/>
        <v>0</v>
      </c>
      <c r="AF141" s="34">
        <f t="shared" ca="1" si="51"/>
        <v>86305.053396548989</v>
      </c>
      <c r="AG141" s="15"/>
      <c r="AH141" s="272">
        <f t="shared" si="60"/>
        <v>46022</v>
      </c>
      <c r="AI141" s="267">
        <f t="shared" si="28"/>
        <v>11.666666666666666</v>
      </c>
      <c r="AJ141" s="267">
        <f t="shared" si="29"/>
        <v>0.32891625729400353</v>
      </c>
      <c r="AK141" s="34">
        <f t="shared" ca="1" si="61"/>
        <v>28387.135148752022</v>
      </c>
      <c r="AL141" s="233"/>
      <c r="AN141" s="349"/>
      <c r="AO141" s="237">
        <f t="shared" si="52"/>
        <v>12</v>
      </c>
      <c r="AP141" s="34">
        <f t="shared" ca="1" si="53"/>
        <v>162.21648194090452</v>
      </c>
      <c r="AQ141" s="34">
        <f t="shared" ca="1" si="30"/>
        <v>1.0729723783732583</v>
      </c>
      <c r="AR141" s="34">
        <f t="shared" ca="1" si="31"/>
        <v>0</v>
      </c>
      <c r="AS141" s="34">
        <f t="shared" ca="1" si="54"/>
        <v>168.65431621114408</v>
      </c>
      <c r="AT141" s="350">
        <v>-5.2167800084174251E-2</v>
      </c>
      <c r="AU141" s="34">
        <f ca="1">MIN(AU140*(1+AT141),$AT$126-SUM(AU$129:AU140))</f>
        <v>168.65431621114408</v>
      </c>
      <c r="AV141" s="348"/>
      <c r="AW141" s="34">
        <f t="shared" ca="1" si="55"/>
        <v>162.21648194090452</v>
      </c>
      <c r="AX141" s="34">
        <f t="shared" ca="1" si="32"/>
        <v>1.0729723783732583</v>
      </c>
      <c r="AY141" s="34">
        <f t="shared" ca="1" si="33"/>
        <v>0</v>
      </c>
      <c r="AZ141" s="34">
        <f t="shared" ca="1" si="34"/>
        <v>168.65431621114408</v>
      </c>
      <c r="BB141" s="34">
        <f t="shared" ca="1" si="56"/>
        <v>2060.2084135972095</v>
      </c>
      <c r="BC141" s="34">
        <f t="shared" ca="1" si="35"/>
        <v>3622.6672713098551</v>
      </c>
      <c r="BD141" s="34">
        <f t="shared" ca="1" si="35"/>
        <v>5760.8579536191137</v>
      </c>
      <c r="BE141" s="34">
        <f t="shared" ca="1" si="35"/>
        <v>7678.5754153116395</v>
      </c>
      <c r="BF141" s="34">
        <f t="shared" ca="1" si="35"/>
        <v>7175.2674342240625</v>
      </c>
      <c r="BG141" s="34">
        <f t="shared" ca="1" si="35"/>
        <v>0</v>
      </c>
      <c r="BH141" s="34">
        <f t="shared" ca="1" si="35"/>
        <v>0</v>
      </c>
      <c r="BI141" s="34">
        <f t="shared" ca="1" si="35"/>
        <v>0</v>
      </c>
      <c r="BJ141" s="34">
        <f t="shared" ca="1" si="35"/>
        <v>0</v>
      </c>
      <c r="BK141" s="34">
        <f t="shared" ca="1" si="35"/>
        <v>0</v>
      </c>
      <c r="BL141" s="34">
        <f t="shared" ca="1" si="35"/>
        <v>0</v>
      </c>
      <c r="BM141" s="34">
        <f t="shared" ca="1" si="35"/>
        <v>0</v>
      </c>
      <c r="BN141" s="34">
        <f t="shared" ca="1" si="35"/>
        <v>0</v>
      </c>
      <c r="BO141" s="34">
        <f t="shared" ca="1" si="35"/>
        <v>0</v>
      </c>
      <c r="BP141" s="34">
        <f t="shared" ca="1" si="35"/>
        <v>0</v>
      </c>
      <c r="BQ141" s="34">
        <f t="shared" ca="1" si="35"/>
        <v>0</v>
      </c>
      <c r="BR141" s="34">
        <f t="shared" ca="1" si="35"/>
        <v>0</v>
      </c>
      <c r="BS141" s="34">
        <f t="shared" ca="1" si="36"/>
        <v>0</v>
      </c>
      <c r="BT141" s="34">
        <f t="shared" ca="1" si="36"/>
        <v>0</v>
      </c>
      <c r="BU141" s="34">
        <f t="shared" ca="1" si="36"/>
        <v>0</v>
      </c>
      <c r="BV141" s="34">
        <f t="shared" ca="1" si="36"/>
        <v>0</v>
      </c>
      <c r="BW141" s="34">
        <f t="shared" ca="1" si="36"/>
        <v>0</v>
      </c>
      <c r="BX141" s="34">
        <f t="shared" ca="1" si="36"/>
        <v>0</v>
      </c>
      <c r="BY141" s="34">
        <f t="shared" ca="1" si="36"/>
        <v>0</v>
      </c>
      <c r="BZ141" s="34">
        <f t="shared" ca="1" si="36"/>
        <v>0</v>
      </c>
      <c r="CA141" s="34">
        <f t="shared" ca="1" si="36"/>
        <v>0</v>
      </c>
      <c r="CB141" s="34">
        <f t="shared" ca="1" si="36"/>
        <v>0</v>
      </c>
      <c r="CC141" s="34">
        <f t="shared" ca="1" si="36"/>
        <v>0</v>
      </c>
      <c r="CD141" s="34">
        <f t="shared" ca="1" si="36"/>
        <v>0</v>
      </c>
      <c r="CE141" s="34">
        <f t="shared" ca="1" si="36"/>
        <v>0</v>
      </c>
      <c r="CF141" s="34">
        <f t="shared" ca="1" si="36"/>
        <v>0</v>
      </c>
      <c r="CG141" s="34">
        <f t="shared" ca="1" si="36"/>
        <v>0</v>
      </c>
      <c r="CH141" s="34">
        <f t="shared" ca="1" si="36"/>
        <v>0</v>
      </c>
      <c r="CI141" s="34">
        <f t="shared" ca="1" si="37"/>
        <v>0</v>
      </c>
      <c r="CJ141" s="34">
        <f t="shared" ca="1" si="37"/>
        <v>0</v>
      </c>
      <c r="CK141" s="34">
        <f t="shared" ca="1" si="37"/>
        <v>0</v>
      </c>
      <c r="CL141" s="34">
        <f t="shared" ca="1" si="37"/>
        <v>0</v>
      </c>
      <c r="CM141" s="34">
        <f t="shared" ca="1" si="37"/>
        <v>0</v>
      </c>
      <c r="CN141" s="34">
        <f t="shared" ca="1" si="37"/>
        <v>0</v>
      </c>
      <c r="CO141" s="34">
        <f t="shared" ca="1" si="37"/>
        <v>0</v>
      </c>
      <c r="CP141" s="34">
        <f t="shared" ca="1" si="37"/>
        <v>0</v>
      </c>
      <c r="CQ141" s="34">
        <f t="shared" ca="1" si="57"/>
        <v>26297.576488061881</v>
      </c>
      <c r="CR141" s="363">
        <v>0</v>
      </c>
      <c r="CS141" s="34">
        <f t="shared" ca="1" si="58"/>
        <v>26297.576488061881</v>
      </c>
      <c r="CT141" s="233"/>
    </row>
    <row r="142" spans="2:98" x14ac:dyDescent="0.3">
      <c r="B142" s="232"/>
      <c r="C142" s="250">
        <f t="shared" si="59"/>
        <v>2026</v>
      </c>
      <c r="D142" s="263">
        <f t="shared" ca="1" si="38"/>
        <v>23767.867390912725</v>
      </c>
      <c r="E142" s="263">
        <f t="shared" ca="1" si="23"/>
        <v>157.21130737244266</v>
      </c>
      <c r="F142" s="263">
        <f t="shared" ca="1" si="24"/>
        <v>0</v>
      </c>
      <c r="G142" s="263">
        <f t="shared" ca="1" si="39"/>
        <v>24711.13523514738</v>
      </c>
      <c r="H142" s="15"/>
      <c r="I142" s="271">
        <f ca="1">Assumptions!O$68</f>
        <v>4.5</v>
      </c>
      <c r="J142" s="271">
        <f ca="1">Assumptions!P$68</f>
        <v>80</v>
      </c>
      <c r="K142" s="271">
        <f t="shared" ca="1" si="25"/>
        <v>40</v>
      </c>
      <c r="L142" s="15"/>
      <c r="M142" s="35">
        <f t="shared" ca="1" si="40"/>
        <v>4.2299999999999995</v>
      </c>
      <c r="N142" s="35">
        <f t="shared" ca="1" si="26"/>
        <v>74.400000000000006</v>
      </c>
      <c r="O142" s="35">
        <f t="shared" ca="1" si="27"/>
        <v>37.200000000000003</v>
      </c>
      <c r="P142" s="15"/>
      <c r="Q142" s="34">
        <f t="shared" ca="1" si="41"/>
        <v>100538.07906356081</v>
      </c>
      <c r="R142" s="34">
        <f t="shared" ca="1" si="41"/>
        <v>11696.521268509734</v>
      </c>
      <c r="S142" s="34">
        <f t="shared" ca="1" si="41"/>
        <v>0</v>
      </c>
      <c r="T142" s="34">
        <f t="shared" ca="1" si="42"/>
        <v>112234.60033207055</v>
      </c>
      <c r="U142" s="15"/>
      <c r="V142" s="35">
        <f t="shared" si="43"/>
        <v>0.31</v>
      </c>
      <c r="W142" s="34">
        <f t="shared" ca="1" si="44"/>
        <v>7660.4519228956879</v>
      </c>
      <c r="X142" s="35">
        <f t="shared" si="45"/>
        <v>0.37</v>
      </c>
      <c r="Y142" s="34">
        <f t="shared" ca="1" si="46"/>
        <v>9143.1200370045299</v>
      </c>
      <c r="Z142" s="35">
        <f t="shared" si="47"/>
        <v>0.57999999999999996</v>
      </c>
      <c r="AA142" s="34">
        <f t="shared" ca="1" si="48"/>
        <v>14332.458436385479</v>
      </c>
      <c r="AB142" s="34">
        <f t="shared" ca="1" si="49"/>
        <v>31136.0303962857</v>
      </c>
      <c r="AC142" s="15"/>
      <c r="AD142" s="34">
        <f t="shared" ca="1" si="50"/>
        <v>81098.56993578485</v>
      </c>
      <c r="AE142" s="34">
        <f ca="1"/>
        <v>0</v>
      </c>
      <c r="AF142" s="34">
        <f t="shared" ca="1" si="51"/>
        <v>81098.56993578485</v>
      </c>
      <c r="AG142" s="15"/>
      <c r="AH142" s="272">
        <f t="shared" si="60"/>
        <v>46387</v>
      </c>
      <c r="AI142" s="267">
        <f t="shared" si="28"/>
        <v>12.666666666666666</v>
      </c>
      <c r="AJ142" s="267">
        <f t="shared" si="29"/>
        <v>0.29901477935818499</v>
      </c>
      <c r="AK142" s="34">
        <f t="shared" ca="1" si="61"/>
        <v>24249.67099561304</v>
      </c>
      <c r="AL142" s="233"/>
      <c r="AN142" s="349"/>
      <c r="AO142" s="237">
        <f t="shared" si="52"/>
        <v>13</v>
      </c>
      <c r="AP142" s="34">
        <f t="shared" ca="1" si="53"/>
        <v>154.3846588010997</v>
      </c>
      <c r="AQ142" s="34">
        <f t="shared" ca="1" si="30"/>
        <v>1.0211691965956111</v>
      </c>
      <c r="AR142" s="34">
        <f t="shared" ca="1" si="31"/>
        <v>0</v>
      </c>
      <c r="AS142" s="34">
        <f t="shared" ca="1" si="54"/>
        <v>160.51167398067338</v>
      </c>
      <c r="AT142" s="350">
        <v>-4.8280070225280629E-2</v>
      </c>
      <c r="AU142" s="34">
        <f ca="1">MIN(AU141*(1+AT142),$AT$126-SUM(AU$129:AU141))</f>
        <v>160.51167398067338</v>
      </c>
      <c r="AV142" s="348"/>
      <c r="AW142" s="34">
        <f t="shared" ca="1" si="55"/>
        <v>154.3846588010997</v>
      </c>
      <c r="AX142" s="34">
        <f t="shared" ca="1" si="32"/>
        <v>1.0211691965956111</v>
      </c>
      <c r="AY142" s="34">
        <f t="shared" ca="1" si="33"/>
        <v>0</v>
      </c>
      <c r="AZ142" s="34">
        <f t="shared" ca="1" si="34"/>
        <v>160.51167398067338</v>
      </c>
      <c r="BB142" s="34">
        <f t="shared" ca="1" si="56"/>
        <v>1960.7414067100224</v>
      </c>
      <c r="BC142" s="34">
        <f t="shared" ca="1" si="35"/>
        <v>3433.6806893286816</v>
      </c>
      <c r="BD142" s="34">
        <f t="shared" ca="1" si="35"/>
        <v>5434.0009069647831</v>
      </c>
      <c r="BE142" s="34">
        <f t="shared" ca="1" si="35"/>
        <v>7201.0724420238921</v>
      </c>
      <c r="BF142" s="34">
        <f t="shared" ca="1" si="35"/>
        <v>6681.6397901200007</v>
      </c>
      <c r="BG142" s="34">
        <f t="shared" ca="1" si="35"/>
        <v>0</v>
      </c>
      <c r="BH142" s="34">
        <f t="shared" ca="1" si="35"/>
        <v>0</v>
      </c>
      <c r="BI142" s="34">
        <f t="shared" ca="1" si="35"/>
        <v>0</v>
      </c>
      <c r="BJ142" s="34">
        <f t="shared" ca="1" si="35"/>
        <v>0</v>
      </c>
      <c r="BK142" s="34">
        <f t="shared" ca="1" si="35"/>
        <v>0</v>
      </c>
      <c r="BL142" s="34">
        <f t="shared" ca="1" si="35"/>
        <v>0</v>
      </c>
      <c r="BM142" s="34">
        <f t="shared" ca="1" si="35"/>
        <v>0</v>
      </c>
      <c r="BN142" s="34">
        <f t="shared" ca="1" si="35"/>
        <v>0</v>
      </c>
      <c r="BO142" s="34">
        <f t="shared" ca="1" si="35"/>
        <v>0</v>
      </c>
      <c r="BP142" s="34">
        <f t="shared" ca="1" si="35"/>
        <v>0</v>
      </c>
      <c r="BQ142" s="34">
        <f t="shared" ca="1" si="35"/>
        <v>0</v>
      </c>
      <c r="BR142" s="34">
        <f t="shared" ca="1" si="35"/>
        <v>0</v>
      </c>
      <c r="BS142" s="34">
        <f t="shared" ca="1" si="36"/>
        <v>0</v>
      </c>
      <c r="BT142" s="34">
        <f t="shared" ca="1" si="36"/>
        <v>0</v>
      </c>
      <c r="BU142" s="34">
        <f t="shared" ca="1" si="36"/>
        <v>0</v>
      </c>
      <c r="BV142" s="34">
        <f t="shared" ca="1" si="36"/>
        <v>0</v>
      </c>
      <c r="BW142" s="34">
        <f t="shared" ca="1" si="36"/>
        <v>0</v>
      </c>
      <c r="BX142" s="34">
        <f t="shared" ca="1" si="36"/>
        <v>0</v>
      </c>
      <c r="BY142" s="34">
        <f t="shared" ca="1" si="36"/>
        <v>0</v>
      </c>
      <c r="BZ142" s="34">
        <f t="shared" ca="1" si="36"/>
        <v>0</v>
      </c>
      <c r="CA142" s="34">
        <f t="shared" ca="1" si="36"/>
        <v>0</v>
      </c>
      <c r="CB142" s="34">
        <f t="shared" ca="1" si="36"/>
        <v>0</v>
      </c>
      <c r="CC142" s="34">
        <f t="shared" ca="1" si="36"/>
        <v>0</v>
      </c>
      <c r="CD142" s="34">
        <f t="shared" ca="1" si="36"/>
        <v>0</v>
      </c>
      <c r="CE142" s="34">
        <f t="shared" ca="1" si="36"/>
        <v>0</v>
      </c>
      <c r="CF142" s="34">
        <f t="shared" ca="1" si="36"/>
        <v>0</v>
      </c>
      <c r="CG142" s="34">
        <f t="shared" ca="1" si="36"/>
        <v>0</v>
      </c>
      <c r="CH142" s="34">
        <f t="shared" ca="1" si="36"/>
        <v>0</v>
      </c>
      <c r="CI142" s="34">
        <f t="shared" ca="1" si="37"/>
        <v>0</v>
      </c>
      <c r="CJ142" s="34">
        <f t="shared" ca="1" si="37"/>
        <v>0</v>
      </c>
      <c r="CK142" s="34">
        <f t="shared" ca="1" si="37"/>
        <v>0</v>
      </c>
      <c r="CL142" s="34">
        <f t="shared" ca="1" si="37"/>
        <v>0</v>
      </c>
      <c r="CM142" s="34">
        <f t="shared" ca="1" si="37"/>
        <v>0</v>
      </c>
      <c r="CN142" s="34">
        <f t="shared" ca="1" si="37"/>
        <v>0</v>
      </c>
      <c r="CO142" s="34">
        <f t="shared" ca="1" si="37"/>
        <v>0</v>
      </c>
      <c r="CP142" s="34">
        <f t="shared" ca="1" si="37"/>
        <v>0</v>
      </c>
      <c r="CQ142" s="34">
        <f t="shared" ca="1" si="57"/>
        <v>24711.13523514738</v>
      </c>
      <c r="CR142" s="363">
        <v>0</v>
      </c>
      <c r="CS142" s="34">
        <f t="shared" ca="1" si="58"/>
        <v>24711.13523514738</v>
      </c>
      <c r="CT142" s="233"/>
    </row>
    <row r="143" spans="2:98" x14ac:dyDescent="0.3">
      <c r="B143" s="232"/>
      <c r="C143" s="250">
        <f t="shared" si="59"/>
        <v>2027</v>
      </c>
      <c r="D143" s="263">
        <f t="shared" ca="1" si="38"/>
        <v>22458.39894727902</v>
      </c>
      <c r="E143" s="263">
        <f t="shared" ca="1" si="23"/>
        <v>148.54989730141034</v>
      </c>
      <c r="F143" s="263">
        <f t="shared" ca="1" si="24"/>
        <v>0</v>
      </c>
      <c r="G143" s="263">
        <f t="shared" ca="1" si="39"/>
        <v>23349.698331087482</v>
      </c>
      <c r="H143" s="15"/>
      <c r="I143" s="271">
        <f ca="1">Assumptions!O$68</f>
        <v>4.5</v>
      </c>
      <c r="J143" s="271">
        <f ca="1">Assumptions!P$68</f>
        <v>80</v>
      </c>
      <c r="K143" s="271">
        <f t="shared" ca="1" si="25"/>
        <v>40</v>
      </c>
      <c r="L143" s="15"/>
      <c r="M143" s="35">
        <f t="shared" ca="1" si="40"/>
        <v>4.2299999999999995</v>
      </c>
      <c r="N143" s="35">
        <f t="shared" ca="1" si="26"/>
        <v>74.400000000000006</v>
      </c>
      <c r="O143" s="35">
        <f t="shared" ca="1" si="27"/>
        <v>37.200000000000003</v>
      </c>
      <c r="P143" s="15"/>
      <c r="Q143" s="34">
        <f t="shared" ca="1" si="41"/>
        <v>94999.027546990241</v>
      </c>
      <c r="R143" s="34">
        <f t="shared" ca="1" si="41"/>
        <v>11052.11235922493</v>
      </c>
      <c r="S143" s="34">
        <f t="shared" ca="1" si="41"/>
        <v>0</v>
      </c>
      <c r="T143" s="34">
        <f t="shared" ca="1" si="42"/>
        <v>106051.13990621518</v>
      </c>
      <c r="U143" s="15"/>
      <c r="V143" s="35">
        <f t="shared" si="43"/>
        <v>0.31</v>
      </c>
      <c r="W143" s="34">
        <f t="shared" ca="1" si="44"/>
        <v>7238.4064826371196</v>
      </c>
      <c r="X143" s="35">
        <f t="shared" si="45"/>
        <v>0.37</v>
      </c>
      <c r="Y143" s="34">
        <f t="shared" ca="1" si="46"/>
        <v>8639.3883825023677</v>
      </c>
      <c r="Z143" s="35">
        <f t="shared" si="47"/>
        <v>0.57999999999999996</v>
      </c>
      <c r="AA143" s="34">
        <f t="shared" ca="1" si="48"/>
        <v>13542.825032030738</v>
      </c>
      <c r="AB143" s="34">
        <f t="shared" ca="1" si="49"/>
        <v>29420.619897170225</v>
      </c>
      <c r="AC143" s="15"/>
      <c r="AD143" s="34">
        <f t="shared" ca="1" si="50"/>
        <v>76630.520009044951</v>
      </c>
      <c r="AE143" s="34">
        <f ca="1"/>
        <v>0</v>
      </c>
      <c r="AF143" s="34">
        <f t="shared" ca="1" si="51"/>
        <v>76630.520009044951</v>
      </c>
      <c r="AG143" s="15"/>
      <c r="AH143" s="272">
        <f t="shared" si="60"/>
        <v>46752</v>
      </c>
      <c r="AI143" s="267">
        <f t="shared" si="28"/>
        <v>13.666666666666666</v>
      </c>
      <c r="AJ143" s="267">
        <f t="shared" si="29"/>
        <v>0.27183161759835001</v>
      </c>
      <c r="AK143" s="34">
        <f t="shared" ca="1" si="61"/>
        <v>20830.598211461416</v>
      </c>
      <c r="AL143" s="233"/>
      <c r="AN143" s="349"/>
      <c r="AO143" s="237">
        <f t="shared" si="52"/>
        <v>14</v>
      </c>
      <c r="AP143" s="34">
        <f t="shared" ca="1" si="53"/>
        <v>147.4478307150566</v>
      </c>
      <c r="AQ143" s="34">
        <f t="shared" ca="1" si="30"/>
        <v>0.97528591247556973</v>
      </c>
      <c r="AR143" s="34">
        <f t="shared" ca="1" si="31"/>
        <v>0</v>
      </c>
      <c r="AS143" s="34">
        <f t="shared" ca="1" si="54"/>
        <v>153.29954618991002</v>
      </c>
      <c r="AT143" s="350">
        <v>-4.4932107502858379E-2</v>
      </c>
      <c r="AU143" s="34">
        <f ca="1">MIN(AU142*(1+AT143),$AT$126-SUM(AU$129:AU142))</f>
        <v>153.29954618991002</v>
      </c>
      <c r="AV143" s="348"/>
      <c r="AW143" s="34">
        <f t="shared" ca="1" si="55"/>
        <v>147.4478307150566</v>
      </c>
      <c r="AX143" s="34">
        <f t="shared" ca="1" si="32"/>
        <v>0.97528591247556973</v>
      </c>
      <c r="AY143" s="34">
        <f t="shared" ca="1" si="33"/>
        <v>0</v>
      </c>
      <c r="AZ143" s="34">
        <f t="shared" ca="1" si="34"/>
        <v>153.29954618991002</v>
      </c>
      <c r="BB143" s="34">
        <f t="shared" ca="1" si="56"/>
        <v>1872.6411630384221</v>
      </c>
      <c r="BC143" s="34">
        <f t="shared" ca="1" si="35"/>
        <v>3267.9023445167036</v>
      </c>
      <c r="BD143" s="34">
        <f t="shared" ca="1" si="35"/>
        <v>5150.5210339930227</v>
      </c>
      <c r="BE143" s="34">
        <f t="shared" ca="1" si="35"/>
        <v>6792.5011337059786</v>
      </c>
      <c r="BF143" s="34">
        <f t="shared" ca="1" si="35"/>
        <v>6266.1326558333558</v>
      </c>
      <c r="BG143" s="34">
        <f t="shared" ca="1" si="35"/>
        <v>0</v>
      </c>
      <c r="BH143" s="34">
        <f t="shared" ca="1" si="35"/>
        <v>0</v>
      </c>
      <c r="BI143" s="34">
        <f t="shared" ca="1" si="35"/>
        <v>0</v>
      </c>
      <c r="BJ143" s="34">
        <f t="shared" ca="1" si="35"/>
        <v>0</v>
      </c>
      <c r="BK143" s="34">
        <f t="shared" ca="1" si="35"/>
        <v>0</v>
      </c>
      <c r="BL143" s="34">
        <f t="shared" ca="1" si="35"/>
        <v>0</v>
      </c>
      <c r="BM143" s="34">
        <f t="shared" ca="1" si="35"/>
        <v>0</v>
      </c>
      <c r="BN143" s="34">
        <f t="shared" ca="1" si="35"/>
        <v>0</v>
      </c>
      <c r="BO143" s="34">
        <f t="shared" ca="1" si="35"/>
        <v>0</v>
      </c>
      <c r="BP143" s="34">
        <f t="shared" ca="1" si="35"/>
        <v>0</v>
      </c>
      <c r="BQ143" s="34">
        <f t="shared" ca="1" si="35"/>
        <v>0</v>
      </c>
      <c r="BR143" s="34">
        <f t="shared" ca="1" si="35"/>
        <v>0</v>
      </c>
      <c r="BS143" s="34">
        <f t="shared" ca="1" si="36"/>
        <v>0</v>
      </c>
      <c r="BT143" s="34">
        <f t="shared" ca="1" si="36"/>
        <v>0</v>
      </c>
      <c r="BU143" s="34">
        <f t="shared" ca="1" si="36"/>
        <v>0</v>
      </c>
      <c r="BV143" s="34">
        <f t="shared" ca="1" si="36"/>
        <v>0</v>
      </c>
      <c r="BW143" s="34">
        <f t="shared" ca="1" si="36"/>
        <v>0</v>
      </c>
      <c r="BX143" s="34">
        <f t="shared" ca="1" si="36"/>
        <v>0</v>
      </c>
      <c r="BY143" s="34">
        <f t="shared" ca="1" si="36"/>
        <v>0</v>
      </c>
      <c r="BZ143" s="34">
        <f t="shared" ca="1" si="36"/>
        <v>0</v>
      </c>
      <c r="CA143" s="34">
        <f t="shared" ca="1" si="36"/>
        <v>0</v>
      </c>
      <c r="CB143" s="34">
        <f t="shared" ca="1" si="36"/>
        <v>0</v>
      </c>
      <c r="CC143" s="34">
        <f t="shared" ca="1" si="36"/>
        <v>0</v>
      </c>
      <c r="CD143" s="34">
        <f t="shared" ca="1" si="36"/>
        <v>0</v>
      </c>
      <c r="CE143" s="34">
        <f t="shared" ca="1" si="36"/>
        <v>0</v>
      </c>
      <c r="CF143" s="34">
        <f t="shared" ca="1" si="36"/>
        <v>0</v>
      </c>
      <c r="CG143" s="34">
        <f t="shared" ca="1" si="36"/>
        <v>0</v>
      </c>
      <c r="CH143" s="34">
        <f t="shared" ca="1" si="36"/>
        <v>0</v>
      </c>
      <c r="CI143" s="34">
        <f t="shared" ca="1" si="37"/>
        <v>0</v>
      </c>
      <c r="CJ143" s="34">
        <f t="shared" ca="1" si="37"/>
        <v>0</v>
      </c>
      <c r="CK143" s="34">
        <f t="shared" ca="1" si="37"/>
        <v>0</v>
      </c>
      <c r="CL143" s="34">
        <f t="shared" ca="1" si="37"/>
        <v>0</v>
      </c>
      <c r="CM143" s="34">
        <f t="shared" ca="1" si="37"/>
        <v>0</v>
      </c>
      <c r="CN143" s="34">
        <f t="shared" ca="1" si="37"/>
        <v>0</v>
      </c>
      <c r="CO143" s="34">
        <f t="shared" ca="1" si="37"/>
        <v>0</v>
      </c>
      <c r="CP143" s="34">
        <f t="shared" ca="1" si="37"/>
        <v>0</v>
      </c>
      <c r="CQ143" s="34">
        <f t="shared" ca="1" si="57"/>
        <v>23349.698331087482</v>
      </c>
      <c r="CR143" s="363">
        <v>0</v>
      </c>
      <c r="CS143" s="34">
        <f t="shared" ca="1" si="58"/>
        <v>23349.698331087482</v>
      </c>
      <c r="CT143" s="233"/>
    </row>
    <row r="144" spans="2:98" x14ac:dyDescent="0.3">
      <c r="B144" s="232"/>
      <c r="C144" s="250">
        <f t="shared" si="59"/>
        <v>2028</v>
      </c>
      <c r="D144" s="263">
        <f t="shared" ca="1" si="38"/>
        <v>21319.534516682728</v>
      </c>
      <c r="E144" s="263">
        <f t="shared" ca="1" si="23"/>
        <v>141.01693849154802</v>
      </c>
      <c r="F144" s="263">
        <f t="shared" ca="1" si="24"/>
        <v>0</v>
      </c>
      <c r="G144" s="263">
        <f t="shared" ca="1" si="39"/>
        <v>22165.636147632016</v>
      </c>
      <c r="H144" s="15"/>
      <c r="I144" s="271">
        <f ca="1">Assumptions!O$68</f>
        <v>4.5</v>
      </c>
      <c r="J144" s="271">
        <f ca="1">Assumptions!P$68</f>
        <v>80</v>
      </c>
      <c r="K144" s="271">
        <f t="shared" ca="1" si="25"/>
        <v>40</v>
      </c>
      <c r="L144" s="15"/>
      <c r="M144" s="35">
        <f t="shared" ca="1" si="40"/>
        <v>4.2299999999999995</v>
      </c>
      <c r="N144" s="35">
        <f t="shared" ca="1" si="26"/>
        <v>74.400000000000006</v>
      </c>
      <c r="O144" s="35">
        <f t="shared" ca="1" si="27"/>
        <v>37.200000000000003</v>
      </c>
      <c r="P144" s="15"/>
      <c r="Q144" s="34">
        <f t="shared" ca="1" si="41"/>
        <v>90181.631005567935</v>
      </c>
      <c r="R144" s="34">
        <f t="shared" ca="1" si="41"/>
        <v>10491.660223771174</v>
      </c>
      <c r="S144" s="34">
        <f t="shared" ca="1" si="41"/>
        <v>0</v>
      </c>
      <c r="T144" s="34">
        <f t="shared" ca="1" si="42"/>
        <v>100673.29122933911</v>
      </c>
      <c r="U144" s="15"/>
      <c r="V144" s="35">
        <f t="shared" si="43"/>
        <v>0.31</v>
      </c>
      <c r="W144" s="34">
        <f t="shared" ca="1" si="44"/>
        <v>6871.3472057659246</v>
      </c>
      <c r="X144" s="35">
        <f t="shared" si="45"/>
        <v>0.37</v>
      </c>
      <c r="Y144" s="34">
        <f t="shared" ca="1" si="46"/>
        <v>8201.2853746238452</v>
      </c>
      <c r="Z144" s="35">
        <f t="shared" si="47"/>
        <v>0.57999999999999996</v>
      </c>
      <c r="AA144" s="34">
        <f t="shared" ca="1" si="48"/>
        <v>12856.068965626568</v>
      </c>
      <c r="AB144" s="34">
        <f t="shared" ca="1" si="49"/>
        <v>27928.701546016338</v>
      </c>
      <c r="AC144" s="15"/>
      <c r="AD144" s="34">
        <f t="shared" ca="1" si="50"/>
        <v>72744.589683322774</v>
      </c>
      <c r="AE144" s="34">
        <f ca="1"/>
        <v>0</v>
      </c>
      <c r="AF144" s="34">
        <f t="shared" ca="1" si="51"/>
        <v>72744.589683322774</v>
      </c>
      <c r="AG144" s="15"/>
      <c r="AH144" s="272">
        <f t="shared" si="60"/>
        <v>47118</v>
      </c>
      <c r="AI144" s="267">
        <f t="shared" si="28"/>
        <v>14.666666666666666</v>
      </c>
      <c r="AJ144" s="267">
        <f t="shared" si="29"/>
        <v>0.24711965236213634</v>
      </c>
      <c r="AK144" s="34">
        <f t="shared" ca="1" si="61"/>
        <v>17976.617713768974</v>
      </c>
      <c r="AL144" s="233"/>
      <c r="AN144" s="349"/>
      <c r="AO144" s="237">
        <f t="shared" si="52"/>
        <v>15</v>
      </c>
      <c r="AP144" s="34">
        <f t="shared" ca="1" si="53"/>
        <v>141.25226172074025</v>
      </c>
      <c r="AQ144" s="34">
        <f t="shared" ca="1" si="30"/>
        <v>0.93430564758714141</v>
      </c>
      <c r="AR144" s="34">
        <f t="shared" ca="1" si="31"/>
        <v>0</v>
      </c>
      <c r="AS144" s="34">
        <f t="shared" ca="1" si="54"/>
        <v>146.85809560626311</v>
      </c>
      <c r="AT144" s="350">
        <v>-4.2018719192209147E-2</v>
      </c>
      <c r="AU144" s="34">
        <f ca="1">MIN(AU143*(1+AT144),$AT$126-SUM(AU$129:AU143))</f>
        <v>146.85809560626311</v>
      </c>
      <c r="AV144" s="348"/>
      <c r="AW144" s="34">
        <f t="shared" ca="1" si="55"/>
        <v>141.25226172074025</v>
      </c>
      <c r="AX144" s="34">
        <f t="shared" ca="1" si="32"/>
        <v>0.93430564758714141</v>
      </c>
      <c r="AY144" s="34">
        <f t="shared" ca="1" si="33"/>
        <v>0</v>
      </c>
      <c r="AZ144" s="34">
        <f t="shared" ca="1" si="34"/>
        <v>146.85809560626311</v>
      </c>
      <c r="BB144" s="34">
        <f t="shared" ca="1" si="56"/>
        <v>1793.9551798609386</v>
      </c>
      <c r="BC144" s="34">
        <f t="shared" ca="1" si="35"/>
        <v>3121.0686050640361</v>
      </c>
      <c r="BD144" s="34">
        <f t="shared" ca="1" si="35"/>
        <v>4901.8535167750551</v>
      </c>
      <c r="BE144" s="34">
        <f t="shared" ca="1" si="35"/>
        <v>6438.1512924912786</v>
      </c>
      <c r="BF144" s="34">
        <f t="shared" ca="1" si="35"/>
        <v>5910.6075534407055</v>
      </c>
      <c r="BG144" s="34">
        <f t="shared" ca="1" si="35"/>
        <v>0</v>
      </c>
      <c r="BH144" s="34">
        <f t="shared" ca="1" si="35"/>
        <v>0</v>
      </c>
      <c r="BI144" s="34">
        <f t="shared" ca="1" si="35"/>
        <v>0</v>
      </c>
      <c r="BJ144" s="34">
        <f t="shared" ca="1" si="35"/>
        <v>0</v>
      </c>
      <c r="BK144" s="34">
        <f t="shared" ca="1" si="35"/>
        <v>0</v>
      </c>
      <c r="BL144" s="34">
        <f t="shared" ca="1" si="35"/>
        <v>0</v>
      </c>
      <c r="BM144" s="34">
        <f t="shared" ca="1" si="35"/>
        <v>0</v>
      </c>
      <c r="BN144" s="34">
        <f t="shared" ca="1" si="35"/>
        <v>0</v>
      </c>
      <c r="BO144" s="34">
        <f t="shared" ca="1" si="35"/>
        <v>0</v>
      </c>
      <c r="BP144" s="34">
        <f t="shared" ca="1" si="35"/>
        <v>0</v>
      </c>
      <c r="BQ144" s="34">
        <f t="shared" ca="1" si="35"/>
        <v>0</v>
      </c>
      <c r="BR144" s="34">
        <f t="shared" ref="BR144:CG159" ca="1" si="62">IF($AO144&lt;BR$128,0,OFFSET($AZ$128,$AO144-BR$128+1,0)*BR$126)</f>
        <v>0</v>
      </c>
      <c r="BS144" s="34">
        <f t="shared" ca="1" si="36"/>
        <v>0</v>
      </c>
      <c r="BT144" s="34">
        <f t="shared" ca="1" si="36"/>
        <v>0</v>
      </c>
      <c r="BU144" s="34">
        <f t="shared" ca="1" si="36"/>
        <v>0</v>
      </c>
      <c r="BV144" s="34">
        <f t="shared" ca="1" si="36"/>
        <v>0</v>
      </c>
      <c r="BW144" s="34">
        <f t="shared" ca="1" si="36"/>
        <v>0</v>
      </c>
      <c r="BX144" s="34">
        <f t="shared" ca="1" si="36"/>
        <v>0</v>
      </c>
      <c r="BY144" s="34">
        <f t="shared" ca="1" si="36"/>
        <v>0</v>
      </c>
      <c r="BZ144" s="34">
        <f t="shared" ca="1" si="36"/>
        <v>0</v>
      </c>
      <c r="CA144" s="34">
        <f t="shared" ca="1" si="36"/>
        <v>0</v>
      </c>
      <c r="CB144" s="34">
        <f t="shared" ca="1" si="36"/>
        <v>0</v>
      </c>
      <c r="CC144" s="34">
        <f t="shared" ca="1" si="36"/>
        <v>0</v>
      </c>
      <c r="CD144" s="34">
        <f t="shared" ca="1" si="36"/>
        <v>0</v>
      </c>
      <c r="CE144" s="34">
        <f t="shared" ca="1" si="36"/>
        <v>0</v>
      </c>
      <c r="CF144" s="34">
        <f t="shared" ca="1" si="36"/>
        <v>0</v>
      </c>
      <c r="CG144" s="34">
        <f t="shared" ca="1" si="36"/>
        <v>0</v>
      </c>
      <c r="CH144" s="34">
        <f t="shared" ref="CH144:CP159" ca="1" si="63">IF($AO144&lt;CH$128,0,OFFSET($AZ$128,$AO144-CH$128+1,0)*CH$126)</f>
        <v>0</v>
      </c>
      <c r="CI144" s="34">
        <f t="shared" ca="1" si="37"/>
        <v>0</v>
      </c>
      <c r="CJ144" s="34">
        <f t="shared" ca="1" si="37"/>
        <v>0</v>
      </c>
      <c r="CK144" s="34">
        <f t="shared" ca="1" si="37"/>
        <v>0</v>
      </c>
      <c r="CL144" s="34">
        <f t="shared" ca="1" si="37"/>
        <v>0</v>
      </c>
      <c r="CM144" s="34">
        <f t="shared" ca="1" si="37"/>
        <v>0</v>
      </c>
      <c r="CN144" s="34">
        <f t="shared" ca="1" si="37"/>
        <v>0</v>
      </c>
      <c r="CO144" s="34">
        <f t="shared" ca="1" si="37"/>
        <v>0</v>
      </c>
      <c r="CP144" s="34">
        <f t="shared" ca="1" si="37"/>
        <v>0</v>
      </c>
      <c r="CQ144" s="34">
        <f t="shared" ca="1" si="57"/>
        <v>22165.636147632016</v>
      </c>
      <c r="CR144" s="363">
        <v>0</v>
      </c>
      <c r="CS144" s="34">
        <f t="shared" ca="1" si="58"/>
        <v>22165.636147632016</v>
      </c>
      <c r="CT144" s="233"/>
    </row>
    <row r="145" spans="2:98" x14ac:dyDescent="0.3">
      <c r="B145" s="232"/>
      <c r="C145" s="250">
        <f t="shared" si="59"/>
        <v>2029</v>
      </c>
      <c r="D145" s="263">
        <f t="shared" ca="1" si="38"/>
        <v>20317.613032799611</v>
      </c>
      <c r="E145" s="263">
        <f t="shared" ca="1" si="23"/>
        <v>134.38978159206002</v>
      </c>
      <c r="F145" s="263">
        <f t="shared" ca="1" si="24"/>
        <v>0</v>
      </c>
      <c r="G145" s="263">
        <f t="shared" ca="1" si="39"/>
        <v>21123.951722351972</v>
      </c>
      <c r="H145" s="15"/>
      <c r="I145" s="271">
        <f ca="1">Assumptions!O$68</f>
        <v>4.5</v>
      </c>
      <c r="J145" s="271">
        <f ca="1">Assumptions!P$68</f>
        <v>80</v>
      </c>
      <c r="K145" s="271">
        <f t="shared" ca="1" si="25"/>
        <v>40</v>
      </c>
      <c r="L145" s="15"/>
      <c r="M145" s="35">
        <f t="shared" ca="1" si="40"/>
        <v>4.2299999999999995</v>
      </c>
      <c r="N145" s="35">
        <f t="shared" ca="1" si="26"/>
        <v>74.400000000000006</v>
      </c>
      <c r="O145" s="35">
        <f t="shared" ca="1" si="27"/>
        <v>37.200000000000003</v>
      </c>
      <c r="P145" s="15"/>
      <c r="Q145" s="34">
        <f t="shared" ca="1" si="41"/>
        <v>85943.503128742348</v>
      </c>
      <c r="R145" s="34">
        <f t="shared" ca="1" si="41"/>
        <v>9998.5997504492661</v>
      </c>
      <c r="S145" s="34">
        <f t="shared" ca="1" si="41"/>
        <v>0</v>
      </c>
      <c r="T145" s="34">
        <f t="shared" ca="1" si="42"/>
        <v>95942.102879191618</v>
      </c>
      <c r="U145" s="15"/>
      <c r="V145" s="35">
        <f t="shared" si="43"/>
        <v>0.31</v>
      </c>
      <c r="W145" s="34">
        <f t="shared" ca="1" si="44"/>
        <v>6548.4250339291111</v>
      </c>
      <c r="X145" s="35">
        <f t="shared" si="45"/>
        <v>0.37</v>
      </c>
      <c r="Y145" s="34">
        <f t="shared" ca="1" si="46"/>
        <v>7815.8621372702301</v>
      </c>
      <c r="Z145" s="35">
        <f t="shared" si="47"/>
        <v>0.57999999999999996</v>
      </c>
      <c r="AA145" s="34">
        <f t="shared" ca="1" si="48"/>
        <v>12251.891998964144</v>
      </c>
      <c r="AB145" s="34">
        <f t="shared" ca="1" si="49"/>
        <v>26616.179170163487</v>
      </c>
      <c r="AC145" s="15"/>
      <c r="AD145" s="34">
        <f t="shared" ca="1" si="50"/>
        <v>69325.923709028139</v>
      </c>
      <c r="AE145" s="34">
        <f ca="1"/>
        <v>0</v>
      </c>
      <c r="AF145" s="34">
        <f t="shared" ca="1" si="51"/>
        <v>69325.923709028139</v>
      </c>
      <c r="AG145" s="15"/>
      <c r="AH145" s="272">
        <f t="shared" si="60"/>
        <v>47483</v>
      </c>
      <c r="AI145" s="267">
        <f t="shared" si="28"/>
        <v>15.666666666666668</v>
      </c>
      <c r="AJ145" s="267">
        <f t="shared" si="29"/>
        <v>0.22465422942012386</v>
      </c>
      <c r="AK145" s="34">
        <f t="shared" ca="1" si="61"/>
        <v>15574.361969690011</v>
      </c>
      <c r="AL145" s="233"/>
      <c r="AN145" s="349"/>
      <c r="AO145" s="237">
        <f t="shared" si="52"/>
        <v>16</v>
      </c>
      <c r="AP145" s="34">
        <f t="shared" ca="1" si="53"/>
        <v>135.65299547404385</v>
      </c>
      <c r="AQ145" s="34">
        <f t="shared" ca="1" si="30"/>
        <v>0.89726959582483268</v>
      </c>
      <c r="AR145" s="34">
        <f t="shared" ca="1" si="31"/>
        <v>0</v>
      </c>
      <c r="AS145" s="34">
        <f t="shared" ca="1" si="54"/>
        <v>141.03661304899285</v>
      </c>
      <c r="AT145" s="350">
        <v>-3.9640188259543227E-2</v>
      </c>
      <c r="AU145" s="34">
        <f ca="1">MIN(AU144*(1+AT145),$AT$126-SUM(AU$129:AU144))</f>
        <v>141.03661304899285</v>
      </c>
      <c r="AV145" s="348"/>
      <c r="AW145" s="34">
        <f t="shared" ca="1" si="55"/>
        <v>135.65299547404385</v>
      </c>
      <c r="AX145" s="34">
        <f t="shared" ca="1" si="32"/>
        <v>0.89726959582483268</v>
      </c>
      <c r="AY145" s="34">
        <f t="shared" ca="1" si="33"/>
        <v>0</v>
      </c>
      <c r="AZ145" s="34">
        <f t="shared" ca="1" si="34"/>
        <v>141.03661304899285</v>
      </c>
      <c r="BB145" s="34">
        <f t="shared" ca="1" si="56"/>
        <v>1722.8424588020684</v>
      </c>
      <c r="BC145" s="34">
        <f t="shared" ca="1" si="56"/>
        <v>2989.9252997682311</v>
      </c>
      <c r="BD145" s="34">
        <f t="shared" ca="1" si="56"/>
        <v>4681.602907596055</v>
      </c>
      <c r="BE145" s="34">
        <f t="shared" ca="1" si="56"/>
        <v>6127.3168959688192</v>
      </c>
      <c r="BF145" s="34">
        <f t="shared" ca="1" si="56"/>
        <v>5602.2641602168005</v>
      </c>
      <c r="BG145" s="34">
        <f t="shared" ca="1" si="56"/>
        <v>0</v>
      </c>
      <c r="BH145" s="34">
        <f t="shared" ca="1" si="56"/>
        <v>0</v>
      </c>
      <c r="BI145" s="34">
        <f t="shared" ca="1" si="56"/>
        <v>0</v>
      </c>
      <c r="BJ145" s="34">
        <f t="shared" ca="1" si="56"/>
        <v>0</v>
      </c>
      <c r="BK145" s="34">
        <f t="shared" ca="1" si="56"/>
        <v>0</v>
      </c>
      <c r="BL145" s="34">
        <f t="shared" ca="1" si="56"/>
        <v>0</v>
      </c>
      <c r="BM145" s="34">
        <f t="shared" ca="1" si="56"/>
        <v>0</v>
      </c>
      <c r="BN145" s="34">
        <f t="shared" ca="1" si="56"/>
        <v>0</v>
      </c>
      <c r="BO145" s="34">
        <f t="shared" ca="1" si="56"/>
        <v>0</v>
      </c>
      <c r="BP145" s="34">
        <f t="shared" ca="1" si="56"/>
        <v>0</v>
      </c>
      <c r="BQ145" s="34">
        <f t="shared" ca="1" si="56"/>
        <v>0</v>
      </c>
      <c r="BR145" s="34">
        <f t="shared" ca="1" si="62"/>
        <v>0</v>
      </c>
      <c r="BS145" s="34">
        <f t="shared" ca="1" si="62"/>
        <v>0</v>
      </c>
      <c r="BT145" s="34">
        <f t="shared" ca="1" si="62"/>
        <v>0</v>
      </c>
      <c r="BU145" s="34">
        <f t="shared" ca="1" si="62"/>
        <v>0</v>
      </c>
      <c r="BV145" s="34">
        <f t="shared" ca="1" si="62"/>
        <v>0</v>
      </c>
      <c r="BW145" s="34">
        <f t="shared" ca="1" si="62"/>
        <v>0</v>
      </c>
      <c r="BX145" s="34">
        <f t="shared" ca="1" si="62"/>
        <v>0</v>
      </c>
      <c r="BY145" s="34">
        <f t="shared" ca="1" si="62"/>
        <v>0</v>
      </c>
      <c r="BZ145" s="34">
        <f t="shared" ca="1" si="62"/>
        <v>0</v>
      </c>
      <c r="CA145" s="34">
        <f t="shared" ca="1" si="62"/>
        <v>0</v>
      </c>
      <c r="CB145" s="34">
        <f t="shared" ca="1" si="62"/>
        <v>0</v>
      </c>
      <c r="CC145" s="34">
        <f t="shared" ca="1" si="62"/>
        <v>0</v>
      </c>
      <c r="CD145" s="34">
        <f t="shared" ca="1" si="62"/>
        <v>0</v>
      </c>
      <c r="CE145" s="34">
        <f t="shared" ca="1" si="62"/>
        <v>0</v>
      </c>
      <c r="CF145" s="34">
        <f t="shared" ca="1" si="62"/>
        <v>0</v>
      </c>
      <c r="CG145" s="34">
        <f t="shared" ca="1" si="62"/>
        <v>0</v>
      </c>
      <c r="CH145" s="34">
        <f t="shared" ca="1" si="63"/>
        <v>0</v>
      </c>
      <c r="CI145" s="34">
        <f t="shared" ca="1" si="63"/>
        <v>0</v>
      </c>
      <c r="CJ145" s="34">
        <f t="shared" ca="1" si="63"/>
        <v>0</v>
      </c>
      <c r="CK145" s="34">
        <f t="shared" ca="1" si="63"/>
        <v>0</v>
      </c>
      <c r="CL145" s="34">
        <f t="shared" ca="1" si="63"/>
        <v>0</v>
      </c>
      <c r="CM145" s="34">
        <f t="shared" ca="1" si="63"/>
        <v>0</v>
      </c>
      <c r="CN145" s="34">
        <f t="shared" ca="1" si="63"/>
        <v>0</v>
      </c>
      <c r="CO145" s="34">
        <f t="shared" ca="1" si="63"/>
        <v>0</v>
      </c>
      <c r="CP145" s="34">
        <f t="shared" ca="1" si="63"/>
        <v>0</v>
      </c>
      <c r="CQ145" s="34">
        <f t="shared" ca="1" si="57"/>
        <v>21123.951722351972</v>
      </c>
      <c r="CR145" s="363">
        <v>0</v>
      </c>
      <c r="CS145" s="34">
        <f t="shared" ca="1" si="58"/>
        <v>21123.951722351972</v>
      </c>
      <c r="CT145" s="233"/>
    </row>
    <row r="146" spans="2:98" x14ac:dyDescent="0.3">
      <c r="B146" s="232"/>
      <c r="C146" s="250">
        <f t="shared" si="59"/>
        <v>2030</v>
      </c>
      <c r="D146" s="263">
        <f t="shared" ca="1" si="38"/>
        <v>19424.958924293056</v>
      </c>
      <c r="E146" s="263">
        <f t="shared" ca="1" si="23"/>
        <v>128.48536799358325</v>
      </c>
      <c r="F146" s="263">
        <f t="shared" ca="1" si="24"/>
        <v>0</v>
      </c>
      <c r="G146" s="263">
        <f t="shared" ca="1" si="39"/>
        <v>20195.871132254557</v>
      </c>
      <c r="H146" s="15"/>
      <c r="I146" s="271">
        <f ca="1">Assumptions!O$68</f>
        <v>4.5</v>
      </c>
      <c r="J146" s="271">
        <f ca="1">Assumptions!P$68</f>
        <v>80</v>
      </c>
      <c r="K146" s="271">
        <f t="shared" ca="1" si="25"/>
        <v>40</v>
      </c>
      <c r="L146" s="15"/>
      <c r="M146" s="35">
        <f t="shared" ca="1" si="40"/>
        <v>4.2299999999999995</v>
      </c>
      <c r="N146" s="35">
        <f t="shared" ca="1" si="26"/>
        <v>74.400000000000006</v>
      </c>
      <c r="O146" s="35">
        <f t="shared" ca="1" si="27"/>
        <v>37.200000000000003</v>
      </c>
      <c r="P146" s="15"/>
      <c r="Q146" s="34">
        <f t="shared" ca="1" si="41"/>
        <v>82167.576249759615</v>
      </c>
      <c r="R146" s="34">
        <f t="shared" ca="1" si="41"/>
        <v>9559.3113787225939</v>
      </c>
      <c r="S146" s="34">
        <f t="shared" ca="1" si="41"/>
        <v>0</v>
      </c>
      <c r="T146" s="34">
        <f t="shared" ca="1" si="42"/>
        <v>91726.887628482204</v>
      </c>
      <c r="U146" s="15"/>
      <c r="V146" s="35">
        <f t="shared" si="43"/>
        <v>0.31</v>
      </c>
      <c r="W146" s="34">
        <f t="shared" ca="1" si="44"/>
        <v>6260.7200509989125</v>
      </c>
      <c r="X146" s="35">
        <f t="shared" si="45"/>
        <v>0.37</v>
      </c>
      <c r="Y146" s="34">
        <f t="shared" ca="1" si="46"/>
        <v>7472.4723189341858</v>
      </c>
      <c r="Z146" s="35">
        <f t="shared" si="47"/>
        <v>0.57999999999999996</v>
      </c>
      <c r="AA146" s="34">
        <f t="shared" ca="1" si="48"/>
        <v>11713.605256707642</v>
      </c>
      <c r="AB146" s="34">
        <f t="shared" ca="1" si="49"/>
        <v>25446.797626640742</v>
      </c>
      <c r="AC146" s="15"/>
      <c r="AD146" s="34">
        <f t="shared" ca="1" si="50"/>
        <v>66280.090001841454</v>
      </c>
      <c r="AE146" s="34">
        <f ca="1"/>
        <v>0</v>
      </c>
      <c r="AF146" s="34">
        <f t="shared" ca="1" si="51"/>
        <v>66280.090001841454</v>
      </c>
      <c r="AG146" s="15"/>
      <c r="AH146" s="272">
        <f t="shared" si="60"/>
        <v>47848</v>
      </c>
      <c r="AI146" s="267">
        <f t="shared" si="28"/>
        <v>16.666666666666668</v>
      </c>
      <c r="AJ146" s="267">
        <f t="shared" si="29"/>
        <v>0.2042311176546581</v>
      </c>
      <c r="AK146" s="34">
        <f t="shared" ca="1" si="61"/>
        <v>13536.456859327409</v>
      </c>
      <c r="AL146" s="233"/>
      <c r="AN146" s="349"/>
      <c r="AO146" s="237">
        <f t="shared" si="52"/>
        <v>17</v>
      </c>
      <c r="AP146" s="34">
        <f t="shared" ca="1" si="53"/>
        <v>130.37334676969567</v>
      </c>
      <c r="AQ146" s="34">
        <f t="shared" ca="1" si="30"/>
        <v>0.86234763746709031</v>
      </c>
      <c r="AR146" s="34">
        <f t="shared" ca="1" si="31"/>
        <v>0</v>
      </c>
      <c r="AS146" s="34">
        <f t="shared" ca="1" si="54"/>
        <v>135.54743259449822</v>
      </c>
      <c r="AT146" s="350">
        <v>-3.8920251527791799E-2</v>
      </c>
      <c r="AU146" s="34">
        <f ca="1">MIN(AU145*(1+AT146),$AT$126-SUM(AU$129:AU145))</f>
        <v>135.54743259449822</v>
      </c>
      <c r="AV146" s="348"/>
      <c r="AW146" s="34">
        <f t="shared" ca="1" si="55"/>
        <v>130.37334676969567</v>
      </c>
      <c r="AX146" s="34">
        <f t="shared" ca="1" si="32"/>
        <v>0.86234763746709031</v>
      </c>
      <c r="AY146" s="34">
        <f t="shared" ca="1" si="33"/>
        <v>0</v>
      </c>
      <c r="AZ146" s="34">
        <f t="shared" ca="1" si="34"/>
        <v>135.54743259449822</v>
      </c>
      <c r="BB146" s="34">
        <f t="shared" ref="BB146:BQ161" ca="1" si="64">IF($AO146&lt;BB$128,0,OFFSET($AZ$128,$AO146-BB$128+1,0)*BB$126)</f>
        <v>1655.7889969627329</v>
      </c>
      <c r="BC146" s="34">
        <f t="shared" ca="1" si="64"/>
        <v>2871.404098003447</v>
      </c>
      <c r="BD146" s="34">
        <f t="shared" ca="1" si="64"/>
        <v>4484.8879496523468</v>
      </c>
      <c r="BE146" s="34">
        <f t="shared" ca="1" si="64"/>
        <v>5852.0036344950686</v>
      </c>
      <c r="BF146" s="34">
        <f t="shared" ca="1" si="64"/>
        <v>5331.7864531409614</v>
      </c>
      <c r="BG146" s="34">
        <f t="shared" ca="1" si="64"/>
        <v>0</v>
      </c>
      <c r="BH146" s="34">
        <f t="shared" ca="1" si="64"/>
        <v>0</v>
      </c>
      <c r="BI146" s="34">
        <f t="shared" ca="1" si="64"/>
        <v>0</v>
      </c>
      <c r="BJ146" s="34">
        <f t="shared" ca="1" si="64"/>
        <v>0</v>
      </c>
      <c r="BK146" s="34">
        <f t="shared" ca="1" si="64"/>
        <v>0</v>
      </c>
      <c r="BL146" s="34">
        <f t="shared" ca="1" si="64"/>
        <v>0</v>
      </c>
      <c r="BM146" s="34">
        <f t="shared" ca="1" si="64"/>
        <v>0</v>
      </c>
      <c r="BN146" s="34">
        <f t="shared" ca="1" si="64"/>
        <v>0</v>
      </c>
      <c r="BO146" s="34">
        <f t="shared" ca="1" si="64"/>
        <v>0</v>
      </c>
      <c r="BP146" s="34">
        <f t="shared" ca="1" si="64"/>
        <v>0</v>
      </c>
      <c r="BQ146" s="34">
        <f t="shared" ca="1" si="64"/>
        <v>0</v>
      </c>
      <c r="BR146" s="34">
        <f t="shared" ca="1" si="62"/>
        <v>0</v>
      </c>
      <c r="BS146" s="34">
        <f t="shared" ca="1" si="62"/>
        <v>0</v>
      </c>
      <c r="BT146" s="34">
        <f t="shared" ca="1" si="62"/>
        <v>0</v>
      </c>
      <c r="BU146" s="34">
        <f t="shared" ca="1" si="62"/>
        <v>0</v>
      </c>
      <c r="BV146" s="34">
        <f t="shared" ca="1" si="62"/>
        <v>0</v>
      </c>
      <c r="BW146" s="34">
        <f t="shared" ca="1" si="62"/>
        <v>0</v>
      </c>
      <c r="BX146" s="34">
        <f t="shared" ca="1" si="62"/>
        <v>0</v>
      </c>
      <c r="BY146" s="34">
        <f t="shared" ca="1" si="62"/>
        <v>0</v>
      </c>
      <c r="BZ146" s="34">
        <f t="shared" ca="1" si="62"/>
        <v>0</v>
      </c>
      <c r="CA146" s="34">
        <f t="shared" ca="1" si="62"/>
        <v>0</v>
      </c>
      <c r="CB146" s="34">
        <f t="shared" ca="1" si="62"/>
        <v>0</v>
      </c>
      <c r="CC146" s="34">
        <f t="shared" ca="1" si="62"/>
        <v>0</v>
      </c>
      <c r="CD146" s="34">
        <f t="shared" ca="1" si="62"/>
        <v>0</v>
      </c>
      <c r="CE146" s="34">
        <f t="shared" ca="1" si="62"/>
        <v>0</v>
      </c>
      <c r="CF146" s="34">
        <f t="shared" ca="1" si="62"/>
        <v>0</v>
      </c>
      <c r="CG146" s="34">
        <f t="shared" ca="1" si="62"/>
        <v>0</v>
      </c>
      <c r="CH146" s="34">
        <f t="shared" ca="1" si="63"/>
        <v>0</v>
      </c>
      <c r="CI146" s="34">
        <f t="shared" ca="1" si="63"/>
        <v>0</v>
      </c>
      <c r="CJ146" s="34">
        <f t="shared" ca="1" si="63"/>
        <v>0</v>
      </c>
      <c r="CK146" s="34">
        <f t="shared" ca="1" si="63"/>
        <v>0</v>
      </c>
      <c r="CL146" s="34">
        <f t="shared" ca="1" si="63"/>
        <v>0</v>
      </c>
      <c r="CM146" s="34">
        <f t="shared" ca="1" si="63"/>
        <v>0</v>
      </c>
      <c r="CN146" s="34">
        <f t="shared" ca="1" si="63"/>
        <v>0</v>
      </c>
      <c r="CO146" s="34">
        <f t="shared" ca="1" si="63"/>
        <v>0</v>
      </c>
      <c r="CP146" s="34">
        <f t="shared" ca="1" si="63"/>
        <v>0</v>
      </c>
      <c r="CQ146" s="34">
        <f t="shared" ca="1" si="57"/>
        <v>20195.871132254557</v>
      </c>
      <c r="CR146" s="363">
        <v>0</v>
      </c>
      <c r="CS146" s="34">
        <f t="shared" ca="1" si="58"/>
        <v>20195.871132254557</v>
      </c>
      <c r="CT146" s="233"/>
    </row>
    <row r="147" spans="2:98" x14ac:dyDescent="0.3">
      <c r="B147" s="232"/>
      <c r="C147" s="250">
        <f t="shared" si="59"/>
        <v>2031</v>
      </c>
      <c r="D147" s="263">
        <f t="shared" ca="1" si="38"/>
        <v>18617.564639666849</v>
      </c>
      <c r="E147" s="263">
        <f t="shared" ca="1" si="23"/>
        <v>123.14490101085117</v>
      </c>
      <c r="F147" s="263">
        <f t="shared" ca="1" si="24"/>
        <v>0</v>
      </c>
      <c r="G147" s="263">
        <f t="shared" ca="1" si="39"/>
        <v>19356.434045731956</v>
      </c>
      <c r="H147" s="15"/>
      <c r="I147" s="271">
        <f ca="1">Assumptions!O$68</f>
        <v>4.5</v>
      </c>
      <c r="J147" s="271">
        <f ca="1">Assumptions!P$68</f>
        <v>80</v>
      </c>
      <c r="K147" s="271">
        <f t="shared" ca="1" si="25"/>
        <v>40</v>
      </c>
      <c r="L147" s="15"/>
      <c r="M147" s="35">
        <f t="shared" ca="1" si="40"/>
        <v>4.2299999999999995</v>
      </c>
      <c r="N147" s="35">
        <f t="shared" ca="1" si="26"/>
        <v>74.400000000000006</v>
      </c>
      <c r="O147" s="35">
        <f t="shared" ca="1" si="27"/>
        <v>37.200000000000003</v>
      </c>
      <c r="P147" s="15"/>
      <c r="Q147" s="34">
        <f t="shared" ca="1" si="41"/>
        <v>78752.298425790766</v>
      </c>
      <c r="R147" s="34">
        <f t="shared" ca="1" si="41"/>
        <v>9161.9806352073283</v>
      </c>
      <c r="S147" s="34">
        <f t="shared" ca="1" si="41"/>
        <v>0</v>
      </c>
      <c r="T147" s="34">
        <f t="shared" ca="1" si="42"/>
        <v>87914.279060998088</v>
      </c>
      <c r="U147" s="15"/>
      <c r="V147" s="35">
        <f t="shared" si="43"/>
        <v>0.31</v>
      </c>
      <c r="W147" s="34">
        <f t="shared" ca="1" si="44"/>
        <v>6000.4945541769066</v>
      </c>
      <c r="X147" s="35">
        <f t="shared" si="45"/>
        <v>0.37</v>
      </c>
      <c r="Y147" s="34">
        <f t="shared" ca="1" si="46"/>
        <v>7161.8805969208233</v>
      </c>
      <c r="Z147" s="35">
        <f t="shared" si="47"/>
        <v>0.57999999999999996</v>
      </c>
      <c r="AA147" s="34">
        <f t="shared" ca="1" si="48"/>
        <v>11226.731746524534</v>
      </c>
      <c r="AB147" s="34">
        <f t="shared" ca="1" si="49"/>
        <v>24389.106897622267</v>
      </c>
      <c r="AC147" s="15"/>
      <c r="AD147" s="34">
        <f t="shared" ca="1" si="50"/>
        <v>63525.172163375821</v>
      </c>
      <c r="AE147" s="34">
        <f ca="1"/>
        <v>0</v>
      </c>
      <c r="AF147" s="34">
        <f t="shared" ca="1" si="51"/>
        <v>63525.172163375821</v>
      </c>
      <c r="AG147" s="15"/>
      <c r="AH147" s="272">
        <f t="shared" si="60"/>
        <v>48213</v>
      </c>
      <c r="AI147" s="267">
        <f t="shared" si="28"/>
        <v>17.666666666666668</v>
      </c>
      <c r="AJ147" s="267">
        <f t="shared" si="29"/>
        <v>0.1856646524133255</v>
      </c>
      <c r="AK147" s="34">
        <f t="shared" ca="1" si="61"/>
        <v>11794.379009209832</v>
      </c>
      <c r="AL147" s="233"/>
      <c r="AN147" s="349"/>
      <c r="AO147" s="237">
        <f t="shared" si="52"/>
        <v>18</v>
      </c>
      <c r="AP147" s="34">
        <f t="shared" ca="1" si="53"/>
        <v>125.29968012712044</v>
      </c>
      <c r="AQ147" s="34">
        <f t="shared" ca="1" si="30"/>
        <v>0.82878813661106598</v>
      </c>
      <c r="AR147" s="34">
        <f t="shared" ca="1" si="31"/>
        <v>0</v>
      </c>
      <c r="AS147" s="34">
        <f t="shared" ca="1" si="54"/>
        <v>130.27240894678684</v>
      </c>
      <c r="AT147" s="350">
        <v>-3.8916440885251341E-2</v>
      </c>
      <c r="AU147" s="34">
        <f ca="1">MIN(AU146*(1+AT147),$AT$126-SUM(AU$129:AU146))</f>
        <v>130.27240894678684</v>
      </c>
      <c r="AV147" s="348"/>
      <c r="AW147" s="34">
        <f t="shared" ca="1" si="55"/>
        <v>125.29968012712044</v>
      </c>
      <c r="AX147" s="34">
        <f t="shared" ca="1" si="32"/>
        <v>0.82878813661106598</v>
      </c>
      <c r="AY147" s="34">
        <f t="shared" ca="1" si="33"/>
        <v>0</v>
      </c>
      <c r="AZ147" s="34">
        <f t="shared" ca="1" si="34"/>
        <v>130.27240894678684</v>
      </c>
      <c r="BB147" s="34">
        <f t="shared" ca="1" si="64"/>
        <v>1591.3515823439832</v>
      </c>
      <c r="BC147" s="34">
        <f t="shared" ca="1" si="64"/>
        <v>2759.6483282712211</v>
      </c>
      <c r="BD147" s="34">
        <f t="shared" ca="1" si="64"/>
        <v>4307.1061470051709</v>
      </c>
      <c r="BE147" s="34">
        <f t="shared" ca="1" si="64"/>
        <v>5606.1099370654329</v>
      </c>
      <c r="BF147" s="34">
        <f t="shared" ca="1" si="64"/>
        <v>5092.2180510461485</v>
      </c>
      <c r="BG147" s="34">
        <f t="shared" ca="1" si="64"/>
        <v>0</v>
      </c>
      <c r="BH147" s="34">
        <f t="shared" ca="1" si="64"/>
        <v>0</v>
      </c>
      <c r="BI147" s="34">
        <f t="shared" ca="1" si="64"/>
        <v>0</v>
      </c>
      <c r="BJ147" s="34">
        <f t="shared" ca="1" si="64"/>
        <v>0</v>
      </c>
      <c r="BK147" s="34">
        <f t="shared" ca="1" si="64"/>
        <v>0</v>
      </c>
      <c r="BL147" s="34">
        <f t="shared" ca="1" si="64"/>
        <v>0</v>
      </c>
      <c r="BM147" s="34">
        <f t="shared" ca="1" si="64"/>
        <v>0</v>
      </c>
      <c r="BN147" s="34">
        <f t="shared" ca="1" si="64"/>
        <v>0</v>
      </c>
      <c r="BO147" s="34">
        <f t="shared" ca="1" si="64"/>
        <v>0</v>
      </c>
      <c r="BP147" s="34">
        <f t="shared" ca="1" si="64"/>
        <v>0</v>
      </c>
      <c r="BQ147" s="34">
        <f t="shared" ca="1" si="64"/>
        <v>0</v>
      </c>
      <c r="BR147" s="34">
        <f t="shared" ca="1" si="62"/>
        <v>0</v>
      </c>
      <c r="BS147" s="34">
        <f t="shared" ca="1" si="62"/>
        <v>0</v>
      </c>
      <c r="BT147" s="34">
        <f t="shared" ca="1" si="62"/>
        <v>0</v>
      </c>
      <c r="BU147" s="34">
        <f t="shared" ca="1" si="62"/>
        <v>0</v>
      </c>
      <c r="BV147" s="34">
        <f t="shared" ca="1" si="62"/>
        <v>0</v>
      </c>
      <c r="BW147" s="34">
        <f t="shared" ca="1" si="62"/>
        <v>0</v>
      </c>
      <c r="BX147" s="34">
        <f t="shared" ca="1" si="62"/>
        <v>0</v>
      </c>
      <c r="BY147" s="34">
        <f t="shared" ca="1" si="62"/>
        <v>0</v>
      </c>
      <c r="BZ147" s="34">
        <f t="shared" ca="1" si="62"/>
        <v>0</v>
      </c>
      <c r="CA147" s="34">
        <f t="shared" ca="1" si="62"/>
        <v>0</v>
      </c>
      <c r="CB147" s="34">
        <f t="shared" ca="1" si="62"/>
        <v>0</v>
      </c>
      <c r="CC147" s="34">
        <f t="shared" ca="1" si="62"/>
        <v>0</v>
      </c>
      <c r="CD147" s="34">
        <f t="shared" ca="1" si="62"/>
        <v>0</v>
      </c>
      <c r="CE147" s="34">
        <f t="shared" ca="1" si="62"/>
        <v>0</v>
      </c>
      <c r="CF147" s="34">
        <f t="shared" ca="1" si="62"/>
        <v>0</v>
      </c>
      <c r="CG147" s="34">
        <f t="shared" ca="1" si="62"/>
        <v>0</v>
      </c>
      <c r="CH147" s="34">
        <f t="shared" ca="1" si="63"/>
        <v>0</v>
      </c>
      <c r="CI147" s="34">
        <f t="shared" ca="1" si="63"/>
        <v>0</v>
      </c>
      <c r="CJ147" s="34">
        <f t="shared" ca="1" si="63"/>
        <v>0</v>
      </c>
      <c r="CK147" s="34">
        <f t="shared" ca="1" si="63"/>
        <v>0</v>
      </c>
      <c r="CL147" s="34">
        <f t="shared" ca="1" si="63"/>
        <v>0</v>
      </c>
      <c r="CM147" s="34">
        <f t="shared" ca="1" si="63"/>
        <v>0</v>
      </c>
      <c r="CN147" s="34">
        <f t="shared" ca="1" si="63"/>
        <v>0</v>
      </c>
      <c r="CO147" s="34">
        <f t="shared" ca="1" si="63"/>
        <v>0</v>
      </c>
      <c r="CP147" s="34">
        <f t="shared" ca="1" si="63"/>
        <v>0</v>
      </c>
      <c r="CQ147" s="34">
        <f t="shared" ca="1" si="57"/>
        <v>19356.434045731956</v>
      </c>
      <c r="CR147" s="363">
        <v>0</v>
      </c>
      <c r="CS147" s="34">
        <f t="shared" ca="1" si="58"/>
        <v>19356.434045731956</v>
      </c>
      <c r="CT147" s="233"/>
    </row>
    <row r="148" spans="2:98" x14ac:dyDescent="0.3">
      <c r="B148" s="232"/>
      <c r="C148" s="250">
        <f t="shared" si="59"/>
        <v>2032</v>
      </c>
      <c r="D148" s="263">
        <f t="shared" ca="1" si="38"/>
        <v>17873.922475717205</v>
      </c>
      <c r="E148" s="263">
        <f t="shared" ca="1" si="23"/>
        <v>118.22611907349931</v>
      </c>
      <c r="F148" s="263">
        <f t="shared" ca="1" si="24"/>
        <v>0</v>
      </c>
      <c r="G148" s="263">
        <f t="shared" ca="1" si="39"/>
        <v>18583.279190158202</v>
      </c>
      <c r="H148" s="15"/>
      <c r="I148" s="271">
        <f ca="1">Assumptions!O$68</f>
        <v>4.5</v>
      </c>
      <c r="J148" s="271">
        <f ca="1">Assumptions!P$68</f>
        <v>80</v>
      </c>
      <c r="K148" s="271">
        <f t="shared" ca="1" si="25"/>
        <v>40</v>
      </c>
      <c r="L148" s="15"/>
      <c r="M148" s="35">
        <f t="shared" ca="1" si="40"/>
        <v>4.2299999999999995</v>
      </c>
      <c r="N148" s="35">
        <f t="shared" ca="1" si="26"/>
        <v>74.400000000000006</v>
      </c>
      <c r="O148" s="35">
        <f t="shared" ca="1" si="27"/>
        <v>37.200000000000003</v>
      </c>
      <c r="P148" s="15"/>
      <c r="Q148" s="34">
        <f t="shared" ca="1" si="41"/>
        <v>75606.692072283768</v>
      </c>
      <c r="R148" s="34">
        <f t="shared" ca="1" si="41"/>
        <v>8796.0232590683481</v>
      </c>
      <c r="S148" s="34">
        <f t="shared" ca="1" si="41"/>
        <v>0</v>
      </c>
      <c r="T148" s="34">
        <f t="shared" ca="1" si="42"/>
        <v>84402.715331352112</v>
      </c>
      <c r="U148" s="15"/>
      <c r="V148" s="35">
        <f t="shared" si="43"/>
        <v>0.31</v>
      </c>
      <c r="W148" s="34">
        <f t="shared" ca="1" si="44"/>
        <v>5760.816548949043</v>
      </c>
      <c r="X148" s="35">
        <f t="shared" si="45"/>
        <v>0.37</v>
      </c>
      <c r="Y148" s="34">
        <f t="shared" ca="1" si="46"/>
        <v>6875.8133003585344</v>
      </c>
      <c r="Z148" s="35">
        <f t="shared" si="47"/>
        <v>0.57999999999999996</v>
      </c>
      <c r="AA148" s="34">
        <f t="shared" ca="1" si="48"/>
        <v>10778.301930291756</v>
      </c>
      <c r="AB148" s="34">
        <f t="shared" ca="1" si="49"/>
        <v>23414.931779599334</v>
      </c>
      <c r="AC148" s="15"/>
      <c r="AD148" s="34">
        <f t="shared" ca="1" si="50"/>
        <v>60987.783551752778</v>
      </c>
      <c r="AE148" s="34">
        <f ca="1"/>
        <v>0</v>
      </c>
      <c r="AF148" s="34">
        <f t="shared" ca="1" si="51"/>
        <v>60987.783551752778</v>
      </c>
      <c r="AG148" s="15"/>
      <c r="AH148" s="272">
        <f t="shared" si="60"/>
        <v>48579</v>
      </c>
      <c r="AI148" s="267">
        <f t="shared" si="28"/>
        <v>18.666666666666668</v>
      </c>
      <c r="AJ148" s="267">
        <f t="shared" si="29"/>
        <v>0.16878604764847771</v>
      </c>
      <c r="AK148" s="34">
        <f t="shared" ca="1" si="61"/>
        <v>10293.88694054119</v>
      </c>
      <c r="AL148" s="233"/>
      <c r="AN148" s="349"/>
      <c r="AO148" s="237">
        <f t="shared" si="52"/>
        <v>19</v>
      </c>
      <c r="AP148" s="34">
        <f t="shared" ca="1" si="53"/>
        <v>120.42345965851247</v>
      </c>
      <c r="AQ148" s="34">
        <f t="shared" ca="1" si="30"/>
        <v>0.79653463307632233</v>
      </c>
      <c r="AR148" s="34">
        <f t="shared" ca="1" si="31"/>
        <v>0</v>
      </c>
      <c r="AS148" s="34">
        <f t="shared" ca="1" si="54"/>
        <v>125.2026674569704</v>
      </c>
      <c r="AT148" s="350">
        <v>-3.8916463822261112E-2</v>
      </c>
      <c r="AU148" s="34">
        <f ca="1">MIN(AU147*(1+AT148),$AT$126-SUM(AU$129:AU147))</f>
        <v>125.2026674569704</v>
      </c>
      <c r="AV148" s="348"/>
      <c r="AW148" s="34">
        <f t="shared" ca="1" si="55"/>
        <v>120.42345965851247</v>
      </c>
      <c r="AX148" s="34">
        <f t="shared" ca="1" si="32"/>
        <v>0.79653463307632233</v>
      </c>
      <c r="AY148" s="34">
        <f t="shared" ca="1" si="33"/>
        <v>0</v>
      </c>
      <c r="AZ148" s="34">
        <f t="shared" ca="1" si="34"/>
        <v>125.2026674569704</v>
      </c>
      <c r="BB148" s="34">
        <f t="shared" ca="1" si="64"/>
        <v>1529.4218060611954</v>
      </c>
      <c r="BC148" s="34">
        <f t="shared" ca="1" si="64"/>
        <v>2652.2526372399716</v>
      </c>
      <c r="BD148" s="34">
        <f t="shared" ca="1" si="64"/>
        <v>4139.4724924068323</v>
      </c>
      <c r="BE148" s="34">
        <f t="shared" ca="1" si="64"/>
        <v>5383.8826837564638</v>
      </c>
      <c r="BF148" s="34">
        <f t="shared" ca="1" si="64"/>
        <v>4878.2495706937425</v>
      </c>
      <c r="BG148" s="34">
        <f t="shared" ca="1" si="64"/>
        <v>0</v>
      </c>
      <c r="BH148" s="34">
        <f t="shared" ca="1" si="64"/>
        <v>0</v>
      </c>
      <c r="BI148" s="34">
        <f t="shared" ca="1" si="64"/>
        <v>0</v>
      </c>
      <c r="BJ148" s="34">
        <f t="shared" ca="1" si="64"/>
        <v>0</v>
      </c>
      <c r="BK148" s="34">
        <f t="shared" ca="1" si="64"/>
        <v>0</v>
      </c>
      <c r="BL148" s="34">
        <f t="shared" ca="1" si="64"/>
        <v>0</v>
      </c>
      <c r="BM148" s="34">
        <f t="shared" ca="1" si="64"/>
        <v>0</v>
      </c>
      <c r="BN148" s="34">
        <f t="shared" ca="1" si="64"/>
        <v>0</v>
      </c>
      <c r="BO148" s="34">
        <f t="shared" ca="1" si="64"/>
        <v>0</v>
      </c>
      <c r="BP148" s="34">
        <f t="shared" ca="1" si="64"/>
        <v>0</v>
      </c>
      <c r="BQ148" s="34">
        <f t="shared" ca="1" si="64"/>
        <v>0</v>
      </c>
      <c r="BR148" s="34">
        <f t="shared" ca="1" si="62"/>
        <v>0</v>
      </c>
      <c r="BS148" s="34">
        <f t="shared" ca="1" si="62"/>
        <v>0</v>
      </c>
      <c r="BT148" s="34">
        <f t="shared" ca="1" si="62"/>
        <v>0</v>
      </c>
      <c r="BU148" s="34">
        <f t="shared" ca="1" si="62"/>
        <v>0</v>
      </c>
      <c r="BV148" s="34">
        <f t="shared" ca="1" si="62"/>
        <v>0</v>
      </c>
      <c r="BW148" s="34">
        <f t="shared" ca="1" si="62"/>
        <v>0</v>
      </c>
      <c r="BX148" s="34">
        <f t="shared" ca="1" si="62"/>
        <v>0</v>
      </c>
      <c r="BY148" s="34">
        <f t="shared" ca="1" si="62"/>
        <v>0</v>
      </c>
      <c r="BZ148" s="34">
        <f t="shared" ca="1" si="62"/>
        <v>0</v>
      </c>
      <c r="CA148" s="34">
        <f t="shared" ca="1" si="62"/>
        <v>0</v>
      </c>
      <c r="CB148" s="34">
        <f t="shared" ca="1" si="62"/>
        <v>0</v>
      </c>
      <c r="CC148" s="34">
        <f t="shared" ca="1" si="62"/>
        <v>0</v>
      </c>
      <c r="CD148" s="34">
        <f t="shared" ca="1" si="62"/>
        <v>0</v>
      </c>
      <c r="CE148" s="34">
        <f t="shared" ca="1" si="62"/>
        <v>0</v>
      </c>
      <c r="CF148" s="34">
        <f t="shared" ca="1" si="62"/>
        <v>0</v>
      </c>
      <c r="CG148" s="34">
        <f t="shared" ca="1" si="62"/>
        <v>0</v>
      </c>
      <c r="CH148" s="34">
        <f t="shared" ca="1" si="63"/>
        <v>0</v>
      </c>
      <c r="CI148" s="34">
        <f t="shared" ca="1" si="63"/>
        <v>0</v>
      </c>
      <c r="CJ148" s="34">
        <f t="shared" ca="1" si="63"/>
        <v>0</v>
      </c>
      <c r="CK148" s="34">
        <f t="shared" ca="1" si="63"/>
        <v>0</v>
      </c>
      <c r="CL148" s="34">
        <f t="shared" ca="1" si="63"/>
        <v>0</v>
      </c>
      <c r="CM148" s="34">
        <f t="shared" ca="1" si="63"/>
        <v>0</v>
      </c>
      <c r="CN148" s="34">
        <f t="shared" ca="1" si="63"/>
        <v>0</v>
      </c>
      <c r="CO148" s="34">
        <f t="shared" ca="1" si="63"/>
        <v>0</v>
      </c>
      <c r="CP148" s="34">
        <f t="shared" ca="1" si="63"/>
        <v>0</v>
      </c>
      <c r="CQ148" s="34">
        <f t="shared" ca="1" si="57"/>
        <v>18583.279190158202</v>
      </c>
      <c r="CR148" s="363">
        <v>0</v>
      </c>
      <c r="CS148" s="34">
        <f t="shared" ca="1" si="58"/>
        <v>18583.279190158202</v>
      </c>
      <c r="CT148" s="233"/>
    </row>
    <row r="149" spans="2:98" x14ac:dyDescent="0.3">
      <c r="B149" s="232"/>
      <c r="C149" s="250">
        <f t="shared" si="59"/>
        <v>2033</v>
      </c>
      <c r="D149" s="263">
        <f t="shared" ca="1" si="38"/>
        <v>17174.917414272506</v>
      </c>
      <c r="E149" s="263">
        <f t="shared" ca="1" si="23"/>
        <v>113.60258690032288</v>
      </c>
      <c r="F149" s="263">
        <f t="shared" ca="1" si="24"/>
        <v>0</v>
      </c>
      <c r="G149" s="263">
        <f t="shared" ca="1" si="39"/>
        <v>17856.532935674444</v>
      </c>
      <c r="H149" s="15"/>
      <c r="I149" s="271">
        <f ca="1">Assumptions!O$68</f>
        <v>4.5</v>
      </c>
      <c r="J149" s="271">
        <f ca="1">Assumptions!P$68</f>
        <v>80</v>
      </c>
      <c r="K149" s="271">
        <f t="shared" ca="1" si="25"/>
        <v>40</v>
      </c>
      <c r="L149" s="15"/>
      <c r="M149" s="35">
        <f t="shared" ca="1" si="40"/>
        <v>4.2299999999999995</v>
      </c>
      <c r="N149" s="35">
        <f t="shared" ca="1" si="26"/>
        <v>74.400000000000006</v>
      </c>
      <c r="O149" s="35">
        <f t="shared" ca="1" si="27"/>
        <v>37.200000000000003</v>
      </c>
      <c r="P149" s="15"/>
      <c r="Q149" s="34">
        <f t="shared" ca="1" si="41"/>
        <v>72649.900662372689</v>
      </c>
      <c r="R149" s="34">
        <f t="shared" ca="1" si="41"/>
        <v>8452.0324653840235</v>
      </c>
      <c r="S149" s="34">
        <f t="shared" ca="1" si="41"/>
        <v>0</v>
      </c>
      <c r="T149" s="34">
        <f t="shared" ca="1" si="42"/>
        <v>81101.933127756711</v>
      </c>
      <c r="U149" s="15"/>
      <c r="V149" s="35">
        <f t="shared" si="43"/>
        <v>0.31</v>
      </c>
      <c r="W149" s="34">
        <f t="shared" ca="1" si="44"/>
        <v>5535.5252100590778</v>
      </c>
      <c r="X149" s="35">
        <f t="shared" si="45"/>
        <v>0.37</v>
      </c>
      <c r="Y149" s="34">
        <f t="shared" ca="1" si="46"/>
        <v>6606.9171861995446</v>
      </c>
      <c r="Z149" s="35">
        <f t="shared" si="47"/>
        <v>0.57999999999999996</v>
      </c>
      <c r="AA149" s="34">
        <f t="shared" ca="1" si="48"/>
        <v>10356.789102691177</v>
      </c>
      <c r="AB149" s="34">
        <f t="shared" ca="1" si="49"/>
        <v>22499.231498949797</v>
      </c>
      <c r="AC149" s="15"/>
      <c r="AD149" s="34">
        <f t="shared" ca="1" si="50"/>
        <v>58602.701628806914</v>
      </c>
      <c r="AE149" s="34">
        <f ca="1"/>
        <v>0</v>
      </c>
      <c r="AF149" s="34">
        <f t="shared" ca="1" si="51"/>
        <v>58602.701628806914</v>
      </c>
      <c r="AG149" s="15"/>
      <c r="AH149" s="272">
        <f t="shared" si="60"/>
        <v>48944</v>
      </c>
      <c r="AI149" s="267">
        <f t="shared" si="28"/>
        <v>19.666666666666668</v>
      </c>
      <c r="AJ149" s="267">
        <f t="shared" si="29"/>
        <v>0.15344186149861608</v>
      </c>
      <c r="AK149" s="34">
        <f t="shared" ca="1" si="61"/>
        <v>8992.1076267721128</v>
      </c>
      <c r="AL149" s="233"/>
      <c r="AN149" s="349"/>
      <c r="AO149" s="237">
        <f t="shared" si="52"/>
        <v>20</v>
      </c>
      <c r="AP149" s="34">
        <f t="shared" ca="1" si="53"/>
        <v>115.73700947552931</v>
      </c>
      <c r="AQ149" s="34">
        <f t="shared" ca="1" si="30"/>
        <v>0.76553635510358775</v>
      </c>
      <c r="AR149" s="34">
        <f t="shared" ca="1" si="31"/>
        <v>0</v>
      </c>
      <c r="AS149" s="34">
        <f t="shared" ca="1" si="54"/>
        <v>120.33022760615083</v>
      </c>
      <c r="AT149" s="350">
        <v>-3.8916422068197044E-2</v>
      </c>
      <c r="AU149" s="34">
        <f ca="1">MIN(AU148*(1+AT149),$AT$126-SUM(AU$129:AU148))</f>
        <v>120.33022760615083</v>
      </c>
      <c r="AV149" s="348"/>
      <c r="AW149" s="34">
        <f t="shared" ca="1" si="55"/>
        <v>115.73700947552931</v>
      </c>
      <c r="AX149" s="34">
        <f t="shared" ca="1" si="32"/>
        <v>0.76553635510358775</v>
      </c>
      <c r="AY149" s="34">
        <f t="shared" ca="1" si="33"/>
        <v>0</v>
      </c>
      <c r="AZ149" s="34">
        <f t="shared" ca="1" si="34"/>
        <v>120.33022760615083</v>
      </c>
      <c r="BB149" s="34">
        <f t="shared" ca="1" si="64"/>
        <v>1469.9021815362139</v>
      </c>
      <c r="BC149" s="34">
        <f t="shared" ca="1" si="64"/>
        <v>2549.0363434353253</v>
      </c>
      <c r="BD149" s="34">
        <f t="shared" ca="1" si="64"/>
        <v>3978.3789558599574</v>
      </c>
      <c r="BE149" s="34">
        <f t="shared" ca="1" si="64"/>
        <v>5174.3406155085404</v>
      </c>
      <c r="BF149" s="34">
        <f t="shared" ca="1" si="64"/>
        <v>4684.8748393344067</v>
      </c>
      <c r="BG149" s="34">
        <f t="shared" ca="1" si="64"/>
        <v>0</v>
      </c>
      <c r="BH149" s="34">
        <f t="shared" ca="1" si="64"/>
        <v>0</v>
      </c>
      <c r="BI149" s="34">
        <f t="shared" ca="1" si="64"/>
        <v>0</v>
      </c>
      <c r="BJ149" s="34">
        <f t="shared" ca="1" si="64"/>
        <v>0</v>
      </c>
      <c r="BK149" s="34">
        <f t="shared" ca="1" si="64"/>
        <v>0</v>
      </c>
      <c r="BL149" s="34">
        <f t="shared" ca="1" si="64"/>
        <v>0</v>
      </c>
      <c r="BM149" s="34">
        <f t="shared" ca="1" si="64"/>
        <v>0</v>
      </c>
      <c r="BN149" s="34">
        <f t="shared" ca="1" si="64"/>
        <v>0</v>
      </c>
      <c r="BO149" s="34">
        <f t="shared" ca="1" si="64"/>
        <v>0</v>
      </c>
      <c r="BP149" s="34">
        <f t="shared" ca="1" si="64"/>
        <v>0</v>
      </c>
      <c r="BQ149" s="34">
        <f t="shared" ca="1" si="64"/>
        <v>0</v>
      </c>
      <c r="BR149" s="34">
        <f t="shared" ca="1" si="62"/>
        <v>0</v>
      </c>
      <c r="BS149" s="34">
        <f t="shared" ca="1" si="62"/>
        <v>0</v>
      </c>
      <c r="BT149" s="34">
        <f t="shared" ca="1" si="62"/>
        <v>0</v>
      </c>
      <c r="BU149" s="34">
        <f t="shared" ca="1" si="62"/>
        <v>0</v>
      </c>
      <c r="BV149" s="34">
        <f t="shared" ca="1" si="62"/>
        <v>0</v>
      </c>
      <c r="BW149" s="34">
        <f t="shared" ca="1" si="62"/>
        <v>0</v>
      </c>
      <c r="BX149" s="34">
        <f t="shared" ca="1" si="62"/>
        <v>0</v>
      </c>
      <c r="BY149" s="34">
        <f t="shared" ca="1" si="62"/>
        <v>0</v>
      </c>
      <c r="BZ149" s="34">
        <f t="shared" ca="1" si="62"/>
        <v>0</v>
      </c>
      <c r="CA149" s="34">
        <f t="shared" ca="1" si="62"/>
        <v>0</v>
      </c>
      <c r="CB149" s="34">
        <f t="shared" ca="1" si="62"/>
        <v>0</v>
      </c>
      <c r="CC149" s="34">
        <f t="shared" ca="1" si="62"/>
        <v>0</v>
      </c>
      <c r="CD149" s="34">
        <f t="shared" ca="1" si="62"/>
        <v>0</v>
      </c>
      <c r="CE149" s="34">
        <f t="shared" ca="1" si="62"/>
        <v>0</v>
      </c>
      <c r="CF149" s="34">
        <f t="shared" ca="1" si="62"/>
        <v>0</v>
      </c>
      <c r="CG149" s="34">
        <f t="shared" ca="1" si="62"/>
        <v>0</v>
      </c>
      <c r="CH149" s="34">
        <f t="shared" ca="1" si="63"/>
        <v>0</v>
      </c>
      <c r="CI149" s="34">
        <f t="shared" ca="1" si="63"/>
        <v>0</v>
      </c>
      <c r="CJ149" s="34">
        <f t="shared" ca="1" si="63"/>
        <v>0</v>
      </c>
      <c r="CK149" s="34">
        <f t="shared" ca="1" si="63"/>
        <v>0</v>
      </c>
      <c r="CL149" s="34">
        <f t="shared" ca="1" si="63"/>
        <v>0</v>
      </c>
      <c r="CM149" s="34">
        <f t="shared" ca="1" si="63"/>
        <v>0</v>
      </c>
      <c r="CN149" s="34">
        <f t="shared" ca="1" si="63"/>
        <v>0</v>
      </c>
      <c r="CO149" s="34">
        <f t="shared" ca="1" si="63"/>
        <v>0</v>
      </c>
      <c r="CP149" s="34">
        <f t="shared" ca="1" si="63"/>
        <v>0</v>
      </c>
      <c r="CQ149" s="34">
        <f t="shared" ca="1" si="57"/>
        <v>17856.532935674444</v>
      </c>
      <c r="CR149" s="363">
        <v>0</v>
      </c>
      <c r="CS149" s="34">
        <f t="shared" ca="1" si="58"/>
        <v>17856.532935674444</v>
      </c>
      <c r="CT149" s="233"/>
    </row>
    <row r="150" spans="2:98" x14ac:dyDescent="0.3">
      <c r="B150" s="232"/>
      <c r="C150" s="250">
        <f t="shared" si="59"/>
        <v>2034</v>
      </c>
      <c r="D150" s="263">
        <f t="shared" ca="1" si="38"/>
        <v>16506.513689868672</v>
      </c>
      <c r="E150" s="263">
        <f t="shared" ca="1" si="23"/>
        <v>109.18146565970572</v>
      </c>
      <c r="F150" s="263">
        <f t="shared" ca="1" si="24"/>
        <v>0</v>
      </c>
      <c r="G150" s="263">
        <f t="shared" ca="1" si="39"/>
        <v>17161.602483826908</v>
      </c>
      <c r="H150" s="15"/>
      <c r="I150" s="271">
        <f ca="1">Assumptions!O$68</f>
        <v>4.5</v>
      </c>
      <c r="J150" s="271">
        <f ca="1">Assumptions!P$68</f>
        <v>80</v>
      </c>
      <c r="K150" s="271">
        <f t="shared" ca="1" si="25"/>
        <v>40</v>
      </c>
      <c r="L150" s="15"/>
      <c r="M150" s="35">
        <f t="shared" ca="1" si="40"/>
        <v>4.2299999999999995</v>
      </c>
      <c r="N150" s="35">
        <f t="shared" ca="1" si="26"/>
        <v>74.400000000000006</v>
      </c>
      <c r="O150" s="35">
        <f t="shared" ca="1" si="27"/>
        <v>37.200000000000003</v>
      </c>
      <c r="P150" s="15"/>
      <c r="Q150" s="34">
        <f t="shared" ca="1" si="41"/>
        <v>69822.552908144469</v>
      </c>
      <c r="R150" s="34">
        <f t="shared" ca="1" si="41"/>
        <v>8123.1010450821068</v>
      </c>
      <c r="S150" s="34">
        <f t="shared" ca="1" si="41"/>
        <v>0</v>
      </c>
      <c r="T150" s="34">
        <f t="shared" ca="1" si="42"/>
        <v>77945.653953226574</v>
      </c>
      <c r="U150" s="15"/>
      <c r="V150" s="35">
        <f t="shared" si="43"/>
        <v>0.31</v>
      </c>
      <c r="W150" s="34">
        <f t="shared" ca="1" si="44"/>
        <v>5320.0967699863413</v>
      </c>
      <c r="X150" s="35">
        <f t="shared" si="45"/>
        <v>0.37</v>
      </c>
      <c r="Y150" s="34">
        <f t="shared" ca="1" si="46"/>
        <v>6349.7929190159557</v>
      </c>
      <c r="Z150" s="35">
        <f t="shared" si="47"/>
        <v>0.57999999999999996</v>
      </c>
      <c r="AA150" s="34">
        <f t="shared" ca="1" si="48"/>
        <v>9953.7294406196052</v>
      </c>
      <c r="AB150" s="34">
        <f t="shared" ca="1" si="49"/>
        <v>21623.619129621904</v>
      </c>
      <c r="AC150" s="15"/>
      <c r="AD150" s="34">
        <f t="shared" ca="1" si="50"/>
        <v>56322.03482360467</v>
      </c>
      <c r="AE150" s="34">
        <f ca="1"/>
        <v>0</v>
      </c>
      <c r="AF150" s="34">
        <f t="shared" ca="1" si="51"/>
        <v>56322.03482360467</v>
      </c>
      <c r="AG150" s="15"/>
      <c r="AH150" s="272">
        <f t="shared" si="60"/>
        <v>49309</v>
      </c>
      <c r="AI150" s="267">
        <f t="shared" si="28"/>
        <v>20.666666666666668</v>
      </c>
      <c r="AJ150" s="267">
        <f t="shared" si="29"/>
        <v>0.13949260136237826</v>
      </c>
      <c r="AK150" s="34">
        <f t="shared" ca="1" si="61"/>
        <v>7856.5071515670725</v>
      </c>
      <c r="AL150" s="233"/>
      <c r="AN150" s="349"/>
      <c r="AO150" s="237">
        <f t="shared" si="52"/>
        <v>21</v>
      </c>
      <c r="AP150" s="34">
        <f t="shared" ca="1" si="53"/>
        <v>111.23294897425454</v>
      </c>
      <c r="AQ150" s="34">
        <f t="shared" ca="1" si="30"/>
        <v>0.73574448407687909</v>
      </c>
      <c r="AR150" s="34">
        <f t="shared" ca="1" si="31"/>
        <v>0</v>
      </c>
      <c r="AS150" s="34">
        <f t="shared" ca="1" si="54"/>
        <v>115.64741587871582</v>
      </c>
      <c r="AT150" s="350">
        <v>-3.8916337321011102E-2</v>
      </c>
      <c r="AU150" s="34">
        <f ca="1">MIN(AU149*(1+AT150),$AT$126-SUM(AU$129:AU149))</f>
        <v>115.64741587871582</v>
      </c>
      <c r="AV150" s="348"/>
      <c r="AW150" s="34">
        <f t="shared" ca="1" si="55"/>
        <v>111.23294897425454</v>
      </c>
      <c r="AX150" s="34">
        <f t="shared" ca="1" si="32"/>
        <v>0.73574448407687909</v>
      </c>
      <c r="AY150" s="34">
        <f t="shared" ca="1" si="33"/>
        <v>0</v>
      </c>
      <c r="AZ150" s="34">
        <f t="shared" ca="1" si="34"/>
        <v>115.64741587871582</v>
      </c>
      <c r="BB150" s="34">
        <f t="shared" ca="1" si="64"/>
        <v>1412.6989724106604</v>
      </c>
      <c r="BC150" s="34">
        <f t="shared" ca="1" si="64"/>
        <v>2449.836969227023</v>
      </c>
      <c r="BD150" s="34">
        <f t="shared" ca="1" si="64"/>
        <v>3823.5545151529886</v>
      </c>
      <c r="BE150" s="34">
        <f t="shared" ca="1" si="64"/>
        <v>4972.9736948249465</v>
      </c>
      <c r="BF150" s="34">
        <f t="shared" ca="1" si="64"/>
        <v>4502.5383322112884</v>
      </c>
      <c r="BG150" s="34">
        <f t="shared" ca="1" si="64"/>
        <v>0</v>
      </c>
      <c r="BH150" s="34">
        <f t="shared" ca="1" si="64"/>
        <v>0</v>
      </c>
      <c r="BI150" s="34">
        <f t="shared" ca="1" si="64"/>
        <v>0</v>
      </c>
      <c r="BJ150" s="34">
        <f t="shared" ca="1" si="64"/>
        <v>0</v>
      </c>
      <c r="BK150" s="34">
        <f t="shared" ca="1" si="64"/>
        <v>0</v>
      </c>
      <c r="BL150" s="34">
        <f t="shared" ca="1" si="64"/>
        <v>0</v>
      </c>
      <c r="BM150" s="34">
        <f t="shared" ca="1" si="64"/>
        <v>0</v>
      </c>
      <c r="BN150" s="34">
        <f t="shared" ca="1" si="64"/>
        <v>0</v>
      </c>
      <c r="BO150" s="34">
        <f t="shared" ca="1" si="64"/>
        <v>0</v>
      </c>
      <c r="BP150" s="34">
        <f t="shared" ca="1" si="64"/>
        <v>0</v>
      </c>
      <c r="BQ150" s="34">
        <f t="shared" ca="1" si="64"/>
        <v>0</v>
      </c>
      <c r="BR150" s="34">
        <f t="shared" ca="1" si="62"/>
        <v>0</v>
      </c>
      <c r="BS150" s="34">
        <f t="shared" ca="1" si="62"/>
        <v>0</v>
      </c>
      <c r="BT150" s="34">
        <f t="shared" ca="1" si="62"/>
        <v>0</v>
      </c>
      <c r="BU150" s="34">
        <f t="shared" ca="1" si="62"/>
        <v>0</v>
      </c>
      <c r="BV150" s="34">
        <f t="shared" ca="1" si="62"/>
        <v>0</v>
      </c>
      <c r="BW150" s="34">
        <f t="shared" ca="1" si="62"/>
        <v>0</v>
      </c>
      <c r="BX150" s="34">
        <f t="shared" ca="1" si="62"/>
        <v>0</v>
      </c>
      <c r="BY150" s="34">
        <f t="shared" ca="1" si="62"/>
        <v>0</v>
      </c>
      <c r="BZ150" s="34">
        <f t="shared" ca="1" si="62"/>
        <v>0</v>
      </c>
      <c r="CA150" s="34">
        <f t="shared" ca="1" si="62"/>
        <v>0</v>
      </c>
      <c r="CB150" s="34">
        <f t="shared" ca="1" si="62"/>
        <v>0</v>
      </c>
      <c r="CC150" s="34">
        <f t="shared" ca="1" si="62"/>
        <v>0</v>
      </c>
      <c r="CD150" s="34">
        <f t="shared" ca="1" si="62"/>
        <v>0</v>
      </c>
      <c r="CE150" s="34">
        <f t="shared" ca="1" si="62"/>
        <v>0</v>
      </c>
      <c r="CF150" s="34">
        <f t="shared" ca="1" si="62"/>
        <v>0</v>
      </c>
      <c r="CG150" s="34">
        <f t="shared" ca="1" si="62"/>
        <v>0</v>
      </c>
      <c r="CH150" s="34">
        <f t="shared" ca="1" si="63"/>
        <v>0</v>
      </c>
      <c r="CI150" s="34">
        <f t="shared" ca="1" si="63"/>
        <v>0</v>
      </c>
      <c r="CJ150" s="34">
        <f t="shared" ca="1" si="63"/>
        <v>0</v>
      </c>
      <c r="CK150" s="34">
        <f t="shared" ca="1" si="63"/>
        <v>0</v>
      </c>
      <c r="CL150" s="34">
        <f t="shared" ca="1" si="63"/>
        <v>0</v>
      </c>
      <c r="CM150" s="34">
        <f t="shared" ca="1" si="63"/>
        <v>0</v>
      </c>
      <c r="CN150" s="34">
        <f t="shared" ca="1" si="63"/>
        <v>0</v>
      </c>
      <c r="CO150" s="34">
        <f t="shared" ca="1" si="63"/>
        <v>0</v>
      </c>
      <c r="CP150" s="34">
        <f t="shared" ca="1" si="63"/>
        <v>0</v>
      </c>
      <c r="CQ150" s="34">
        <f t="shared" ca="1" si="57"/>
        <v>17161.602483826908</v>
      </c>
      <c r="CR150" s="363">
        <v>0</v>
      </c>
      <c r="CS150" s="34">
        <f t="shared" ca="1" si="58"/>
        <v>17161.602483826908</v>
      </c>
      <c r="CT150" s="233"/>
    </row>
    <row r="151" spans="2:98" x14ac:dyDescent="0.3">
      <c r="B151" s="232"/>
      <c r="C151" s="250">
        <f t="shared" si="59"/>
        <v>2035</v>
      </c>
      <c r="D151" s="263">
        <f t="shared" ca="1" si="38"/>
        <v>15864.139167230202</v>
      </c>
      <c r="E151" s="263">
        <f t="shared" ca="1" si="23"/>
        <v>104.93251320361138</v>
      </c>
      <c r="F151" s="263">
        <f t="shared" ca="1" si="24"/>
        <v>0</v>
      </c>
      <c r="G151" s="263">
        <f t="shared" ca="1" si="39"/>
        <v>16493.73424645187</v>
      </c>
      <c r="H151" s="15"/>
      <c r="I151" s="271">
        <f ca="1">Assumptions!O$68</f>
        <v>4.5</v>
      </c>
      <c r="J151" s="271">
        <f ca="1">Assumptions!P$68</f>
        <v>80</v>
      </c>
      <c r="K151" s="271">
        <f t="shared" ca="1" si="25"/>
        <v>40</v>
      </c>
      <c r="L151" s="15"/>
      <c r="M151" s="35">
        <f t="shared" ca="1" si="40"/>
        <v>4.2299999999999995</v>
      </c>
      <c r="N151" s="35">
        <f t="shared" ca="1" si="26"/>
        <v>74.400000000000006</v>
      </c>
      <c r="O151" s="35">
        <f t="shared" ca="1" si="27"/>
        <v>37.200000000000003</v>
      </c>
      <c r="P151" s="15"/>
      <c r="Q151" s="34">
        <f t="shared" ca="1" si="41"/>
        <v>67105.308677383742</v>
      </c>
      <c r="R151" s="34">
        <f t="shared" ca="1" si="41"/>
        <v>7806.9789823486872</v>
      </c>
      <c r="S151" s="34">
        <f t="shared" ca="1" si="41"/>
        <v>0</v>
      </c>
      <c r="T151" s="34">
        <f t="shared" ca="1" si="42"/>
        <v>74912.287659732436</v>
      </c>
      <c r="U151" s="15"/>
      <c r="V151" s="35">
        <f t="shared" si="43"/>
        <v>0.31</v>
      </c>
      <c r="W151" s="34">
        <f t="shared" ca="1" si="44"/>
        <v>5113.0576164000795</v>
      </c>
      <c r="X151" s="35">
        <f t="shared" si="45"/>
        <v>0.37</v>
      </c>
      <c r="Y151" s="34">
        <f t="shared" ca="1" si="46"/>
        <v>6102.6816711871916</v>
      </c>
      <c r="Z151" s="35">
        <f t="shared" si="47"/>
        <v>0.57999999999999996</v>
      </c>
      <c r="AA151" s="34">
        <f t="shared" ca="1" si="48"/>
        <v>9566.3658629420843</v>
      </c>
      <c r="AB151" s="34">
        <f t="shared" ca="1" si="49"/>
        <v>20782.105150529358</v>
      </c>
      <c r="AC151" s="15"/>
      <c r="AD151" s="34">
        <f t="shared" ca="1" si="50"/>
        <v>54130.182509203078</v>
      </c>
      <c r="AE151" s="34">
        <f ca="1"/>
        <v>0</v>
      </c>
      <c r="AF151" s="34">
        <f t="shared" ca="1" si="51"/>
        <v>54130.182509203078</v>
      </c>
      <c r="AG151" s="15"/>
      <c r="AH151" s="272">
        <f t="shared" si="60"/>
        <v>49674</v>
      </c>
      <c r="AI151" s="267">
        <f t="shared" si="28"/>
        <v>21.666666666666668</v>
      </c>
      <c r="AJ151" s="267">
        <f t="shared" si="29"/>
        <v>0.12681145578398023</v>
      </c>
      <c r="AK151" s="34">
        <f t="shared" ca="1" si="61"/>
        <v>6864.3272458445863</v>
      </c>
      <c r="AL151" s="233"/>
      <c r="AN151" s="349"/>
      <c r="AO151" s="237">
        <f t="shared" si="52"/>
        <v>22</v>
      </c>
      <c r="AP151" s="34">
        <f t="shared" ca="1" si="53"/>
        <v>106.90416160781429</v>
      </c>
      <c r="AQ151" s="34">
        <f t="shared" ca="1" si="30"/>
        <v>0.70711194797161714</v>
      </c>
      <c r="AR151" s="34">
        <f t="shared" ca="1" si="31"/>
        <v>0</v>
      </c>
      <c r="AS151" s="34">
        <f t="shared" ca="1" si="54"/>
        <v>111.14683329564399</v>
      </c>
      <c r="AT151" s="350">
        <v>-3.8916412864700635E-2</v>
      </c>
      <c r="AU151" s="34">
        <f ca="1">MIN(AU150*(1+AT151),$AT$126-SUM(AU$129:AU150))</f>
        <v>111.14683329564399</v>
      </c>
      <c r="AV151" s="348"/>
      <c r="AW151" s="34">
        <f t="shared" ca="1" si="55"/>
        <v>106.90416160781429</v>
      </c>
      <c r="AX151" s="34">
        <f t="shared" ca="1" si="32"/>
        <v>0.70711194797161714</v>
      </c>
      <c r="AY151" s="34">
        <f t="shared" ca="1" si="33"/>
        <v>0</v>
      </c>
      <c r="AZ151" s="34">
        <f t="shared" ca="1" si="34"/>
        <v>111.14683329564399</v>
      </c>
      <c r="BB151" s="34">
        <f t="shared" ca="1" si="64"/>
        <v>1357.7217959467889</v>
      </c>
      <c r="BC151" s="34">
        <f t="shared" ca="1" si="64"/>
        <v>2354.4982873511003</v>
      </c>
      <c r="BD151" s="34">
        <f t="shared" ca="1" si="64"/>
        <v>3674.7554538405343</v>
      </c>
      <c r="BE151" s="34">
        <f t="shared" ca="1" si="64"/>
        <v>4779.4431439412356</v>
      </c>
      <c r="BF151" s="34">
        <f t="shared" ca="1" si="64"/>
        <v>4327.3155653722097</v>
      </c>
      <c r="BG151" s="34">
        <f t="shared" ca="1" si="64"/>
        <v>0</v>
      </c>
      <c r="BH151" s="34">
        <f t="shared" ca="1" si="64"/>
        <v>0</v>
      </c>
      <c r="BI151" s="34">
        <f t="shared" ca="1" si="64"/>
        <v>0</v>
      </c>
      <c r="BJ151" s="34">
        <f t="shared" ca="1" si="64"/>
        <v>0</v>
      </c>
      <c r="BK151" s="34">
        <f t="shared" ca="1" si="64"/>
        <v>0</v>
      </c>
      <c r="BL151" s="34">
        <f t="shared" ca="1" si="64"/>
        <v>0</v>
      </c>
      <c r="BM151" s="34">
        <f t="shared" ca="1" si="64"/>
        <v>0</v>
      </c>
      <c r="BN151" s="34">
        <f t="shared" ca="1" si="64"/>
        <v>0</v>
      </c>
      <c r="BO151" s="34">
        <f t="shared" ca="1" si="64"/>
        <v>0</v>
      </c>
      <c r="BP151" s="34">
        <f t="shared" ca="1" si="64"/>
        <v>0</v>
      </c>
      <c r="BQ151" s="34">
        <f t="shared" ca="1" si="64"/>
        <v>0</v>
      </c>
      <c r="BR151" s="34">
        <f t="shared" ca="1" si="62"/>
        <v>0</v>
      </c>
      <c r="BS151" s="34">
        <f t="shared" ca="1" si="62"/>
        <v>0</v>
      </c>
      <c r="BT151" s="34">
        <f t="shared" ca="1" si="62"/>
        <v>0</v>
      </c>
      <c r="BU151" s="34">
        <f t="shared" ca="1" si="62"/>
        <v>0</v>
      </c>
      <c r="BV151" s="34">
        <f t="shared" ca="1" si="62"/>
        <v>0</v>
      </c>
      <c r="BW151" s="34">
        <f t="shared" ca="1" si="62"/>
        <v>0</v>
      </c>
      <c r="BX151" s="34">
        <f t="shared" ca="1" si="62"/>
        <v>0</v>
      </c>
      <c r="BY151" s="34">
        <f t="shared" ca="1" si="62"/>
        <v>0</v>
      </c>
      <c r="BZ151" s="34">
        <f t="shared" ca="1" si="62"/>
        <v>0</v>
      </c>
      <c r="CA151" s="34">
        <f t="shared" ca="1" si="62"/>
        <v>0</v>
      </c>
      <c r="CB151" s="34">
        <f t="shared" ca="1" si="62"/>
        <v>0</v>
      </c>
      <c r="CC151" s="34">
        <f t="shared" ca="1" si="62"/>
        <v>0</v>
      </c>
      <c r="CD151" s="34">
        <f t="shared" ca="1" si="62"/>
        <v>0</v>
      </c>
      <c r="CE151" s="34">
        <f t="shared" ca="1" si="62"/>
        <v>0</v>
      </c>
      <c r="CF151" s="34">
        <f t="shared" ca="1" si="62"/>
        <v>0</v>
      </c>
      <c r="CG151" s="34">
        <f t="shared" ca="1" si="62"/>
        <v>0</v>
      </c>
      <c r="CH151" s="34">
        <f t="shared" ca="1" si="63"/>
        <v>0</v>
      </c>
      <c r="CI151" s="34">
        <f t="shared" ca="1" si="63"/>
        <v>0</v>
      </c>
      <c r="CJ151" s="34">
        <f t="shared" ca="1" si="63"/>
        <v>0</v>
      </c>
      <c r="CK151" s="34">
        <f t="shared" ca="1" si="63"/>
        <v>0</v>
      </c>
      <c r="CL151" s="34">
        <f t="shared" ca="1" si="63"/>
        <v>0</v>
      </c>
      <c r="CM151" s="34">
        <f t="shared" ca="1" si="63"/>
        <v>0</v>
      </c>
      <c r="CN151" s="34">
        <f t="shared" ca="1" si="63"/>
        <v>0</v>
      </c>
      <c r="CO151" s="34">
        <f t="shared" ca="1" si="63"/>
        <v>0</v>
      </c>
      <c r="CP151" s="34">
        <f t="shared" ca="1" si="63"/>
        <v>0</v>
      </c>
      <c r="CQ151" s="34">
        <f t="shared" ca="1" si="57"/>
        <v>16493.73424645187</v>
      </c>
      <c r="CR151" s="363">
        <v>0</v>
      </c>
      <c r="CS151" s="34">
        <f t="shared" ca="1" si="58"/>
        <v>16493.73424645187</v>
      </c>
      <c r="CT151" s="233"/>
    </row>
    <row r="152" spans="2:98" x14ac:dyDescent="0.3">
      <c r="B152" s="232"/>
      <c r="C152" s="250">
        <f t="shared" si="59"/>
        <v>2036</v>
      </c>
      <c r="D152" s="263">
        <f t="shared" ca="1" si="38"/>
        <v>15246.763891449726</v>
      </c>
      <c r="E152" s="263">
        <f t="shared" ca="1" si="23"/>
        <v>100.84891694953687</v>
      </c>
      <c r="F152" s="263">
        <f t="shared" ca="1" si="24"/>
        <v>0</v>
      </c>
      <c r="G152" s="263">
        <f t="shared" ca="1" si="39"/>
        <v>15851.857393146947</v>
      </c>
      <c r="H152" s="15"/>
      <c r="I152" s="271">
        <f ca="1">Assumptions!O$68</f>
        <v>4.5</v>
      </c>
      <c r="J152" s="271">
        <f ca="1">Assumptions!P$68</f>
        <v>80</v>
      </c>
      <c r="K152" s="271">
        <f t="shared" ca="1" si="25"/>
        <v>40</v>
      </c>
      <c r="L152" s="15"/>
      <c r="M152" s="35">
        <f t="shared" ca="1" si="40"/>
        <v>4.2299999999999995</v>
      </c>
      <c r="N152" s="35">
        <f t="shared" ca="1" si="26"/>
        <v>74.400000000000006</v>
      </c>
      <c r="O152" s="35">
        <f t="shared" ca="1" si="27"/>
        <v>37.200000000000003</v>
      </c>
      <c r="P152" s="15"/>
      <c r="Q152" s="34">
        <f t="shared" ca="1" si="41"/>
        <v>64493.811260832335</v>
      </c>
      <c r="R152" s="34">
        <f t="shared" ca="1" si="41"/>
        <v>7503.1594210455441</v>
      </c>
      <c r="S152" s="34">
        <f t="shared" ca="1" si="41"/>
        <v>0</v>
      </c>
      <c r="T152" s="34">
        <f t="shared" ca="1" si="42"/>
        <v>71996.97068187788</v>
      </c>
      <c r="U152" s="15"/>
      <c r="V152" s="35">
        <f t="shared" si="43"/>
        <v>0.31</v>
      </c>
      <c r="W152" s="34">
        <f t="shared" ca="1" si="44"/>
        <v>4914.0757918755535</v>
      </c>
      <c r="X152" s="35">
        <f t="shared" si="45"/>
        <v>0.37</v>
      </c>
      <c r="Y152" s="34">
        <f t="shared" ca="1" si="46"/>
        <v>5865.1872354643701</v>
      </c>
      <c r="Z152" s="35">
        <f t="shared" si="47"/>
        <v>0.57999999999999996</v>
      </c>
      <c r="AA152" s="34">
        <f t="shared" ca="1" si="48"/>
        <v>9194.077288025228</v>
      </c>
      <c r="AB152" s="34">
        <f t="shared" ca="1" si="49"/>
        <v>19973.340315365152</v>
      </c>
      <c r="AC152" s="15"/>
      <c r="AD152" s="34">
        <f t="shared" ca="1" si="50"/>
        <v>52023.630366512727</v>
      </c>
      <c r="AE152" s="34">
        <f ca="1"/>
        <v>0</v>
      </c>
      <c r="AF152" s="34">
        <f t="shared" ca="1" si="51"/>
        <v>52023.630366512727</v>
      </c>
      <c r="AG152" s="15"/>
      <c r="AH152" s="272">
        <f t="shared" si="60"/>
        <v>50040</v>
      </c>
      <c r="AI152" s="267">
        <f t="shared" si="28"/>
        <v>22.666666666666668</v>
      </c>
      <c r="AJ152" s="267">
        <f t="shared" si="29"/>
        <v>0.11528314162180023</v>
      </c>
      <c r="AK152" s="34">
        <f t="shared" ca="1" si="61"/>
        <v>5997.4475472228733</v>
      </c>
      <c r="AL152" s="233"/>
      <c r="AN152" s="349"/>
      <c r="AO152" s="237">
        <f t="shared" si="52"/>
        <v>23</v>
      </c>
      <c r="AP152" s="34">
        <f t="shared" ca="1" si="53"/>
        <v>102.74384340120095</v>
      </c>
      <c r="AQ152" s="34">
        <f t="shared" ca="1" si="30"/>
        <v>0.6795937422533741</v>
      </c>
      <c r="AR152" s="34">
        <f t="shared" ca="1" si="31"/>
        <v>0</v>
      </c>
      <c r="AS152" s="34">
        <f t="shared" ca="1" si="54"/>
        <v>106.82140585472119</v>
      </c>
      <c r="AT152" s="350">
        <v>-3.8916335379681186E-2</v>
      </c>
      <c r="AU152" s="34">
        <f ca="1">MIN(AU151*(1+AT152),$AT$126-SUM(AU$129:AU151))</f>
        <v>106.82140585472119</v>
      </c>
      <c r="AV152" s="348"/>
      <c r="AW152" s="34">
        <f t="shared" ca="1" si="55"/>
        <v>102.74384340120095</v>
      </c>
      <c r="AX152" s="34">
        <f t="shared" ca="1" si="32"/>
        <v>0.6795937422533741</v>
      </c>
      <c r="AY152" s="34">
        <f t="shared" ca="1" si="33"/>
        <v>0</v>
      </c>
      <c r="AZ152" s="34">
        <f t="shared" ca="1" si="34"/>
        <v>106.82140585472119</v>
      </c>
      <c r="BB152" s="34">
        <f t="shared" ca="1" si="64"/>
        <v>1304.8842391834207</v>
      </c>
      <c r="BC152" s="34">
        <f t="shared" ca="1" si="64"/>
        <v>2262.8696599113146</v>
      </c>
      <c r="BD152" s="34">
        <f t="shared" ca="1" si="64"/>
        <v>3531.7474310266507</v>
      </c>
      <c r="BE152" s="34">
        <f t="shared" ca="1" si="64"/>
        <v>4593.4443173006684</v>
      </c>
      <c r="BF152" s="34">
        <f t="shared" ca="1" si="64"/>
        <v>4158.9117457248949</v>
      </c>
      <c r="BG152" s="34">
        <f t="shared" ca="1" si="64"/>
        <v>0</v>
      </c>
      <c r="BH152" s="34">
        <f t="shared" ca="1" si="64"/>
        <v>0</v>
      </c>
      <c r="BI152" s="34">
        <f t="shared" ca="1" si="64"/>
        <v>0</v>
      </c>
      <c r="BJ152" s="34">
        <f t="shared" ca="1" si="64"/>
        <v>0</v>
      </c>
      <c r="BK152" s="34">
        <f t="shared" ca="1" si="64"/>
        <v>0</v>
      </c>
      <c r="BL152" s="34">
        <f t="shared" ca="1" si="64"/>
        <v>0</v>
      </c>
      <c r="BM152" s="34">
        <f t="shared" ca="1" si="64"/>
        <v>0</v>
      </c>
      <c r="BN152" s="34">
        <f t="shared" ca="1" si="64"/>
        <v>0</v>
      </c>
      <c r="BO152" s="34">
        <f t="shared" ca="1" si="64"/>
        <v>0</v>
      </c>
      <c r="BP152" s="34">
        <f t="shared" ca="1" si="64"/>
        <v>0</v>
      </c>
      <c r="BQ152" s="34">
        <f t="shared" ca="1" si="64"/>
        <v>0</v>
      </c>
      <c r="BR152" s="34">
        <f t="shared" ca="1" si="62"/>
        <v>0</v>
      </c>
      <c r="BS152" s="34">
        <f t="shared" ca="1" si="62"/>
        <v>0</v>
      </c>
      <c r="BT152" s="34">
        <f t="shared" ca="1" si="62"/>
        <v>0</v>
      </c>
      <c r="BU152" s="34">
        <f t="shared" ca="1" si="62"/>
        <v>0</v>
      </c>
      <c r="BV152" s="34">
        <f t="shared" ca="1" si="62"/>
        <v>0</v>
      </c>
      <c r="BW152" s="34">
        <f t="shared" ca="1" si="62"/>
        <v>0</v>
      </c>
      <c r="BX152" s="34">
        <f t="shared" ca="1" si="62"/>
        <v>0</v>
      </c>
      <c r="BY152" s="34">
        <f t="shared" ca="1" si="62"/>
        <v>0</v>
      </c>
      <c r="BZ152" s="34">
        <f t="shared" ca="1" si="62"/>
        <v>0</v>
      </c>
      <c r="CA152" s="34">
        <f t="shared" ca="1" si="62"/>
        <v>0</v>
      </c>
      <c r="CB152" s="34">
        <f t="shared" ca="1" si="62"/>
        <v>0</v>
      </c>
      <c r="CC152" s="34">
        <f t="shared" ca="1" si="62"/>
        <v>0</v>
      </c>
      <c r="CD152" s="34">
        <f t="shared" ca="1" si="62"/>
        <v>0</v>
      </c>
      <c r="CE152" s="34">
        <f t="shared" ca="1" si="62"/>
        <v>0</v>
      </c>
      <c r="CF152" s="34">
        <f t="shared" ca="1" si="62"/>
        <v>0</v>
      </c>
      <c r="CG152" s="34">
        <f t="shared" ca="1" si="62"/>
        <v>0</v>
      </c>
      <c r="CH152" s="34">
        <f t="shared" ca="1" si="63"/>
        <v>0</v>
      </c>
      <c r="CI152" s="34">
        <f t="shared" ca="1" si="63"/>
        <v>0</v>
      </c>
      <c r="CJ152" s="34">
        <f t="shared" ca="1" si="63"/>
        <v>0</v>
      </c>
      <c r="CK152" s="34">
        <f t="shared" ca="1" si="63"/>
        <v>0</v>
      </c>
      <c r="CL152" s="34">
        <f t="shared" ca="1" si="63"/>
        <v>0</v>
      </c>
      <c r="CM152" s="34">
        <f t="shared" ca="1" si="63"/>
        <v>0</v>
      </c>
      <c r="CN152" s="34">
        <f t="shared" ca="1" si="63"/>
        <v>0</v>
      </c>
      <c r="CO152" s="34">
        <f t="shared" ca="1" si="63"/>
        <v>0</v>
      </c>
      <c r="CP152" s="34">
        <f t="shared" ca="1" si="63"/>
        <v>0</v>
      </c>
      <c r="CQ152" s="34">
        <f t="shared" ca="1" si="57"/>
        <v>15851.857393146947</v>
      </c>
      <c r="CR152" s="363">
        <v>0</v>
      </c>
      <c r="CS152" s="34">
        <f t="shared" ca="1" si="58"/>
        <v>15851.857393146947</v>
      </c>
      <c r="CT152" s="233"/>
    </row>
    <row r="153" spans="2:98" x14ac:dyDescent="0.3">
      <c r="B153" s="232"/>
      <c r="C153" s="250">
        <f t="shared" si="59"/>
        <v>2037</v>
      </c>
      <c r="D153" s="263">
        <f t="shared" ca="1" si="38"/>
        <v>14653.415183702262</v>
      </c>
      <c r="E153" s="263">
        <f t="shared" ca="1" si="23"/>
        <v>96.924243164610218</v>
      </c>
      <c r="F153" s="263">
        <f t="shared" ca="1" si="24"/>
        <v>0</v>
      </c>
      <c r="G153" s="263">
        <f t="shared" ca="1" si="39"/>
        <v>15234.960642689923</v>
      </c>
      <c r="H153" s="15"/>
      <c r="I153" s="271">
        <f ca="1">Assumptions!O$68</f>
        <v>4.5</v>
      </c>
      <c r="J153" s="271">
        <f ca="1">Assumptions!P$68</f>
        <v>80</v>
      </c>
      <c r="K153" s="271">
        <f t="shared" ca="1" si="25"/>
        <v>40</v>
      </c>
      <c r="L153" s="15"/>
      <c r="M153" s="35">
        <f t="shared" ca="1" si="40"/>
        <v>4.2299999999999995</v>
      </c>
      <c r="N153" s="35">
        <f t="shared" ca="1" si="26"/>
        <v>74.400000000000006</v>
      </c>
      <c r="O153" s="35">
        <f t="shared" ca="1" si="27"/>
        <v>37.200000000000003</v>
      </c>
      <c r="P153" s="15"/>
      <c r="Q153" s="34">
        <f t="shared" ca="1" si="41"/>
        <v>61983.946227060558</v>
      </c>
      <c r="R153" s="34">
        <f t="shared" ca="1" si="41"/>
        <v>7211.1636914470009</v>
      </c>
      <c r="S153" s="34">
        <f t="shared" ca="1" si="41"/>
        <v>0</v>
      </c>
      <c r="T153" s="34">
        <f t="shared" ca="1" si="42"/>
        <v>69195.109918507558</v>
      </c>
      <c r="U153" s="15"/>
      <c r="V153" s="35">
        <f t="shared" si="43"/>
        <v>0.31</v>
      </c>
      <c r="W153" s="34">
        <f t="shared" ca="1" si="44"/>
        <v>4722.8377992338756</v>
      </c>
      <c r="X153" s="35">
        <f t="shared" si="45"/>
        <v>0.37</v>
      </c>
      <c r="Y153" s="34">
        <f t="shared" ca="1" si="46"/>
        <v>5636.9354377952714</v>
      </c>
      <c r="Z153" s="35">
        <f t="shared" si="47"/>
        <v>0.57999999999999996</v>
      </c>
      <c r="AA153" s="34">
        <f t="shared" ca="1" si="48"/>
        <v>8836.2771727601539</v>
      </c>
      <c r="AB153" s="34">
        <f t="shared" ca="1" si="49"/>
        <v>19196.050409789299</v>
      </c>
      <c r="AC153" s="15"/>
      <c r="AD153" s="34">
        <f t="shared" ca="1" si="50"/>
        <v>49999.059508718259</v>
      </c>
      <c r="AE153" s="34">
        <f ca="1"/>
        <v>0</v>
      </c>
      <c r="AF153" s="34">
        <f t="shared" ca="1" si="51"/>
        <v>49999.059508718259</v>
      </c>
      <c r="AG153" s="15"/>
      <c r="AH153" s="272">
        <f t="shared" si="60"/>
        <v>50405</v>
      </c>
      <c r="AI153" s="267">
        <f t="shared" si="28"/>
        <v>23.666666666666668</v>
      </c>
      <c r="AJ153" s="267">
        <f t="shared" si="29"/>
        <v>0.10480285601981834</v>
      </c>
      <c r="AK153" s="34">
        <f t="shared" ca="1" si="61"/>
        <v>5240.0442348185288</v>
      </c>
      <c r="AL153" s="233"/>
      <c r="AN153" s="349"/>
      <c r="AO153" s="237">
        <f t="shared" si="52"/>
        <v>24</v>
      </c>
      <c r="AP153" s="34">
        <f t="shared" ca="1" si="53"/>
        <v>98.745436725937381</v>
      </c>
      <c r="AQ153" s="34">
        <f t="shared" ca="1" si="30"/>
        <v>0.65314649183387619</v>
      </c>
      <c r="AR153" s="34">
        <f t="shared" ca="1" si="31"/>
        <v>0</v>
      </c>
      <c r="AS153" s="34">
        <f t="shared" ca="1" si="54"/>
        <v>102.66431567694063</v>
      </c>
      <c r="AT153" s="350">
        <v>-3.8916265373199373E-2</v>
      </c>
      <c r="AU153" s="34">
        <f ca="1">MIN(AU152*(1+AT153),$AT$126-SUM(AU$129:AU152))</f>
        <v>102.66431567694063</v>
      </c>
      <c r="AV153" s="348"/>
      <c r="AW153" s="34">
        <f t="shared" ca="1" si="55"/>
        <v>98.745436725937381</v>
      </c>
      <c r="AX153" s="34">
        <f t="shared" ca="1" si="32"/>
        <v>0.65314649183387619</v>
      </c>
      <c r="AY153" s="34">
        <f t="shared" ca="1" si="33"/>
        <v>0</v>
      </c>
      <c r="AZ153" s="34">
        <f t="shared" ca="1" si="34"/>
        <v>102.66431567694063</v>
      </c>
      <c r="BB153" s="34">
        <f t="shared" ca="1" si="64"/>
        <v>1254.1030178500534</v>
      </c>
      <c r="BC153" s="34">
        <f t="shared" ca="1" si="64"/>
        <v>2174.8070653057007</v>
      </c>
      <c r="BD153" s="34">
        <f t="shared" ca="1" si="64"/>
        <v>3394.3044898669723</v>
      </c>
      <c r="BE153" s="34">
        <f t="shared" ca="1" si="64"/>
        <v>4414.6842887833136</v>
      </c>
      <c r="BF153" s="34">
        <f t="shared" ca="1" si="64"/>
        <v>3997.0617808838829</v>
      </c>
      <c r="BG153" s="34">
        <f t="shared" ca="1" si="64"/>
        <v>0</v>
      </c>
      <c r="BH153" s="34">
        <f t="shared" ca="1" si="64"/>
        <v>0</v>
      </c>
      <c r="BI153" s="34">
        <f t="shared" ca="1" si="64"/>
        <v>0</v>
      </c>
      <c r="BJ153" s="34">
        <f t="shared" ca="1" si="64"/>
        <v>0</v>
      </c>
      <c r="BK153" s="34">
        <f t="shared" ca="1" si="64"/>
        <v>0</v>
      </c>
      <c r="BL153" s="34">
        <f t="shared" ca="1" si="64"/>
        <v>0</v>
      </c>
      <c r="BM153" s="34">
        <f t="shared" ca="1" si="64"/>
        <v>0</v>
      </c>
      <c r="BN153" s="34">
        <f t="shared" ca="1" si="64"/>
        <v>0</v>
      </c>
      <c r="BO153" s="34">
        <f t="shared" ca="1" si="64"/>
        <v>0</v>
      </c>
      <c r="BP153" s="34">
        <f t="shared" ca="1" si="64"/>
        <v>0</v>
      </c>
      <c r="BQ153" s="34">
        <f t="shared" ca="1" si="64"/>
        <v>0</v>
      </c>
      <c r="BR153" s="34">
        <f t="shared" ca="1" si="62"/>
        <v>0</v>
      </c>
      <c r="BS153" s="34">
        <f t="shared" ca="1" si="62"/>
        <v>0</v>
      </c>
      <c r="BT153" s="34">
        <f t="shared" ca="1" si="62"/>
        <v>0</v>
      </c>
      <c r="BU153" s="34">
        <f t="shared" ca="1" si="62"/>
        <v>0</v>
      </c>
      <c r="BV153" s="34">
        <f t="shared" ca="1" si="62"/>
        <v>0</v>
      </c>
      <c r="BW153" s="34">
        <f t="shared" ca="1" si="62"/>
        <v>0</v>
      </c>
      <c r="BX153" s="34">
        <f t="shared" ca="1" si="62"/>
        <v>0</v>
      </c>
      <c r="BY153" s="34">
        <f t="shared" ca="1" si="62"/>
        <v>0</v>
      </c>
      <c r="BZ153" s="34">
        <f t="shared" ca="1" si="62"/>
        <v>0</v>
      </c>
      <c r="CA153" s="34">
        <f t="shared" ca="1" si="62"/>
        <v>0</v>
      </c>
      <c r="CB153" s="34">
        <f t="shared" ca="1" si="62"/>
        <v>0</v>
      </c>
      <c r="CC153" s="34">
        <f t="shared" ca="1" si="62"/>
        <v>0</v>
      </c>
      <c r="CD153" s="34">
        <f t="shared" ca="1" si="62"/>
        <v>0</v>
      </c>
      <c r="CE153" s="34">
        <f t="shared" ca="1" si="62"/>
        <v>0</v>
      </c>
      <c r="CF153" s="34">
        <f t="shared" ca="1" si="62"/>
        <v>0</v>
      </c>
      <c r="CG153" s="34">
        <f t="shared" ca="1" si="62"/>
        <v>0</v>
      </c>
      <c r="CH153" s="34">
        <f t="shared" ca="1" si="63"/>
        <v>0</v>
      </c>
      <c r="CI153" s="34">
        <f t="shared" ca="1" si="63"/>
        <v>0</v>
      </c>
      <c r="CJ153" s="34">
        <f t="shared" ca="1" si="63"/>
        <v>0</v>
      </c>
      <c r="CK153" s="34">
        <f t="shared" ca="1" si="63"/>
        <v>0</v>
      </c>
      <c r="CL153" s="34">
        <f t="shared" ca="1" si="63"/>
        <v>0</v>
      </c>
      <c r="CM153" s="34">
        <f t="shared" ca="1" si="63"/>
        <v>0</v>
      </c>
      <c r="CN153" s="34">
        <f t="shared" ca="1" si="63"/>
        <v>0</v>
      </c>
      <c r="CO153" s="34">
        <f t="shared" ca="1" si="63"/>
        <v>0</v>
      </c>
      <c r="CP153" s="34">
        <f t="shared" ca="1" si="63"/>
        <v>0</v>
      </c>
      <c r="CQ153" s="34">
        <f t="shared" ca="1" si="57"/>
        <v>15234.960642689923</v>
      </c>
      <c r="CR153" s="363">
        <v>0</v>
      </c>
      <c r="CS153" s="34">
        <f t="shared" ca="1" si="58"/>
        <v>15234.960642689923</v>
      </c>
      <c r="CT153" s="233"/>
    </row>
    <row r="154" spans="2:98" x14ac:dyDescent="0.3">
      <c r="B154" s="232"/>
      <c r="C154" s="250">
        <f t="shared" si="59"/>
        <v>2038</v>
      </c>
      <c r="D154" s="263">
        <f t="shared" ca="1" si="38"/>
        <v>14083.157670380991</v>
      </c>
      <c r="E154" s="263">
        <f t="shared" ca="1" si="23"/>
        <v>93.152304869360748</v>
      </c>
      <c r="F154" s="263">
        <f t="shared" ca="1" si="24"/>
        <v>0</v>
      </c>
      <c r="G154" s="263">
        <f t="shared" ca="1" si="39"/>
        <v>14642.071499597156</v>
      </c>
      <c r="H154" s="15"/>
      <c r="I154" s="271">
        <f ca="1">Assumptions!O$68</f>
        <v>4.5</v>
      </c>
      <c r="J154" s="271">
        <f ca="1">Assumptions!P$68</f>
        <v>80</v>
      </c>
      <c r="K154" s="271">
        <f t="shared" ca="1" si="25"/>
        <v>40</v>
      </c>
      <c r="L154" s="15"/>
      <c r="M154" s="35">
        <f t="shared" ca="1" si="40"/>
        <v>4.2299999999999995</v>
      </c>
      <c r="N154" s="35">
        <f t="shared" ca="1" si="26"/>
        <v>74.400000000000006</v>
      </c>
      <c r="O154" s="35">
        <f t="shared" ca="1" si="27"/>
        <v>37.200000000000003</v>
      </c>
      <c r="P154" s="15"/>
      <c r="Q154" s="34">
        <f t="shared" ca="1" si="41"/>
        <v>59571.75694571159</v>
      </c>
      <c r="R154" s="34">
        <f t="shared" ca="1" si="41"/>
        <v>6930.5314822804403</v>
      </c>
      <c r="S154" s="34">
        <f t="shared" ca="1" si="41"/>
        <v>0</v>
      </c>
      <c r="T154" s="34">
        <f t="shared" ca="1" si="42"/>
        <v>66502.288427992025</v>
      </c>
      <c r="U154" s="15"/>
      <c r="V154" s="35">
        <f t="shared" si="43"/>
        <v>0.31</v>
      </c>
      <c r="W154" s="34">
        <f t="shared" ca="1" si="44"/>
        <v>4539.042164875118</v>
      </c>
      <c r="X154" s="35">
        <f t="shared" si="45"/>
        <v>0.37</v>
      </c>
      <c r="Y154" s="34">
        <f t="shared" ca="1" si="46"/>
        <v>5417.5664548509476</v>
      </c>
      <c r="Z154" s="35">
        <f t="shared" si="47"/>
        <v>0.57999999999999996</v>
      </c>
      <c r="AA154" s="34">
        <f t="shared" ca="1" si="48"/>
        <v>8492.4014697663497</v>
      </c>
      <c r="AB154" s="34">
        <f t="shared" ca="1" si="49"/>
        <v>18449.010089492418</v>
      </c>
      <c r="AC154" s="15"/>
      <c r="AD154" s="34">
        <f t="shared" ca="1" si="50"/>
        <v>48053.278338499607</v>
      </c>
      <c r="AE154" s="34">
        <f ca="1"/>
        <v>0</v>
      </c>
      <c r="AF154" s="34">
        <f t="shared" ca="1" si="51"/>
        <v>48053.278338499607</v>
      </c>
      <c r="AG154" s="15"/>
      <c r="AH154" s="272">
        <f t="shared" si="60"/>
        <v>50770</v>
      </c>
      <c r="AI154" s="267">
        <f t="shared" si="28"/>
        <v>24.666666666666668</v>
      </c>
      <c r="AJ154" s="267">
        <f t="shared" si="29"/>
        <v>9.5275323654380323E-2</v>
      </c>
      <c r="AK154" s="34">
        <f t="shared" ca="1" si="61"/>
        <v>4578.2916463545735</v>
      </c>
      <c r="AL154" s="233"/>
      <c r="AN154" s="349"/>
      <c r="AO154" s="237">
        <f t="shared" si="52"/>
        <v>25</v>
      </c>
      <c r="AP154" s="34">
        <f t="shared" ca="1" si="53"/>
        <v>94.902617717381801</v>
      </c>
      <c r="AQ154" s="34">
        <f t="shared" ca="1" si="30"/>
        <v>0.62772836784343022</v>
      </c>
      <c r="AR154" s="34">
        <f t="shared" ca="1" si="31"/>
        <v>0</v>
      </c>
      <c r="AS154" s="34">
        <f t="shared" ca="1" si="54"/>
        <v>98.668987924442376</v>
      </c>
      <c r="AT154" s="350">
        <v>-3.8916421213682231E-2</v>
      </c>
      <c r="AU154" s="34">
        <f ca="1">MIN(AU153*(1+AT154),$AT$126-SUM(AU$129:AU153))</f>
        <v>98.668987924442376</v>
      </c>
      <c r="AV154" s="348"/>
      <c r="AW154" s="34">
        <f t="shared" ca="1" si="55"/>
        <v>94.902617717381801</v>
      </c>
      <c r="AX154" s="34">
        <f t="shared" ca="1" si="32"/>
        <v>0.62772836784343022</v>
      </c>
      <c r="AY154" s="34">
        <f t="shared" ca="1" si="33"/>
        <v>0</v>
      </c>
      <c r="AZ154" s="34">
        <f t="shared" ca="1" si="34"/>
        <v>98.668987924442376</v>
      </c>
      <c r="BB154" s="34">
        <f t="shared" ca="1" si="64"/>
        <v>1205.2978165620507</v>
      </c>
      <c r="BC154" s="34">
        <f t="shared" ca="1" si="64"/>
        <v>2090.1716964167554</v>
      </c>
      <c r="BD154" s="34">
        <f t="shared" ca="1" si="64"/>
        <v>3262.2105979585517</v>
      </c>
      <c r="BE154" s="34">
        <f t="shared" ca="1" si="64"/>
        <v>4242.8806123337154</v>
      </c>
      <c r="BF154" s="34">
        <f t="shared" ca="1" si="64"/>
        <v>3841.5107763260844</v>
      </c>
      <c r="BG154" s="34">
        <f t="shared" ca="1" si="64"/>
        <v>0</v>
      </c>
      <c r="BH154" s="34">
        <f t="shared" ca="1" si="64"/>
        <v>0</v>
      </c>
      <c r="BI154" s="34">
        <f t="shared" ca="1" si="64"/>
        <v>0</v>
      </c>
      <c r="BJ154" s="34">
        <f t="shared" ca="1" si="64"/>
        <v>0</v>
      </c>
      <c r="BK154" s="34">
        <f t="shared" ca="1" si="64"/>
        <v>0</v>
      </c>
      <c r="BL154" s="34">
        <f t="shared" ca="1" si="64"/>
        <v>0</v>
      </c>
      <c r="BM154" s="34">
        <f t="shared" ca="1" si="64"/>
        <v>0</v>
      </c>
      <c r="BN154" s="34">
        <f t="shared" ca="1" si="64"/>
        <v>0</v>
      </c>
      <c r="BO154" s="34">
        <f t="shared" ca="1" si="64"/>
        <v>0</v>
      </c>
      <c r="BP154" s="34">
        <f t="shared" ca="1" si="64"/>
        <v>0</v>
      </c>
      <c r="BQ154" s="34">
        <f t="shared" ca="1" si="64"/>
        <v>0</v>
      </c>
      <c r="BR154" s="34">
        <f t="shared" ca="1" si="62"/>
        <v>0</v>
      </c>
      <c r="BS154" s="34">
        <f t="shared" ca="1" si="62"/>
        <v>0</v>
      </c>
      <c r="BT154" s="34">
        <f t="shared" ca="1" si="62"/>
        <v>0</v>
      </c>
      <c r="BU154" s="34">
        <f t="shared" ca="1" si="62"/>
        <v>0</v>
      </c>
      <c r="BV154" s="34">
        <f t="shared" ca="1" si="62"/>
        <v>0</v>
      </c>
      <c r="BW154" s="34">
        <f t="shared" ca="1" si="62"/>
        <v>0</v>
      </c>
      <c r="BX154" s="34">
        <f t="shared" ca="1" si="62"/>
        <v>0</v>
      </c>
      <c r="BY154" s="34">
        <f t="shared" ca="1" si="62"/>
        <v>0</v>
      </c>
      <c r="BZ154" s="34">
        <f t="shared" ca="1" si="62"/>
        <v>0</v>
      </c>
      <c r="CA154" s="34">
        <f t="shared" ca="1" si="62"/>
        <v>0</v>
      </c>
      <c r="CB154" s="34">
        <f t="shared" ca="1" si="62"/>
        <v>0</v>
      </c>
      <c r="CC154" s="34">
        <f t="shared" ca="1" si="62"/>
        <v>0</v>
      </c>
      <c r="CD154" s="34">
        <f t="shared" ca="1" si="62"/>
        <v>0</v>
      </c>
      <c r="CE154" s="34">
        <f t="shared" ca="1" si="62"/>
        <v>0</v>
      </c>
      <c r="CF154" s="34">
        <f t="shared" ca="1" si="62"/>
        <v>0</v>
      </c>
      <c r="CG154" s="34">
        <f t="shared" ca="1" si="62"/>
        <v>0</v>
      </c>
      <c r="CH154" s="34">
        <f t="shared" ca="1" si="63"/>
        <v>0</v>
      </c>
      <c r="CI154" s="34">
        <f t="shared" ca="1" si="63"/>
        <v>0</v>
      </c>
      <c r="CJ154" s="34">
        <f t="shared" ca="1" si="63"/>
        <v>0</v>
      </c>
      <c r="CK154" s="34">
        <f t="shared" ca="1" si="63"/>
        <v>0</v>
      </c>
      <c r="CL154" s="34">
        <f t="shared" ca="1" si="63"/>
        <v>0</v>
      </c>
      <c r="CM154" s="34">
        <f t="shared" ca="1" si="63"/>
        <v>0</v>
      </c>
      <c r="CN154" s="34">
        <f t="shared" ca="1" si="63"/>
        <v>0</v>
      </c>
      <c r="CO154" s="34">
        <f t="shared" ca="1" si="63"/>
        <v>0</v>
      </c>
      <c r="CP154" s="34">
        <f t="shared" ca="1" si="63"/>
        <v>0</v>
      </c>
      <c r="CQ154" s="34">
        <f t="shared" ca="1" si="57"/>
        <v>14642.071499597156</v>
      </c>
      <c r="CR154" s="363">
        <v>0</v>
      </c>
      <c r="CS154" s="34">
        <f t="shared" ca="1" si="58"/>
        <v>14642.071499597156</v>
      </c>
      <c r="CT154" s="233"/>
    </row>
    <row r="155" spans="2:98" x14ac:dyDescent="0.3">
      <c r="B155" s="232"/>
      <c r="C155" s="250">
        <f t="shared" si="59"/>
        <v>2039</v>
      </c>
      <c r="D155" s="263">
        <f t="shared" ca="1" si="38"/>
        <v>13535.092568511775</v>
      </c>
      <c r="E155" s="263">
        <f t="shared" ca="1" si="23"/>
        <v>89.527157111130933</v>
      </c>
      <c r="F155" s="263">
        <f t="shared" ca="1" si="24"/>
        <v>0</v>
      </c>
      <c r="G155" s="263">
        <f t="shared" ca="1" si="39"/>
        <v>14072.25551117856</v>
      </c>
      <c r="H155" s="15"/>
      <c r="I155" s="271">
        <f ca="1">Assumptions!O$68</f>
        <v>4.5</v>
      </c>
      <c r="J155" s="271">
        <f ca="1">Assumptions!P$68</f>
        <v>80</v>
      </c>
      <c r="K155" s="271">
        <f t="shared" ca="1" si="25"/>
        <v>40</v>
      </c>
      <c r="L155" s="15"/>
      <c r="M155" s="35">
        <f t="shared" ca="1" si="40"/>
        <v>4.2299999999999995</v>
      </c>
      <c r="N155" s="35">
        <f t="shared" ca="1" si="26"/>
        <v>74.400000000000006</v>
      </c>
      <c r="O155" s="35">
        <f t="shared" ca="1" si="27"/>
        <v>37.200000000000003</v>
      </c>
      <c r="P155" s="15"/>
      <c r="Q155" s="34">
        <f t="shared" ca="1" si="41"/>
        <v>57253.441564804802</v>
      </c>
      <c r="R155" s="34">
        <f t="shared" ca="1" si="41"/>
        <v>6660.8204890681418</v>
      </c>
      <c r="S155" s="34">
        <f t="shared" ca="1" si="41"/>
        <v>0</v>
      </c>
      <c r="T155" s="34">
        <f t="shared" ca="1" si="42"/>
        <v>63914.262053872946</v>
      </c>
      <c r="U155" s="15"/>
      <c r="V155" s="35">
        <f t="shared" si="43"/>
        <v>0.31</v>
      </c>
      <c r="W155" s="34">
        <f t="shared" ca="1" si="44"/>
        <v>4362.3992084653537</v>
      </c>
      <c r="X155" s="35">
        <f t="shared" si="45"/>
        <v>0.37</v>
      </c>
      <c r="Y155" s="34">
        <f t="shared" ca="1" si="46"/>
        <v>5206.7345391360677</v>
      </c>
      <c r="Z155" s="35">
        <f t="shared" si="47"/>
        <v>0.57999999999999996</v>
      </c>
      <c r="AA155" s="34">
        <f t="shared" ca="1" si="48"/>
        <v>8161.9081964835641</v>
      </c>
      <c r="AB155" s="34">
        <f t="shared" ca="1" si="49"/>
        <v>17731.041944084987</v>
      </c>
      <c r="AC155" s="15"/>
      <c r="AD155" s="34">
        <f t="shared" ca="1" si="50"/>
        <v>46183.220109787959</v>
      </c>
      <c r="AE155" s="34">
        <f ca="1"/>
        <v>0</v>
      </c>
      <c r="AF155" s="34">
        <f t="shared" ca="1" si="51"/>
        <v>46183.220109787959</v>
      </c>
      <c r="AG155" s="15"/>
      <c r="AH155" s="272">
        <f t="shared" si="60"/>
        <v>51135</v>
      </c>
      <c r="AI155" s="267">
        <f t="shared" si="28"/>
        <v>25.666666666666668</v>
      </c>
      <c r="AJ155" s="267">
        <f t="shared" si="29"/>
        <v>8.661393059489117E-2</v>
      </c>
      <c r="AK155" s="34">
        <f t="shared" ca="1" si="61"/>
        <v>4000.1102212377564</v>
      </c>
      <c r="AL155" s="233"/>
      <c r="AN155" s="349"/>
      <c r="AO155" s="237">
        <f t="shared" si="52"/>
        <v>26</v>
      </c>
      <c r="AP155" s="34">
        <f t="shared" ca="1" si="53"/>
        <v>91.209357618175318</v>
      </c>
      <c r="AQ155" s="34">
        <f t="shared" ca="1" si="30"/>
        <v>0.60329949338392697</v>
      </c>
      <c r="AR155" s="34">
        <f t="shared" ca="1" si="31"/>
        <v>0</v>
      </c>
      <c r="AS155" s="34">
        <f t="shared" ca="1" si="54"/>
        <v>94.829154578478878</v>
      </c>
      <c r="AT155" s="350">
        <v>-3.8916314302361338E-2</v>
      </c>
      <c r="AU155" s="34">
        <f ca="1">MIN(AU154*(1+AT155),$AT$126-SUM(AU$129:AU154))</f>
        <v>94.829154578478878</v>
      </c>
      <c r="AV155" s="348"/>
      <c r="AW155" s="34">
        <f t="shared" ca="1" si="55"/>
        <v>91.209357618175318</v>
      </c>
      <c r="AX155" s="34">
        <f t="shared" ca="1" si="32"/>
        <v>0.60329949338392697</v>
      </c>
      <c r="AY155" s="34">
        <f t="shared" ca="1" si="33"/>
        <v>0</v>
      </c>
      <c r="AZ155" s="34">
        <f t="shared" ca="1" si="34"/>
        <v>94.829154578478878</v>
      </c>
      <c r="BB155" s="34">
        <f t="shared" ca="1" si="64"/>
        <v>1158.3920679047721</v>
      </c>
      <c r="BC155" s="34">
        <f t="shared" ca="1" si="64"/>
        <v>2008.8296942700842</v>
      </c>
      <c r="BD155" s="34">
        <f t="shared" ca="1" si="64"/>
        <v>3135.2575446251331</v>
      </c>
      <c r="BE155" s="34">
        <f t="shared" ca="1" si="64"/>
        <v>4077.7632474481893</v>
      </c>
      <c r="BF155" s="34">
        <f t="shared" ca="1" si="64"/>
        <v>3692.0129569303822</v>
      </c>
      <c r="BG155" s="34">
        <f t="shared" ca="1" si="64"/>
        <v>0</v>
      </c>
      <c r="BH155" s="34">
        <f t="shared" ca="1" si="64"/>
        <v>0</v>
      </c>
      <c r="BI155" s="34">
        <f t="shared" ca="1" si="64"/>
        <v>0</v>
      </c>
      <c r="BJ155" s="34">
        <f t="shared" ca="1" si="64"/>
        <v>0</v>
      </c>
      <c r="BK155" s="34">
        <f t="shared" ca="1" si="64"/>
        <v>0</v>
      </c>
      <c r="BL155" s="34">
        <f t="shared" ca="1" si="64"/>
        <v>0</v>
      </c>
      <c r="BM155" s="34">
        <f t="shared" ca="1" si="64"/>
        <v>0</v>
      </c>
      <c r="BN155" s="34">
        <f t="shared" ca="1" si="64"/>
        <v>0</v>
      </c>
      <c r="BO155" s="34">
        <f t="shared" ca="1" si="64"/>
        <v>0</v>
      </c>
      <c r="BP155" s="34">
        <f t="shared" ca="1" si="64"/>
        <v>0</v>
      </c>
      <c r="BQ155" s="34">
        <f t="shared" ca="1" si="64"/>
        <v>0</v>
      </c>
      <c r="BR155" s="34">
        <f t="shared" ca="1" si="62"/>
        <v>0</v>
      </c>
      <c r="BS155" s="34">
        <f t="shared" ca="1" si="62"/>
        <v>0</v>
      </c>
      <c r="BT155" s="34">
        <f t="shared" ca="1" si="62"/>
        <v>0</v>
      </c>
      <c r="BU155" s="34">
        <f t="shared" ca="1" si="62"/>
        <v>0</v>
      </c>
      <c r="BV155" s="34">
        <f t="shared" ca="1" si="62"/>
        <v>0</v>
      </c>
      <c r="BW155" s="34">
        <f t="shared" ca="1" si="62"/>
        <v>0</v>
      </c>
      <c r="BX155" s="34">
        <f t="shared" ca="1" si="62"/>
        <v>0</v>
      </c>
      <c r="BY155" s="34">
        <f t="shared" ca="1" si="62"/>
        <v>0</v>
      </c>
      <c r="BZ155" s="34">
        <f t="shared" ca="1" si="62"/>
        <v>0</v>
      </c>
      <c r="CA155" s="34">
        <f t="shared" ca="1" si="62"/>
        <v>0</v>
      </c>
      <c r="CB155" s="34">
        <f t="shared" ca="1" si="62"/>
        <v>0</v>
      </c>
      <c r="CC155" s="34">
        <f t="shared" ca="1" si="62"/>
        <v>0</v>
      </c>
      <c r="CD155" s="34">
        <f t="shared" ca="1" si="62"/>
        <v>0</v>
      </c>
      <c r="CE155" s="34">
        <f t="shared" ca="1" si="62"/>
        <v>0</v>
      </c>
      <c r="CF155" s="34">
        <f t="shared" ca="1" si="62"/>
        <v>0</v>
      </c>
      <c r="CG155" s="34">
        <f t="shared" ca="1" si="62"/>
        <v>0</v>
      </c>
      <c r="CH155" s="34">
        <f t="shared" ca="1" si="63"/>
        <v>0</v>
      </c>
      <c r="CI155" s="34">
        <f t="shared" ca="1" si="63"/>
        <v>0</v>
      </c>
      <c r="CJ155" s="34">
        <f t="shared" ca="1" si="63"/>
        <v>0</v>
      </c>
      <c r="CK155" s="34">
        <f t="shared" ca="1" si="63"/>
        <v>0</v>
      </c>
      <c r="CL155" s="34">
        <f t="shared" ca="1" si="63"/>
        <v>0</v>
      </c>
      <c r="CM155" s="34">
        <f t="shared" ca="1" si="63"/>
        <v>0</v>
      </c>
      <c r="CN155" s="34">
        <f t="shared" ca="1" si="63"/>
        <v>0</v>
      </c>
      <c r="CO155" s="34">
        <f t="shared" ca="1" si="63"/>
        <v>0</v>
      </c>
      <c r="CP155" s="34">
        <f t="shared" ca="1" si="63"/>
        <v>0</v>
      </c>
      <c r="CQ155" s="34">
        <f t="shared" ca="1" si="57"/>
        <v>14072.25551117856</v>
      </c>
      <c r="CR155" s="363">
        <v>0</v>
      </c>
      <c r="CS155" s="34">
        <f t="shared" ca="1" si="58"/>
        <v>14072.25551117856</v>
      </c>
      <c r="CT155" s="233"/>
    </row>
    <row r="156" spans="2:98" x14ac:dyDescent="0.3">
      <c r="B156" s="232"/>
      <c r="C156" s="250">
        <f t="shared" si="59"/>
        <v>2040</v>
      </c>
      <c r="D156" s="263">
        <f t="shared" ca="1" si="38"/>
        <v>13008.356452425935</v>
      </c>
      <c r="E156" s="263">
        <f t="shared" ca="1" si="23"/>
        <v>86.04308880629857</v>
      </c>
      <c r="F156" s="263">
        <f t="shared" ca="1" si="24"/>
        <v>0</v>
      </c>
      <c r="G156" s="263">
        <f t="shared" ca="1" si="39"/>
        <v>13524.614985263726</v>
      </c>
      <c r="H156" s="15"/>
      <c r="I156" s="271">
        <f ca="1">Assumptions!O$68</f>
        <v>4.5</v>
      </c>
      <c r="J156" s="271">
        <f ca="1">Assumptions!P$68</f>
        <v>80</v>
      </c>
      <c r="K156" s="271">
        <f t="shared" ca="1" si="25"/>
        <v>40</v>
      </c>
      <c r="L156" s="15"/>
      <c r="M156" s="35">
        <f t="shared" ca="1" si="40"/>
        <v>4.2299999999999995</v>
      </c>
      <c r="N156" s="35">
        <f t="shared" ca="1" si="26"/>
        <v>74.400000000000006</v>
      </c>
      <c r="O156" s="35">
        <f t="shared" ca="1" si="27"/>
        <v>37.200000000000003</v>
      </c>
      <c r="P156" s="15"/>
      <c r="Q156" s="34">
        <f t="shared" ca="1" si="41"/>
        <v>55025.347793761699</v>
      </c>
      <c r="R156" s="34">
        <f t="shared" ca="1" si="41"/>
        <v>6401.6058071886146</v>
      </c>
      <c r="S156" s="34">
        <f t="shared" ca="1" si="41"/>
        <v>0</v>
      </c>
      <c r="T156" s="34">
        <f t="shared" ca="1" si="42"/>
        <v>61426.953600950314</v>
      </c>
      <c r="U156" s="15"/>
      <c r="V156" s="35">
        <f t="shared" si="43"/>
        <v>0.31</v>
      </c>
      <c r="W156" s="34">
        <f t="shared" ca="1" si="44"/>
        <v>4192.6306454317555</v>
      </c>
      <c r="X156" s="35">
        <f t="shared" si="45"/>
        <v>0.37</v>
      </c>
      <c r="Y156" s="34">
        <f t="shared" ca="1" si="46"/>
        <v>5004.107544547579</v>
      </c>
      <c r="Z156" s="35">
        <f t="shared" si="47"/>
        <v>0.57999999999999996</v>
      </c>
      <c r="AA156" s="34">
        <f t="shared" ca="1" si="48"/>
        <v>7844.2766914529611</v>
      </c>
      <c r="AB156" s="34">
        <f t="shared" ca="1" si="49"/>
        <v>17041.014881432297</v>
      </c>
      <c r="AC156" s="15"/>
      <c r="AD156" s="34">
        <f t="shared" ca="1" si="50"/>
        <v>44385.938719518017</v>
      </c>
      <c r="AE156" s="34">
        <f ca="1"/>
        <v>0</v>
      </c>
      <c r="AF156" s="34">
        <f t="shared" ca="1" si="51"/>
        <v>44385.938719518017</v>
      </c>
      <c r="AG156" s="15"/>
      <c r="AH156" s="272">
        <f t="shared" si="60"/>
        <v>51501</v>
      </c>
      <c r="AI156" s="267">
        <f t="shared" si="28"/>
        <v>26.666666666666668</v>
      </c>
      <c r="AJ156" s="267">
        <f t="shared" si="29"/>
        <v>7.8739936904446528E-2</v>
      </c>
      <c r="AK156" s="34">
        <f t="shared" ca="1" si="61"/>
        <v>3494.9460142194789</v>
      </c>
      <c r="AL156" s="233"/>
      <c r="AN156" s="349"/>
      <c r="AO156" s="237">
        <f t="shared" si="52"/>
        <v>27</v>
      </c>
      <c r="AP156" s="34">
        <f t="shared" ca="1" si="53"/>
        <v>87.659826061591374</v>
      </c>
      <c r="AQ156" s="34">
        <f t="shared" ca="1" si="30"/>
        <v>0.57982130380164854</v>
      </c>
      <c r="AR156" s="34">
        <f t="shared" ca="1" si="31"/>
        <v>0</v>
      </c>
      <c r="AS156" s="34">
        <f t="shared" ca="1" si="54"/>
        <v>91.138753884401268</v>
      </c>
      <c r="AT156" s="350">
        <v>-3.8916309129630622E-2</v>
      </c>
      <c r="AU156" s="34">
        <f ca="1">MIN(AU155*(1+AT156),$AT$126-SUM(AU$129:AU155))</f>
        <v>91.138753884401268</v>
      </c>
      <c r="AV156" s="348"/>
      <c r="AW156" s="34">
        <f t="shared" ca="1" si="55"/>
        <v>87.659826061591374</v>
      </c>
      <c r="AX156" s="34">
        <f t="shared" ca="1" si="32"/>
        <v>0.57982130380164854</v>
      </c>
      <c r="AY156" s="34">
        <f t="shared" ca="1" si="33"/>
        <v>0</v>
      </c>
      <c r="AZ156" s="34">
        <f t="shared" ca="1" si="34"/>
        <v>91.138753884401268</v>
      </c>
      <c r="BB156" s="34">
        <f t="shared" ca="1" si="64"/>
        <v>1113.3117240968779</v>
      </c>
      <c r="BC156" s="34">
        <f t="shared" ca="1" si="64"/>
        <v>1930.6534465079533</v>
      </c>
      <c r="BD156" s="34">
        <f t="shared" ca="1" si="64"/>
        <v>3013.2445414051267</v>
      </c>
      <c r="BE156" s="34">
        <f t="shared" ca="1" si="64"/>
        <v>3919.0719307814165</v>
      </c>
      <c r="BF156" s="34">
        <f t="shared" ca="1" si="64"/>
        <v>3548.333342472351</v>
      </c>
      <c r="BG156" s="34">
        <f t="shared" ca="1" si="64"/>
        <v>0</v>
      </c>
      <c r="BH156" s="34">
        <f t="shared" ca="1" si="64"/>
        <v>0</v>
      </c>
      <c r="BI156" s="34">
        <f t="shared" ca="1" si="64"/>
        <v>0</v>
      </c>
      <c r="BJ156" s="34">
        <f t="shared" ca="1" si="64"/>
        <v>0</v>
      </c>
      <c r="BK156" s="34">
        <f t="shared" ca="1" si="64"/>
        <v>0</v>
      </c>
      <c r="BL156" s="34">
        <f t="shared" ca="1" si="64"/>
        <v>0</v>
      </c>
      <c r="BM156" s="34">
        <f t="shared" ca="1" si="64"/>
        <v>0</v>
      </c>
      <c r="BN156" s="34">
        <f t="shared" ca="1" si="64"/>
        <v>0</v>
      </c>
      <c r="BO156" s="34">
        <f t="shared" ca="1" si="64"/>
        <v>0</v>
      </c>
      <c r="BP156" s="34">
        <f t="shared" ca="1" si="64"/>
        <v>0</v>
      </c>
      <c r="BQ156" s="34">
        <f t="shared" ca="1" si="64"/>
        <v>0</v>
      </c>
      <c r="BR156" s="34">
        <f t="shared" ca="1" si="62"/>
        <v>0</v>
      </c>
      <c r="BS156" s="34">
        <f t="shared" ca="1" si="62"/>
        <v>0</v>
      </c>
      <c r="BT156" s="34">
        <f t="shared" ca="1" si="62"/>
        <v>0</v>
      </c>
      <c r="BU156" s="34">
        <f t="shared" ca="1" si="62"/>
        <v>0</v>
      </c>
      <c r="BV156" s="34">
        <f t="shared" ca="1" si="62"/>
        <v>0</v>
      </c>
      <c r="BW156" s="34">
        <f t="shared" ca="1" si="62"/>
        <v>0</v>
      </c>
      <c r="BX156" s="34">
        <f t="shared" ca="1" si="62"/>
        <v>0</v>
      </c>
      <c r="BY156" s="34">
        <f t="shared" ca="1" si="62"/>
        <v>0</v>
      </c>
      <c r="BZ156" s="34">
        <f t="shared" ca="1" si="62"/>
        <v>0</v>
      </c>
      <c r="CA156" s="34">
        <f t="shared" ca="1" si="62"/>
        <v>0</v>
      </c>
      <c r="CB156" s="34">
        <f t="shared" ca="1" si="62"/>
        <v>0</v>
      </c>
      <c r="CC156" s="34">
        <f t="shared" ca="1" si="62"/>
        <v>0</v>
      </c>
      <c r="CD156" s="34">
        <f t="shared" ca="1" si="62"/>
        <v>0</v>
      </c>
      <c r="CE156" s="34">
        <f t="shared" ca="1" si="62"/>
        <v>0</v>
      </c>
      <c r="CF156" s="34">
        <f t="shared" ca="1" si="62"/>
        <v>0</v>
      </c>
      <c r="CG156" s="34">
        <f t="shared" ca="1" si="62"/>
        <v>0</v>
      </c>
      <c r="CH156" s="34">
        <f t="shared" ca="1" si="63"/>
        <v>0</v>
      </c>
      <c r="CI156" s="34">
        <f t="shared" ca="1" si="63"/>
        <v>0</v>
      </c>
      <c r="CJ156" s="34">
        <f t="shared" ca="1" si="63"/>
        <v>0</v>
      </c>
      <c r="CK156" s="34">
        <f t="shared" ca="1" si="63"/>
        <v>0</v>
      </c>
      <c r="CL156" s="34">
        <f t="shared" ca="1" si="63"/>
        <v>0</v>
      </c>
      <c r="CM156" s="34">
        <f t="shared" ca="1" si="63"/>
        <v>0</v>
      </c>
      <c r="CN156" s="34">
        <f t="shared" ca="1" si="63"/>
        <v>0</v>
      </c>
      <c r="CO156" s="34">
        <f t="shared" ca="1" si="63"/>
        <v>0</v>
      </c>
      <c r="CP156" s="34">
        <f t="shared" ca="1" si="63"/>
        <v>0</v>
      </c>
      <c r="CQ156" s="34">
        <f t="shared" ca="1" si="57"/>
        <v>13524.614985263726</v>
      </c>
      <c r="CR156" s="363">
        <v>0</v>
      </c>
      <c r="CS156" s="34">
        <f t="shared" ca="1" si="58"/>
        <v>13524.614985263726</v>
      </c>
      <c r="CT156" s="233"/>
    </row>
    <row r="157" spans="2:98" x14ac:dyDescent="0.3">
      <c r="B157" s="232"/>
      <c r="C157" s="250">
        <f t="shared" si="59"/>
        <v>2041</v>
      </c>
      <c r="D157" s="263">
        <f t="shared" ca="1" si="38"/>
        <v>12502.118888330271</v>
      </c>
      <c r="E157" s="263">
        <f t="shared" ca="1" si="23"/>
        <v>82.694607094264597</v>
      </c>
      <c r="F157" s="263">
        <f t="shared" ca="1" si="24"/>
        <v>0</v>
      </c>
      <c r="G157" s="263">
        <f t="shared" ca="1" si="39"/>
        <v>12998.286530895859</v>
      </c>
      <c r="H157" s="15"/>
      <c r="I157" s="271">
        <f ca="1">Assumptions!O$68</f>
        <v>4.5</v>
      </c>
      <c r="J157" s="271">
        <f ca="1">Assumptions!P$68</f>
        <v>80</v>
      </c>
      <c r="K157" s="271">
        <f t="shared" ca="1" si="25"/>
        <v>40</v>
      </c>
      <c r="L157" s="15"/>
      <c r="M157" s="35">
        <f t="shared" ca="1" si="40"/>
        <v>4.2299999999999995</v>
      </c>
      <c r="N157" s="35">
        <f t="shared" ca="1" si="26"/>
        <v>74.400000000000006</v>
      </c>
      <c r="O157" s="35">
        <f t="shared" ca="1" si="27"/>
        <v>37.200000000000003</v>
      </c>
      <c r="P157" s="15"/>
      <c r="Q157" s="34">
        <f t="shared" ca="1" si="41"/>
        <v>52883.962897637044</v>
      </c>
      <c r="R157" s="34">
        <f t="shared" ca="1" si="41"/>
        <v>6152.4787678132861</v>
      </c>
      <c r="S157" s="34">
        <f t="shared" ca="1" si="41"/>
        <v>0</v>
      </c>
      <c r="T157" s="34">
        <f t="shared" ca="1" si="42"/>
        <v>59036.441665450329</v>
      </c>
      <c r="U157" s="15"/>
      <c r="V157" s="35">
        <f t="shared" si="43"/>
        <v>0.31</v>
      </c>
      <c r="W157" s="34">
        <f t="shared" ca="1" si="44"/>
        <v>4029.4688245777161</v>
      </c>
      <c r="X157" s="35">
        <f t="shared" si="45"/>
        <v>0.37</v>
      </c>
      <c r="Y157" s="34">
        <f t="shared" ca="1" si="46"/>
        <v>4809.3660164314679</v>
      </c>
      <c r="Z157" s="35">
        <f t="shared" si="47"/>
        <v>0.57999999999999996</v>
      </c>
      <c r="AA157" s="34">
        <f t="shared" ca="1" si="48"/>
        <v>7539.0061879195973</v>
      </c>
      <c r="AB157" s="34">
        <f t="shared" ca="1" si="49"/>
        <v>16377.841028928782</v>
      </c>
      <c r="AC157" s="15"/>
      <c r="AD157" s="34">
        <f t="shared" ca="1" si="50"/>
        <v>42658.600636521543</v>
      </c>
      <c r="AE157" s="34">
        <f ca="1"/>
        <v>0</v>
      </c>
      <c r="AF157" s="34">
        <f t="shared" ca="1" si="51"/>
        <v>42658.600636521543</v>
      </c>
      <c r="AG157" s="15"/>
      <c r="AH157" s="272">
        <f t="shared" si="60"/>
        <v>51866</v>
      </c>
      <c r="AI157" s="267">
        <f t="shared" si="28"/>
        <v>27.666666666666668</v>
      </c>
      <c r="AJ157" s="267">
        <f t="shared" si="29"/>
        <v>7.1581760822224116E-2</v>
      </c>
      <c r="AK157" s="34">
        <f t="shared" ca="1" si="61"/>
        <v>3053.5777477742627</v>
      </c>
      <c r="AL157" s="233"/>
      <c r="AN157" s="349"/>
      <c r="AO157" s="237">
        <f t="shared" si="52"/>
        <v>28</v>
      </c>
      <c r="AP157" s="34">
        <f t="shared" ca="1" si="53"/>
        <v>84.248424672272805</v>
      </c>
      <c r="AQ157" s="34">
        <f t="shared" ca="1" si="30"/>
        <v>0.55725676893757448</v>
      </c>
      <c r="AR157" s="34">
        <f t="shared" ca="1" si="31"/>
        <v>0</v>
      </c>
      <c r="AS157" s="34">
        <f t="shared" ca="1" si="54"/>
        <v>87.591965285898254</v>
      </c>
      <c r="AT157" s="350">
        <v>-3.8916360465074018E-2</v>
      </c>
      <c r="AU157" s="34">
        <f ca="1">MIN(AU156*(1+AT157),$AT$126-SUM(AU$129:AU156))</f>
        <v>87.591965285898254</v>
      </c>
      <c r="AV157" s="348"/>
      <c r="AW157" s="34">
        <f t="shared" ca="1" si="55"/>
        <v>84.248424672272805</v>
      </c>
      <c r="AX157" s="34">
        <f t="shared" ca="1" si="32"/>
        <v>0.55725676893757448</v>
      </c>
      <c r="AY157" s="34">
        <f t="shared" ca="1" si="33"/>
        <v>0</v>
      </c>
      <c r="AZ157" s="34">
        <f t="shared" ca="1" si="34"/>
        <v>87.591965285898254</v>
      </c>
      <c r="BB157" s="34">
        <f t="shared" ca="1" si="64"/>
        <v>1069.985683731931</v>
      </c>
      <c r="BC157" s="34">
        <f t="shared" ca="1" si="64"/>
        <v>1855.5195401614628</v>
      </c>
      <c r="BD157" s="34">
        <f t="shared" ca="1" si="64"/>
        <v>2895.98016976193</v>
      </c>
      <c r="BE157" s="34">
        <f t="shared" ca="1" si="64"/>
        <v>3766.555676756408</v>
      </c>
      <c r="BF157" s="34">
        <f t="shared" ca="1" si="64"/>
        <v>3410.2454604841255</v>
      </c>
      <c r="BG157" s="34">
        <f t="shared" ca="1" si="64"/>
        <v>0</v>
      </c>
      <c r="BH157" s="34">
        <f t="shared" ca="1" si="64"/>
        <v>0</v>
      </c>
      <c r="BI157" s="34">
        <f t="shared" ca="1" si="64"/>
        <v>0</v>
      </c>
      <c r="BJ157" s="34">
        <f t="shared" ca="1" si="64"/>
        <v>0</v>
      </c>
      <c r="BK157" s="34">
        <f t="shared" ca="1" si="64"/>
        <v>0</v>
      </c>
      <c r="BL157" s="34">
        <f t="shared" ca="1" si="64"/>
        <v>0</v>
      </c>
      <c r="BM157" s="34">
        <f t="shared" ca="1" si="64"/>
        <v>0</v>
      </c>
      <c r="BN157" s="34">
        <f t="shared" ca="1" si="64"/>
        <v>0</v>
      </c>
      <c r="BO157" s="34">
        <f t="shared" ca="1" si="64"/>
        <v>0</v>
      </c>
      <c r="BP157" s="34">
        <f t="shared" ca="1" si="64"/>
        <v>0</v>
      </c>
      <c r="BQ157" s="34">
        <f t="shared" ca="1" si="64"/>
        <v>0</v>
      </c>
      <c r="BR157" s="34">
        <f t="shared" ca="1" si="62"/>
        <v>0</v>
      </c>
      <c r="BS157" s="34">
        <f t="shared" ca="1" si="62"/>
        <v>0</v>
      </c>
      <c r="BT157" s="34">
        <f t="shared" ca="1" si="62"/>
        <v>0</v>
      </c>
      <c r="BU157" s="34">
        <f t="shared" ca="1" si="62"/>
        <v>0</v>
      </c>
      <c r="BV157" s="34">
        <f t="shared" ca="1" si="62"/>
        <v>0</v>
      </c>
      <c r="BW157" s="34">
        <f t="shared" ca="1" si="62"/>
        <v>0</v>
      </c>
      <c r="BX157" s="34">
        <f t="shared" ca="1" si="62"/>
        <v>0</v>
      </c>
      <c r="BY157" s="34">
        <f t="shared" ca="1" si="62"/>
        <v>0</v>
      </c>
      <c r="BZ157" s="34">
        <f t="shared" ca="1" si="62"/>
        <v>0</v>
      </c>
      <c r="CA157" s="34">
        <f t="shared" ca="1" si="62"/>
        <v>0</v>
      </c>
      <c r="CB157" s="34">
        <f t="shared" ca="1" si="62"/>
        <v>0</v>
      </c>
      <c r="CC157" s="34">
        <f t="shared" ca="1" si="62"/>
        <v>0</v>
      </c>
      <c r="CD157" s="34">
        <f t="shared" ca="1" si="62"/>
        <v>0</v>
      </c>
      <c r="CE157" s="34">
        <f t="shared" ca="1" si="62"/>
        <v>0</v>
      </c>
      <c r="CF157" s="34">
        <f t="shared" ca="1" si="62"/>
        <v>0</v>
      </c>
      <c r="CG157" s="34">
        <f t="shared" ca="1" si="62"/>
        <v>0</v>
      </c>
      <c r="CH157" s="34">
        <f t="shared" ca="1" si="63"/>
        <v>0</v>
      </c>
      <c r="CI157" s="34">
        <f t="shared" ca="1" si="63"/>
        <v>0</v>
      </c>
      <c r="CJ157" s="34">
        <f t="shared" ca="1" si="63"/>
        <v>0</v>
      </c>
      <c r="CK157" s="34">
        <f t="shared" ca="1" si="63"/>
        <v>0</v>
      </c>
      <c r="CL157" s="34">
        <f t="shared" ca="1" si="63"/>
        <v>0</v>
      </c>
      <c r="CM157" s="34">
        <f t="shared" ca="1" si="63"/>
        <v>0</v>
      </c>
      <c r="CN157" s="34">
        <f t="shared" ca="1" si="63"/>
        <v>0</v>
      </c>
      <c r="CO157" s="34">
        <f t="shared" ca="1" si="63"/>
        <v>0</v>
      </c>
      <c r="CP157" s="34">
        <f t="shared" ca="1" si="63"/>
        <v>0</v>
      </c>
      <c r="CQ157" s="34">
        <f t="shared" ca="1" si="57"/>
        <v>12998.286530895859</v>
      </c>
      <c r="CR157" s="363">
        <v>0</v>
      </c>
      <c r="CS157" s="34">
        <f t="shared" ca="1" si="58"/>
        <v>12998.286530895859</v>
      </c>
      <c r="CT157" s="233"/>
    </row>
    <row r="158" spans="2:98" x14ac:dyDescent="0.3">
      <c r="B158" s="232"/>
      <c r="C158" s="250">
        <f t="shared" si="59"/>
        <v>2042</v>
      </c>
      <c r="D158" s="263">
        <f t="shared" ca="1" si="38"/>
        <v>12015.581988135333</v>
      </c>
      <c r="E158" s="263">
        <f t="shared" ca="1" si="23"/>
        <v>79.476434386273709</v>
      </c>
      <c r="F158" s="263">
        <f t="shared" ca="1" si="24"/>
        <v>0</v>
      </c>
      <c r="G158" s="263">
        <f t="shared" ca="1" si="39"/>
        <v>12492.440594452975</v>
      </c>
      <c r="H158" s="15"/>
      <c r="I158" s="271">
        <f ca="1">Assumptions!O$68</f>
        <v>4.5</v>
      </c>
      <c r="J158" s="271">
        <f ca="1">Assumptions!P$68</f>
        <v>80</v>
      </c>
      <c r="K158" s="271">
        <f t="shared" ca="1" si="25"/>
        <v>40</v>
      </c>
      <c r="L158" s="15"/>
      <c r="M158" s="35">
        <f t="shared" ca="1" si="40"/>
        <v>4.2299999999999995</v>
      </c>
      <c r="N158" s="35">
        <f t="shared" ca="1" si="26"/>
        <v>74.400000000000006</v>
      </c>
      <c r="O158" s="35">
        <f t="shared" ca="1" si="27"/>
        <v>37.200000000000003</v>
      </c>
      <c r="P158" s="15"/>
      <c r="Q158" s="34">
        <f t="shared" ca="1" si="41"/>
        <v>50825.911809812453</v>
      </c>
      <c r="R158" s="34">
        <f t="shared" ca="1" si="41"/>
        <v>5913.0467183387645</v>
      </c>
      <c r="S158" s="34">
        <f t="shared" ca="1" si="41"/>
        <v>0</v>
      </c>
      <c r="T158" s="34">
        <f t="shared" ca="1" si="42"/>
        <v>56738.958528151219</v>
      </c>
      <c r="U158" s="15"/>
      <c r="V158" s="35">
        <f t="shared" si="43"/>
        <v>0.31</v>
      </c>
      <c r="W158" s="34">
        <f t="shared" ca="1" si="44"/>
        <v>3872.6565842804225</v>
      </c>
      <c r="X158" s="35">
        <f t="shared" si="45"/>
        <v>0.37</v>
      </c>
      <c r="Y158" s="34">
        <f t="shared" ca="1" si="46"/>
        <v>4622.2030199476012</v>
      </c>
      <c r="Z158" s="35">
        <f t="shared" si="47"/>
        <v>0.57999999999999996</v>
      </c>
      <c r="AA158" s="34">
        <f t="shared" ca="1" si="48"/>
        <v>7245.615544782725</v>
      </c>
      <c r="AB158" s="34">
        <f t="shared" ca="1" si="49"/>
        <v>15740.475149010748</v>
      </c>
      <c r="AC158" s="15"/>
      <c r="AD158" s="34">
        <f t="shared" ca="1" si="50"/>
        <v>40998.483379140467</v>
      </c>
      <c r="AE158" s="34">
        <f ca="1"/>
        <v>0</v>
      </c>
      <c r="AF158" s="34">
        <f t="shared" ca="1" si="51"/>
        <v>40998.483379140467</v>
      </c>
      <c r="AG158" s="15"/>
      <c r="AH158" s="272">
        <f t="shared" si="60"/>
        <v>52231</v>
      </c>
      <c r="AI158" s="267">
        <f t="shared" si="28"/>
        <v>28.666666666666668</v>
      </c>
      <c r="AJ158" s="267">
        <f t="shared" si="29"/>
        <v>6.5074328020203728E-2</v>
      </c>
      <c r="AK158" s="34">
        <f t="shared" ca="1" si="61"/>
        <v>2667.9487557450575</v>
      </c>
      <c r="AL158" s="233"/>
      <c r="AN158" s="349"/>
      <c r="AO158" s="237">
        <f t="shared" si="52"/>
        <v>29</v>
      </c>
      <c r="AP158" s="34">
        <f t="shared" ca="1" si="53"/>
        <v>80.969778849266106</v>
      </c>
      <c r="AQ158" s="34">
        <f t="shared" ca="1" si="30"/>
        <v>0.53557033877669458</v>
      </c>
      <c r="AR158" s="34">
        <f t="shared" ca="1" si="31"/>
        <v>0</v>
      </c>
      <c r="AS158" s="34">
        <f t="shared" ca="1" si="54"/>
        <v>84.183200881926268</v>
      </c>
      <c r="AT158" s="350">
        <v>-3.8916405093159537E-2</v>
      </c>
      <c r="AU158" s="34">
        <f ca="1">MIN(AU157*(1+AT158),$AT$126-SUM(AU$129:AU157))</f>
        <v>84.183200881926268</v>
      </c>
      <c r="AV158" s="348"/>
      <c r="AW158" s="34">
        <f t="shared" ca="1" si="55"/>
        <v>80.969778849266106</v>
      </c>
      <c r="AX158" s="34">
        <f t="shared" ca="1" si="32"/>
        <v>0.53557033877669458</v>
      </c>
      <c r="AY158" s="34">
        <f t="shared" ca="1" si="33"/>
        <v>0</v>
      </c>
      <c r="AZ158" s="34">
        <f t="shared" ca="1" si="34"/>
        <v>84.183200881926268</v>
      </c>
      <c r="BB158" s="34">
        <f t="shared" ca="1" si="64"/>
        <v>1028.3456874199378</v>
      </c>
      <c r="BC158" s="34">
        <f t="shared" ca="1" si="64"/>
        <v>1783.3094728865512</v>
      </c>
      <c r="BD158" s="34">
        <f t="shared" ca="1" si="64"/>
        <v>2783.2793102421947</v>
      </c>
      <c r="BE158" s="34">
        <f t="shared" ca="1" si="64"/>
        <v>3619.9752122024124</v>
      </c>
      <c r="BF158" s="34">
        <f t="shared" ca="1" si="64"/>
        <v>3277.5309117018778</v>
      </c>
      <c r="BG158" s="34">
        <f t="shared" ca="1" si="64"/>
        <v>0</v>
      </c>
      <c r="BH158" s="34">
        <f t="shared" ca="1" si="64"/>
        <v>0</v>
      </c>
      <c r="BI158" s="34">
        <f t="shared" ca="1" si="64"/>
        <v>0</v>
      </c>
      <c r="BJ158" s="34">
        <f t="shared" ca="1" si="64"/>
        <v>0</v>
      </c>
      <c r="BK158" s="34">
        <f t="shared" ca="1" si="64"/>
        <v>0</v>
      </c>
      <c r="BL158" s="34">
        <f t="shared" ca="1" si="64"/>
        <v>0</v>
      </c>
      <c r="BM158" s="34">
        <f t="shared" ca="1" si="64"/>
        <v>0</v>
      </c>
      <c r="BN158" s="34">
        <f t="shared" ca="1" si="64"/>
        <v>0</v>
      </c>
      <c r="BO158" s="34">
        <f t="shared" ca="1" si="64"/>
        <v>0</v>
      </c>
      <c r="BP158" s="34">
        <f t="shared" ca="1" si="64"/>
        <v>0</v>
      </c>
      <c r="BQ158" s="34">
        <f t="shared" ca="1" si="64"/>
        <v>0</v>
      </c>
      <c r="BR158" s="34">
        <f t="shared" ca="1" si="62"/>
        <v>0</v>
      </c>
      <c r="BS158" s="34">
        <f t="shared" ca="1" si="62"/>
        <v>0</v>
      </c>
      <c r="BT158" s="34">
        <f t="shared" ca="1" si="62"/>
        <v>0</v>
      </c>
      <c r="BU158" s="34">
        <f t="shared" ca="1" si="62"/>
        <v>0</v>
      </c>
      <c r="BV158" s="34">
        <f t="shared" ca="1" si="62"/>
        <v>0</v>
      </c>
      <c r="BW158" s="34">
        <f t="shared" ca="1" si="62"/>
        <v>0</v>
      </c>
      <c r="BX158" s="34">
        <f t="shared" ca="1" si="62"/>
        <v>0</v>
      </c>
      <c r="BY158" s="34">
        <f t="shared" ca="1" si="62"/>
        <v>0</v>
      </c>
      <c r="BZ158" s="34">
        <f t="shared" ca="1" si="62"/>
        <v>0</v>
      </c>
      <c r="CA158" s="34">
        <f t="shared" ca="1" si="62"/>
        <v>0</v>
      </c>
      <c r="CB158" s="34">
        <f t="shared" ca="1" si="62"/>
        <v>0</v>
      </c>
      <c r="CC158" s="34">
        <f t="shared" ca="1" si="62"/>
        <v>0</v>
      </c>
      <c r="CD158" s="34">
        <f t="shared" ca="1" si="62"/>
        <v>0</v>
      </c>
      <c r="CE158" s="34">
        <f t="shared" ca="1" si="62"/>
        <v>0</v>
      </c>
      <c r="CF158" s="34">
        <f t="shared" ca="1" si="62"/>
        <v>0</v>
      </c>
      <c r="CG158" s="34">
        <f t="shared" ca="1" si="62"/>
        <v>0</v>
      </c>
      <c r="CH158" s="34">
        <f t="shared" ca="1" si="63"/>
        <v>0</v>
      </c>
      <c r="CI158" s="34">
        <f t="shared" ca="1" si="63"/>
        <v>0</v>
      </c>
      <c r="CJ158" s="34">
        <f t="shared" ca="1" si="63"/>
        <v>0</v>
      </c>
      <c r="CK158" s="34">
        <f t="shared" ca="1" si="63"/>
        <v>0</v>
      </c>
      <c r="CL158" s="34">
        <f t="shared" ca="1" si="63"/>
        <v>0</v>
      </c>
      <c r="CM158" s="34">
        <f t="shared" ca="1" si="63"/>
        <v>0</v>
      </c>
      <c r="CN158" s="34">
        <f t="shared" ca="1" si="63"/>
        <v>0</v>
      </c>
      <c r="CO158" s="34">
        <f t="shared" ca="1" si="63"/>
        <v>0</v>
      </c>
      <c r="CP158" s="34">
        <f t="shared" ca="1" si="63"/>
        <v>0</v>
      </c>
      <c r="CQ158" s="34">
        <f t="shared" ca="1" si="57"/>
        <v>12492.440594452975</v>
      </c>
      <c r="CR158" s="363">
        <v>0</v>
      </c>
      <c r="CS158" s="34">
        <f t="shared" ca="1" si="58"/>
        <v>12492.440594452975</v>
      </c>
      <c r="CT158" s="233"/>
    </row>
    <row r="159" spans="2:98" x14ac:dyDescent="0.3">
      <c r="B159" s="232"/>
      <c r="C159" s="250">
        <f t="shared" si="59"/>
        <v>2043</v>
      </c>
      <c r="D159" s="263">
        <f t="shared" ca="1" si="38"/>
        <v>11547.979361846299</v>
      </c>
      <c r="E159" s="263">
        <f t="shared" ca="1" si="23"/>
        <v>76.383501436059035</v>
      </c>
      <c r="F159" s="263">
        <f t="shared" ca="1" si="24"/>
        <v>0</v>
      </c>
      <c r="G159" s="263">
        <f t="shared" ca="1" si="39"/>
        <v>12006.280370462653</v>
      </c>
      <c r="H159" s="15"/>
      <c r="I159" s="271">
        <f ca="1">Assumptions!O$68</f>
        <v>4.5</v>
      </c>
      <c r="J159" s="271">
        <f ca="1">Assumptions!P$68</f>
        <v>80</v>
      </c>
      <c r="K159" s="271">
        <f t="shared" ca="1" si="25"/>
        <v>40</v>
      </c>
      <c r="L159" s="15"/>
      <c r="M159" s="35">
        <f t="shared" ca="1" si="40"/>
        <v>4.2299999999999995</v>
      </c>
      <c r="N159" s="35">
        <f t="shared" ca="1" si="26"/>
        <v>74.400000000000006</v>
      </c>
      <c r="O159" s="35">
        <f t="shared" ca="1" si="27"/>
        <v>37.200000000000003</v>
      </c>
      <c r="P159" s="15"/>
      <c r="Q159" s="34">
        <f t="shared" ca="1" si="41"/>
        <v>48847.952700609843</v>
      </c>
      <c r="R159" s="34">
        <f t="shared" ca="1" si="41"/>
        <v>5682.9325068427925</v>
      </c>
      <c r="S159" s="34">
        <f t="shared" ca="1" si="41"/>
        <v>0</v>
      </c>
      <c r="T159" s="34">
        <f t="shared" ca="1" si="42"/>
        <v>54530.885207452637</v>
      </c>
      <c r="U159" s="15"/>
      <c r="V159" s="35">
        <f t="shared" si="43"/>
        <v>0.31</v>
      </c>
      <c r="W159" s="34">
        <f t="shared" ca="1" si="44"/>
        <v>3721.9469148434223</v>
      </c>
      <c r="X159" s="35">
        <f t="shared" si="45"/>
        <v>0.37</v>
      </c>
      <c r="Y159" s="34">
        <f t="shared" ca="1" si="46"/>
        <v>4442.3237370711813</v>
      </c>
      <c r="Z159" s="35">
        <f t="shared" si="47"/>
        <v>0.57999999999999996</v>
      </c>
      <c r="AA159" s="34">
        <f t="shared" ca="1" si="48"/>
        <v>6963.6426148683386</v>
      </c>
      <c r="AB159" s="34">
        <f t="shared" ca="1" si="49"/>
        <v>15127.913266782942</v>
      </c>
      <c r="AC159" s="15"/>
      <c r="AD159" s="34">
        <f t="shared" ca="1" si="50"/>
        <v>39402.971940669697</v>
      </c>
      <c r="AE159" s="34">
        <f ca="1"/>
        <v>0</v>
      </c>
      <c r="AF159" s="34">
        <f t="shared" ca="1" si="51"/>
        <v>39402.971940669697</v>
      </c>
      <c r="AG159" s="15"/>
      <c r="AH159" s="272">
        <f t="shared" si="60"/>
        <v>52596</v>
      </c>
      <c r="AI159" s="267">
        <f t="shared" si="28"/>
        <v>29.666666666666668</v>
      </c>
      <c r="AJ159" s="267">
        <f t="shared" si="29"/>
        <v>5.915848001836703E-2</v>
      </c>
      <c r="AK159" s="34">
        <f t="shared" ca="1" si="61"/>
        <v>2331.0199282163849</v>
      </c>
      <c r="AL159" s="233"/>
      <c r="AN159" s="349"/>
      <c r="AO159" s="237">
        <f t="shared" si="52"/>
        <v>30</v>
      </c>
      <c r="AP159" s="34">
        <f t="shared" ca="1" si="53"/>
        <v>77.818717129063771</v>
      </c>
      <c r="AQ159" s="34">
        <f t="shared" ca="1" si="30"/>
        <v>0.51472780694593945</v>
      </c>
      <c r="AR159" s="34">
        <f t="shared" ca="1" si="31"/>
        <v>0</v>
      </c>
      <c r="AS159" s="34">
        <f t="shared" ca="1" si="54"/>
        <v>80.907083970739407</v>
      </c>
      <c r="AT159" s="350">
        <v>-3.8916516322322812E-2</v>
      </c>
      <c r="AU159" s="34">
        <f ca="1">MIN(AU158*(1+AT159),$AT$126-SUM(AU$129:AU158))</f>
        <v>80.907083970739407</v>
      </c>
      <c r="AV159" s="348"/>
      <c r="AW159" s="34">
        <f t="shared" ca="1" si="55"/>
        <v>77.818717129063771</v>
      </c>
      <c r="AX159" s="34">
        <f t="shared" ca="1" si="32"/>
        <v>0.51472780694593945</v>
      </c>
      <c r="AY159" s="34">
        <f t="shared" ca="1" si="33"/>
        <v>0</v>
      </c>
      <c r="AZ159" s="34">
        <f t="shared" ca="1" si="34"/>
        <v>80.907083970739407</v>
      </c>
      <c r="BB159" s="34">
        <f t="shared" ca="1" si="64"/>
        <v>988.3260556904695</v>
      </c>
      <c r="BC159" s="34">
        <f t="shared" ca="1" si="64"/>
        <v>1713.9094790332294</v>
      </c>
      <c r="BD159" s="34">
        <f t="shared" ca="1" si="64"/>
        <v>2674.9642093298271</v>
      </c>
      <c r="BE159" s="34">
        <f t="shared" ca="1" si="64"/>
        <v>3479.0991378027434</v>
      </c>
      <c r="BF159" s="34">
        <f t="shared" ca="1" si="64"/>
        <v>3149.9814886063823</v>
      </c>
      <c r="BG159" s="34">
        <f t="shared" ca="1" si="64"/>
        <v>0</v>
      </c>
      <c r="BH159" s="34">
        <f t="shared" ca="1" si="64"/>
        <v>0</v>
      </c>
      <c r="BI159" s="34">
        <f t="shared" ca="1" si="64"/>
        <v>0</v>
      </c>
      <c r="BJ159" s="34">
        <f t="shared" ca="1" si="64"/>
        <v>0</v>
      </c>
      <c r="BK159" s="34">
        <f t="shared" ca="1" si="64"/>
        <v>0</v>
      </c>
      <c r="BL159" s="34">
        <f t="shared" ca="1" si="64"/>
        <v>0</v>
      </c>
      <c r="BM159" s="34">
        <f t="shared" ca="1" si="64"/>
        <v>0</v>
      </c>
      <c r="BN159" s="34">
        <f t="shared" ca="1" si="64"/>
        <v>0</v>
      </c>
      <c r="BO159" s="34">
        <f t="shared" ca="1" si="64"/>
        <v>0</v>
      </c>
      <c r="BP159" s="34">
        <f t="shared" ca="1" si="64"/>
        <v>0</v>
      </c>
      <c r="BQ159" s="34">
        <f t="shared" ca="1" si="64"/>
        <v>0</v>
      </c>
      <c r="BR159" s="34">
        <f t="shared" ca="1" si="62"/>
        <v>0</v>
      </c>
      <c r="BS159" s="34">
        <f t="shared" ca="1" si="62"/>
        <v>0</v>
      </c>
      <c r="BT159" s="34">
        <f t="shared" ca="1" si="62"/>
        <v>0</v>
      </c>
      <c r="BU159" s="34">
        <f t="shared" ca="1" si="62"/>
        <v>0</v>
      </c>
      <c r="BV159" s="34">
        <f t="shared" ca="1" si="62"/>
        <v>0</v>
      </c>
      <c r="BW159" s="34">
        <f t="shared" ca="1" si="62"/>
        <v>0</v>
      </c>
      <c r="BX159" s="34">
        <f t="shared" ca="1" si="62"/>
        <v>0</v>
      </c>
      <c r="BY159" s="34">
        <f t="shared" ca="1" si="62"/>
        <v>0</v>
      </c>
      <c r="BZ159" s="34">
        <f t="shared" ca="1" si="62"/>
        <v>0</v>
      </c>
      <c r="CA159" s="34">
        <f t="shared" ca="1" si="62"/>
        <v>0</v>
      </c>
      <c r="CB159" s="34">
        <f t="shared" ca="1" si="62"/>
        <v>0</v>
      </c>
      <c r="CC159" s="34">
        <f t="shared" ca="1" si="62"/>
        <v>0</v>
      </c>
      <c r="CD159" s="34">
        <f t="shared" ca="1" si="62"/>
        <v>0</v>
      </c>
      <c r="CE159" s="34">
        <f t="shared" ca="1" si="62"/>
        <v>0</v>
      </c>
      <c r="CF159" s="34">
        <f t="shared" ca="1" si="62"/>
        <v>0</v>
      </c>
      <c r="CG159" s="34">
        <f t="shared" ca="1" si="62"/>
        <v>0</v>
      </c>
      <c r="CH159" s="34">
        <f t="shared" ca="1" si="63"/>
        <v>0</v>
      </c>
      <c r="CI159" s="34">
        <f t="shared" ca="1" si="63"/>
        <v>0</v>
      </c>
      <c r="CJ159" s="34">
        <f t="shared" ca="1" si="63"/>
        <v>0</v>
      </c>
      <c r="CK159" s="34">
        <f t="shared" ca="1" si="63"/>
        <v>0</v>
      </c>
      <c r="CL159" s="34">
        <f t="shared" ca="1" si="63"/>
        <v>0</v>
      </c>
      <c r="CM159" s="34">
        <f t="shared" ca="1" si="63"/>
        <v>0</v>
      </c>
      <c r="CN159" s="34">
        <f t="shared" ca="1" si="63"/>
        <v>0</v>
      </c>
      <c r="CO159" s="34">
        <f t="shared" ca="1" si="63"/>
        <v>0</v>
      </c>
      <c r="CP159" s="34">
        <f t="shared" ca="1" si="63"/>
        <v>0</v>
      </c>
      <c r="CQ159" s="34">
        <f t="shared" ca="1" si="57"/>
        <v>12006.280370462653</v>
      </c>
      <c r="CR159" s="363">
        <v>0</v>
      </c>
      <c r="CS159" s="34">
        <f t="shared" ca="1" si="58"/>
        <v>12006.280370462653</v>
      </c>
      <c r="CT159" s="233"/>
    </row>
    <row r="160" spans="2:98" x14ac:dyDescent="0.3">
      <c r="B160" s="232"/>
      <c r="C160" s="250">
        <f t="shared" si="59"/>
        <v>2044</v>
      </c>
      <c r="D160" s="263">
        <f t="shared" ca="1" si="38"/>
        <v>11098.573744916803</v>
      </c>
      <c r="E160" s="263">
        <f t="shared" ca="1" si="23"/>
        <v>73.410931646098931</v>
      </c>
      <c r="F160" s="263">
        <f t="shared" ca="1" si="24"/>
        <v>0</v>
      </c>
      <c r="G160" s="263">
        <f t="shared" ca="1" si="39"/>
        <v>11539.039334793397</v>
      </c>
      <c r="H160" s="15"/>
      <c r="I160" s="271">
        <f ca="1">Assumptions!O$68</f>
        <v>4.5</v>
      </c>
      <c r="J160" s="271">
        <f ca="1">Assumptions!P$68</f>
        <v>80</v>
      </c>
      <c r="K160" s="271">
        <f t="shared" ca="1" si="25"/>
        <v>40</v>
      </c>
      <c r="L160" s="15"/>
      <c r="M160" s="35">
        <f t="shared" ca="1" si="40"/>
        <v>4.2299999999999995</v>
      </c>
      <c r="N160" s="35">
        <f t="shared" ca="1" si="26"/>
        <v>74.400000000000006</v>
      </c>
      <c r="O160" s="35">
        <f t="shared" ca="1" si="27"/>
        <v>37.200000000000003</v>
      </c>
      <c r="P160" s="15"/>
      <c r="Q160" s="34">
        <f t="shared" ca="1" si="41"/>
        <v>46946.966940998071</v>
      </c>
      <c r="R160" s="34">
        <f t="shared" ca="1" si="41"/>
        <v>5461.7733144697604</v>
      </c>
      <c r="S160" s="34">
        <f t="shared" ca="1" si="41"/>
        <v>0</v>
      </c>
      <c r="T160" s="34">
        <f t="shared" ca="1" si="42"/>
        <v>52408.740255467834</v>
      </c>
      <c r="U160" s="15"/>
      <c r="V160" s="35">
        <f t="shared" si="43"/>
        <v>0.31</v>
      </c>
      <c r="W160" s="34">
        <f t="shared" ca="1" si="44"/>
        <v>3577.1021937859532</v>
      </c>
      <c r="X160" s="35">
        <f t="shared" si="45"/>
        <v>0.37</v>
      </c>
      <c r="Y160" s="34">
        <f t="shared" ca="1" si="46"/>
        <v>4269.4445538735572</v>
      </c>
      <c r="Z160" s="35">
        <f t="shared" si="47"/>
        <v>0.57999999999999996</v>
      </c>
      <c r="AA160" s="34">
        <f t="shared" ca="1" si="48"/>
        <v>6692.6428141801698</v>
      </c>
      <c r="AB160" s="34">
        <f t="shared" ca="1" si="49"/>
        <v>14539.189561839681</v>
      </c>
      <c r="AC160" s="15"/>
      <c r="AD160" s="34">
        <f t="shared" ca="1" si="50"/>
        <v>37869.550693628153</v>
      </c>
      <c r="AE160" s="34">
        <f ca="1"/>
        <v>0</v>
      </c>
      <c r="AF160" s="34">
        <f t="shared" ca="1" si="51"/>
        <v>37869.550693628153</v>
      </c>
      <c r="AG160" s="15"/>
      <c r="AH160" s="272">
        <f t="shared" si="60"/>
        <v>52962</v>
      </c>
      <c r="AI160" s="267">
        <f t="shared" si="28"/>
        <v>30.666666666666668</v>
      </c>
      <c r="AJ160" s="267">
        <f t="shared" si="29"/>
        <v>5.3780436380333668E-2</v>
      </c>
      <c r="AK160" s="34">
        <f t="shared" ca="1" si="61"/>
        <v>2036.6409618304897</v>
      </c>
      <c r="AL160" s="233"/>
      <c r="AN160" s="349"/>
      <c r="AO160" s="237">
        <f t="shared" si="52"/>
        <v>31</v>
      </c>
      <c r="AP160" s="34">
        <f t="shared" ca="1" si="53"/>
        <v>74.790289888059661</v>
      </c>
      <c r="AQ160" s="34">
        <f t="shared" ca="1" si="30"/>
        <v>0.49469643442058581</v>
      </c>
      <c r="AR160" s="34">
        <f t="shared" ca="1" si="31"/>
        <v>0</v>
      </c>
      <c r="AS160" s="34">
        <f t="shared" ca="1" si="54"/>
        <v>77.75846849458317</v>
      </c>
      <c r="AT160" s="350">
        <v>-3.8916437493841244E-2</v>
      </c>
      <c r="AU160" s="34">
        <f ca="1">MIN(AU159*(1+AT160),$AT$126-SUM(AU$129:AU159))</f>
        <v>77.75846849458317</v>
      </c>
      <c r="AV160" s="348"/>
      <c r="AW160" s="34">
        <f t="shared" ca="1" si="55"/>
        <v>74.790289888059661</v>
      </c>
      <c r="AX160" s="34">
        <f t="shared" ca="1" si="32"/>
        <v>0.49469643442058581</v>
      </c>
      <c r="AY160" s="34">
        <f t="shared" ca="1" si="33"/>
        <v>0</v>
      </c>
      <c r="AZ160" s="34">
        <f t="shared" ca="1" si="34"/>
        <v>77.75846849458317</v>
      </c>
      <c r="BB160" s="34">
        <f t="shared" ca="1" si="64"/>
        <v>949.86392652065683</v>
      </c>
      <c r="BC160" s="34">
        <f t="shared" ca="1" si="64"/>
        <v>1647.2100928174491</v>
      </c>
      <c r="BD160" s="34">
        <f t="shared" ca="1" si="64"/>
        <v>2570.8642185498443</v>
      </c>
      <c r="BE160" s="34">
        <f t="shared" ca="1" si="64"/>
        <v>3343.7052616622836</v>
      </c>
      <c r="BF160" s="34">
        <f t="shared" ca="1" si="64"/>
        <v>3027.3958352431623</v>
      </c>
      <c r="BG160" s="34">
        <f t="shared" ca="1" si="64"/>
        <v>0</v>
      </c>
      <c r="BH160" s="34">
        <f t="shared" ca="1" si="64"/>
        <v>0</v>
      </c>
      <c r="BI160" s="34">
        <f t="shared" ca="1" si="64"/>
        <v>0</v>
      </c>
      <c r="BJ160" s="34">
        <f t="shared" ca="1" si="64"/>
        <v>0</v>
      </c>
      <c r="BK160" s="34">
        <f t="shared" ca="1" si="64"/>
        <v>0</v>
      </c>
      <c r="BL160" s="34">
        <f t="shared" ca="1" si="64"/>
        <v>0</v>
      </c>
      <c r="BM160" s="34">
        <f t="shared" ca="1" si="64"/>
        <v>0</v>
      </c>
      <c r="BN160" s="34">
        <f t="shared" ca="1" si="64"/>
        <v>0</v>
      </c>
      <c r="BO160" s="34">
        <f t="shared" ca="1" si="64"/>
        <v>0</v>
      </c>
      <c r="BP160" s="34">
        <f t="shared" ca="1" si="64"/>
        <v>0</v>
      </c>
      <c r="BQ160" s="34">
        <f t="shared" ca="1" si="64"/>
        <v>0</v>
      </c>
      <c r="BR160" s="34">
        <f t="shared" ref="BR160:CG169" ca="1" si="65">IF($AO160&lt;BR$128,0,OFFSET($AZ$128,$AO160-BR$128+1,0)*BR$126)</f>
        <v>0</v>
      </c>
      <c r="BS160" s="34">
        <f t="shared" ca="1" si="65"/>
        <v>0</v>
      </c>
      <c r="BT160" s="34">
        <f t="shared" ca="1" si="65"/>
        <v>0</v>
      </c>
      <c r="BU160" s="34">
        <f t="shared" ca="1" si="65"/>
        <v>0</v>
      </c>
      <c r="BV160" s="34">
        <f t="shared" ca="1" si="65"/>
        <v>0</v>
      </c>
      <c r="BW160" s="34">
        <f t="shared" ca="1" si="65"/>
        <v>0</v>
      </c>
      <c r="BX160" s="34">
        <f t="shared" ca="1" si="65"/>
        <v>0</v>
      </c>
      <c r="BY160" s="34">
        <f t="shared" ca="1" si="65"/>
        <v>0</v>
      </c>
      <c r="BZ160" s="34">
        <f t="shared" ca="1" si="65"/>
        <v>0</v>
      </c>
      <c r="CA160" s="34">
        <f t="shared" ca="1" si="65"/>
        <v>0</v>
      </c>
      <c r="CB160" s="34">
        <f t="shared" ca="1" si="65"/>
        <v>0</v>
      </c>
      <c r="CC160" s="34">
        <f t="shared" ca="1" si="65"/>
        <v>0</v>
      </c>
      <c r="CD160" s="34">
        <f t="shared" ca="1" si="65"/>
        <v>0</v>
      </c>
      <c r="CE160" s="34">
        <f t="shared" ca="1" si="65"/>
        <v>0</v>
      </c>
      <c r="CF160" s="34">
        <f t="shared" ca="1" si="65"/>
        <v>0</v>
      </c>
      <c r="CG160" s="34">
        <f t="shared" ca="1" si="65"/>
        <v>0</v>
      </c>
      <c r="CH160" s="34">
        <f t="shared" ref="CH160:CP169" ca="1" si="66">IF($AO160&lt;CH$128,0,OFFSET($AZ$128,$AO160-CH$128+1,0)*CH$126)</f>
        <v>0</v>
      </c>
      <c r="CI160" s="34">
        <f t="shared" ca="1" si="66"/>
        <v>0</v>
      </c>
      <c r="CJ160" s="34">
        <f t="shared" ca="1" si="66"/>
        <v>0</v>
      </c>
      <c r="CK160" s="34">
        <f t="shared" ca="1" si="66"/>
        <v>0</v>
      </c>
      <c r="CL160" s="34">
        <f t="shared" ca="1" si="66"/>
        <v>0</v>
      </c>
      <c r="CM160" s="34">
        <f t="shared" ca="1" si="66"/>
        <v>0</v>
      </c>
      <c r="CN160" s="34">
        <f t="shared" ca="1" si="66"/>
        <v>0</v>
      </c>
      <c r="CO160" s="34">
        <f t="shared" ca="1" si="66"/>
        <v>0</v>
      </c>
      <c r="CP160" s="34">
        <f t="shared" ca="1" si="66"/>
        <v>0</v>
      </c>
      <c r="CQ160" s="34">
        <f t="shared" ca="1" si="57"/>
        <v>11539.039334793397</v>
      </c>
      <c r="CR160" s="363">
        <v>0</v>
      </c>
      <c r="CS160" s="34">
        <f t="shared" ca="1" si="58"/>
        <v>11539.039334793397</v>
      </c>
      <c r="CT160" s="233"/>
    </row>
    <row r="161" spans="2:98" x14ac:dyDescent="0.3">
      <c r="B161" s="232"/>
      <c r="C161" s="250">
        <f t="shared" si="59"/>
        <v>2045</v>
      </c>
      <c r="D161" s="263">
        <f t="shared" ca="1" si="38"/>
        <v>10666.657013394444</v>
      </c>
      <c r="E161" s="263">
        <f t="shared" ca="1" si="23"/>
        <v>70.554041167796115</v>
      </c>
      <c r="F161" s="263">
        <f t="shared" ca="1" si="24"/>
        <v>0</v>
      </c>
      <c r="G161" s="263">
        <f t="shared" ca="1" si="39"/>
        <v>11089.98126040122</v>
      </c>
      <c r="H161" s="15"/>
      <c r="I161" s="271">
        <f ca="1">Assumptions!O$68</f>
        <v>4.5</v>
      </c>
      <c r="J161" s="271">
        <f ca="1">Assumptions!P$68</f>
        <v>80</v>
      </c>
      <c r="K161" s="271">
        <f t="shared" ca="1" si="25"/>
        <v>40</v>
      </c>
      <c r="L161" s="15"/>
      <c r="M161" s="35">
        <f t="shared" ca="1" si="40"/>
        <v>4.2299999999999995</v>
      </c>
      <c r="N161" s="35">
        <f t="shared" ca="1" si="26"/>
        <v>74.400000000000006</v>
      </c>
      <c r="O161" s="35">
        <f t="shared" ca="1" si="27"/>
        <v>37.200000000000003</v>
      </c>
      <c r="P161" s="15"/>
      <c r="Q161" s="34">
        <f t="shared" ca="1" si="41"/>
        <v>45119.959166658497</v>
      </c>
      <c r="R161" s="34">
        <f t="shared" ca="1" si="41"/>
        <v>5249.2206628840313</v>
      </c>
      <c r="S161" s="34">
        <f t="shared" ca="1" si="41"/>
        <v>0</v>
      </c>
      <c r="T161" s="34">
        <f t="shared" ca="1" si="42"/>
        <v>50369.179829542525</v>
      </c>
      <c r="U161" s="15"/>
      <c r="V161" s="35">
        <f t="shared" si="43"/>
        <v>0.31</v>
      </c>
      <c r="W161" s="34">
        <f t="shared" ca="1" si="44"/>
        <v>3437.8941907243784</v>
      </c>
      <c r="X161" s="35">
        <f t="shared" si="45"/>
        <v>0.37</v>
      </c>
      <c r="Y161" s="34">
        <f t="shared" ca="1" si="46"/>
        <v>4103.2930663484512</v>
      </c>
      <c r="Z161" s="35">
        <f t="shared" si="47"/>
        <v>0.57999999999999996</v>
      </c>
      <c r="AA161" s="34">
        <f t="shared" ca="1" si="48"/>
        <v>6432.1891310327073</v>
      </c>
      <c r="AB161" s="34">
        <f t="shared" ca="1" si="49"/>
        <v>13973.376388105538</v>
      </c>
      <c r="AC161" s="15"/>
      <c r="AD161" s="34">
        <f t="shared" ca="1" si="50"/>
        <v>36395.80344143699</v>
      </c>
      <c r="AE161" s="34">
        <f ca="1"/>
        <v>0</v>
      </c>
      <c r="AF161" s="34">
        <f t="shared" ca="1" si="51"/>
        <v>36395.80344143699</v>
      </c>
      <c r="AG161" s="15"/>
      <c r="AH161" s="272">
        <f t="shared" si="60"/>
        <v>53327</v>
      </c>
      <c r="AI161" s="267">
        <f t="shared" si="28"/>
        <v>31.666666666666664</v>
      </c>
      <c r="AJ161" s="267">
        <f t="shared" si="29"/>
        <v>4.889130580030334E-2</v>
      </c>
      <c r="AK161" s="34">
        <f t="shared" ca="1" si="61"/>
        <v>1779.4383559030287</v>
      </c>
      <c r="AL161" s="233"/>
      <c r="AN161" s="349"/>
      <c r="AO161" s="237">
        <f t="shared" si="52"/>
        <v>32</v>
      </c>
      <c r="AP161" s="34">
        <f t="shared" ca="1" si="53"/>
        <v>71.879725312558421</v>
      </c>
      <c r="AQ161" s="34">
        <f t="shared" ca="1" si="30"/>
        <v>0.47544465829020344</v>
      </c>
      <c r="AR161" s="34">
        <f t="shared" ca="1" si="31"/>
        <v>0</v>
      </c>
      <c r="AS161" s="34">
        <f t="shared" ca="1" si="54"/>
        <v>74.732393262299638</v>
      </c>
      <c r="AT161" s="350">
        <v>-3.8916343015350602E-2</v>
      </c>
      <c r="AU161" s="34">
        <f ca="1">MIN(AU160*(1+AT161),$AT$126-SUM(AU$129:AU160))</f>
        <v>74.732393262299638</v>
      </c>
      <c r="AV161" s="348"/>
      <c r="AW161" s="34">
        <f t="shared" ca="1" si="55"/>
        <v>71.879725312558421</v>
      </c>
      <c r="AX161" s="34">
        <f t="shared" ca="1" si="32"/>
        <v>0.47544465829020344</v>
      </c>
      <c r="AY161" s="34">
        <f t="shared" ca="1" si="33"/>
        <v>0</v>
      </c>
      <c r="AZ161" s="34">
        <f t="shared" ca="1" si="34"/>
        <v>74.732393262299638</v>
      </c>
      <c r="BB161" s="34">
        <f t="shared" ca="1" si="64"/>
        <v>912.89869613827113</v>
      </c>
      <c r="BC161" s="34">
        <f t="shared" ca="1" si="64"/>
        <v>1583.1065442010945</v>
      </c>
      <c r="BD161" s="34">
        <f t="shared" ca="1" si="64"/>
        <v>2470.8151392261734</v>
      </c>
      <c r="BE161" s="34">
        <f t="shared" ca="1" si="64"/>
        <v>3213.5802731873055</v>
      </c>
      <c r="BF161" s="34">
        <f t="shared" ca="1" si="64"/>
        <v>2909.5806076483759</v>
      </c>
      <c r="BG161" s="34">
        <f t="shared" ca="1" si="64"/>
        <v>0</v>
      </c>
      <c r="BH161" s="34">
        <f t="shared" ca="1" si="64"/>
        <v>0</v>
      </c>
      <c r="BI161" s="34">
        <f t="shared" ca="1" si="64"/>
        <v>0</v>
      </c>
      <c r="BJ161" s="34">
        <f t="shared" ca="1" si="64"/>
        <v>0</v>
      </c>
      <c r="BK161" s="34">
        <f t="shared" ca="1" si="64"/>
        <v>0</v>
      </c>
      <c r="BL161" s="34">
        <f t="shared" ca="1" si="64"/>
        <v>0</v>
      </c>
      <c r="BM161" s="34">
        <f t="shared" ca="1" si="64"/>
        <v>0</v>
      </c>
      <c r="BN161" s="34">
        <f t="shared" ca="1" si="64"/>
        <v>0</v>
      </c>
      <c r="BO161" s="34">
        <f t="shared" ca="1" si="64"/>
        <v>0</v>
      </c>
      <c r="BP161" s="34">
        <f t="shared" ca="1" si="64"/>
        <v>0</v>
      </c>
      <c r="BQ161" s="34">
        <f t="shared" ref="BQ161:BQ169" ca="1" si="67">IF($AO161&lt;BQ$128,0,OFFSET($AZ$128,$AO161-BQ$128+1,0)*BQ$126)</f>
        <v>0</v>
      </c>
      <c r="BR161" s="34">
        <f t="shared" ca="1" si="65"/>
        <v>0</v>
      </c>
      <c r="BS161" s="34">
        <f t="shared" ca="1" si="65"/>
        <v>0</v>
      </c>
      <c r="BT161" s="34">
        <f t="shared" ca="1" si="65"/>
        <v>0</v>
      </c>
      <c r="BU161" s="34">
        <f t="shared" ca="1" si="65"/>
        <v>0</v>
      </c>
      <c r="BV161" s="34">
        <f t="shared" ca="1" si="65"/>
        <v>0</v>
      </c>
      <c r="BW161" s="34">
        <f t="shared" ca="1" si="65"/>
        <v>0</v>
      </c>
      <c r="BX161" s="34">
        <f t="shared" ca="1" si="65"/>
        <v>0</v>
      </c>
      <c r="BY161" s="34">
        <f t="shared" ca="1" si="65"/>
        <v>0</v>
      </c>
      <c r="BZ161" s="34">
        <f t="shared" ca="1" si="65"/>
        <v>0</v>
      </c>
      <c r="CA161" s="34">
        <f t="shared" ca="1" si="65"/>
        <v>0</v>
      </c>
      <c r="CB161" s="34">
        <f t="shared" ca="1" si="65"/>
        <v>0</v>
      </c>
      <c r="CC161" s="34">
        <f t="shared" ca="1" si="65"/>
        <v>0</v>
      </c>
      <c r="CD161" s="34">
        <f t="shared" ca="1" si="65"/>
        <v>0</v>
      </c>
      <c r="CE161" s="34">
        <f t="shared" ca="1" si="65"/>
        <v>0</v>
      </c>
      <c r="CF161" s="34">
        <f t="shared" ca="1" si="65"/>
        <v>0</v>
      </c>
      <c r="CG161" s="34">
        <f t="shared" ca="1" si="65"/>
        <v>0</v>
      </c>
      <c r="CH161" s="34">
        <f t="shared" ca="1" si="66"/>
        <v>0</v>
      </c>
      <c r="CI161" s="34">
        <f t="shared" ca="1" si="66"/>
        <v>0</v>
      </c>
      <c r="CJ161" s="34">
        <f t="shared" ca="1" si="66"/>
        <v>0</v>
      </c>
      <c r="CK161" s="34">
        <f t="shared" ca="1" si="66"/>
        <v>0</v>
      </c>
      <c r="CL161" s="34">
        <f t="shared" ca="1" si="66"/>
        <v>0</v>
      </c>
      <c r="CM161" s="34">
        <f t="shared" ca="1" si="66"/>
        <v>0</v>
      </c>
      <c r="CN161" s="34">
        <f t="shared" ca="1" si="66"/>
        <v>0</v>
      </c>
      <c r="CO161" s="34">
        <f t="shared" ca="1" si="66"/>
        <v>0</v>
      </c>
      <c r="CP161" s="34">
        <f t="shared" ca="1" si="66"/>
        <v>0</v>
      </c>
      <c r="CQ161" s="34">
        <f t="shared" ca="1" si="57"/>
        <v>11089.98126040122</v>
      </c>
      <c r="CR161" s="363">
        <v>0</v>
      </c>
      <c r="CS161" s="34">
        <f t="shared" ca="1" si="58"/>
        <v>11089.98126040122</v>
      </c>
      <c r="CT161" s="233"/>
    </row>
    <row r="162" spans="2:98" x14ac:dyDescent="0.3">
      <c r="B162" s="232"/>
      <c r="C162" s="250">
        <f t="shared" si="59"/>
        <v>2046</v>
      </c>
      <c r="D162" s="263">
        <f t="shared" ca="1" si="38"/>
        <v>10251.548724568969</v>
      </c>
      <c r="E162" s="263">
        <f t="shared" ca="1" si="23"/>
        <v>67.808329248671996</v>
      </c>
      <c r="F162" s="263">
        <f t="shared" ca="1" si="24"/>
        <v>0</v>
      </c>
      <c r="G162" s="263">
        <f t="shared" ca="1" si="39"/>
        <v>10658.398700061001</v>
      </c>
      <c r="H162" s="15"/>
      <c r="I162" s="271">
        <f ca="1">Assumptions!O$68</f>
        <v>4.5</v>
      </c>
      <c r="J162" s="271">
        <f ca="1">Assumptions!P$68</f>
        <v>80</v>
      </c>
      <c r="K162" s="271">
        <f t="shared" ca="1" si="25"/>
        <v>40</v>
      </c>
      <c r="L162" s="15"/>
      <c r="M162" s="35">
        <f t="shared" ca="1" si="40"/>
        <v>4.2299999999999995</v>
      </c>
      <c r="N162" s="35">
        <f t="shared" ca="1" si="26"/>
        <v>74.400000000000006</v>
      </c>
      <c r="O162" s="35">
        <f t="shared" ca="1" si="27"/>
        <v>37.200000000000003</v>
      </c>
      <c r="P162" s="15"/>
      <c r="Q162" s="34">
        <f t="shared" ca="1" si="41"/>
        <v>43364.051104926737</v>
      </c>
      <c r="R162" s="34">
        <f t="shared" ca="1" si="41"/>
        <v>5044.9396961011971</v>
      </c>
      <c r="S162" s="34">
        <f t="shared" ca="1" si="41"/>
        <v>0</v>
      </c>
      <c r="T162" s="34">
        <f t="shared" ca="1" si="42"/>
        <v>48408.990801027932</v>
      </c>
      <c r="U162" s="15"/>
      <c r="V162" s="35">
        <f t="shared" si="43"/>
        <v>0.31</v>
      </c>
      <c r="W162" s="34">
        <f t="shared" ca="1" si="44"/>
        <v>3304.1035970189105</v>
      </c>
      <c r="X162" s="35">
        <f t="shared" si="45"/>
        <v>0.37</v>
      </c>
      <c r="Y162" s="34">
        <f t="shared" ca="1" si="46"/>
        <v>3943.6075190225706</v>
      </c>
      <c r="Z162" s="35">
        <f t="shared" si="47"/>
        <v>0.57999999999999996</v>
      </c>
      <c r="AA162" s="34">
        <f t="shared" ca="1" si="48"/>
        <v>6181.87124603538</v>
      </c>
      <c r="AB162" s="34">
        <f t="shared" ca="1" si="49"/>
        <v>13429.582362076861</v>
      </c>
      <c r="AC162" s="15"/>
      <c r="AD162" s="34">
        <f t="shared" ca="1" si="50"/>
        <v>34979.408438951068</v>
      </c>
      <c r="AE162" s="34">
        <f ca="1"/>
        <v>0</v>
      </c>
      <c r="AF162" s="34">
        <f t="shared" ca="1" si="51"/>
        <v>34979.408438951068</v>
      </c>
      <c r="AG162" s="15"/>
      <c r="AH162" s="272">
        <f t="shared" si="60"/>
        <v>53692</v>
      </c>
      <c r="AI162" s="267">
        <f t="shared" si="28"/>
        <v>32.666666666666664</v>
      </c>
      <c r="AJ162" s="267">
        <f t="shared" si="29"/>
        <v>4.4446641636639403E-2</v>
      </c>
      <c r="AK162" s="34">
        <f t="shared" ca="1" si="61"/>
        <v>1554.7172315476982</v>
      </c>
      <c r="AL162" s="233"/>
      <c r="AN162" s="349"/>
      <c r="AO162" s="237">
        <f t="shared" si="52"/>
        <v>33</v>
      </c>
      <c r="AP162" s="34">
        <f t="shared" ca="1" si="53"/>
        <v>69.082423394055567</v>
      </c>
      <c r="AQ162" s="34">
        <f t="shared" ca="1" si="30"/>
        <v>0.45694205204075028</v>
      </c>
      <c r="AR162" s="34">
        <f t="shared" ca="1" si="31"/>
        <v>0</v>
      </c>
      <c r="AS162" s="34">
        <f t="shared" ca="1" si="54"/>
        <v>71.824075706300064</v>
      </c>
      <c r="AT162" s="350">
        <v>-3.8916424712799068E-2</v>
      </c>
      <c r="AU162" s="34">
        <f ca="1">MIN(AU161*(1+AT162),$AT$126-SUM(AU$129:AU161))</f>
        <v>71.824075706300064</v>
      </c>
      <c r="AV162" s="348"/>
      <c r="AW162" s="34">
        <f t="shared" ca="1" si="55"/>
        <v>69.082423394055567</v>
      </c>
      <c r="AX162" s="34">
        <f t="shared" ca="1" si="32"/>
        <v>0.45694205204075028</v>
      </c>
      <c r="AY162" s="34">
        <f t="shared" ca="1" si="33"/>
        <v>0</v>
      </c>
      <c r="AZ162" s="34">
        <f t="shared" ca="1" si="34"/>
        <v>71.824075706300064</v>
      </c>
      <c r="BB162" s="34">
        <f t="shared" ref="BB162:BP169" ca="1" si="68">IF($AO162&lt;BB$128,0,OFFSET($AZ$128,$AO162-BB$128+1,0)*BB$126)</f>
        <v>877.37194275959371</v>
      </c>
      <c r="BC162" s="34">
        <f t="shared" ca="1" si="68"/>
        <v>1521.4978268971183</v>
      </c>
      <c r="BD162" s="34">
        <f t="shared" ca="1" si="68"/>
        <v>2374.659816301642</v>
      </c>
      <c r="BE162" s="34">
        <f t="shared" ca="1" si="68"/>
        <v>3088.5189240327172</v>
      </c>
      <c r="BF162" s="34">
        <f t="shared" ca="1" si="68"/>
        <v>2796.3501900699307</v>
      </c>
      <c r="BG162" s="34">
        <f t="shared" ca="1" si="68"/>
        <v>0</v>
      </c>
      <c r="BH162" s="34">
        <f t="shared" ca="1" si="68"/>
        <v>0</v>
      </c>
      <c r="BI162" s="34">
        <f t="shared" ca="1" si="68"/>
        <v>0</v>
      </c>
      <c r="BJ162" s="34">
        <f t="shared" ca="1" si="68"/>
        <v>0</v>
      </c>
      <c r="BK162" s="34">
        <f t="shared" ca="1" si="68"/>
        <v>0</v>
      </c>
      <c r="BL162" s="34">
        <f t="shared" ca="1" si="68"/>
        <v>0</v>
      </c>
      <c r="BM162" s="34">
        <f t="shared" ca="1" si="68"/>
        <v>0</v>
      </c>
      <c r="BN162" s="34">
        <f t="shared" ca="1" si="68"/>
        <v>0</v>
      </c>
      <c r="BO162" s="34">
        <f t="shared" ca="1" si="68"/>
        <v>0</v>
      </c>
      <c r="BP162" s="34">
        <f t="shared" ca="1" si="68"/>
        <v>0</v>
      </c>
      <c r="BQ162" s="34">
        <f t="shared" ca="1" si="67"/>
        <v>0</v>
      </c>
      <c r="BR162" s="34">
        <f t="shared" ca="1" si="65"/>
        <v>0</v>
      </c>
      <c r="BS162" s="34">
        <f t="shared" ca="1" si="65"/>
        <v>0</v>
      </c>
      <c r="BT162" s="34">
        <f t="shared" ca="1" si="65"/>
        <v>0</v>
      </c>
      <c r="BU162" s="34">
        <f t="shared" ca="1" si="65"/>
        <v>0</v>
      </c>
      <c r="BV162" s="34">
        <f t="shared" ca="1" si="65"/>
        <v>0</v>
      </c>
      <c r="BW162" s="34">
        <f t="shared" ca="1" si="65"/>
        <v>0</v>
      </c>
      <c r="BX162" s="34">
        <f t="shared" ca="1" si="65"/>
        <v>0</v>
      </c>
      <c r="BY162" s="34">
        <f t="shared" ca="1" si="65"/>
        <v>0</v>
      </c>
      <c r="BZ162" s="34">
        <f t="shared" ca="1" si="65"/>
        <v>0</v>
      </c>
      <c r="CA162" s="34">
        <f t="shared" ca="1" si="65"/>
        <v>0</v>
      </c>
      <c r="CB162" s="34">
        <f t="shared" ca="1" si="65"/>
        <v>0</v>
      </c>
      <c r="CC162" s="34">
        <f t="shared" ca="1" si="65"/>
        <v>0</v>
      </c>
      <c r="CD162" s="34">
        <f t="shared" ca="1" si="65"/>
        <v>0</v>
      </c>
      <c r="CE162" s="34">
        <f t="shared" ca="1" si="65"/>
        <v>0</v>
      </c>
      <c r="CF162" s="34">
        <f t="shared" ca="1" si="65"/>
        <v>0</v>
      </c>
      <c r="CG162" s="34">
        <f t="shared" ca="1" si="65"/>
        <v>0</v>
      </c>
      <c r="CH162" s="34">
        <f t="shared" ca="1" si="66"/>
        <v>0</v>
      </c>
      <c r="CI162" s="34">
        <f t="shared" ca="1" si="66"/>
        <v>0</v>
      </c>
      <c r="CJ162" s="34">
        <f t="shared" ca="1" si="66"/>
        <v>0</v>
      </c>
      <c r="CK162" s="34">
        <f t="shared" ca="1" si="66"/>
        <v>0</v>
      </c>
      <c r="CL162" s="34">
        <f t="shared" ca="1" si="66"/>
        <v>0</v>
      </c>
      <c r="CM162" s="34">
        <f t="shared" ca="1" si="66"/>
        <v>0</v>
      </c>
      <c r="CN162" s="34">
        <f t="shared" ca="1" si="66"/>
        <v>0</v>
      </c>
      <c r="CO162" s="34">
        <f t="shared" ca="1" si="66"/>
        <v>0</v>
      </c>
      <c r="CP162" s="34">
        <f t="shared" ca="1" si="66"/>
        <v>0</v>
      </c>
      <c r="CQ162" s="34">
        <f t="shared" ca="1" si="57"/>
        <v>10658.398700061001</v>
      </c>
      <c r="CR162" s="363">
        <v>0</v>
      </c>
      <c r="CS162" s="34">
        <f t="shared" ca="1" si="58"/>
        <v>10658.398700061001</v>
      </c>
      <c r="CT162" s="233"/>
    </row>
    <row r="163" spans="2:98" x14ac:dyDescent="0.3">
      <c r="B163" s="232"/>
      <c r="C163" s="250">
        <f t="shared" si="59"/>
        <v>2047</v>
      </c>
      <c r="D163" s="263">
        <f t="shared" ca="1" si="38"/>
        <v>9852.5950430956273</v>
      </c>
      <c r="E163" s="263">
        <f t="shared" ca="1" si="23"/>
        <v>65.169471129266086</v>
      </c>
      <c r="F163" s="263">
        <f t="shared" ca="1" si="24"/>
        <v>0</v>
      </c>
      <c r="G163" s="263">
        <f t="shared" ca="1" si="39"/>
        <v>10243.611869871223</v>
      </c>
      <c r="H163" s="15"/>
      <c r="I163" s="271">
        <f ca="1">Assumptions!O$68</f>
        <v>4.5</v>
      </c>
      <c r="J163" s="271">
        <f ca="1">Assumptions!P$68</f>
        <v>80</v>
      </c>
      <c r="K163" s="271">
        <f t="shared" ca="1" si="25"/>
        <v>40</v>
      </c>
      <c r="L163" s="15"/>
      <c r="M163" s="35">
        <f t="shared" ca="1" si="40"/>
        <v>4.2299999999999995</v>
      </c>
      <c r="N163" s="35">
        <f t="shared" ca="1" si="26"/>
        <v>74.400000000000006</v>
      </c>
      <c r="O163" s="35">
        <f t="shared" ca="1" si="27"/>
        <v>37.200000000000003</v>
      </c>
      <c r="P163" s="15"/>
      <c r="Q163" s="34">
        <f t="shared" ca="1" si="41"/>
        <v>41676.477032294497</v>
      </c>
      <c r="R163" s="34">
        <f t="shared" ca="1" si="41"/>
        <v>4848.6086520173967</v>
      </c>
      <c r="S163" s="34">
        <f t="shared" ca="1" si="41"/>
        <v>0</v>
      </c>
      <c r="T163" s="34">
        <f t="shared" ca="1" si="42"/>
        <v>46525.085684311896</v>
      </c>
      <c r="U163" s="15"/>
      <c r="V163" s="35">
        <f t="shared" si="43"/>
        <v>0.31</v>
      </c>
      <c r="W163" s="34">
        <f t="shared" ca="1" si="44"/>
        <v>3175.5196796600794</v>
      </c>
      <c r="X163" s="35">
        <f t="shared" si="45"/>
        <v>0.37</v>
      </c>
      <c r="Y163" s="34">
        <f t="shared" ca="1" si="46"/>
        <v>3790.1363918523525</v>
      </c>
      <c r="Z163" s="35">
        <f t="shared" si="47"/>
        <v>0.57999999999999996</v>
      </c>
      <c r="AA163" s="34">
        <f t="shared" ca="1" si="48"/>
        <v>5941.2948845253095</v>
      </c>
      <c r="AB163" s="34">
        <f t="shared" ca="1" si="49"/>
        <v>12906.950956037741</v>
      </c>
      <c r="AC163" s="15"/>
      <c r="AD163" s="34">
        <f t="shared" ca="1" si="50"/>
        <v>33618.134728274155</v>
      </c>
      <c r="AE163" s="34">
        <f ca="1"/>
        <v>0</v>
      </c>
      <c r="AF163" s="34">
        <f t="shared" ca="1" si="51"/>
        <v>33618.134728274155</v>
      </c>
      <c r="AG163" s="15"/>
      <c r="AH163" s="272">
        <f t="shared" si="60"/>
        <v>54057</v>
      </c>
      <c r="AI163" s="267">
        <f t="shared" si="28"/>
        <v>33.666666666666664</v>
      </c>
      <c r="AJ163" s="267">
        <f t="shared" si="29"/>
        <v>4.0406037851490349E-2</v>
      </c>
      <c r="AK163" s="34">
        <f t="shared" ca="1" si="61"/>
        <v>1358.3756243271478</v>
      </c>
      <c r="AL163" s="233"/>
      <c r="AN163" s="349"/>
      <c r="AO163" s="237">
        <f t="shared" si="52"/>
        <v>34</v>
      </c>
      <c r="AP163" s="34">
        <f t="shared" ca="1" si="53"/>
        <v>66.393985773888829</v>
      </c>
      <c r="AQ163" s="34">
        <f t="shared" ca="1" si="30"/>
        <v>0.43915952296044808</v>
      </c>
      <c r="AR163" s="34">
        <f t="shared" ca="1" si="31"/>
        <v>0</v>
      </c>
      <c r="AS163" s="34">
        <f t="shared" ca="1" si="54"/>
        <v>69.028942911651512</v>
      </c>
      <c r="AT163" s="350">
        <v>-3.8916376816017659E-2</v>
      </c>
      <c r="AU163" s="34">
        <f ca="1">MIN(AU162*(1+AT163),$AT$126-SUM(AU$129:AU162))</f>
        <v>69.028942911651512</v>
      </c>
      <c r="AV163" s="348"/>
      <c r="AW163" s="34">
        <f t="shared" ca="1" si="55"/>
        <v>66.393985773888829</v>
      </c>
      <c r="AX163" s="34">
        <f t="shared" ca="1" si="32"/>
        <v>0.43915952296044808</v>
      </c>
      <c r="AY163" s="34">
        <f t="shared" ca="1" si="33"/>
        <v>0</v>
      </c>
      <c r="AZ163" s="34">
        <f t="shared" ca="1" si="34"/>
        <v>69.028942911651512</v>
      </c>
      <c r="BB163" s="34">
        <f t="shared" ca="1" si="68"/>
        <v>843.22780562735988</v>
      </c>
      <c r="BC163" s="34">
        <f t="shared" ca="1" si="68"/>
        <v>1462.2865712659893</v>
      </c>
      <c r="BD163" s="34">
        <f t="shared" ca="1" si="68"/>
        <v>2282.2467403456776</v>
      </c>
      <c r="BE163" s="34">
        <f t="shared" ca="1" si="68"/>
        <v>2968.3247703770521</v>
      </c>
      <c r="BF163" s="34">
        <f t="shared" ca="1" si="68"/>
        <v>2687.5259822551438</v>
      </c>
      <c r="BG163" s="34">
        <f t="shared" ca="1" si="68"/>
        <v>0</v>
      </c>
      <c r="BH163" s="34">
        <f t="shared" ca="1" si="68"/>
        <v>0</v>
      </c>
      <c r="BI163" s="34">
        <f t="shared" ca="1" si="68"/>
        <v>0</v>
      </c>
      <c r="BJ163" s="34">
        <f t="shared" ca="1" si="68"/>
        <v>0</v>
      </c>
      <c r="BK163" s="34">
        <f t="shared" ca="1" si="68"/>
        <v>0</v>
      </c>
      <c r="BL163" s="34">
        <f t="shared" ca="1" si="68"/>
        <v>0</v>
      </c>
      <c r="BM163" s="34">
        <f t="shared" ca="1" si="68"/>
        <v>0</v>
      </c>
      <c r="BN163" s="34">
        <f t="shared" ca="1" si="68"/>
        <v>0</v>
      </c>
      <c r="BO163" s="34">
        <f t="shared" ca="1" si="68"/>
        <v>0</v>
      </c>
      <c r="BP163" s="34">
        <f t="shared" ca="1" si="68"/>
        <v>0</v>
      </c>
      <c r="BQ163" s="34">
        <f t="shared" ca="1" si="67"/>
        <v>0</v>
      </c>
      <c r="BR163" s="34">
        <f t="shared" ca="1" si="65"/>
        <v>0</v>
      </c>
      <c r="BS163" s="34">
        <f t="shared" ca="1" si="65"/>
        <v>0</v>
      </c>
      <c r="BT163" s="34">
        <f t="shared" ca="1" si="65"/>
        <v>0</v>
      </c>
      <c r="BU163" s="34">
        <f t="shared" ca="1" si="65"/>
        <v>0</v>
      </c>
      <c r="BV163" s="34">
        <f t="shared" ca="1" si="65"/>
        <v>0</v>
      </c>
      <c r="BW163" s="34">
        <f t="shared" ca="1" si="65"/>
        <v>0</v>
      </c>
      <c r="BX163" s="34">
        <f t="shared" ca="1" si="65"/>
        <v>0</v>
      </c>
      <c r="BY163" s="34">
        <f t="shared" ca="1" si="65"/>
        <v>0</v>
      </c>
      <c r="BZ163" s="34">
        <f t="shared" ca="1" si="65"/>
        <v>0</v>
      </c>
      <c r="CA163" s="34">
        <f t="shared" ca="1" si="65"/>
        <v>0</v>
      </c>
      <c r="CB163" s="34">
        <f t="shared" ca="1" si="65"/>
        <v>0</v>
      </c>
      <c r="CC163" s="34">
        <f t="shared" ca="1" si="65"/>
        <v>0</v>
      </c>
      <c r="CD163" s="34">
        <f t="shared" ca="1" si="65"/>
        <v>0</v>
      </c>
      <c r="CE163" s="34">
        <f t="shared" ca="1" si="65"/>
        <v>0</v>
      </c>
      <c r="CF163" s="34">
        <f t="shared" ca="1" si="65"/>
        <v>0</v>
      </c>
      <c r="CG163" s="34">
        <f t="shared" ca="1" si="65"/>
        <v>0</v>
      </c>
      <c r="CH163" s="34">
        <f t="shared" ca="1" si="66"/>
        <v>0</v>
      </c>
      <c r="CI163" s="34">
        <f t="shared" ca="1" si="66"/>
        <v>0</v>
      </c>
      <c r="CJ163" s="34">
        <f t="shared" ca="1" si="66"/>
        <v>0</v>
      </c>
      <c r="CK163" s="34">
        <f t="shared" ca="1" si="66"/>
        <v>0</v>
      </c>
      <c r="CL163" s="34">
        <f t="shared" ca="1" si="66"/>
        <v>0</v>
      </c>
      <c r="CM163" s="34">
        <f t="shared" ca="1" si="66"/>
        <v>0</v>
      </c>
      <c r="CN163" s="34">
        <f t="shared" ca="1" si="66"/>
        <v>0</v>
      </c>
      <c r="CO163" s="34">
        <f t="shared" ca="1" si="66"/>
        <v>0</v>
      </c>
      <c r="CP163" s="34">
        <f t="shared" ca="1" si="66"/>
        <v>0</v>
      </c>
      <c r="CQ163" s="34">
        <f t="shared" ca="1" si="57"/>
        <v>10243.611869871223</v>
      </c>
      <c r="CR163" s="363">
        <v>0</v>
      </c>
      <c r="CS163" s="34">
        <f t="shared" ca="1" si="58"/>
        <v>10243.611869871223</v>
      </c>
      <c r="CT163" s="233"/>
    </row>
    <row r="164" spans="2:98" x14ac:dyDescent="0.3">
      <c r="B164" s="232"/>
      <c r="C164" s="250">
        <f t="shared" si="59"/>
        <v>2048</v>
      </c>
      <c r="D164" s="263">
        <f t="shared" ca="1" si="38"/>
        <v>9469.1675479178884</v>
      </c>
      <c r="E164" s="263">
        <f t="shared" ca="1" si="23"/>
        <v>62.633310151589136</v>
      </c>
      <c r="F164" s="263">
        <f t="shared" ca="1" si="24"/>
        <v>0</v>
      </c>
      <c r="G164" s="263">
        <f t="shared" ca="1" si="39"/>
        <v>9844.9674088274223</v>
      </c>
      <c r="H164" s="15"/>
      <c r="I164" s="271">
        <f ca="1">Assumptions!O$68</f>
        <v>4.5</v>
      </c>
      <c r="J164" s="271">
        <f ca="1">Assumptions!P$68</f>
        <v>80</v>
      </c>
      <c r="K164" s="271">
        <f t="shared" ca="1" si="25"/>
        <v>40</v>
      </c>
      <c r="L164" s="15"/>
      <c r="M164" s="35">
        <f t="shared" ca="1" si="40"/>
        <v>4.2299999999999995</v>
      </c>
      <c r="N164" s="35">
        <f t="shared" ca="1" si="26"/>
        <v>74.400000000000006</v>
      </c>
      <c r="O164" s="35">
        <f t="shared" ca="1" si="27"/>
        <v>37.200000000000003</v>
      </c>
      <c r="P164" s="15"/>
      <c r="Q164" s="34">
        <f t="shared" ca="1" si="41"/>
        <v>40054.578727692664</v>
      </c>
      <c r="R164" s="34">
        <f t="shared" ca="1" si="41"/>
        <v>4659.9182752782317</v>
      </c>
      <c r="S164" s="34">
        <f t="shared" ca="1" si="41"/>
        <v>0</v>
      </c>
      <c r="T164" s="34">
        <f t="shared" ca="1" si="42"/>
        <v>44714.497002970893</v>
      </c>
      <c r="U164" s="15"/>
      <c r="V164" s="35">
        <f t="shared" si="43"/>
        <v>0.31</v>
      </c>
      <c r="W164" s="34">
        <f t="shared" ca="1" si="44"/>
        <v>3051.9398967365009</v>
      </c>
      <c r="X164" s="35">
        <f t="shared" si="45"/>
        <v>0.37</v>
      </c>
      <c r="Y164" s="34">
        <f t="shared" ca="1" si="46"/>
        <v>3642.6379412661463</v>
      </c>
      <c r="Z164" s="35">
        <f t="shared" si="47"/>
        <v>0.57999999999999996</v>
      </c>
      <c r="AA164" s="34">
        <f t="shared" ca="1" si="48"/>
        <v>5710.0810971199044</v>
      </c>
      <c r="AB164" s="34">
        <f t="shared" ca="1" si="49"/>
        <v>12404.658935122552</v>
      </c>
      <c r="AC164" s="15"/>
      <c r="AD164" s="34">
        <f t="shared" ca="1" si="50"/>
        <v>32309.838067848341</v>
      </c>
      <c r="AE164" s="34">
        <f ca="1"/>
        <v>0</v>
      </c>
      <c r="AF164" s="34">
        <f t="shared" ca="1" si="51"/>
        <v>32309.838067848341</v>
      </c>
      <c r="AG164" s="15"/>
      <c r="AH164" s="272">
        <f t="shared" si="60"/>
        <v>54423</v>
      </c>
      <c r="AI164" s="267">
        <f t="shared" si="28"/>
        <v>34.666666666666664</v>
      </c>
      <c r="AJ164" s="267">
        <f t="shared" si="29"/>
        <v>3.6732761683173049E-2</v>
      </c>
      <c r="AK164" s="34">
        <f t="shared" ca="1" si="61"/>
        <v>1186.8295817681856</v>
      </c>
      <c r="AL164" s="233"/>
      <c r="AN164" s="349"/>
      <c r="AO164" s="237">
        <f t="shared" si="52"/>
        <v>35</v>
      </c>
      <c r="AP164" s="34">
        <f t="shared" ca="1" si="53"/>
        <v>63.810170082055421</v>
      </c>
      <c r="AQ164" s="34">
        <f t="shared" ca="1" si="30"/>
        <v>0.42206901011629333</v>
      </c>
      <c r="AR164" s="34">
        <f t="shared" ca="1" si="31"/>
        <v>0</v>
      </c>
      <c r="AS164" s="34">
        <f t="shared" ca="1" si="54"/>
        <v>66.342584142753182</v>
      </c>
      <c r="AT164" s="350">
        <v>-3.8916411806226535E-2</v>
      </c>
      <c r="AU164" s="34">
        <f ca="1">MIN(AU163*(1+AT164),$AT$126-SUM(AU$129:AU163))</f>
        <v>66.342584142753182</v>
      </c>
      <c r="AV164" s="348"/>
      <c r="AW164" s="34">
        <f t="shared" ca="1" si="55"/>
        <v>63.810170082055421</v>
      </c>
      <c r="AX164" s="34">
        <f t="shared" ca="1" si="32"/>
        <v>0.42206901011629333</v>
      </c>
      <c r="AY164" s="34">
        <f t="shared" ca="1" si="33"/>
        <v>0</v>
      </c>
      <c r="AZ164" s="34">
        <f t="shared" ca="1" si="34"/>
        <v>66.342584142753182</v>
      </c>
      <c r="BB164" s="34">
        <f t="shared" ca="1" si="68"/>
        <v>810.41240509710485</v>
      </c>
      <c r="BC164" s="34">
        <f t="shared" ca="1" si="68"/>
        <v>1405.3796760455996</v>
      </c>
      <c r="BD164" s="34">
        <f t="shared" ca="1" si="68"/>
        <v>2193.4298568989839</v>
      </c>
      <c r="BE164" s="34">
        <f t="shared" ca="1" si="68"/>
        <v>2852.808425432097</v>
      </c>
      <c r="BF164" s="34">
        <f t="shared" ca="1" si="68"/>
        <v>2582.9370453536376</v>
      </c>
      <c r="BG164" s="34">
        <f t="shared" ca="1" si="68"/>
        <v>0</v>
      </c>
      <c r="BH164" s="34">
        <f t="shared" ca="1" si="68"/>
        <v>0</v>
      </c>
      <c r="BI164" s="34">
        <f t="shared" ca="1" si="68"/>
        <v>0</v>
      </c>
      <c r="BJ164" s="34">
        <f t="shared" ca="1" si="68"/>
        <v>0</v>
      </c>
      <c r="BK164" s="34">
        <f t="shared" ca="1" si="68"/>
        <v>0</v>
      </c>
      <c r="BL164" s="34">
        <f t="shared" ca="1" si="68"/>
        <v>0</v>
      </c>
      <c r="BM164" s="34">
        <f t="shared" ca="1" si="68"/>
        <v>0</v>
      </c>
      <c r="BN164" s="34">
        <f t="shared" ca="1" si="68"/>
        <v>0</v>
      </c>
      <c r="BO164" s="34">
        <f t="shared" ca="1" si="68"/>
        <v>0</v>
      </c>
      <c r="BP164" s="34">
        <f t="shared" ca="1" si="68"/>
        <v>0</v>
      </c>
      <c r="BQ164" s="34">
        <f t="shared" ca="1" si="67"/>
        <v>0</v>
      </c>
      <c r="BR164" s="34">
        <f t="shared" ca="1" si="65"/>
        <v>0</v>
      </c>
      <c r="BS164" s="34">
        <f t="shared" ca="1" si="65"/>
        <v>0</v>
      </c>
      <c r="BT164" s="34">
        <f t="shared" ca="1" si="65"/>
        <v>0</v>
      </c>
      <c r="BU164" s="34">
        <f t="shared" ca="1" si="65"/>
        <v>0</v>
      </c>
      <c r="BV164" s="34">
        <f t="shared" ca="1" si="65"/>
        <v>0</v>
      </c>
      <c r="BW164" s="34">
        <f t="shared" ca="1" si="65"/>
        <v>0</v>
      </c>
      <c r="BX164" s="34">
        <f t="shared" ca="1" si="65"/>
        <v>0</v>
      </c>
      <c r="BY164" s="34">
        <f t="shared" ca="1" si="65"/>
        <v>0</v>
      </c>
      <c r="BZ164" s="34">
        <f t="shared" ca="1" si="65"/>
        <v>0</v>
      </c>
      <c r="CA164" s="34">
        <f t="shared" ca="1" si="65"/>
        <v>0</v>
      </c>
      <c r="CB164" s="34">
        <f t="shared" ca="1" si="65"/>
        <v>0</v>
      </c>
      <c r="CC164" s="34">
        <f t="shared" ca="1" si="65"/>
        <v>0</v>
      </c>
      <c r="CD164" s="34">
        <f t="shared" ca="1" si="65"/>
        <v>0</v>
      </c>
      <c r="CE164" s="34">
        <f t="shared" ca="1" si="65"/>
        <v>0</v>
      </c>
      <c r="CF164" s="34">
        <f t="shared" ca="1" si="65"/>
        <v>0</v>
      </c>
      <c r="CG164" s="34">
        <f t="shared" ca="1" si="65"/>
        <v>0</v>
      </c>
      <c r="CH164" s="34">
        <f t="shared" ca="1" si="66"/>
        <v>0</v>
      </c>
      <c r="CI164" s="34">
        <f t="shared" ca="1" si="66"/>
        <v>0</v>
      </c>
      <c r="CJ164" s="34">
        <f t="shared" ca="1" si="66"/>
        <v>0</v>
      </c>
      <c r="CK164" s="34">
        <f t="shared" ca="1" si="66"/>
        <v>0</v>
      </c>
      <c r="CL164" s="34">
        <f t="shared" ca="1" si="66"/>
        <v>0</v>
      </c>
      <c r="CM164" s="34">
        <f t="shared" ca="1" si="66"/>
        <v>0</v>
      </c>
      <c r="CN164" s="34">
        <f t="shared" ca="1" si="66"/>
        <v>0</v>
      </c>
      <c r="CO164" s="34">
        <f t="shared" ca="1" si="66"/>
        <v>0</v>
      </c>
      <c r="CP164" s="34">
        <f t="shared" ca="1" si="66"/>
        <v>0</v>
      </c>
      <c r="CQ164" s="34">
        <f t="shared" ca="1" si="57"/>
        <v>9844.9674088274223</v>
      </c>
      <c r="CR164" s="363">
        <v>0</v>
      </c>
      <c r="CS164" s="34">
        <f t="shared" ca="1" si="58"/>
        <v>9844.9674088274223</v>
      </c>
      <c r="CT164" s="233"/>
    </row>
    <row r="165" spans="2:98" x14ac:dyDescent="0.3">
      <c r="B165" s="232"/>
      <c r="C165" s="250">
        <f t="shared" si="59"/>
        <v>2049</v>
      </c>
      <c r="D165" s="263">
        <f t="shared" ca="1" si="38"/>
        <v>9100.6617943771616</v>
      </c>
      <c r="E165" s="263">
        <f t="shared" ca="1" si="23"/>
        <v>60.19584824827362</v>
      </c>
      <c r="F165" s="263">
        <f t="shared" ca="1" si="24"/>
        <v>0</v>
      </c>
      <c r="G165" s="263">
        <f t="shared" ca="1" si="39"/>
        <v>9461.836883866803</v>
      </c>
      <c r="H165" s="15"/>
      <c r="I165" s="271">
        <f ca="1">Assumptions!O$68</f>
        <v>4.5</v>
      </c>
      <c r="J165" s="271">
        <f ca="1">Assumptions!P$68</f>
        <v>80</v>
      </c>
      <c r="K165" s="271">
        <f t="shared" ca="1" si="25"/>
        <v>40</v>
      </c>
      <c r="L165" s="15"/>
      <c r="M165" s="35">
        <f t="shared" ca="1" si="40"/>
        <v>4.2299999999999995</v>
      </c>
      <c r="N165" s="35">
        <f t="shared" ca="1" si="26"/>
        <v>74.400000000000006</v>
      </c>
      <c r="O165" s="35">
        <f t="shared" ca="1" si="27"/>
        <v>37.200000000000003</v>
      </c>
      <c r="P165" s="15"/>
      <c r="Q165" s="34">
        <f t="shared" ca="1" si="41"/>
        <v>38495.79939021539</v>
      </c>
      <c r="R165" s="34">
        <f t="shared" ca="1" si="41"/>
        <v>4478.5711096715577</v>
      </c>
      <c r="S165" s="34">
        <f t="shared" ca="1" si="41"/>
        <v>0</v>
      </c>
      <c r="T165" s="34">
        <f t="shared" ca="1" si="42"/>
        <v>42974.370499886951</v>
      </c>
      <c r="U165" s="15"/>
      <c r="V165" s="35">
        <f t="shared" si="43"/>
        <v>0.31</v>
      </c>
      <c r="W165" s="34">
        <f t="shared" ca="1" si="44"/>
        <v>2933.1694339987089</v>
      </c>
      <c r="X165" s="35">
        <f t="shared" si="45"/>
        <v>0.37</v>
      </c>
      <c r="Y165" s="34">
        <f t="shared" ca="1" si="46"/>
        <v>3500.879647030717</v>
      </c>
      <c r="Z165" s="35">
        <f t="shared" si="47"/>
        <v>0.57999999999999996</v>
      </c>
      <c r="AA165" s="34">
        <f t="shared" ca="1" si="48"/>
        <v>5487.8653926427451</v>
      </c>
      <c r="AB165" s="34">
        <f t="shared" ca="1" si="49"/>
        <v>11921.914473672172</v>
      </c>
      <c r="AC165" s="15"/>
      <c r="AD165" s="34">
        <f t="shared" ca="1" si="50"/>
        <v>31052.456026214779</v>
      </c>
      <c r="AE165" s="34">
        <f ca="1"/>
        <v>0</v>
      </c>
      <c r="AF165" s="34">
        <f t="shared" ca="1" si="51"/>
        <v>31052.456026214779</v>
      </c>
      <c r="AG165" s="15"/>
      <c r="AH165" s="272">
        <f t="shared" si="60"/>
        <v>54788</v>
      </c>
      <c r="AI165" s="267">
        <f t="shared" si="28"/>
        <v>35.666666666666664</v>
      </c>
      <c r="AJ165" s="267">
        <f t="shared" si="29"/>
        <v>3.3393419711975486E-2</v>
      </c>
      <c r="AK165" s="34">
        <f t="shared" ca="1" si="61"/>
        <v>1036.9476971710526</v>
      </c>
      <c r="AL165" s="233"/>
      <c r="AN165" s="349"/>
      <c r="AO165" s="237">
        <f t="shared" si="52"/>
        <v>36</v>
      </c>
      <c r="AP165" s="34">
        <f t="shared" ca="1" si="53"/>
        <v>61.326912212116746</v>
      </c>
      <c r="AQ165" s="34">
        <f t="shared" ca="1" si="30"/>
        <v>0.40564363169024115</v>
      </c>
      <c r="AR165" s="34">
        <f t="shared" ca="1" si="31"/>
        <v>0</v>
      </c>
      <c r="AS165" s="34">
        <f t="shared" ca="1" si="54"/>
        <v>63.760774002258195</v>
      </c>
      <c r="AT165" s="350">
        <v>-3.8916333661944164E-2</v>
      </c>
      <c r="AU165" s="34">
        <f ca="1">MIN(AU164*(1+AT165),$AT$126-SUM(AU$129:AU164))</f>
        <v>63.760774002258195</v>
      </c>
      <c r="AV165" s="348"/>
      <c r="AW165" s="34">
        <f t="shared" ca="1" si="55"/>
        <v>61.326912212116746</v>
      </c>
      <c r="AX165" s="34">
        <f t="shared" ca="1" si="32"/>
        <v>0.40564363169024115</v>
      </c>
      <c r="AY165" s="34">
        <f t="shared" ca="1" si="33"/>
        <v>0</v>
      </c>
      <c r="AZ165" s="34">
        <f t="shared" ca="1" si="34"/>
        <v>63.760774002258195</v>
      </c>
      <c r="BB165" s="34">
        <f t="shared" ca="1" si="68"/>
        <v>778.87412553656725</v>
      </c>
      <c r="BC165" s="34">
        <f t="shared" ca="1" si="68"/>
        <v>1350.6873418285079</v>
      </c>
      <c r="BD165" s="34">
        <f t="shared" ca="1" si="68"/>
        <v>2108.0695140683997</v>
      </c>
      <c r="BE165" s="34">
        <f t="shared" ca="1" si="68"/>
        <v>2741.7873211237302</v>
      </c>
      <c r="BF165" s="34">
        <f t="shared" ca="1" si="68"/>
        <v>2482.4185813095992</v>
      </c>
      <c r="BG165" s="34">
        <f t="shared" ca="1" si="68"/>
        <v>0</v>
      </c>
      <c r="BH165" s="34">
        <f t="shared" ca="1" si="68"/>
        <v>0</v>
      </c>
      <c r="BI165" s="34">
        <f t="shared" ca="1" si="68"/>
        <v>0</v>
      </c>
      <c r="BJ165" s="34">
        <f t="shared" ca="1" si="68"/>
        <v>0</v>
      </c>
      <c r="BK165" s="34">
        <f t="shared" ca="1" si="68"/>
        <v>0</v>
      </c>
      <c r="BL165" s="34">
        <f t="shared" ca="1" si="68"/>
        <v>0</v>
      </c>
      <c r="BM165" s="34">
        <f t="shared" ca="1" si="68"/>
        <v>0</v>
      </c>
      <c r="BN165" s="34">
        <f t="shared" ca="1" si="68"/>
        <v>0</v>
      </c>
      <c r="BO165" s="34">
        <f t="shared" ca="1" si="68"/>
        <v>0</v>
      </c>
      <c r="BP165" s="34">
        <f t="shared" ca="1" si="68"/>
        <v>0</v>
      </c>
      <c r="BQ165" s="34">
        <f t="shared" ca="1" si="67"/>
        <v>0</v>
      </c>
      <c r="BR165" s="34">
        <f t="shared" ca="1" si="65"/>
        <v>0</v>
      </c>
      <c r="BS165" s="34">
        <f t="shared" ca="1" si="65"/>
        <v>0</v>
      </c>
      <c r="BT165" s="34">
        <f t="shared" ca="1" si="65"/>
        <v>0</v>
      </c>
      <c r="BU165" s="34">
        <f t="shared" ca="1" si="65"/>
        <v>0</v>
      </c>
      <c r="BV165" s="34">
        <f t="shared" ca="1" si="65"/>
        <v>0</v>
      </c>
      <c r="BW165" s="34">
        <f t="shared" ca="1" si="65"/>
        <v>0</v>
      </c>
      <c r="BX165" s="34">
        <f t="shared" ca="1" si="65"/>
        <v>0</v>
      </c>
      <c r="BY165" s="34">
        <f t="shared" ca="1" si="65"/>
        <v>0</v>
      </c>
      <c r="BZ165" s="34">
        <f t="shared" ca="1" si="65"/>
        <v>0</v>
      </c>
      <c r="CA165" s="34">
        <f t="shared" ca="1" si="65"/>
        <v>0</v>
      </c>
      <c r="CB165" s="34">
        <f t="shared" ca="1" si="65"/>
        <v>0</v>
      </c>
      <c r="CC165" s="34">
        <f t="shared" ca="1" si="65"/>
        <v>0</v>
      </c>
      <c r="CD165" s="34">
        <f t="shared" ca="1" si="65"/>
        <v>0</v>
      </c>
      <c r="CE165" s="34">
        <f t="shared" ca="1" si="65"/>
        <v>0</v>
      </c>
      <c r="CF165" s="34">
        <f t="shared" ca="1" si="65"/>
        <v>0</v>
      </c>
      <c r="CG165" s="34">
        <f t="shared" ca="1" si="65"/>
        <v>0</v>
      </c>
      <c r="CH165" s="34">
        <f t="shared" ca="1" si="66"/>
        <v>0</v>
      </c>
      <c r="CI165" s="34">
        <f t="shared" ca="1" si="66"/>
        <v>0</v>
      </c>
      <c r="CJ165" s="34">
        <f t="shared" ca="1" si="66"/>
        <v>0</v>
      </c>
      <c r="CK165" s="34">
        <f t="shared" ca="1" si="66"/>
        <v>0</v>
      </c>
      <c r="CL165" s="34">
        <f t="shared" ca="1" si="66"/>
        <v>0</v>
      </c>
      <c r="CM165" s="34">
        <f t="shared" ca="1" si="66"/>
        <v>0</v>
      </c>
      <c r="CN165" s="34">
        <f t="shared" ca="1" si="66"/>
        <v>0</v>
      </c>
      <c r="CO165" s="34">
        <f t="shared" ca="1" si="66"/>
        <v>0</v>
      </c>
      <c r="CP165" s="34">
        <f t="shared" ca="1" si="66"/>
        <v>0</v>
      </c>
      <c r="CQ165" s="34">
        <f t="shared" ca="1" si="57"/>
        <v>9461.836883866803</v>
      </c>
      <c r="CR165" s="363">
        <v>0</v>
      </c>
      <c r="CS165" s="34">
        <f t="shared" ca="1" si="58"/>
        <v>9461.836883866803</v>
      </c>
      <c r="CT165" s="233"/>
    </row>
    <row r="166" spans="2:98" x14ac:dyDescent="0.3">
      <c r="B166" s="232"/>
      <c r="C166" s="250">
        <f t="shared" si="59"/>
        <v>2050</v>
      </c>
      <c r="D166" s="263">
        <f t="shared" ca="1" si="38"/>
        <v>8746.4968553556973</v>
      </c>
      <c r="E166" s="263">
        <f t="shared" ca="1" si="23"/>
        <v>57.853242907487612</v>
      </c>
      <c r="F166" s="263">
        <f t="shared" ca="1" si="24"/>
        <v>0</v>
      </c>
      <c r="G166" s="263">
        <f t="shared" ca="1" si="39"/>
        <v>9093.6163128006228</v>
      </c>
      <c r="H166" s="15"/>
      <c r="I166" s="271">
        <f ca="1">Assumptions!O$68</f>
        <v>4.5</v>
      </c>
      <c r="J166" s="271">
        <f ca="1">Assumptions!P$68</f>
        <v>80</v>
      </c>
      <c r="K166" s="271">
        <f t="shared" ca="1" si="25"/>
        <v>40</v>
      </c>
      <c r="L166" s="15"/>
      <c r="M166" s="35">
        <f t="shared" ca="1" si="40"/>
        <v>4.2299999999999995</v>
      </c>
      <c r="N166" s="35">
        <f t="shared" ca="1" si="26"/>
        <v>74.400000000000006</v>
      </c>
      <c r="O166" s="35">
        <f t="shared" ca="1" si="27"/>
        <v>37.200000000000003</v>
      </c>
      <c r="P166" s="15"/>
      <c r="Q166" s="34">
        <f t="shared" ca="1" si="41"/>
        <v>36997.681698154593</v>
      </c>
      <c r="R166" s="34">
        <f t="shared" ca="1" si="41"/>
        <v>4304.2812723170782</v>
      </c>
      <c r="S166" s="34">
        <f t="shared" ca="1" si="41"/>
        <v>0</v>
      </c>
      <c r="T166" s="34">
        <f t="shared" ca="1" si="42"/>
        <v>41301.962970471672</v>
      </c>
      <c r="U166" s="15"/>
      <c r="V166" s="35">
        <f t="shared" si="43"/>
        <v>0.31</v>
      </c>
      <c r="W166" s="34">
        <f t="shared" ca="1" si="44"/>
        <v>2819.0210569681931</v>
      </c>
      <c r="X166" s="35">
        <f t="shared" si="45"/>
        <v>0.37</v>
      </c>
      <c r="Y166" s="34">
        <f t="shared" ca="1" si="46"/>
        <v>3364.6380357362304</v>
      </c>
      <c r="Z166" s="35">
        <f t="shared" si="47"/>
        <v>0.57999999999999996</v>
      </c>
      <c r="AA166" s="34">
        <f t="shared" ca="1" si="48"/>
        <v>5274.2974614243612</v>
      </c>
      <c r="AB166" s="34">
        <f t="shared" ca="1" si="49"/>
        <v>11457.956554128785</v>
      </c>
      <c r="AC166" s="15"/>
      <c r="AD166" s="34">
        <f t="shared" ca="1" si="50"/>
        <v>29844.006416342887</v>
      </c>
      <c r="AE166" s="34">
        <f ca="1"/>
        <v>0</v>
      </c>
      <c r="AF166" s="34">
        <f t="shared" ca="1" si="51"/>
        <v>29844.006416342887</v>
      </c>
      <c r="AG166" s="15"/>
      <c r="AH166" s="272">
        <f t="shared" si="60"/>
        <v>55153</v>
      </c>
      <c r="AI166" s="267">
        <f t="shared" si="28"/>
        <v>36.666666666666664</v>
      </c>
      <c r="AJ166" s="267">
        <f t="shared" si="29"/>
        <v>3.0357654283614078E-2</v>
      </c>
      <c r="AK166" s="34">
        <f t="shared" ca="1" si="61"/>
        <v>905.99402922529771</v>
      </c>
      <c r="AL166" s="233"/>
      <c r="AN166" s="349"/>
      <c r="AO166" s="237">
        <f t="shared" si="52"/>
        <v>37</v>
      </c>
      <c r="AP166" s="34">
        <f t="shared" ca="1" si="53"/>
        <v>58.940288849935833</v>
      </c>
      <c r="AQ166" s="34">
        <f t="shared" ca="1" si="30"/>
        <v>0.38985743712751275</v>
      </c>
      <c r="AR166" s="34">
        <f t="shared" ca="1" si="31"/>
        <v>0</v>
      </c>
      <c r="AS166" s="34">
        <f t="shared" ca="1" si="54"/>
        <v>61.279433472700909</v>
      </c>
      <c r="AT166" s="350">
        <v>-3.8916411671373538E-2</v>
      </c>
      <c r="AU166" s="34">
        <f ca="1">MIN(AU165*(1+AT166),$AT$126-SUM(AU$129:AU165))</f>
        <v>61.279433472700909</v>
      </c>
      <c r="AV166" s="348"/>
      <c r="AW166" s="34">
        <f t="shared" ca="1" si="55"/>
        <v>58.940288849935833</v>
      </c>
      <c r="AX166" s="34">
        <f t="shared" ca="1" si="32"/>
        <v>0.38985743712751275</v>
      </c>
      <c r="AY166" s="34">
        <f t="shared" ca="1" si="33"/>
        <v>0</v>
      </c>
      <c r="AZ166" s="34">
        <f t="shared" ca="1" si="34"/>
        <v>61.279433472700909</v>
      </c>
      <c r="BB166" s="34">
        <f t="shared" ca="1" si="68"/>
        <v>748.56313942700524</v>
      </c>
      <c r="BC166" s="34">
        <f t="shared" ca="1" si="68"/>
        <v>1298.1235425609452</v>
      </c>
      <c r="BD166" s="34">
        <f t="shared" ca="1" si="68"/>
        <v>2026.031012742762</v>
      </c>
      <c r="BE166" s="34">
        <f t="shared" ca="1" si="68"/>
        <v>2635.0868925854993</v>
      </c>
      <c r="BF166" s="34">
        <f t="shared" ca="1" si="68"/>
        <v>2385.8117254844105</v>
      </c>
      <c r="BG166" s="34">
        <f t="shared" ca="1" si="68"/>
        <v>0</v>
      </c>
      <c r="BH166" s="34">
        <f t="shared" ca="1" si="68"/>
        <v>0</v>
      </c>
      <c r="BI166" s="34">
        <f t="shared" ca="1" si="68"/>
        <v>0</v>
      </c>
      <c r="BJ166" s="34">
        <f t="shared" ca="1" si="68"/>
        <v>0</v>
      </c>
      <c r="BK166" s="34">
        <f t="shared" ca="1" si="68"/>
        <v>0</v>
      </c>
      <c r="BL166" s="34">
        <f t="shared" ca="1" si="68"/>
        <v>0</v>
      </c>
      <c r="BM166" s="34">
        <f t="shared" ca="1" si="68"/>
        <v>0</v>
      </c>
      <c r="BN166" s="34">
        <f t="shared" ca="1" si="68"/>
        <v>0</v>
      </c>
      <c r="BO166" s="34">
        <f t="shared" ca="1" si="68"/>
        <v>0</v>
      </c>
      <c r="BP166" s="34">
        <f t="shared" ca="1" si="68"/>
        <v>0</v>
      </c>
      <c r="BQ166" s="34">
        <f t="shared" ca="1" si="67"/>
        <v>0</v>
      </c>
      <c r="BR166" s="34">
        <f t="shared" ca="1" si="65"/>
        <v>0</v>
      </c>
      <c r="BS166" s="34">
        <f t="shared" ca="1" si="65"/>
        <v>0</v>
      </c>
      <c r="BT166" s="34">
        <f t="shared" ca="1" si="65"/>
        <v>0</v>
      </c>
      <c r="BU166" s="34">
        <f t="shared" ca="1" si="65"/>
        <v>0</v>
      </c>
      <c r="BV166" s="34">
        <f t="shared" ca="1" si="65"/>
        <v>0</v>
      </c>
      <c r="BW166" s="34">
        <f t="shared" ca="1" si="65"/>
        <v>0</v>
      </c>
      <c r="BX166" s="34">
        <f t="shared" ca="1" si="65"/>
        <v>0</v>
      </c>
      <c r="BY166" s="34">
        <f t="shared" ca="1" si="65"/>
        <v>0</v>
      </c>
      <c r="BZ166" s="34">
        <f t="shared" ca="1" si="65"/>
        <v>0</v>
      </c>
      <c r="CA166" s="34">
        <f t="shared" ca="1" si="65"/>
        <v>0</v>
      </c>
      <c r="CB166" s="34">
        <f t="shared" ca="1" si="65"/>
        <v>0</v>
      </c>
      <c r="CC166" s="34">
        <f t="shared" ca="1" si="65"/>
        <v>0</v>
      </c>
      <c r="CD166" s="34">
        <f t="shared" ca="1" si="65"/>
        <v>0</v>
      </c>
      <c r="CE166" s="34">
        <f t="shared" ca="1" si="65"/>
        <v>0</v>
      </c>
      <c r="CF166" s="34">
        <f t="shared" ca="1" si="65"/>
        <v>0</v>
      </c>
      <c r="CG166" s="34">
        <f t="shared" ca="1" si="65"/>
        <v>0</v>
      </c>
      <c r="CH166" s="34">
        <f t="shared" ca="1" si="66"/>
        <v>0</v>
      </c>
      <c r="CI166" s="34">
        <f t="shared" ca="1" si="66"/>
        <v>0</v>
      </c>
      <c r="CJ166" s="34">
        <f t="shared" ca="1" si="66"/>
        <v>0</v>
      </c>
      <c r="CK166" s="34">
        <f t="shared" ca="1" si="66"/>
        <v>0</v>
      </c>
      <c r="CL166" s="34">
        <f t="shared" ca="1" si="66"/>
        <v>0</v>
      </c>
      <c r="CM166" s="34">
        <f t="shared" ca="1" si="66"/>
        <v>0</v>
      </c>
      <c r="CN166" s="34">
        <f t="shared" ca="1" si="66"/>
        <v>0</v>
      </c>
      <c r="CO166" s="34">
        <f t="shared" ca="1" si="66"/>
        <v>0</v>
      </c>
      <c r="CP166" s="34">
        <f t="shared" ca="1" si="66"/>
        <v>0</v>
      </c>
      <c r="CQ166" s="34">
        <f t="shared" ca="1" si="57"/>
        <v>9093.6163128006228</v>
      </c>
      <c r="CR166" s="363">
        <v>0</v>
      </c>
      <c r="CS166" s="34">
        <f t="shared" ca="1" si="58"/>
        <v>9093.6163128006228</v>
      </c>
      <c r="CT166" s="233"/>
    </row>
    <row r="167" spans="2:98" x14ac:dyDescent="0.3">
      <c r="B167" s="232"/>
      <c r="C167" s="250">
        <f t="shared" si="59"/>
        <v>2051</v>
      </c>
      <c r="D167" s="263">
        <f t="shared" ca="1" si="38"/>
        <v>8406.11483516095</v>
      </c>
      <c r="E167" s="263">
        <f t="shared" ca="1" si="23"/>
        <v>55.601803957548462</v>
      </c>
      <c r="F167" s="263">
        <f t="shared" ca="1" si="24"/>
        <v>0</v>
      </c>
      <c r="G167" s="263">
        <f t="shared" ca="1" si="39"/>
        <v>8739.7256589062399</v>
      </c>
      <c r="H167" s="15"/>
      <c r="I167" s="271">
        <f ca="1">Assumptions!O$68</f>
        <v>4.5</v>
      </c>
      <c r="J167" s="271">
        <f ca="1">Assumptions!P$68</f>
        <v>80</v>
      </c>
      <c r="K167" s="271">
        <f t="shared" ca="1" si="25"/>
        <v>40</v>
      </c>
      <c r="L167" s="15"/>
      <c r="M167" s="35">
        <f t="shared" ca="1" si="40"/>
        <v>4.2299999999999995</v>
      </c>
      <c r="N167" s="35">
        <f t="shared" ca="1" si="26"/>
        <v>74.400000000000006</v>
      </c>
      <c r="O167" s="35">
        <f t="shared" ca="1" si="27"/>
        <v>37.200000000000003</v>
      </c>
      <c r="P167" s="15"/>
      <c r="Q167" s="34">
        <f t="shared" ca="1" si="41"/>
        <v>35557.865752730817</v>
      </c>
      <c r="R167" s="34">
        <f t="shared" ca="1" si="41"/>
        <v>4136.7742144416061</v>
      </c>
      <c r="S167" s="34">
        <f t="shared" ca="1" si="41"/>
        <v>0</v>
      </c>
      <c r="T167" s="34">
        <f t="shared" ca="1" si="42"/>
        <v>39694.639967172421</v>
      </c>
      <c r="U167" s="15"/>
      <c r="V167" s="35">
        <f t="shared" si="43"/>
        <v>0.31</v>
      </c>
      <c r="W167" s="34">
        <f t="shared" ca="1" si="44"/>
        <v>2709.3149542609344</v>
      </c>
      <c r="X167" s="35">
        <f t="shared" si="45"/>
        <v>0.37</v>
      </c>
      <c r="Y167" s="34">
        <f t="shared" ca="1" si="46"/>
        <v>3233.6984937953089</v>
      </c>
      <c r="Z167" s="35">
        <f t="shared" si="47"/>
        <v>0.57999999999999996</v>
      </c>
      <c r="AA167" s="34">
        <f t="shared" ca="1" si="48"/>
        <v>5069.0408821656192</v>
      </c>
      <c r="AB167" s="34">
        <f t="shared" ca="1" si="49"/>
        <v>11012.054330221861</v>
      </c>
      <c r="AC167" s="15"/>
      <c r="AD167" s="34">
        <f t="shared" ca="1" si="50"/>
        <v>28682.58563695056</v>
      </c>
      <c r="AE167" s="34">
        <f ca="1"/>
        <v>0</v>
      </c>
      <c r="AF167" s="34">
        <f t="shared" ca="1" si="51"/>
        <v>28682.58563695056</v>
      </c>
      <c r="AG167" s="15"/>
      <c r="AH167" s="272">
        <f t="shared" si="60"/>
        <v>55518</v>
      </c>
      <c r="AI167" s="267">
        <f t="shared" si="28"/>
        <v>37.666666666666664</v>
      </c>
      <c r="AJ167" s="267">
        <f t="shared" si="29"/>
        <v>2.7597867530558259E-2</v>
      </c>
      <c r="AK167" s="34">
        <f t="shared" ca="1" si="61"/>
        <v>791.57819884245453</v>
      </c>
      <c r="AL167" s="233"/>
      <c r="AN167" s="349"/>
      <c r="AO167" s="250">
        <f t="shared" si="52"/>
        <v>38</v>
      </c>
      <c r="AP167" s="34">
        <f t="shared" ca="1" si="53"/>
        <v>56.64654597927278</v>
      </c>
      <c r="AQ167" s="34">
        <f t="shared" ca="1" si="30"/>
        <v>0.37468559568535503</v>
      </c>
      <c r="AR167" s="34">
        <f t="shared" ca="1" si="31"/>
        <v>0</v>
      </c>
      <c r="AS167" s="34">
        <f t="shared" ca="1" si="54"/>
        <v>58.894659553384912</v>
      </c>
      <c r="AT167" s="350">
        <v>-3.8916383265494355E-2</v>
      </c>
      <c r="AU167" s="34">
        <f ca="1">MIN(AU166*(1+AT167),$AT$126-SUM(AU$129:AU166))</f>
        <v>58.894659553384912</v>
      </c>
      <c r="AV167" s="348"/>
      <c r="AW167" s="34">
        <f t="shared" ca="1" si="55"/>
        <v>56.64654597927278</v>
      </c>
      <c r="AX167" s="34">
        <f t="shared" ca="1" si="32"/>
        <v>0.37468559568535503</v>
      </c>
      <c r="AY167" s="34">
        <f t="shared" ca="1" si="33"/>
        <v>0</v>
      </c>
      <c r="AZ167" s="34">
        <f t="shared" ca="1" si="34"/>
        <v>58.894659553384912</v>
      </c>
      <c r="BB167" s="34">
        <f t="shared" ca="1" si="68"/>
        <v>719.43176939464206</v>
      </c>
      <c r="BC167" s="34">
        <f t="shared" ca="1" si="68"/>
        <v>1247.6052323783417</v>
      </c>
      <c r="BD167" s="34">
        <f t="shared" ca="1" si="68"/>
        <v>1947.1853138414181</v>
      </c>
      <c r="BE167" s="34">
        <f t="shared" ca="1" si="68"/>
        <v>2532.5387659284524</v>
      </c>
      <c r="BF167" s="34">
        <f t="shared" ca="1" si="68"/>
        <v>2292.9645773633861</v>
      </c>
      <c r="BG167" s="34">
        <f t="shared" ca="1" si="68"/>
        <v>0</v>
      </c>
      <c r="BH167" s="34">
        <f t="shared" ca="1" si="68"/>
        <v>0</v>
      </c>
      <c r="BI167" s="34">
        <f t="shared" ca="1" si="68"/>
        <v>0</v>
      </c>
      <c r="BJ167" s="34">
        <f t="shared" ca="1" si="68"/>
        <v>0</v>
      </c>
      <c r="BK167" s="34">
        <f t="shared" ca="1" si="68"/>
        <v>0</v>
      </c>
      <c r="BL167" s="34">
        <f t="shared" ca="1" si="68"/>
        <v>0</v>
      </c>
      <c r="BM167" s="34">
        <f t="shared" ca="1" si="68"/>
        <v>0</v>
      </c>
      <c r="BN167" s="34">
        <f t="shared" ca="1" si="68"/>
        <v>0</v>
      </c>
      <c r="BO167" s="34">
        <f t="shared" ca="1" si="68"/>
        <v>0</v>
      </c>
      <c r="BP167" s="34">
        <f t="shared" ca="1" si="68"/>
        <v>0</v>
      </c>
      <c r="BQ167" s="34">
        <f t="shared" ca="1" si="67"/>
        <v>0</v>
      </c>
      <c r="BR167" s="34">
        <f t="shared" ca="1" si="65"/>
        <v>0</v>
      </c>
      <c r="BS167" s="34">
        <f t="shared" ca="1" si="65"/>
        <v>0</v>
      </c>
      <c r="BT167" s="34">
        <f t="shared" ca="1" si="65"/>
        <v>0</v>
      </c>
      <c r="BU167" s="34">
        <f t="shared" ca="1" si="65"/>
        <v>0</v>
      </c>
      <c r="BV167" s="34">
        <f t="shared" ca="1" si="65"/>
        <v>0</v>
      </c>
      <c r="BW167" s="34">
        <f t="shared" ca="1" si="65"/>
        <v>0</v>
      </c>
      <c r="BX167" s="34">
        <f t="shared" ca="1" si="65"/>
        <v>0</v>
      </c>
      <c r="BY167" s="34">
        <f t="shared" ca="1" si="65"/>
        <v>0</v>
      </c>
      <c r="BZ167" s="34">
        <f t="shared" ca="1" si="65"/>
        <v>0</v>
      </c>
      <c r="CA167" s="34">
        <f t="shared" ca="1" si="65"/>
        <v>0</v>
      </c>
      <c r="CB167" s="34">
        <f t="shared" ca="1" si="65"/>
        <v>0</v>
      </c>
      <c r="CC167" s="34">
        <f t="shared" ca="1" si="65"/>
        <v>0</v>
      </c>
      <c r="CD167" s="34">
        <f t="shared" ca="1" si="65"/>
        <v>0</v>
      </c>
      <c r="CE167" s="34">
        <f t="shared" ca="1" si="65"/>
        <v>0</v>
      </c>
      <c r="CF167" s="34">
        <f t="shared" ca="1" si="65"/>
        <v>0</v>
      </c>
      <c r="CG167" s="34">
        <f t="shared" ca="1" si="65"/>
        <v>0</v>
      </c>
      <c r="CH167" s="34">
        <f t="shared" ca="1" si="66"/>
        <v>0</v>
      </c>
      <c r="CI167" s="34">
        <f t="shared" ca="1" si="66"/>
        <v>0</v>
      </c>
      <c r="CJ167" s="34">
        <f t="shared" ca="1" si="66"/>
        <v>0</v>
      </c>
      <c r="CK167" s="34">
        <f t="shared" ca="1" si="66"/>
        <v>0</v>
      </c>
      <c r="CL167" s="34">
        <f t="shared" ca="1" si="66"/>
        <v>0</v>
      </c>
      <c r="CM167" s="34">
        <f t="shared" ca="1" si="66"/>
        <v>0</v>
      </c>
      <c r="CN167" s="34">
        <f t="shared" ca="1" si="66"/>
        <v>0</v>
      </c>
      <c r="CO167" s="34">
        <f t="shared" ca="1" si="66"/>
        <v>0</v>
      </c>
      <c r="CP167" s="34">
        <f t="shared" ca="1" si="66"/>
        <v>0</v>
      </c>
      <c r="CQ167" s="34">
        <f t="shared" ca="1" si="57"/>
        <v>8739.7256589062399</v>
      </c>
      <c r="CR167" s="363">
        <v>0</v>
      </c>
      <c r="CS167" s="34">
        <f t="shared" ca="1" si="58"/>
        <v>8739.7256589062399</v>
      </c>
      <c r="CT167" s="233"/>
    </row>
    <row r="168" spans="2:98" x14ac:dyDescent="0.3">
      <c r="B168" s="232"/>
      <c r="C168" s="250">
        <f t="shared" si="59"/>
        <v>2052</v>
      </c>
      <c r="D168" s="263">
        <f t="shared" ca="1" si="38"/>
        <v>8078.9792189500031</v>
      </c>
      <c r="E168" s="263">
        <f t="shared" ca="1" si="23"/>
        <v>53.437982649277622</v>
      </c>
      <c r="F168" s="263">
        <f t="shared" ca="1" si="24"/>
        <v>0</v>
      </c>
      <c r="G168" s="263">
        <f t="shared" ca="1" si="39"/>
        <v>8399.6071148456685</v>
      </c>
      <c r="H168" s="15"/>
      <c r="I168" s="271">
        <f ca="1">Assumptions!O$68</f>
        <v>4.5</v>
      </c>
      <c r="J168" s="271">
        <f ca="1">Assumptions!P$68</f>
        <v>80</v>
      </c>
      <c r="K168" s="271">
        <f t="shared" ca="1" si="25"/>
        <v>40</v>
      </c>
      <c r="L168" s="15"/>
      <c r="M168" s="35">
        <f t="shared" ca="1" si="40"/>
        <v>4.2299999999999995</v>
      </c>
      <c r="N168" s="35">
        <f t="shared" ca="1" si="26"/>
        <v>74.400000000000006</v>
      </c>
      <c r="O168" s="35">
        <f t="shared" ca="1" si="27"/>
        <v>37.200000000000003</v>
      </c>
      <c r="P168" s="15"/>
      <c r="Q168" s="34">
        <f t="shared" ca="1" si="41"/>
        <v>34174.082096158512</v>
      </c>
      <c r="R168" s="34">
        <f t="shared" ca="1" si="41"/>
        <v>3975.7859091062555</v>
      </c>
      <c r="S168" s="34">
        <f t="shared" ca="1" si="41"/>
        <v>0</v>
      </c>
      <c r="T168" s="34">
        <f t="shared" ca="1" si="42"/>
        <v>38149.868005264769</v>
      </c>
      <c r="U168" s="15"/>
      <c r="V168" s="35">
        <f t="shared" si="43"/>
        <v>0.31</v>
      </c>
      <c r="W168" s="34">
        <f ca="1">V168*$G168/(1-$M$6)</f>
        <v>2603.8782056021573</v>
      </c>
      <c r="X168" s="35">
        <f t="shared" si="45"/>
        <v>0.37</v>
      </c>
      <c r="Y168" s="34">
        <f t="shared" ca="1" si="46"/>
        <v>3107.8546324928975</v>
      </c>
      <c r="Z168" s="35">
        <f t="shared" si="47"/>
        <v>0.57999999999999996</v>
      </c>
      <c r="AA168" s="34">
        <f t="shared" ca="1" si="48"/>
        <v>4871.7721266104872</v>
      </c>
      <c r="AB168" s="34">
        <f t="shared" ca="1" si="49"/>
        <v>10583.504964705542</v>
      </c>
      <c r="AC168" s="15"/>
      <c r="AD168" s="34">
        <f t="shared" ca="1" si="50"/>
        <v>27566.363040559227</v>
      </c>
      <c r="AE168" s="34">
        <f ca="1"/>
        <v>0</v>
      </c>
      <c r="AF168" s="34">
        <f t="shared" ca="1" si="51"/>
        <v>27566.363040559227</v>
      </c>
      <c r="AG168" s="15"/>
      <c r="AH168" s="272">
        <f t="shared" si="60"/>
        <v>55884</v>
      </c>
      <c r="AI168" s="267">
        <f t="shared" si="28"/>
        <v>38.666666666666664</v>
      </c>
      <c r="AJ168" s="267">
        <f t="shared" si="29"/>
        <v>2.5088970482325681E-2</v>
      </c>
      <c r="AK168" s="34">
        <f t="shared" ca="1" si="61"/>
        <v>691.61166862966411</v>
      </c>
      <c r="AL168" s="233"/>
      <c r="AN168" s="349"/>
      <c r="AO168" s="250">
        <f t="shared" si="52"/>
        <v>39</v>
      </c>
      <c r="AP168" s="34">
        <f t="shared" ca="1" si="53"/>
        <v>54.442064486001506</v>
      </c>
      <c r="AQ168" s="34">
        <f t="shared" ca="1" si="30"/>
        <v>0.3601041689239437</v>
      </c>
      <c r="AR168" s="34">
        <f t="shared" ca="1" si="31"/>
        <v>0</v>
      </c>
      <c r="AS168" s="34">
        <f t="shared" ca="1" si="54"/>
        <v>56.602689499545171</v>
      </c>
      <c r="AT168" s="350">
        <v>-3.8916432682019157E-2</v>
      </c>
      <c r="AU168" s="34">
        <f ca="1">MIN(AU167*(1+AT168),$AT$126-SUM(AU$129:AU167))</f>
        <v>56.602689499545171</v>
      </c>
      <c r="AV168" s="348"/>
      <c r="AW168" s="34">
        <f t="shared" ca="1" si="55"/>
        <v>54.442064486001506</v>
      </c>
      <c r="AX168" s="34">
        <f t="shared" ca="1" si="32"/>
        <v>0.3601041689239437</v>
      </c>
      <c r="AY168" s="34">
        <f t="shared" ca="1" si="33"/>
        <v>0</v>
      </c>
      <c r="AZ168" s="34">
        <f t="shared" ca="1" si="34"/>
        <v>56.602689499545171</v>
      </c>
      <c r="BB168" s="34">
        <f t="shared" ca="1" si="68"/>
        <v>691.43405137168963</v>
      </c>
      <c r="BC168" s="34">
        <f t="shared" ca="1" si="68"/>
        <v>1199.05294899107</v>
      </c>
      <c r="BD168" s="34">
        <f t="shared" ca="1" si="68"/>
        <v>1871.4078485675129</v>
      </c>
      <c r="BE168" s="34">
        <f t="shared" ca="1" si="68"/>
        <v>2433.9816423017724</v>
      </c>
      <c r="BF168" s="34">
        <f t="shared" ca="1" si="68"/>
        <v>2203.7306236136224</v>
      </c>
      <c r="BG168" s="34">
        <f t="shared" ca="1" si="68"/>
        <v>0</v>
      </c>
      <c r="BH168" s="34">
        <f t="shared" ca="1" si="68"/>
        <v>0</v>
      </c>
      <c r="BI168" s="34">
        <f t="shared" ca="1" si="68"/>
        <v>0</v>
      </c>
      <c r="BJ168" s="34">
        <f t="shared" ca="1" si="68"/>
        <v>0</v>
      </c>
      <c r="BK168" s="34">
        <f t="shared" ca="1" si="68"/>
        <v>0</v>
      </c>
      <c r="BL168" s="34">
        <f t="shared" ca="1" si="68"/>
        <v>0</v>
      </c>
      <c r="BM168" s="34">
        <f t="shared" ca="1" si="68"/>
        <v>0</v>
      </c>
      <c r="BN168" s="34">
        <f t="shared" ca="1" si="68"/>
        <v>0</v>
      </c>
      <c r="BO168" s="34">
        <f t="shared" ca="1" si="68"/>
        <v>0</v>
      </c>
      <c r="BP168" s="34">
        <f t="shared" ca="1" si="68"/>
        <v>0</v>
      </c>
      <c r="BQ168" s="34">
        <f t="shared" ca="1" si="67"/>
        <v>0</v>
      </c>
      <c r="BR168" s="34">
        <f t="shared" ca="1" si="65"/>
        <v>0</v>
      </c>
      <c r="BS168" s="34">
        <f t="shared" ca="1" si="65"/>
        <v>0</v>
      </c>
      <c r="BT168" s="34">
        <f t="shared" ca="1" si="65"/>
        <v>0</v>
      </c>
      <c r="BU168" s="34">
        <f t="shared" ca="1" si="65"/>
        <v>0</v>
      </c>
      <c r="BV168" s="34">
        <f t="shared" ca="1" si="65"/>
        <v>0</v>
      </c>
      <c r="BW168" s="34">
        <f t="shared" ca="1" si="65"/>
        <v>0</v>
      </c>
      <c r="BX168" s="34">
        <f t="shared" ca="1" si="65"/>
        <v>0</v>
      </c>
      <c r="BY168" s="34">
        <f t="shared" ca="1" si="65"/>
        <v>0</v>
      </c>
      <c r="BZ168" s="34">
        <f t="shared" ca="1" si="65"/>
        <v>0</v>
      </c>
      <c r="CA168" s="34">
        <f t="shared" ca="1" si="65"/>
        <v>0</v>
      </c>
      <c r="CB168" s="34">
        <f t="shared" ca="1" si="65"/>
        <v>0</v>
      </c>
      <c r="CC168" s="34">
        <f t="shared" ca="1" si="65"/>
        <v>0</v>
      </c>
      <c r="CD168" s="34">
        <f t="shared" ca="1" si="65"/>
        <v>0</v>
      </c>
      <c r="CE168" s="34">
        <f t="shared" ca="1" si="65"/>
        <v>0</v>
      </c>
      <c r="CF168" s="34">
        <f t="shared" ca="1" si="65"/>
        <v>0</v>
      </c>
      <c r="CG168" s="34">
        <f t="shared" ca="1" si="65"/>
        <v>0</v>
      </c>
      <c r="CH168" s="34">
        <f t="shared" ca="1" si="66"/>
        <v>0</v>
      </c>
      <c r="CI168" s="34">
        <f t="shared" ca="1" si="66"/>
        <v>0</v>
      </c>
      <c r="CJ168" s="34">
        <f t="shared" ca="1" si="66"/>
        <v>0</v>
      </c>
      <c r="CK168" s="34">
        <f t="shared" ca="1" si="66"/>
        <v>0</v>
      </c>
      <c r="CL168" s="34">
        <f t="shared" ca="1" si="66"/>
        <v>0</v>
      </c>
      <c r="CM168" s="34">
        <f t="shared" ca="1" si="66"/>
        <v>0</v>
      </c>
      <c r="CN168" s="34">
        <f t="shared" ca="1" si="66"/>
        <v>0</v>
      </c>
      <c r="CO168" s="34">
        <f t="shared" ca="1" si="66"/>
        <v>0</v>
      </c>
      <c r="CP168" s="34">
        <f t="shared" ca="1" si="66"/>
        <v>0</v>
      </c>
      <c r="CQ168" s="34">
        <f t="shared" ca="1" si="57"/>
        <v>8399.6071148456685</v>
      </c>
      <c r="CR168" s="363">
        <v>0</v>
      </c>
      <c r="CS168" s="34">
        <f t="shared" ca="1" si="58"/>
        <v>8399.6071148456685</v>
      </c>
      <c r="CT168" s="233"/>
    </row>
    <row r="169" spans="2:98" x14ac:dyDescent="0.3">
      <c r="B169" s="232"/>
      <c r="C169" s="250">
        <f t="shared" si="59"/>
        <v>2053</v>
      </c>
      <c r="D169" s="263">
        <f t="shared" ca="1" si="38"/>
        <v>7764.5745160561191</v>
      </c>
      <c r="E169" s="263">
        <f t="shared" ca="1" si="23"/>
        <v>51.358369296802856</v>
      </c>
      <c r="F169" s="263">
        <f t="shared" ca="1" si="24"/>
        <v>0</v>
      </c>
      <c r="G169" s="263">
        <f t="shared" ca="1" si="39"/>
        <v>8072.7247318369364</v>
      </c>
      <c r="H169" s="15"/>
      <c r="I169" s="271">
        <f ca="1">Assumptions!O$68</f>
        <v>4.5</v>
      </c>
      <c r="J169" s="271">
        <f ca="1">Assumptions!P$68</f>
        <v>80</v>
      </c>
      <c r="K169" s="271">
        <f t="shared" ca="1" si="25"/>
        <v>40</v>
      </c>
      <c r="L169" s="15"/>
      <c r="M169" s="35">
        <f t="shared" ca="1" si="40"/>
        <v>4.2299999999999995</v>
      </c>
      <c r="N169" s="35">
        <f t="shared" ca="1" si="26"/>
        <v>74.400000000000006</v>
      </c>
      <c r="O169" s="35">
        <f t="shared" ca="1" si="27"/>
        <v>37.200000000000003</v>
      </c>
      <c r="P169" s="15"/>
      <c r="Q169" s="34">
        <f t="shared" ca="1" si="41"/>
        <v>32844.150202917379</v>
      </c>
      <c r="R169" s="34">
        <f t="shared" ca="1" si="41"/>
        <v>3821.062675682133</v>
      </c>
      <c r="S169" s="34">
        <f t="shared" ca="1" si="41"/>
        <v>0</v>
      </c>
      <c r="T169" s="34">
        <f t="shared" ca="1" si="42"/>
        <v>36665.212878599516</v>
      </c>
      <c r="U169" s="15"/>
      <c r="V169" s="35">
        <f t="shared" si="43"/>
        <v>0.31</v>
      </c>
      <c r="W169" s="34">
        <f t="shared" ca="1" si="44"/>
        <v>2502.5446668694503</v>
      </c>
      <c r="X169" s="35">
        <f t="shared" si="45"/>
        <v>0.37</v>
      </c>
      <c r="Y169" s="34">
        <f t="shared" ca="1" si="46"/>
        <v>2986.9081507796664</v>
      </c>
      <c r="Z169" s="35">
        <f t="shared" si="47"/>
        <v>0.57999999999999996</v>
      </c>
      <c r="AA169" s="34">
        <f t="shared" ca="1" si="48"/>
        <v>4682.1803444654224</v>
      </c>
      <c r="AB169" s="34">
        <f t="shared" ca="1" si="49"/>
        <v>10171.63316211454</v>
      </c>
      <c r="AC169" s="15"/>
      <c r="AD169" s="34">
        <f t="shared" ca="1" si="50"/>
        <v>26493.579716484976</v>
      </c>
      <c r="AE169" s="34">
        <f ca="1"/>
        <v>0</v>
      </c>
      <c r="AF169" s="34">
        <f t="shared" ca="1" si="51"/>
        <v>26493.579716484976</v>
      </c>
      <c r="AG169" s="15"/>
      <c r="AH169" s="272">
        <f t="shared" si="60"/>
        <v>56249</v>
      </c>
      <c r="AI169" s="267">
        <f t="shared" si="28"/>
        <v>39.666666666666664</v>
      </c>
      <c r="AJ169" s="267">
        <f t="shared" si="29"/>
        <v>2.280815498393244E-2</v>
      </c>
      <c r="AK169" s="34">
        <f t="shared" ca="1" si="61"/>
        <v>604.26967225275814</v>
      </c>
      <c r="AL169" s="233"/>
      <c r="AN169" s="232"/>
      <c r="AO169" s="250">
        <f t="shared" si="52"/>
        <v>40</v>
      </c>
      <c r="AP169" s="34">
        <f t="shared" ca="1" si="53"/>
        <v>52.323373548361886</v>
      </c>
      <c r="AQ169" s="34">
        <f t="shared" ca="1" si="30"/>
        <v>0.34609019927550055</v>
      </c>
      <c r="AR169" s="34">
        <f t="shared" ca="1" si="31"/>
        <v>0</v>
      </c>
      <c r="AS169" s="34">
        <f t="shared" ca="1" si="54"/>
        <v>54.399914744014886</v>
      </c>
      <c r="AT169" s="351">
        <v>-3.8916432682019157E-2</v>
      </c>
      <c r="AU169" s="34">
        <f ca="1">MIN(AU168*(1+AT169),$AT$126-SUM(AU$129:AU168))</f>
        <v>54.399914744014886</v>
      </c>
      <c r="AV169" s="348"/>
      <c r="AW169" s="34">
        <f t="shared" ca="1" si="55"/>
        <v>52.323373548361886</v>
      </c>
      <c r="AX169" s="34">
        <f t="shared" ca="1" si="32"/>
        <v>0.34609019927550055</v>
      </c>
      <c r="AY169" s="34">
        <f t="shared" ca="1" si="33"/>
        <v>0</v>
      </c>
      <c r="AZ169" s="34">
        <f t="shared" ca="1" si="34"/>
        <v>54.399914744014886</v>
      </c>
      <c r="BB169" s="34">
        <f t="shared" ca="1" si="68"/>
        <v>664.52590465742742</v>
      </c>
      <c r="BC169" s="34">
        <f t="shared" ca="1" si="68"/>
        <v>1152.3900856194825</v>
      </c>
      <c r="BD169" s="34">
        <f t="shared" ca="1" si="68"/>
        <v>1798.5794234866053</v>
      </c>
      <c r="BE169" s="34">
        <f t="shared" ca="1" si="68"/>
        <v>2339.2598107093909</v>
      </c>
      <c r="BF169" s="34">
        <f t="shared" ca="1" si="68"/>
        <v>2117.9695073640305</v>
      </c>
      <c r="BG169" s="34">
        <f t="shared" ca="1" si="68"/>
        <v>0</v>
      </c>
      <c r="BH169" s="34">
        <f t="shared" ca="1" si="68"/>
        <v>0</v>
      </c>
      <c r="BI169" s="34">
        <f t="shared" ca="1" si="68"/>
        <v>0</v>
      </c>
      <c r="BJ169" s="34">
        <f t="shared" ca="1" si="68"/>
        <v>0</v>
      </c>
      <c r="BK169" s="34">
        <f t="shared" ca="1" si="68"/>
        <v>0</v>
      </c>
      <c r="BL169" s="34">
        <f t="shared" ca="1" si="68"/>
        <v>0</v>
      </c>
      <c r="BM169" s="34">
        <f t="shared" ca="1" si="68"/>
        <v>0</v>
      </c>
      <c r="BN169" s="34">
        <f t="shared" ca="1" si="68"/>
        <v>0</v>
      </c>
      <c r="BO169" s="34">
        <f t="shared" ca="1" si="68"/>
        <v>0</v>
      </c>
      <c r="BP169" s="34">
        <f t="shared" ca="1" si="68"/>
        <v>0</v>
      </c>
      <c r="BQ169" s="34">
        <f t="shared" ca="1" si="67"/>
        <v>0</v>
      </c>
      <c r="BR169" s="34">
        <f t="shared" ca="1" si="65"/>
        <v>0</v>
      </c>
      <c r="BS169" s="34">
        <f t="shared" ca="1" si="65"/>
        <v>0</v>
      </c>
      <c r="BT169" s="34">
        <f t="shared" ca="1" si="65"/>
        <v>0</v>
      </c>
      <c r="BU169" s="34">
        <f t="shared" ca="1" si="65"/>
        <v>0</v>
      </c>
      <c r="BV169" s="34">
        <f t="shared" ca="1" si="65"/>
        <v>0</v>
      </c>
      <c r="BW169" s="34">
        <f t="shared" ca="1" si="65"/>
        <v>0</v>
      </c>
      <c r="BX169" s="34">
        <f t="shared" ca="1" si="65"/>
        <v>0</v>
      </c>
      <c r="BY169" s="34">
        <f t="shared" ca="1" si="65"/>
        <v>0</v>
      </c>
      <c r="BZ169" s="34">
        <f t="shared" ca="1" si="65"/>
        <v>0</v>
      </c>
      <c r="CA169" s="34">
        <f t="shared" ca="1" si="65"/>
        <v>0</v>
      </c>
      <c r="CB169" s="34">
        <f t="shared" ca="1" si="65"/>
        <v>0</v>
      </c>
      <c r="CC169" s="34">
        <f t="shared" ca="1" si="65"/>
        <v>0</v>
      </c>
      <c r="CD169" s="34">
        <f t="shared" ca="1" si="65"/>
        <v>0</v>
      </c>
      <c r="CE169" s="34">
        <f t="shared" ca="1" si="65"/>
        <v>0</v>
      </c>
      <c r="CF169" s="34">
        <f t="shared" ca="1" si="65"/>
        <v>0</v>
      </c>
      <c r="CG169" s="34">
        <f t="shared" ca="1" si="65"/>
        <v>0</v>
      </c>
      <c r="CH169" s="34">
        <f t="shared" ca="1" si="66"/>
        <v>0</v>
      </c>
      <c r="CI169" s="34">
        <f t="shared" ca="1" si="66"/>
        <v>0</v>
      </c>
      <c r="CJ169" s="34">
        <f t="shared" ca="1" si="66"/>
        <v>0</v>
      </c>
      <c r="CK169" s="34">
        <f t="shared" ca="1" si="66"/>
        <v>0</v>
      </c>
      <c r="CL169" s="34">
        <f t="shared" ca="1" si="66"/>
        <v>0</v>
      </c>
      <c r="CM169" s="34">
        <f t="shared" ca="1" si="66"/>
        <v>0</v>
      </c>
      <c r="CN169" s="34">
        <f t="shared" ca="1" si="66"/>
        <v>0</v>
      </c>
      <c r="CO169" s="34">
        <f t="shared" ca="1" si="66"/>
        <v>0</v>
      </c>
      <c r="CP169" s="34">
        <f t="shared" ca="1" si="66"/>
        <v>0</v>
      </c>
      <c r="CQ169" s="34">
        <f t="shared" ca="1" si="57"/>
        <v>8072.7247318369364</v>
      </c>
      <c r="CR169" s="363">
        <v>0</v>
      </c>
      <c r="CS169" s="34">
        <f t="shared" ca="1" si="58"/>
        <v>8072.7247318369364</v>
      </c>
      <c r="CT169" s="233"/>
    </row>
    <row r="170" spans="2:98" x14ac:dyDescent="0.3">
      <c r="B170" s="232"/>
      <c r="C170" s="274" t="s">
        <v>302</v>
      </c>
      <c r="D170" s="39">
        <f ca="1">SUM(D129:D169)</f>
        <v>977454.85019291274</v>
      </c>
      <c r="E170" s="39">
        <f t="shared" ref="E170:F170" ca="1" si="69">SUM(E129:E169)</f>
        <v>6465.323639222046</v>
      </c>
      <c r="F170" s="39">
        <f t="shared" ca="1" si="69"/>
        <v>0</v>
      </c>
      <c r="G170" s="39">
        <f ca="1">SUM(G129:G169)</f>
        <v>1016246.7920282454</v>
      </c>
      <c r="H170" s="15"/>
      <c r="I170" s="15"/>
      <c r="J170" s="15"/>
      <c r="K170" s="15"/>
      <c r="L170" s="15"/>
      <c r="M170" s="35"/>
      <c r="N170" s="35"/>
      <c r="O170" s="35"/>
      <c r="P170" s="15"/>
      <c r="Q170" s="8">
        <f ca="1">SUM(Q129:Q169)</f>
        <v>4013185.9027119405</v>
      </c>
      <c r="R170" s="8">
        <f ca="1">SUM(R129:R169)</f>
        <v>491883.30781920603</v>
      </c>
      <c r="S170" s="8">
        <f ca="1">SUM(S129:S169)</f>
        <v>0</v>
      </c>
      <c r="T170" s="8">
        <f t="shared" ca="1" si="42"/>
        <v>4505069.2105311463</v>
      </c>
      <c r="U170" s="15"/>
      <c r="V170" s="275"/>
      <c r="W170" s="276">
        <f ca="1">SUM(W129:W169)</f>
        <v>315036.50552875595</v>
      </c>
      <c r="X170" s="275"/>
      <c r="Y170" s="276">
        <f ca="1">SUM(Y129:Y169)</f>
        <v>376011.31305045076</v>
      </c>
      <c r="Z170" s="275"/>
      <c r="AA170" s="276">
        <f ca="1">SUM(AA129:AA169)</f>
        <v>589423.13937638211</v>
      </c>
      <c r="AB170" s="276">
        <f ca="1">SUM(AB129:AB169)</f>
        <v>1280470.9579555888</v>
      </c>
      <c r="AC170" s="15"/>
      <c r="AD170" s="276">
        <f ca="1">SUM(AD129:AD169)</f>
        <v>3224598.2525755567</v>
      </c>
      <c r="AE170" s="276">
        <f ca="1">SUM(AE129:AE169)</f>
        <v>941534.0365709326</v>
      </c>
      <c r="AF170" s="276">
        <f ca="1">SUM(AF129:AF169)</f>
        <v>2283064.216004625</v>
      </c>
      <c r="AG170" s="15"/>
      <c r="AH170" s="277"/>
      <c r="AI170" s="278"/>
      <c r="AJ170" s="278"/>
      <c r="AK170" s="279">
        <f ca="1">SUM(AK129:AK169)</f>
        <v>638918.99440554471</v>
      </c>
      <c r="AL170" s="233"/>
      <c r="AN170" s="232"/>
      <c r="AO170" s="274" t="s">
        <v>302</v>
      </c>
      <c r="AP170" s="8">
        <f t="shared" ref="AP170:AR170" ca="1" si="70">SUM(AP129:AP169)</f>
        <v>7400.5103261742852</v>
      </c>
      <c r="AQ170" s="8">
        <f t="shared" ca="1" si="70"/>
        <v>48.950285882440866</v>
      </c>
      <c r="AR170" s="8">
        <f t="shared" ca="1" si="70"/>
        <v>0</v>
      </c>
      <c r="AS170" s="8">
        <f ca="1">SUM(AS129:AS169)</f>
        <v>7694.2120414689316</v>
      </c>
      <c r="AT170" s="15"/>
      <c r="AU170" s="8">
        <f ca="1">SUM(AU129:AU169)</f>
        <v>7694.2120414689316</v>
      </c>
      <c r="AW170" s="8">
        <f ca="1">SUM(AW129:AW169)</f>
        <v>7400.5103261742852</v>
      </c>
      <c r="AX170" s="8">
        <f ca="1">SUM(AX129:AX169)</f>
        <v>48.950285882440866</v>
      </c>
      <c r="AY170" s="8">
        <f ca="1">SUM(AY129:AY169)</f>
        <v>0</v>
      </c>
      <c r="AZ170" s="8">
        <f ca="1">SUM(AZ129:AZ169)</f>
        <v>7694.2120414689316</v>
      </c>
      <c r="BB170" s="8">
        <f ca="1">SUM(BB129:BB169)</f>
        <v>93989.177033512635</v>
      </c>
      <c r="BC170" s="8">
        <f t="shared" ref="BC170:CP170" ca="1" si="71">SUM(BC129:BC169)</f>
        <v>155541.08521475884</v>
      </c>
      <c r="BD170" s="8">
        <f t="shared" ca="1" si="71"/>
        <v>231583.04269370905</v>
      </c>
      <c r="BE170" s="8">
        <f t="shared" ca="1" si="71"/>
        <v>287230.57908777805</v>
      </c>
      <c r="BF170" s="8">
        <f t="shared" ca="1" si="71"/>
        <v>247902.9079984866</v>
      </c>
      <c r="BG170" s="8">
        <f t="shared" ca="1" si="71"/>
        <v>0</v>
      </c>
      <c r="BH170" s="8">
        <f t="shared" ca="1" si="71"/>
        <v>0</v>
      </c>
      <c r="BI170" s="8">
        <f t="shared" ca="1" si="71"/>
        <v>0</v>
      </c>
      <c r="BJ170" s="8">
        <f t="shared" ca="1" si="71"/>
        <v>0</v>
      </c>
      <c r="BK170" s="8">
        <f t="shared" ca="1" si="71"/>
        <v>0</v>
      </c>
      <c r="BL170" s="8">
        <f t="shared" ca="1" si="71"/>
        <v>0</v>
      </c>
      <c r="BM170" s="8">
        <f t="shared" ca="1" si="71"/>
        <v>0</v>
      </c>
      <c r="BN170" s="8">
        <f t="shared" ca="1" si="71"/>
        <v>0</v>
      </c>
      <c r="BO170" s="8">
        <f t="shared" ca="1" si="71"/>
        <v>0</v>
      </c>
      <c r="BP170" s="8">
        <f t="shared" ca="1" si="71"/>
        <v>0</v>
      </c>
      <c r="BQ170" s="8">
        <f t="shared" ca="1" si="71"/>
        <v>0</v>
      </c>
      <c r="BR170" s="8">
        <f t="shared" ca="1" si="71"/>
        <v>0</v>
      </c>
      <c r="BS170" s="8">
        <f t="shared" ca="1" si="71"/>
        <v>0</v>
      </c>
      <c r="BT170" s="8">
        <f t="shared" ca="1" si="71"/>
        <v>0</v>
      </c>
      <c r="BU170" s="8">
        <f t="shared" ca="1" si="71"/>
        <v>0</v>
      </c>
      <c r="BV170" s="8">
        <f t="shared" ca="1" si="71"/>
        <v>0</v>
      </c>
      <c r="BW170" s="8">
        <f t="shared" ca="1" si="71"/>
        <v>0</v>
      </c>
      <c r="BX170" s="8">
        <f t="shared" ca="1" si="71"/>
        <v>0</v>
      </c>
      <c r="BY170" s="8">
        <f t="shared" ca="1" si="71"/>
        <v>0</v>
      </c>
      <c r="BZ170" s="8">
        <f t="shared" ca="1" si="71"/>
        <v>0</v>
      </c>
      <c r="CA170" s="8">
        <f t="shared" ca="1" si="71"/>
        <v>0</v>
      </c>
      <c r="CB170" s="8">
        <f t="shared" ca="1" si="71"/>
        <v>0</v>
      </c>
      <c r="CC170" s="8">
        <f t="shared" ca="1" si="71"/>
        <v>0</v>
      </c>
      <c r="CD170" s="8">
        <f t="shared" ca="1" si="71"/>
        <v>0</v>
      </c>
      <c r="CE170" s="8">
        <f t="shared" ca="1" si="71"/>
        <v>0</v>
      </c>
      <c r="CF170" s="8">
        <f t="shared" ca="1" si="71"/>
        <v>0</v>
      </c>
      <c r="CG170" s="8">
        <f t="shared" ca="1" si="71"/>
        <v>0</v>
      </c>
      <c r="CH170" s="8">
        <f t="shared" ca="1" si="71"/>
        <v>0</v>
      </c>
      <c r="CI170" s="8">
        <f t="shared" ca="1" si="71"/>
        <v>0</v>
      </c>
      <c r="CJ170" s="8">
        <f t="shared" ca="1" si="71"/>
        <v>0</v>
      </c>
      <c r="CK170" s="8">
        <f t="shared" ca="1" si="71"/>
        <v>0</v>
      </c>
      <c r="CL170" s="8">
        <f t="shared" ca="1" si="71"/>
        <v>0</v>
      </c>
      <c r="CM170" s="8">
        <f t="shared" ca="1" si="71"/>
        <v>0</v>
      </c>
      <c r="CN170" s="8">
        <f t="shared" ca="1" si="71"/>
        <v>0</v>
      </c>
      <c r="CO170" s="8">
        <f t="shared" ca="1" si="71"/>
        <v>0</v>
      </c>
      <c r="CP170" s="8">
        <f t="shared" ca="1" si="71"/>
        <v>0</v>
      </c>
      <c r="CQ170" s="8">
        <f t="shared" ref="CQ170" ca="1" si="72">SUM(CQ129:CQ169)</f>
        <v>1016246.7920282454</v>
      </c>
      <c r="CR170" s="8">
        <f t="shared" ref="CR170" si="73">SUM(CR129:CR169)</f>
        <v>0</v>
      </c>
      <c r="CS170" s="8">
        <f t="shared" ref="CS170" ca="1" si="74">SUM(CS129:CS169)</f>
        <v>1016246.7920282454</v>
      </c>
      <c r="CT170" s="233"/>
    </row>
    <row r="171" spans="2:98" x14ac:dyDescent="0.3">
      <c r="B171" s="232"/>
      <c r="C171" s="283" t="s">
        <v>303</v>
      </c>
      <c r="D171" s="263">
        <f t="shared" ref="D171:F171" ca="1" si="75">D172-D170</f>
        <v>17949.781873921398</v>
      </c>
      <c r="E171" s="263">
        <f t="shared" ca="1" si="75"/>
        <v>118.72788706858682</v>
      </c>
      <c r="F171" s="263">
        <f t="shared" ca="1" si="75"/>
        <v>0</v>
      </c>
      <c r="G171" s="263">
        <f ca="1">G172-G170</f>
        <v>18662.149196332553</v>
      </c>
      <c r="H171" s="15"/>
      <c r="I171" s="15"/>
      <c r="J171" s="15"/>
      <c r="K171" s="15"/>
      <c r="L171" s="15"/>
      <c r="M171" s="35">
        <f ca="1">M169</f>
        <v>4.2299999999999995</v>
      </c>
      <c r="N171" s="35">
        <f t="shared" ref="N171:O171" ca="1" si="76">N169</f>
        <v>74.400000000000006</v>
      </c>
      <c r="O171" s="35">
        <f t="shared" ca="1" si="76"/>
        <v>37.200000000000003</v>
      </c>
      <c r="P171" s="15"/>
      <c r="Q171" s="34">
        <f t="shared" ref="Q171:S171" ca="1" si="77">D171*M171</f>
        <v>75927.577326687504</v>
      </c>
      <c r="R171" s="34">
        <f t="shared" ca="1" si="77"/>
        <v>8833.3547979028608</v>
      </c>
      <c r="S171" s="34">
        <f t="shared" ca="1" si="77"/>
        <v>0</v>
      </c>
      <c r="T171" s="34">
        <f t="shared" ref="T171" ca="1" si="78">SUM(Q171:S171)</f>
        <v>84760.93212459037</v>
      </c>
      <c r="U171" s="15"/>
      <c r="V171" s="35">
        <f>V169</f>
        <v>0.31</v>
      </c>
      <c r="W171" s="34">
        <f ca="1">V171*$G171/(1-$M$6)</f>
        <v>5785.266250863092</v>
      </c>
      <c r="X171" s="35">
        <f>X169</f>
        <v>0.37</v>
      </c>
      <c r="Y171" s="34">
        <f ca="1">X171*$G171/(1-$M$6)</f>
        <v>6904.9952026430446</v>
      </c>
      <c r="Z171" s="35">
        <f>Z169</f>
        <v>0.57999999999999996</v>
      </c>
      <c r="AA171" s="34">
        <f ca="1">Z171*$G171/(1-$M$6)</f>
        <v>10824.046533872881</v>
      </c>
      <c r="AB171" s="34">
        <f ca="1">W171+Y171+AA171</f>
        <v>23514.307987379019</v>
      </c>
      <c r="AC171" s="15"/>
      <c r="AD171" s="34">
        <f ca="1">T171-AB171</f>
        <v>61246.624137211351</v>
      </c>
      <c r="AE171" s="62">
        <f ca="1">CR126*$M$9*$AQ$9*Units</f>
        <v>0</v>
      </c>
      <c r="AF171" s="34">
        <f ca="1">AD171-AE171</f>
        <v>61246.624137211351</v>
      </c>
      <c r="AG171" s="15"/>
      <c r="AH171" s="266">
        <f>Remainder_Date</f>
        <v>56249</v>
      </c>
      <c r="AI171" s="267">
        <f t="shared" ref="AI171" si="79">DAYS360(Valuation_Date,AH171)/360-MIN(0.5,0.5*DAYS360(Valuation_Date,AH171)/360)</f>
        <v>39.666666666666664</v>
      </c>
      <c r="AJ171" s="267">
        <f t="shared" ref="AJ171" si="80">1/((1+Discount_Rate)^AI171)</f>
        <v>2.280815498393244E-2</v>
      </c>
      <c r="AK171" s="34">
        <f t="shared" ca="1" si="61"/>
        <v>1396.9224955641739</v>
      </c>
      <c r="AL171" s="233"/>
      <c r="AN171" s="232"/>
      <c r="AO171" s="352" t="s">
        <v>303</v>
      </c>
      <c r="AP171" s="34">
        <f t="shared" ref="AP171:AR171" ca="1" si="81">AP172-AP170</f>
        <v>6.8377874413272366E-5</v>
      </c>
      <c r="AQ171" s="34">
        <f t="shared" ca="1" si="81"/>
        <v>4.5228183864765015E-7</v>
      </c>
      <c r="AR171" s="34">
        <f t="shared" ca="1" si="81"/>
        <v>0</v>
      </c>
      <c r="AS171" s="34">
        <f ca="1">AS172-AS170</f>
        <v>7.109156376827741E-5</v>
      </c>
      <c r="AT171" s="348"/>
      <c r="AU171" s="34">
        <f ca="1">AU172-AU170</f>
        <v>7.109156376827741E-5</v>
      </c>
      <c r="AW171" s="34">
        <f ca="1">AW172-AW170</f>
        <v>6.8377874413272366E-5</v>
      </c>
      <c r="AX171" s="34">
        <f t="shared" ref="AX171:AZ171" ca="1" si="82">AX172-AX170</f>
        <v>4.5228183864765015E-7</v>
      </c>
      <c r="AY171" s="34">
        <f t="shared" ca="1" si="82"/>
        <v>0</v>
      </c>
      <c r="AZ171" s="34">
        <f t="shared" ca="1" si="82"/>
        <v>7.109156376827741E-5</v>
      </c>
      <c r="BB171" s="180">
        <f ca="1">BB172-BB170</f>
        <v>8.6842395830899477E-4</v>
      </c>
      <c r="BC171" s="180">
        <f t="shared" ref="BC171:CP171" ca="1" si="83">BC172-BC170</f>
        <v>1107.5446218021389</v>
      </c>
      <c r="BD171" s="180">
        <f t="shared" ca="1" si="83"/>
        <v>3389.9020611324231</v>
      </c>
      <c r="BE171" s="180">
        <f t="shared" ca="1" si="83"/>
        <v>6485.601855773828</v>
      </c>
      <c r="BF171" s="180">
        <f t="shared" ca="1" si="83"/>
        <v>7679.0997892004671</v>
      </c>
      <c r="BG171" s="180">
        <f t="shared" ca="1" si="83"/>
        <v>0</v>
      </c>
      <c r="BH171" s="180">
        <f t="shared" ca="1" si="83"/>
        <v>0</v>
      </c>
      <c r="BI171" s="180">
        <f t="shared" ca="1" si="83"/>
        <v>0</v>
      </c>
      <c r="BJ171" s="180">
        <f t="shared" ca="1" si="83"/>
        <v>0</v>
      </c>
      <c r="BK171" s="180">
        <f t="shared" ca="1" si="83"/>
        <v>0</v>
      </c>
      <c r="BL171" s="180">
        <f t="shared" ca="1" si="83"/>
        <v>0</v>
      </c>
      <c r="BM171" s="180">
        <f t="shared" ca="1" si="83"/>
        <v>0</v>
      </c>
      <c r="BN171" s="180">
        <f t="shared" ca="1" si="83"/>
        <v>0</v>
      </c>
      <c r="BO171" s="180">
        <f t="shared" ca="1" si="83"/>
        <v>0</v>
      </c>
      <c r="BP171" s="180">
        <f t="shared" ca="1" si="83"/>
        <v>0</v>
      </c>
      <c r="BQ171" s="180">
        <f t="shared" ca="1" si="83"/>
        <v>0</v>
      </c>
      <c r="BR171" s="180">
        <f t="shared" ca="1" si="83"/>
        <v>0</v>
      </c>
      <c r="BS171" s="180">
        <f t="shared" ca="1" si="83"/>
        <v>0</v>
      </c>
      <c r="BT171" s="180">
        <f t="shared" ca="1" si="83"/>
        <v>0</v>
      </c>
      <c r="BU171" s="180">
        <f t="shared" ca="1" si="83"/>
        <v>0</v>
      </c>
      <c r="BV171" s="180">
        <f t="shared" ca="1" si="83"/>
        <v>0</v>
      </c>
      <c r="BW171" s="180">
        <f t="shared" ca="1" si="83"/>
        <v>0</v>
      </c>
      <c r="BX171" s="180">
        <f t="shared" ca="1" si="83"/>
        <v>0</v>
      </c>
      <c r="BY171" s="180">
        <f t="shared" ca="1" si="83"/>
        <v>0</v>
      </c>
      <c r="BZ171" s="180">
        <f t="shared" ca="1" si="83"/>
        <v>0</v>
      </c>
      <c r="CA171" s="180">
        <f t="shared" ca="1" si="83"/>
        <v>0</v>
      </c>
      <c r="CB171" s="180">
        <f t="shared" ca="1" si="83"/>
        <v>0</v>
      </c>
      <c r="CC171" s="180">
        <f t="shared" ca="1" si="83"/>
        <v>0</v>
      </c>
      <c r="CD171" s="180">
        <f t="shared" ca="1" si="83"/>
        <v>0</v>
      </c>
      <c r="CE171" s="180">
        <f t="shared" ca="1" si="83"/>
        <v>0</v>
      </c>
      <c r="CF171" s="180">
        <f t="shared" ca="1" si="83"/>
        <v>0</v>
      </c>
      <c r="CG171" s="180">
        <f t="shared" ca="1" si="83"/>
        <v>0</v>
      </c>
      <c r="CH171" s="180">
        <f t="shared" ca="1" si="83"/>
        <v>0</v>
      </c>
      <c r="CI171" s="180">
        <f t="shared" ca="1" si="83"/>
        <v>0</v>
      </c>
      <c r="CJ171" s="180">
        <f t="shared" ca="1" si="83"/>
        <v>0</v>
      </c>
      <c r="CK171" s="180">
        <f t="shared" ca="1" si="83"/>
        <v>0</v>
      </c>
      <c r="CL171" s="180">
        <f t="shared" ca="1" si="83"/>
        <v>0</v>
      </c>
      <c r="CM171" s="180">
        <f t="shared" ca="1" si="83"/>
        <v>0</v>
      </c>
      <c r="CN171" s="180">
        <f t="shared" ca="1" si="83"/>
        <v>0</v>
      </c>
      <c r="CO171" s="180">
        <f t="shared" ca="1" si="83"/>
        <v>0</v>
      </c>
      <c r="CP171" s="180">
        <f t="shared" ca="1" si="83"/>
        <v>0</v>
      </c>
      <c r="CQ171" s="180">
        <f ca="1">CQ172-CQ170</f>
        <v>18662.149196332553</v>
      </c>
      <c r="CR171" s="180">
        <f t="shared" ref="CR171:CS171" ca="1" si="84">CR172-CR170</f>
        <v>0</v>
      </c>
      <c r="CS171" s="180">
        <f t="shared" ca="1" si="84"/>
        <v>18662.149196332553</v>
      </c>
      <c r="CT171" s="233"/>
    </row>
    <row r="172" spans="2:98" x14ac:dyDescent="0.3">
      <c r="B172" s="232"/>
      <c r="C172" s="60" t="s">
        <v>26</v>
      </c>
      <c r="D172" s="39">
        <f t="shared" ca="1" si="38"/>
        <v>995404.63206683414</v>
      </c>
      <c r="E172" s="39">
        <f ca="1">$G172*$M$14/Bbl_to_Mcfe</f>
        <v>6584.0515262906329</v>
      </c>
      <c r="F172" s="39">
        <f ca="1">$G172*$M$13/Bbl_to_Mcfe</f>
        <v>0</v>
      </c>
      <c r="G172" s="39">
        <f t="shared" ref="G172" ca="1" si="85">CS172*$AQ$9</f>
        <v>1034908.941224578</v>
      </c>
      <c r="H172" s="15"/>
      <c r="I172" s="15"/>
      <c r="J172" s="15"/>
      <c r="K172" s="15"/>
      <c r="L172" s="15"/>
      <c r="M172" s="15"/>
      <c r="N172" s="15"/>
      <c r="O172" s="15"/>
      <c r="P172" s="15"/>
      <c r="Q172" s="8">
        <f ca="1">Q171+Q170</f>
        <v>4089113.480038628</v>
      </c>
      <c r="R172" s="8">
        <f t="shared" ref="R172:T172" ca="1" si="86">R171+R170</f>
        <v>500716.6626171089</v>
      </c>
      <c r="S172" s="8">
        <f t="shared" ca="1" si="86"/>
        <v>0</v>
      </c>
      <c r="T172" s="8">
        <f t="shared" ca="1" si="86"/>
        <v>4589830.1426557368</v>
      </c>
      <c r="U172" s="15"/>
      <c r="V172" s="9"/>
      <c r="W172" s="8">
        <f ca="1">W171+W170</f>
        <v>320821.77177961904</v>
      </c>
      <c r="X172" s="9"/>
      <c r="Y172" s="8">
        <f ca="1">Y171+Y170</f>
        <v>382916.3082530938</v>
      </c>
      <c r="Z172" s="9"/>
      <c r="AA172" s="8">
        <f ca="1">AA171+AA170</f>
        <v>600247.18591025495</v>
      </c>
      <c r="AB172" s="8">
        <f ca="1">AB171+AB170</f>
        <v>1303985.2659429677</v>
      </c>
      <c r="AC172" s="15"/>
      <c r="AD172" s="8">
        <f ca="1">AD171+AD170</f>
        <v>3285844.8767127679</v>
      </c>
      <c r="AE172" s="8">
        <f ca="1">AE171+AE170</f>
        <v>941534.0365709326</v>
      </c>
      <c r="AF172" s="8">
        <f ca="1">AF171+AF170</f>
        <v>2344310.8401418361</v>
      </c>
      <c r="AG172" s="15"/>
      <c r="AH172" s="9"/>
      <c r="AI172" s="9"/>
      <c r="AJ172" s="9"/>
      <c r="AK172" s="65">
        <f ca="1">SUM(AK170:AK171)</f>
        <v>640315.91690110893</v>
      </c>
      <c r="AL172" s="233"/>
      <c r="AN172" s="232"/>
      <c r="AO172" s="249" t="s">
        <v>26</v>
      </c>
      <c r="AP172" s="8">
        <f t="shared" ref="AP172" ca="1" si="87">AS172*$M$12</f>
        <v>7400.5103945521596</v>
      </c>
      <c r="AQ172" s="8">
        <f ca="1">AS172*$M$14/Bbl_to_Mcfe</f>
        <v>48.950286334722705</v>
      </c>
      <c r="AR172" s="8">
        <f ca="1">AS172*$M$13/Bbl_to_Mcfe</f>
        <v>0</v>
      </c>
      <c r="AS172" s="8">
        <f ca="1">$M$7</f>
        <v>7694.2121125604954</v>
      </c>
      <c r="AT172" s="15"/>
      <c r="AU172" s="8">
        <f>$AT$126</f>
        <v>7694.2121125604954</v>
      </c>
      <c r="AW172" s="8">
        <f t="shared" ref="AW172" ca="1" si="88">AP172*(1-$M$6)</f>
        <v>7400.5103945521596</v>
      </c>
      <c r="AX172" s="8">
        <f t="shared" ref="AX172" ca="1" si="89">AQ172*(1-$M$6)</f>
        <v>48.950286334722705</v>
      </c>
      <c r="AY172" s="8">
        <f t="shared" ref="AY172" ca="1" si="90">AR172*(1-$M$6)</f>
        <v>0</v>
      </c>
      <c r="AZ172" s="8">
        <f t="shared" ref="AZ172" ca="1" si="91">AS172*(1-$M$6)</f>
        <v>7694.2121125604954</v>
      </c>
      <c r="BB172" s="364">
        <f ca="1">$AS172*BB126</f>
        <v>93989.177901936593</v>
      </c>
      <c r="BC172" s="364">
        <f t="shared" ref="BC172:CS172" ca="1" si="92">$AS172*BC126</f>
        <v>156648.62983656098</v>
      </c>
      <c r="BD172" s="364">
        <f t="shared" ca="1" si="92"/>
        <v>234972.94475484148</v>
      </c>
      <c r="BE172" s="364">
        <f t="shared" ca="1" si="92"/>
        <v>293716.18094355188</v>
      </c>
      <c r="BF172" s="364">
        <f t="shared" ca="1" si="92"/>
        <v>255582.00778768706</v>
      </c>
      <c r="BG172" s="364">
        <f t="shared" ca="1" si="92"/>
        <v>0</v>
      </c>
      <c r="BH172" s="364">
        <f t="shared" ca="1" si="92"/>
        <v>0</v>
      </c>
      <c r="BI172" s="364">
        <f t="shared" ca="1" si="92"/>
        <v>0</v>
      </c>
      <c r="BJ172" s="364">
        <f t="shared" ca="1" si="92"/>
        <v>0</v>
      </c>
      <c r="BK172" s="364">
        <f t="shared" ca="1" si="92"/>
        <v>0</v>
      </c>
      <c r="BL172" s="364">
        <f t="shared" ca="1" si="92"/>
        <v>0</v>
      </c>
      <c r="BM172" s="364">
        <f t="shared" ca="1" si="92"/>
        <v>0</v>
      </c>
      <c r="BN172" s="364">
        <f t="shared" ca="1" si="92"/>
        <v>0</v>
      </c>
      <c r="BO172" s="364">
        <f t="shared" ca="1" si="92"/>
        <v>0</v>
      </c>
      <c r="BP172" s="364">
        <f t="shared" ca="1" si="92"/>
        <v>0</v>
      </c>
      <c r="BQ172" s="364">
        <f t="shared" ca="1" si="92"/>
        <v>0</v>
      </c>
      <c r="BR172" s="364">
        <f t="shared" ca="1" si="92"/>
        <v>0</v>
      </c>
      <c r="BS172" s="364">
        <f t="shared" ca="1" si="92"/>
        <v>0</v>
      </c>
      <c r="BT172" s="364">
        <f t="shared" ca="1" si="92"/>
        <v>0</v>
      </c>
      <c r="BU172" s="364">
        <f t="shared" ca="1" si="92"/>
        <v>0</v>
      </c>
      <c r="BV172" s="364">
        <f t="shared" ca="1" si="92"/>
        <v>0</v>
      </c>
      <c r="BW172" s="364">
        <f t="shared" ca="1" si="92"/>
        <v>0</v>
      </c>
      <c r="BX172" s="364">
        <f t="shared" ca="1" si="92"/>
        <v>0</v>
      </c>
      <c r="BY172" s="364">
        <f t="shared" ca="1" si="92"/>
        <v>0</v>
      </c>
      <c r="BZ172" s="364">
        <f t="shared" ca="1" si="92"/>
        <v>0</v>
      </c>
      <c r="CA172" s="364">
        <f t="shared" ca="1" si="92"/>
        <v>0</v>
      </c>
      <c r="CB172" s="364">
        <f t="shared" ca="1" si="92"/>
        <v>0</v>
      </c>
      <c r="CC172" s="364">
        <f t="shared" ca="1" si="92"/>
        <v>0</v>
      </c>
      <c r="CD172" s="364">
        <f t="shared" ca="1" si="92"/>
        <v>0</v>
      </c>
      <c r="CE172" s="364">
        <f t="shared" ca="1" si="92"/>
        <v>0</v>
      </c>
      <c r="CF172" s="364">
        <f t="shared" ca="1" si="92"/>
        <v>0</v>
      </c>
      <c r="CG172" s="364">
        <f t="shared" ca="1" si="92"/>
        <v>0</v>
      </c>
      <c r="CH172" s="364">
        <f t="shared" ca="1" si="92"/>
        <v>0</v>
      </c>
      <c r="CI172" s="364">
        <f t="shared" ca="1" si="92"/>
        <v>0</v>
      </c>
      <c r="CJ172" s="364">
        <f t="shared" ca="1" si="92"/>
        <v>0</v>
      </c>
      <c r="CK172" s="364">
        <f t="shared" ca="1" si="92"/>
        <v>0</v>
      </c>
      <c r="CL172" s="364">
        <f t="shared" ca="1" si="92"/>
        <v>0</v>
      </c>
      <c r="CM172" s="364">
        <f t="shared" ca="1" si="92"/>
        <v>0</v>
      </c>
      <c r="CN172" s="364">
        <f t="shared" ca="1" si="92"/>
        <v>0</v>
      </c>
      <c r="CO172" s="364">
        <f t="shared" ca="1" si="92"/>
        <v>0</v>
      </c>
      <c r="CP172" s="364">
        <f t="shared" ca="1" si="92"/>
        <v>0</v>
      </c>
      <c r="CQ172" s="364">
        <f t="shared" ca="1" si="92"/>
        <v>1034908.941224578</v>
      </c>
      <c r="CR172" s="364">
        <f t="shared" ca="1" si="92"/>
        <v>0</v>
      </c>
      <c r="CS172" s="364">
        <f t="shared" ca="1" si="92"/>
        <v>1034908.941224578</v>
      </c>
      <c r="CT172" s="233"/>
    </row>
    <row r="173" spans="2:98" x14ac:dyDescent="0.3">
      <c r="B173" s="232"/>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233"/>
      <c r="AN173" s="232"/>
      <c r="AO173" s="15"/>
      <c r="AP173" s="15"/>
      <c r="AQ173" s="15"/>
      <c r="AR173" s="15"/>
      <c r="AS173" s="15"/>
      <c r="AT173" s="15"/>
      <c r="AW173" s="15"/>
      <c r="AX173" s="15"/>
      <c r="AY173" s="15"/>
      <c r="AZ173" s="15"/>
      <c r="BB173" s="34"/>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233"/>
    </row>
    <row r="174" spans="2:98" x14ac:dyDescent="0.3">
      <c r="B174" s="285" t="s">
        <v>30</v>
      </c>
      <c r="C174" s="286"/>
      <c r="D174" s="287"/>
      <c r="E174" s="287"/>
      <c r="F174" s="287"/>
      <c r="G174" s="287"/>
      <c r="H174" s="287"/>
      <c r="I174" s="287"/>
      <c r="J174" s="287"/>
      <c r="K174" s="287"/>
      <c r="L174" s="287"/>
      <c r="M174" s="287"/>
      <c r="N174" s="287"/>
      <c r="O174" s="287"/>
      <c r="P174" s="287"/>
      <c r="Q174" s="286" t="str">
        <f>B174</f>
        <v>PROB</v>
      </c>
      <c r="R174" s="287"/>
      <c r="S174" s="287"/>
      <c r="T174" s="287"/>
      <c r="U174" s="287"/>
      <c r="V174" s="287"/>
      <c r="W174" s="287"/>
      <c r="X174" s="287"/>
      <c r="Y174" s="287"/>
      <c r="Z174" s="287"/>
      <c r="AA174" s="287"/>
      <c r="AB174" s="287"/>
      <c r="AC174" s="287"/>
      <c r="AD174" s="286" t="str">
        <f>Q174</f>
        <v>PROB</v>
      </c>
      <c r="AE174" s="287"/>
      <c r="AF174" s="287"/>
      <c r="AG174" s="287"/>
      <c r="AH174" s="287"/>
      <c r="AI174" s="287"/>
      <c r="AJ174" s="287"/>
      <c r="AK174" s="287"/>
      <c r="AL174" s="288"/>
      <c r="AN174" s="285" t="str">
        <f>B174&amp;" - Total Production (Net) (Mmcfe)"</f>
        <v>PROB - Total Production (Net) (Mmcfe)</v>
      </c>
      <c r="AO174" s="286"/>
      <c r="AP174" s="287"/>
      <c r="AQ174" s="287"/>
      <c r="AR174" s="287"/>
      <c r="AS174" s="287"/>
      <c r="AT174" s="287"/>
      <c r="AU174" s="287"/>
      <c r="AV174" s="286"/>
      <c r="AW174" s="286"/>
      <c r="AX174" s="287"/>
      <c r="AY174" s="287"/>
      <c r="AZ174" s="287"/>
      <c r="BA174" s="287"/>
      <c r="BB174" s="287"/>
      <c r="BC174" s="287"/>
      <c r="BD174" s="286"/>
      <c r="BE174" s="287"/>
      <c r="BF174" s="287"/>
      <c r="BG174" s="287"/>
      <c r="BH174" s="287"/>
      <c r="BI174" s="286"/>
      <c r="BJ174" s="287"/>
      <c r="BK174" s="287"/>
      <c r="BL174" s="287"/>
      <c r="BM174" s="287"/>
      <c r="BN174" s="287"/>
      <c r="BO174" s="287"/>
      <c r="BP174" s="287"/>
      <c r="BQ174" s="287"/>
      <c r="BR174" s="287"/>
      <c r="BS174" s="287"/>
      <c r="BT174" s="287"/>
      <c r="BU174" s="287"/>
      <c r="BV174" s="287"/>
      <c r="BW174" s="287"/>
      <c r="BX174" s="287"/>
      <c r="BY174" s="287"/>
      <c r="BZ174" s="287"/>
      <c r="CA174" s="287"/>
      <c r="CB174" s="287"/>
      <c r="CC174" s="287"/>
      <c r="CD174" s="287"/>
      <c r="CE174" s="287"/>
      <c r="CF174" s="287"/>
      <c r="CG174" s="287"/>
      <c r="CH174" s="287"/>
      <c r="CI174" s="287"/>
      <c r="CJ174" s="287"/>
      <c r="CK174" s="287"/>
      <c r="CL174" s="287"/>
      <c r="CM174" s="287"/>
      <c r="CN174" s="287"/>
      <c r="CO174" s="287"/>
      <c r="CP174" s="287"/>
      <c r="CQ174" s="287"/>
      <c r="CR174" s="287"/>
      <c r="CS174" s="287"/>
      <c r="CT174" s="288"/>
    </row>
    <row r="175" spans="2:98" x14ac:dyDescent="0.3">
      <c r="B175" s="232"/>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233"/>
      <c r="AN175" s="232"/>
      <c r="AQ175" s="289"/>
      <c r="AR175" s="15"/>
      <c r="AS175" s="15"/>
      <c r="AT175" s="15"/>
      <c r="AW175" s="15"/>
      <c r="AX175" s="15"/>
      <c r="AY175" s="15"/>
      <c r="AZ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233"/>
    </row>
    <row r="176" spans="2:98" x14ac:dyDescent="0.3">
      <c r="B176" s="232"/>
      <c r="C176" s="37" t="s">
        <v>277</v>
      </c>
      <c r="D176" s="23"/>
      <c r="E176" s="23"/>
      <c r="F176" s="23"/>
      <c r="G176" s="23"/>
      <c r="H176" s="261"/>
      <c r="I176" s="37" t="s">
        <v>15</v>
      </c>
      <c r="J176" s="23"/>
      <c r="K176" s="23"/>
      <c r="L176" s="15"/>
      <c r="M176" s="37" t="s">
        <v>278</v>
      </c>
      <c r="N176" s="23"/>
      <c r="O176" s="23"/>
      <c r="P176" s="15"/>
      <c r="Q176" s="37" t="s">
        <v>279</v>
      </c>
      <c r="R176" s="23"/>
      <c r="S176" s="23"/>
      <c r="T176" s="23"/>
      <c r="U176" s="15"/>
      <c r="V176" s="37" t="s">
        <v>280</v>
      </c>
      <c r="W176" s="23"/>
      <c r="X176" s="23"/>
      <c r="Y176" s="23"/>
      <c r="Z176" s="23"/>
      <c r="AA176" s="23"/>
      <c r="AB176" s="4"/>
      <c r="AC176" s="15"/>
      <c r="AD176" s="37" t="s">
        <v>281</v>
      </c>
      <c r="AE176" s="23"/>
      <c r="AF176" s="23"/>
      <c r="AG176" s="15"/>
      <c r="AH176" s="37" t="s">
        <v>282</v>
      </c>
      <c r="AI176" s="23"/>
      <c r="AJ176" s="23"/>
      <c r="AK176" s="23"/>
      <c r="AL176" s="233"/>
      <c r="AN176" s="232"/>
      <c r="AO176" s="15"/>
      <c r="AP176" s="15"/>
      <c r="AQ176" s="15"/>
      <c r="AR176" s="15"/>
      <c r="AS176" s="15"/>
      <c r="AT176" s="15"/>
      <c r="AW176" s="15"/>
      <c r="AX176" s="15"/>
      <c r="AY176" s="15"/>
      <c r="AZ176" s="338" t="s">
        <v>343</v>
      </c>
      <c r="BB176" s="339">
        <f t="array" aca="1" ref="BB176:CR176" ca="1">TRANSPOSE(AW29:AW71)*$AR$10</f>
        <v>0</v>
      </c>
      <c r="BC176" s="339">
        <f ca="1"/>
        <v>0</v>
      </c>
      <c r="BD176" s="339">
        <f ca="1"/>
        <v>0</v>
      </c>
      <c r="BE176" s="339">
        <f ca="1"/>
        <v>0</v>
      </c>
      <c r="BF176" s="339">
        <f ca="1"/>
        <v>12.590946015957453</v>
      </c>
      <c r="BG176" s="339">
        <f ca="1"/>
        <v>50.898203592814376</v>
      </c>
      <c r="BH176" s="339">
        <f ca="1"/>
        <v>50.898203592814376</v>
      </c>
      <c r="BI176" s="339">
        <f ca="1"/>
        <v>50.898203592814376</v>
      </c>
      <c r="BJ176" s="339">
        <f ca="1"/>
        <v>50.898203592814376</v>
      </c>
      <c r="BK176" s="339">
        <f ca="1"/>
        <v>50.898203592814376</v>
      </c>
      <c r="BL176" s="339">
        <f ca="1"/>
        <v>50.898203592814376</v>
      </c>
      <c r="BM176" s="339">
        <f ca="1"/>
        <v>50.898203592814376</v>
      </c>
      <c r="BN176" s="339">
        <f ca="1"/>
        <v>50.898203592814376</v>
      </c>
      <c r="BO176" s="339">
        <f ca="1"/>
        <v>50.898203592814376</v>
      </c>
      <c r="BP176" s="339">
        <f ca="1"/>
        <v>50.898203592814376</v>
      </c>
      <c r="BQ176" s="339">
        <f ca="1"/>
        <v>50.898203592814376</v>
      </c>
      <c r="BR176" s="339">
        <f ca="1"/>
        <v>50.898203592814376</v>
      </c>
      <c r="BS176" s="339">
        <f ca="1"/>
        <v>50.898203592814376</v>
      </c>
      <c r="BT176" s="339">
        <f ca="1"/>
        <v>50.898203592814376</v>
      </c>
      <c r="BU176" s="339">
        <f ca="1"/>
        <v>50.898203592814376</v>
      </c>
      <c r="BV176" s="339">
        <f ca="1"/>
        <v>50.898203592814376</v>
      </c>
      <c r="BW176" s="339">
        <f ca="1"/>
        <v>50.898203592814376</v>
      </c>
      <c r="BX176" s="339">
        <f ca="1"/>
        <v>28.033122018923514</v>
      </c>
      <c r="BY176" s="339">
        <f ca="1"/>
        <v>0</v>
      </c>
      <c r="BZ176" s="339">
        <f ca="1"/>
        <v>0</v>
      </c>
      <c r="CA176" s="339">
        <f ca="1"/>
        <v>0</v>
      </c>
      <c r="CB176" s="339">
        <f ca="1"/>
        <v>0</v>
      </c>
      <c r="CC176" s="339">
        <f ca="1"/>
        <v>0</v>
      </c>
      <c r="CD176" s="339">
        <f ca="1"/>
        <v>0</v>
      </c>
      <c r="CE176" s="339">
        <f ca="1"/>
        <v>0</v>
      </c>
      <c r="CF176" s="339">
        <f ca="1"/>
        <v>0</v>
      </c>
      <c r="CG176" s="339">
        <f ca="1"/>
        <v>0</v>
      </c>
      <c r="CH176" s="339">
        <f ca="1"/>
        <v>0</v>
      </c>
      <c r="CI176" s="339">
        <f ca="1"/>
        <v>0</v>
      </c>
      <c r="CJ176" s="339">
        <f ca="1"/>
        <v>0</v>
      </c>
      <c r="CK176" s="339">
        <f ca="1"/>
        <v>0</v>
      </c>
      <c r="CL176" s="339">
        <f ca="1"/>
        <v>0</v>
      </c>
      <c r="CM176" s="339">
        <f ca="1"/>
        <v>0</v>
      </c>
      <c r="CN176" s="339">
        <f ca="1"/>
        <v>0</v>
      </c>
      <c r="CO176" s="339">
        <f ca="1"/>
        <v>0</v>
      </c>
      <c r="CP176" s="339">
        <f ca="1"/>
        <v>0</v>
      </c>
      <c r="CQ176" s="339">
        <f ca="1"/>
        <v>905.89352911272533</v>
      </c>
      <c r="CR176" s="340">
        <f ca="1"/>
        <v>0</v>
      </c>
      <c r="CS176" s="340">
        <f ca="1">CQ176+CR176</f>
        <v>905.89352911272533</v>
      </c>
      <c r="CT176" s="233"/>
    </row>
    <row r="177" spans="2:98" x14ac:dyDescent="0.3">
      <c r="B177" s="232"/>
      <c r="C177" s="250"/>
      <c r="D177" s="250" t="s">
        <v>10</v>
      </c>
      <c r="E177" s="250" t="s">
        <v>11</v>
      </c>
      <c r="F177" s="250" t="s">
        <v>245</v>
      </c>
      <c r="G177" s="250" t="s">
        <v>12</v>
      </c>
      <c r="H177" s="261"/>
      <c r="I177" s="262" t="s">
        <v>10</v>
      </c>
      <c r="J177" s="262" t="s">
        <v>11</v>
      </c>
      <c r="K177" s="262" t="s">
        <v>245</v>
      </c>
      <c r="L177" s="15"/>
      <c r="M177" s="262" t="s">
        <v>10</v>
      </c>
      <c r="N177" s="262" t="s">
        <v>11</v>
      </c>
      <c r="O177" s="262" t="s">
        <v>245</v>
      </c>
      <c r="P177" s="15"/>
      <c r="Q177" s="262" t="s">
        <v>10</v>
      </c>
      <c r="R177" s="262" t="s">
        <v>11</v>
      </c>
      <c r="S177" s="262" t="s">
        <v>245</v>
      </c>
      <c r="T177" s="262" t="s">
        <v>12</v>
      </c>
      <c r="U177" s="15"/>
      <c r="V177" s="262" t="s">
        <v>283</v>
      </c>
      <c r="W177" s="262" t="s">
        <v>283</v>
      </c>
      <c r="X177" s="262" t="s">
        <v>284</v>
      </c>
      <c r="Y177" s="262" t="s">
        <v>284</v>
      </c>
      <c r="Z177" s="262" t="s">
        <v>285</v>
      </c>
      <c r="AA177" s="262" t="s">
        <v>285</v>
      </c>
      <c r="AB177" s="262" t="s">
        <v>12</v>
      </c>
      <c r="AC177" s="15"/>
      <c r="AD177" s="262" t="s">
        <v>286</v>
      </c>
      <c r="AE177" s="262" t="s">
        <v>287</v>
      </c>
      <c r="AF177" s="262" t="s">
        <v>281</v>
      </c>
      <c r="AG177" s="15"/>
      <c r="AH177" s="262"/>
      <c r="AI177" s="262" t="s">
        <v>288</v>
      </c>
      <c r="AJ177" s="262" t="s">
        <v>288</v>
      </c>
      <c r="AK177" s="262" t="s">
        <v>289</v>
      </c>
      <c r="AL177" s="233"/>
      <c r="AN177" s="232"/>
      <c r="AO177" s="18"/>
      <c r="AP177" s="37" t="s">
        <v>344</v>
      </c>
      <c r="AQ177" s="331"/>
      <c r="AR177" s="331"/>
      <c r="AS177" s="11" t="s">
        <v>12</v>
      </c>
      <c r="AT177" s="15"/>
      <c r="AW177" s="37" t="s">
        <v>346</v>
      </c>
      <c r="AX177" s="331"/>
      <c r="AY177" s="331"/>
      <c r="AZ177" s="11" t="s">
        <v>12</v>
      </c>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233"/>
    </row>
    <row r="178" spans="2:98" x14ac:dyDescent="0.3">
      <c r="B178" s="232"/>
      <c r="C178" s="13" t="s">
        <v>9</v>
      </c>
      <c r="D178" s="13" t="s">
        <v>307</v>
      </c>
      <c r="E178" s="13" t="s">
        <v>308</v>
      </c>
      <c r="F178" s="13" t="s">
        <v>308</v>
      </c>
      <c r="G178" s="13" t="s">
        <v>248</v>
      </c>
      <c r="H178" s="4"/>
      <c r="I178" s="13" t="s">
        <v>24</v>
      </c>
      <c r="J178" s="13" t="s">
        <v>25</v>
      </c>
      <c r="K178" s="13" t="s">
        <v>25</v>
      </c>
      <c r="L178" s="4"/>
      <c r="M178" s="13" t="s">
        <v>24</v>
      </c>
      <c r="N178" s="13" t="s">
        <v>25</v>
      </c>
      <c r="O178" s="13" t="s">
        <v>25</v>
      </c>
      <c r="P178" s="4"/>
      <c r="Q178" s="13" t="s">
        <v>293</v>
      </c>
      <c r="R178" s="13" t="s">
        <v>293</v>
      </c>
      <c r="S178" s="13" t="s">
        <v>293</v>
      </c>
      <c r="T178" s="13" t="s">
        <v>293</v>
      </c>
      <c r="U178" s="4"/>
      <c r="V178" s="13" t="s">
        <v>294</v>
      </c>
      <c r="W178" s="13" t="s">
        <v>293</v>
      </c>
      <c r="X178" s="13" t="s">
        <v>294</v>
      </c>
      <c r="Y178" s="13" t="s">
        <v>293</v>
      </c>
      <c r="Z178" s="13" t="s">
        <v>294</v>
      </c>
      <c r="AA178" s="13" t="s">
        <v>293</v>
      </c>
      <c r="AB178" s="13" t="s">
        <v>293</v>
      </c>
      <c r="AC178" s="4"/>
      <c r="AD178" s="13" t="s">
        <v>293</v>
      </c>
      <c r="AE178" s="13" t="s">
        <v>293</v>
      </c>
      <c r="AF178" s="13" t="s">
        <v>293</v>
      </c>
      <c r="AG178" s="4"/>
      <c r="AH178" s="13" t="s">
        <v>295</v>
      </c>
      <c r="AI178" s="13" t="s">
        <v>296</v>
      </c>
      <c r="AJ178" s="13" t="s">
        <v>297</v>
      </c>
      <c r="AK178" s="13" t="s">
        <v>293</v>
      </c>
      <c r="AL178" s="233"/>
      <c r="AN178" s="232"/>
      <c r="AO178" s="24" t="s">
        <v>296</v>
      </c>
      <c r="AP178" s="24" t="s">
        <v>347</v>
      </c>
      <c r="AQ178" s="24" t="s">
        <v>351</v>
      </c>
      <c r="AR178" s="24" t="s">
        <v>352</v>
      </c>
      <c r="AS178" s="343" t="s">
        <v>169</v>
      </c>
      <c r="AT178" s="15"/>
      <c r="AW178" s="24" t="s">
        <v>347</v>
      </c>
      <c r="AX178" s="24" t="s">
        <v>351</v>
      </c>
      <c r="AY178" s="24" t="s">
        <v>352</v>
      </c>
      <c r="AZ178" s="343" t="s">
        <v>169</v>
      </c>
      <c r="BB178" s="353">
        <f>BB128</f>
        <v>0</v>
      </c>
      <c r="BC178" s="13">
        <f t="shared" ref="BC178:CS178" si="93">BC128</f>
        <v>1</v>
      </c>
      <c r="BD178" s="13">
        <f t="shared" si="93"/>
        <v>2</v>
      </c>
      <c r="BE178" s="13">
        <f t="shared" si="93"/>
        <v>3</v>
      </c>
      <c r="BF178" s="13">
        <f t="shared" si="93"/>
        <v>4</v>
      </c>
      <c r="BG178" s="13">
        <f t="shared" si="93"/>
        <v>5</v>
      </c>
      <c r="BH178" s="13">
        <f t="shared" si="93"/>
        <v>6</v>
      </c>
      <c r="BI178" s="13">
        <f t="shared" si="93"/>
        <v>7</v>
      </c>
      <c r="BJ178" s="13">
        <f t="shared" si="93"/>
        <v>8</v>
      </c>
      <c r="BK178" s="13">
        <f t="shared" si="93"/>
        <v>9</v>
      </c>
      <c r="BL178" s="13">
        <f t="shared" si="93"/>
        <v>10</v>
      </c>
      <c r="BM178" s="13">
        <f t="shared" si="93"/>
        <v>11</v>
      </c>
      <c r="BN178" s="13">
        <f t="shared" si="93"/>
        <v>12</v>
      </c>
      <c r="BO178" s="13">
        <f t="shared" si="93"/>
        <v>13</v>
      </c>
      <c r="BP178" s="13">
        <f t="shared" si="93"/>
        <v>14</v>
      </c>
      <c r="BQ178" s="13">
        <f t="shared" si="93"/>
        <v>15</v>
      </c>
      <c r="BR178" s="13">
        <f t="shared" si="93"/>
        <v>16</v>
      </c>
      <c r="BS178" s="13">
        <f t="shared" si="93"/>
        <v>17</v>
      </c>
      <c r="BT178" s="13">
        <f t="shared" si="93"/>
        <v>18</v>
      </c>
      <c r="BU178" s="13">
        <f t="shared" si="93"/>
        <v>19</v>
      </c>
      <c r="BV178" s="13">
        <f t="shared" si="93"/>
        <v>20</v>
      </c>
      <c r="BW178" s="13">
        <f t="shared" si="93"/>
        <v>21</v>
      </c>
      <c r="BX178" s="13">
        <f t="shared" si="93"/>
        <v>22</v>
      </c>
      <c r="BY178" s="13">
        <f t="shared" si="93"/>
        <v>23</v>
      </c>
      <c r="BZ178" s="13">
        <f t="shared" si="93"/>
        <v>24</v>
      </c>
      <c r="CA178" s="13">
        <f t="shared" si="93"/>
        <v>25</v>
      </c>
      <c r="CB178" s="13">
        <f t="shared" si="93"/>
        <v>26</v>
      </c>
      <c r="CC178" s="13">
        <f t="shared" si="93"/>
        <v>27</v>
      </c>
      <c r="CD178" s="13">
        <f t="shared" si="93"/>
        <v>28</v>
      </c>
      <c r="CE178" s="13">
        <f t="shared" si="93"/>
        <v>29</v>
      </c>
      <c r="CF178" s="13">
        <f t="shared" si="93"/>
        <v>30</v>
      </c>
      <c r="CG178" s="13">
        <f t="shared" si="93"/>
        <v>31</v>
      </c>
      <c r="CH178" s="13">
        <f t="shared" si="93"/>
        <v>32</v>
      </c>
      <c r="CI178" s="13">
        <f t="shared" si="93"/>
        <v>33</v>
      </c>
      <c r="CJ178" s="13">
        <f t="shared" si="93"/>
        <v>34</v>
      </c>
      <c r="CK178" s="13">
        <f t="shared" si="93"/>
        <v>35</v>
      </c>
      <c r="CL178" s="13">
        <f t="shared" si="93"/>
        <v>36</v>
      </c>
      <c r="CM178" s="13">
        <f t="shared" si="93"/>
        <v>37</v>
      </c>
      <c r="CN178" s="13">
        <f t="shared" si="93"/>
        <v>38</v>
      </c>
      <c r="CO178" s="13">
        <f t="shared" si="93"/>
        <v>39</v>
      </c>
      <c r="CP178" s="13">
        <f t="shared" si="93"/>
        <v>40</v>
      </c>
      <c r="CQ178" s="11" t="str">
        <f t="shared" si="93"/>
        <v>Subtotal</v>
      </c>
      <c r="CR178" s="11" t="str">
        <f t="shared" si="93"/>
        <v>Remainder</v>
      </c>
      <c r="CS178" s="11" t="str">
        <f t="shared" si="93"/>
        <v>Total</v>
      </c>
      <c r="CT178" s="233"/>
    </row>
    <row r="179" spans="2:98" x14ac:dyDescent="0.3">
      <c r="B179" s="232"/>
      <c r="C179" s="250">
        <f>YEAR(FY_Date)</f>
        <v>2013</v>
      </c>
      <c r="D179" s="263">
        <f ca="1">$G179*$M$12</f>
        <v>0</v>
      </c>
      <c r="E179" s="263">
        <f t="shared" ref="E179:E219" ca="1" si="94">$G179*$M$14/Bbl_to_Mcfe</f>
        <v>0</v>
      </c>
      <c r="F179" s="263">
        <f t="shared" ref="F179:F219" ca="1" si="95">$G179*$M$13/Bbl_to_Mcfe</f>
        <v>0</v>
      </c>
      <c r="G179" s="263">
        <f ca="1">CS179*$AQ$10</f>
        <v>0</v>
      </c>
      <c r="H179" s="15"/>
      <c r="I179" s="264">
        <f ca="1">Assumptions!O$63</f>
        <v>3.7</v>
      </c>
      <c r="J179" s="264">
        <f ca="1">Assumptions!P$63</f>
        <v>101</v>
      </c>
      <c r="K179" s="264">
        <f t="shared" ref="K179:K219" ca="1" si="96">J179*$R$7</f>
        <v>50.5</v>
      </c>
      <c r="L179" s="15"/>
      <c r="M179" s="51">
        <f ca="1">I179*$R$5</f>
        <v>3.4779999999999998</v>
      </c>
      <c r="N179" s="51">
        <f t="shared" ref="N179:N219" ca="1" si="97">J179*$R$6</f>
        <v>93.93</v>
      </c>
      <c r="O179" s="51">
        <f t="shared" ref="O179:O219" ca="1" si="98">N179*$R$7</f>
        <v>46.965000000000003</v>
      </c>
      <c r="P179" s="15"/>
      <c r="Q179" s="265">
        <f ca="1">D179*M179</f>
        <v>0</v>
      </c>
      <c r="R179" s="265">
        <f ca="1">E179*N179</f>
        <v>0</v>
      </c>
      <c r="S179" s="265">
        <f ca="1">F179*O179</f>
        <v>0</v>
      </c>
      <c r="T179" s="265">
        <f ca="1">SUM(Q179:S179)</f>
        <v>0</v>
      </c>
      <c r="U179" s="15"/>
      <c r="V179" s="51">
        <f>$M$18</f>
        <v>0.31</v>
      </c>
      <c r="W179" s="265">
        <f ca="1">V179*$G179/(1-$M$6)</f>
        <v>0</v>
      </c>
      <c r="X179" s="51">
        <f>$M$17</f>
        <v>0.37</v>
      </c>
      <c r="Y179" s="265">
        <f ca="1">X179*$G179/(1-$M$6)</f>
        <v>0</v>
      </c>
      <c r="Z179" s="51">
        <f>$M$19</f>
        <v>0.57999999999999996</v>
      </c>
      <c r="AA179" s="265">
        <f ca="1">Z179*$G179/(1-$M$6)</f>
        <v>0</v>
      </c>
      <c r="AB179" s="265">
        <f ca="1">W179+Y179+AA179</f>
        <v>0</v>
      </c>
      <c r="AC179" s="15"/>
      <c r="AD179" s="265">
        <f ca="1">T179-AB179</f>
        <v>0</v>
      </c>
      <c r="AE179" s="265">
        <f t="array" aca="1" ref="AE179:AE219" ca="1">TRANSPOSE(BB176:CP176)*$M$9*$AQ$10*Units</f>
        <v>0</v>
      </c>
      <c r="AF179" s="265">
        <f ca="1">AD179-AE179</f>
        <v>0</v>
      </c>
      <c r="AG179" s="15"/>
      <c r="AH179" s="272">
        <f>FY_Date</f>
        <v>41639</v>
      </c>
      <c r="AI179" s="267">
        <f t="shared" ref="AI179:AI219" si="99">DAYS360(Valuation_Date,AH179)/360-MIN(0.5,0.5*DAYS360(Valuation_Date,AH179)/360)</f>
        <v>8.3333333333333329E-2</v>
      </c>
      <c r="AJ179" s="267">
        <f t="shared" ref="AJ179:AJ219" si="100">1/((1+Discount_Rate)^AI179)</f>
        <v>0.99208894344699095</v>
      </c>
      <c r="AK179" s="265">
        <f ca="1">AJ179*AF179*Stub_Per_Adj</f>
        <v>0</v>
      </c>
      <c r="AL179" s="233"/>
      <c r="AN179" s="232"/>
      <c r="AO179" s="290">
        <f>AO129</f>
        <v>0</v>
      </c>
      <c r="AP179" s="34">
        <f ca="1">+AP129</f>
        <v>1348.0984429934706</v>
      </c>
      <c r="AQ179" s="34">
        <f t="shared" ref="AQ179:AS179" ca="1" si="101">+AQ129</f>
        <v>8.9169261677548928</v>
      </c>
      <c r="AR179" s="34">
        <f t="shared" ca="1" si="101"/>
        <v>0</v>
      </c>
      <c r="AS179" s="34">
        <f t="shared" ca="1" si="101"/>
        <v>1401.6</v>
      </c>
      <c r="AT179" s="15"/>
      <c r="AW179" s="34">
        <f ca="1">AP179*(1-$M$6)</f>
        <v>1348.0984429934706</v>
      </c>
      <c r="AX179" s="34">
        <f t="shared" ref="AX179:AX219" ca="1" si="102">AQ179*(1-$M$6)</f>
        <v>8.9169261677548928</v>
      </c>
      <c r="AY179" s="34">
        <f t="shared" ref="AY179:AY219" ca="1" si="103">AR179*(1-$M$6)</f>
        <v>0</v>
      </c>
      <c r="AZ179" s="34">
        <f t="shared" ref="AZ179:AZ219" ca="1" si="104">AS179*(1-$M$6)</f>
        <v>1401.6</v>
      </c>
      <c r="BB179" s="34">
        <f ca="1">IF($AO179&lt;BB$178,0,OFFSET($AZ$178,$AO179-BB$178+1,0)*BB$176)</f>
        <v>0</v>
      </c>
      <c r="BC179" s="34">
        <f t="shared" ref="BC179:BR194" ca="1" si="105">IF($AO179&lt;BC$178,0,OFFSET($AZ$178,$AO179-BC$178+1,0)*BC$176)</f>
        <v>0</v>
      </c>
      <c r="BD179" s="34">
        <f t="shared" ca="1" si="105"/>
        <v>0</v>
      </c>
      <c r="BE179" s="34">
        <f t="shared" ca="1" si="105"/>
        <v>0</v>
      </c>
      <c r="BF179" s="34">
        <f t="shared" ca="1" si="105"/>
        <v>0</v>
      </c>
      <c r="BG179" s="34">
        <f t="shared" ca="1" si="105"/>
        <v>0</v>
      </c>
      <c r="BH179" s="34">
        <f t="shared" ca="1" si="105"/>
        <v>0</v>
      </c>
      <c r="BI179" s="34">
        <f t="shared" ca="1" si="105"/>
        <v>0</v>
      </c>
      <c r="BJ179" s="34">
        <f t="shared" ca="1" si="105"/>
        <v>0</v>
      </c>
      <c r="BK179" s="34">
        <f t="shared" ca="1" si="105"/>
        <v>0</v>
      </c>
      <c r="BL179" s="34">
        <f t="shared" ca="1" si="105"/>
        <v>0</v>
      </c>
      <c r="BM179" s="34">
        <f t="shared" ca="1" si="105"/>
        <v>0</v>
      </c>
      <c r="BN179" s="34">
        <f t="shared" ca="1" si="105"/>
        <v>0</v>
      </c>
      <c r="BO179" s="34">
        <f t="shared" ca="1" si="105"/>
        <v>0</v>
      </c>
      <c r="BP179" s="34">
        <f t="shared" ca="1" si="105"/>
        <v>0</v>
      </c>
      <c r="BQ179" s="34">
        <f t="shared" ca="1" si="105"/>
        <v>0</v>
      </c>
      <c r="BR179" s="34">
        <f t="shared" ca="1" si="105"/>
        <v>0</v>
      </c>
      <c r="BS179" s="34">
        <f t="shared" ref="BS179:CH194" ca="1" si="106">IF($AO179&lt;BS$178,0,OFFSET($AZ$178,$AO179-BS$178+1,0)*BS$176)</f>
        <v>0</v>
      </c>
      <c r="BT179" s="34">
        <f t="shared" ca="1" si="106"/>
        <v>0</v>
      </c>
      <c r="BU179" s="34">
        <f t="shared" ca="1" si="106"/>
        <v>0</v>
      </c>
      <c r="BV179" s="34">
        <f t="shared" ca="1" si="106"/>
        <v>0</v>
      </c>
      <c r="BW179" s="34">
        <f t="shared" ca="1" si="106"/>
        <v>0</v>
      </c>
      <c r="BX179" s="34">
        <f t="shared" ca="1" si="106"/>
        <v>0</v>
      </c>
      <c r="BY179" s="34">
        <f t="shared" ca="1" si="106"/>
        <v>0</v>
      </c>
      <c r="BZ179" s="34">
        <f t="shared" ca="1" si="106"/>
        <v>0</v>
      </c>
      <c r="CA179" s="34">
        <f t="shared" ca="1" si="106"/>
        <v>0</v>
      </c>
      <c r="CB179" s="34">
        <f t="shared" ca="1" si="106"/>
        <v>0</v>
      </c>
      <c r="CC179" s="34">
        <f t="shared" ca="1" si="106"/>
        <v>0</v>
      </c>
      <c r="CD179" s="34">
        <f t="shared" ca="1" si="106"/>
        <v>0</v>
      </c>
      <c r="CE179" s="34">
        <f t="shared" ca="1" si="106"/>
        <v>0</v>
      </c>
      <c r="CF179" s="34">
        <f t="shared" ca="1" si="106"/>
        <v>0</v>
      </c>
      <c r="CG179" s="34">
        <f t="shared" ca="1" si="106"/>
        <v>0</v>
      </c>
      <c r="CH179" s="34">
        <f t="shared" ca="1" si="106"/>
        <v>0</v>
      </c>
      <c r="CI179" s="34">
        <f t="shared" ref="CI179:CP194" ca="1" si="107">IF($AO179&lt;CI$178,0,OFFSET($AZ$178,$AO179-CI$178+1,0)*CI$176)</f>
        <v>0</v>
      </c>
      <c r="CJ179" s="34">
        <f t="shared" ca="1" si="107"/>
        <v>0</v>
      </c>
      <c r="CK179" s="34">
        <f t="shared" ca="1" si="107"/>
        <v>0</v>
      </c>
      <c r="CL179" s="34">
        <f t="shared" ca="1" si="107"/>
        <v>0</v>
      </c>
      <c r="CM179" s="34">
        <f t="shared" ca="1" si="107"/>
        <v>0</v>
      </c>
      <c r="CN179" s="34">
        <f t="shared" ca="1" si="107"/>
        <v>0</v>
      </c>
      <c r="CO179" s="34">
        <f t="shared" ca="1" si="107"/>
        <v>0</v>
      </c>
      <c r="CP179" s="34">
        <f t="shared" ca="1" si="107"/>
        <v>0</v>
      </c>
      <c r="CQ179" s="34">
        <f ca="1">SUM(BB179:CP179)</f>
        <v>0</v>
      </c>
      <c r="CR179" s="363">
        <v>0</v>
      </c>
      <c r="CS179" s="34">
        <f ca="1">CQ179+CR179</f>
        <v>0</v>
      </c>
      <c r="CT179" s="233"/>
    </row>
    <row r="180" spans="2:98" x14ac:dyDescent="0.3">
      <c r="B180" s="232"/>
      <c r="C180" s="270">
        <f>C179+1</f>
        <v>2014</v>
      </c>
      <c r="D180" s="263">
        <f t="shared" ref="D180:D222" ca="1" si="108">$G180*$M$12</f>
        <v>0</v>
      </c>
      <c r="E180" s="263">
        <f t="shared" ca="1" si="94"/>
        <v>0</v>
      </c>
      <c r="F180" s="263">
        <f t="shared" ca="1" si="95"/>
        <v>0</v>
      </c>
      <c r="G180" s="263">
        <f t="shared" ref="G180:G219" ca="1" si="109">CS180*$AQ$10</f>
        <v>0</v>
      </c>
      <c r="H180" s="15"/>
      <c r="I180" s="271">
        <f ca="1">Assumptions!O$64</f>
        <v>3.8</v>
      </c>
      <c r="J180" s="271">
        <f ca="1">Assumptions!P$64</f>
        <v>92</v>
      </c>
      <c r="K180" s="271">
        <f t="shared" ca="1" si="96"/>
        <v>46</v>
      </c>
      <c r="L180" s="15"/>
      <c r="M180" s="35">
        <f t="shared" ref="M180:M219" ca="1" si="110">I180*$R$5</f>
        <v>3.5719999999999996</v>
      </c>
      <c r="N180" s="35">
        <f t="shared" ca="1" si="97"/>
        <v>85.56</v>
      </c>
      <c r="O180" s="35">
        <f t="shared" ca="1" si="98"/>
        <v>42.78</v>
      </c>
      <c r="P180" s="15"/>
      <c r="Q180" s="34">
        <f t="shared" ref="Q180:Q219" ca="1" si="111">D180*M180</f>
        <v>0</v>
      </c>
      <c r="R180" s="34">
        <f t="shared" ref="R180:R219" ca="1" si="112">E180*N180</f>
        <v>0</v>
      </c>
      <c r="S180" s="34">
        <f t="shared" ref="S180:S219" ca="1" si="113">F180*O180</f>
        <v>0</v>
      </c>
      <c r="T180" s="34">
        <f t="shared" ref="T180:T220" ca="1" si="114">SUM(Q180:S180)</f>
        <v>0</v>
      </c>
      <c r="U180" s="15"/>
      <c r="V180" s="35">
        <f t="shared" ref="V180:V219" si="115">$M$18</f>
        <v>0.31</v>
      </c>
      <c r="W180" s="34">
        <f t="shared" ref="W180:W217" ca="1" si="116">V180*$G180/(1-$M$6)</f>
        <v>0</v>
      </c>
      <c r="X180" s="35">
        <f t="shared" ref="X180:X219" si="117">$M$17</f>
        <v>0.37</v>
      </c>
      <c r="Y180" s="34">
        <f t="shared" ref="Y180:Y219" ca="1" si="118">X180*$G180/(1-$M$6)</f>
        <v>0</v>
      </c>
      <c r="Z180" s="35">
        <f t="shared" ref="Z180:Z219" si="119">$M$19</f>
        <v>0.57999999999999996</v>
      </c>
      <c r="AA180" s="34">
        <f t="shared" ref="AA180:AA219" ca="1" si="120">Z180*$G180/(1-$M$6)</f>
        <v>0</v>
      </c>
      <c r="AB180" s="34">
        <f t="shared" ref="AB180:AB219" ca="1" si="121">W180+Y180+AA180</f>
        <v>0</v>
      </c>
      <c r="AC180" s="15"/>
      <c r="AD180" s="34">
        <f t="shared" ref="AD180:AD219" ca="1" si="122">T180-AB180</f>
        <v>0</v>
      </c>
      <c r="AE180" s="34">
        <f ca="1"/>
        <v>0</v>
      </c>
      <c r="AF180" s="34">
        <f t="shared" ref="AF180:AF219" ca="1" si="123">AD180-AE180</f>
        <v>0</v>
      </c>
      <c r="AG180" s="15"/>
      <c r="AH180" s="272">
        <f>EOMONTH(AH179,12)</f>
        <v>42004</v>
      </c>
      <c r="AI180" s="267">
        <f t="shared" si="99"/>
        <v>0.66666666666666674</v>
      </c>
      <c r="AJ180" s="267">
        <f t="shared" si="100"/>
        <v>0.93843646859669738</v>
      </c>
      <c r="AK180" s="34">
        <f ca="1">AJ180*AF180</f>
        <v>0</v>
      </c>
      <c r="AL180" s="233"/>
      <c r="AN180" s="232"/>
      <c r="AO180" s="237">
        <f t="shared" ref="AO180:AO195" si="124">AO130</f>
        <v>1</v>
      </c>
      <c r="AP180" s="34">
        <f t="shared" ref="AP180:AS180" ca="1" si="125">+AP130</f>
        <v>624.10624507071179</v>
      </c>
      <c r="AQ180" s="34">
        <f t="shared" ca="1" si="125"/>
        <v>4.1281178960290754</v>
      </c>
      <c r="AR180" s="34">
        <f t="shared" ca="1" si="125"/>
        <v>0</v>
      </c>
      <c r="AS180" s="34">
        <f t="shared" ca="1" si="125"/>
        <v>648.87495244688625</v>
      </c>
      <c r="AT180" s="15"/>
      <c r="AW180" s="34">
        <f t="shared" ref="AW180:AW219" ca="1" si="126">AP180*(1-$M$6)</f>
        <v>624.10624507071179</v>
      </c>
      <c r="AX180" s="34">
        <f t="shared" ca="1" si="102"/>
        <v>4.1281178960290754</v>
      </c>
      <c r="AY180" s="34">
        <f t="shared" ca="1" si="103"/>
        <v>0</v>
      </c>
      <c r="AZ180" s="34">
        <f t="shared" ca="1" si="104"/>
        <v>648.87495244688625</v>
      </c>
      <c r="BB180" s="34">
        <f t="shared" ref="BB180:BQ195" ca="1" si="127">IF($AO180&lt;BB$178,0,OFFSET($AZ$178,$AO180-BB$178+1,0)*BB$176)</f>
        <v>0</v>
      </c>
      <c r="BC180" s="34">
        <f t="shared" ca="1" si="105"/>
        <v>0</v>
      </c>
      <c r="BD180" s="34">
        <f t="shared" ca="1" si="105"/>
        <v>0</v>
      </c>
      <c r="BE180" s="34">
        <f t="shared" ca="1" si="105"/>
        <v>0</v>
      </c>
      <c r="BF180" s="34">
        <f t="shared" ca="1" si="105"/>
        <v>0</v>
      </c>
      <c r="BG180" s="34">
        <f t="shared" ca="1" si="105"/>
        <v>0</v>
      </c>
      <c r="BH180" s="34">
        <f t="shared" ca="1" si="105"/>
        <v>0</v>
      </c>
      <c r="BI180" s="34">
        <f t="shared" ca="1" si="105"/>
        <v>0</v>
      </c>
      <c r="BJ180" s="34">
        <f t="shared" ca="1" si="105"/>
        <v>0</v>
      </c>
      <c r="BK180" s="34">
        <f t="shared" ca="1" si="105"/>
        <v>0</v>
      </c>
      <c r="BL180" s="34">
        <f t="shared" ca="1" si="105"/>
        <v>0</v>
      </c>
      <c r="BM180" s="34">
        <f t="shared" ca="1" si="105"/>
        <v>0</v>
      </c>
      <c r="BN180" s="34">
        <f t="shared" ca="1" si="105"/>
        <v>0</v>
      </c>
      <c r="BO180" s="34">
        <f t="shared" ca="1" si="105"/>
        <v>0</v>
      </c>
      <c r="BP180" s="34">
        <f t="shared" ca="1" si="105"/>
        <v>0</v>
      </c>
      <c r="BQ180" s="34">
        <f t="shared" ca="1" si="105"/>
        <v>0</v>
      </c>
      <c r="BR180" s="34">
        <f t="shared" ca="1" si="105"/>
        <v>0</v>
      </c>
      <c r="BS180" s="34">
        <f t="shared" ca="1" si="106"/>
        <v>0</v>
      </c>
      <c r="BT180" s="34">
        <f t="shared" ca="1" si="106"/>
        <v>0</v>
      </c>
      <c r="BU180" s="34">
        <f t="shared" ca="1" si="106"/>
        <v>0</v>
      </c>
      <c r="BV180" s="34">
        <f t="shared" ca="1" si="106"/>
        <v>0</v>
      </c>
      <c r="BW180" s="34">
        <f t="shared" ca="1" si="106"/>
        <v>0</v>
      </c>
      <c r="BX180" s="34">
        <f t="shared" ca="1" si="106"/>
        <v>0</v>
      </c>
      <c r="BY180" s="34">
        <f t="shared" ca="1" si="106"/>
        <v>0</v>
      </c>
      <c r="BZ180" s="34">
        <f t="shared" ca="1" si="106"/>
        <v>0</v>
      </c>
      <c r="CA180" s="34">
        <f t="shared" ca="1" si="106"/>
        <v>0</v>
      </c>
      <c r="CB180" s="34">
        <f t="shared" ca="1" si="106"/>
        <v>0</v>
      </c>
      <c r="CC180" s="34">
        <f t="shared" ca="1" si="106"/>
        <v>0</v>
      </c>
      <c r="CD180" s="34">
        <f t="shared" ca="1" si="106"/>
        <v>0</v>
      </c>
      <c r="CE180" s="34">
        <f t="shared" ca="1" si="106"/>
        <v>0</v>
      </c>
      <c r="CF180" s="34">
        <f t="shared" ca="1" si="106"/>
        <v>0</v>
      </c>
      <c r="CG180" s="34">
        <f t="shared" ca="1" si="106"/>
        <v>0</v>
      </c>
      <c r="CH180" s="34">
        <f t="shared" ca="1" si="106"/>
        <v>0</v>
      </c>
      <c r="CI180" s="34">
        <f t="shared" ca="1" si="107"/>
        <v>0</v>
      </c>
      <c r="CJ180" s="34">
        <f t="shared" ca="1" si="107"/>
        <v>0</v>
      </c>
      <c r="CK180" s="34">
        <f t="shared" ca="1" si="107"/>
        <v>0</v>
      </c>
      <c r="CL180" s="34">
        <f t="shared" ca="1" si="107"/>
        <v>0</v>
      </c>
      <c r="CM180" s="34">
        <f t="shared" ca="1" si="107"/>
        <v>0</v>
      </c>
      <c r="CN180" s="34">
        <f t="shared" ca="1" si="107"/>
        <v>0</v>
      </c>
      <c r="CO180" s="34">
        <f t="shared" ca="1" si="107"/>
        <v>0</v>
      </c>
      <c r="CP180" s="34">
        <f t="shared" ca="1" si="107"/>
        <v>0</v>
      </c>
      <c r="CQ180" s="34">
        <f t="shared" ref="CQ180:CQ219" ca="1" si="128">SUM(BB180:CP180)</f>
        <v>0</v>
      </c>
      <c r="CR180" s="363">
        <v>0</v>
      </c>
      <c r="CS180" s="34">
        <f t="shared" ref="CS180:CS219" ca="1" si="129">CQ180+CR180</f>
        <v>0</v>
      </c>
      <c r="CT180" s="233"/>
    </row>
    <row r="181" spans="2:98" x14ac:dyDescent="0.3">
      <c r="B181" s="232"/>
      <c r="C181" s="250">
        <f t="shared" ref="C181:C219" si="130">C180+1</f>
        <v>2015</v>
      </c>
      <c r="D181" s="263">
        <f t="shared" ca="1" si="108"/>
        <v>0</v>
      </c>
      <c r="E181" s="263">
        <f t="shared" ca="1" si="94"/>
        <v>0</v>
      </c>
      <c r="F181" s="263">
        <f t="shared" ca="1" si="95"/>
        <v>0</v>
      </c>
      <c r="G181" s="263">
        <f t="shared" ca="1" si="109"/>
        <v>0</v>
      </c>
      <c r="H181" s="15"/>
      <c r="I181" s="271">
        <f ca="1">Assumptions!O$65</f>
        <v>4</v>
      </c>
      <c r="J181" s="271">
        <f ca="1">Assumptions!P$65</f>
        <v>88</v>
      </c>
      <c r="K181" s="271">
        <f t="shared" ca="1" si="96"/>
        <v>44</v>
      </c>
      <c r="L181" s="15"/>
      <c r="M181" s="35">
        <f t="shared" ca="1" si="110"/>
        <v>3.76</v>
      </c>
      <c r="N181" s="35">
        <f t="shared" ca="1" si="97"/>
        <v>81.84</v>
      </c>
      <c r="O181" s="35">
        <f t="shared" ca="1" si="98"/>
        <v>40.92</v>
      </c>
      <c r="P181" s="15"/>
      <c r="Q181" s="34">
        <f t="shared" ca="1" si="111"/>
        <v>0</v>
      </c>
      <c r="R181" s="34">
        <f t="shared" ca="1" si="112"/>
        <v>0</v>
      </c>
      <c r="S181" s="34">
        <f t="shared" ca="1" si="113"/>
        <v>0</v>
      </c>
      <c r="T181" s="34">
        <f t="shared" ca="1" si="114"/>
        <v>0</v>
      </c>
      <c r="U181" s="15"/>
      <c r="V181" s="35">
        <f t="shared" si="115"/>
        <v>0.31</v>
      </c>
      <c r="W181" s="34">
        <f t="shared" ca="1" si="116"/>
        <v>0</v>
      </c>
      <c r="X181" s="35">
        <f t="shared" si="117"/>
        <v>0.37</v>
      </c>
      <c r="Y181" s="34">
        <f t="shared" ca="1" si="118"/>
        <v>0</v>
      </c>
      <c r="Z181" s="35">
        <f t="shared" si="119"/>
        <v>0.57999999999999996</v>
      </c>
      <c r="AA181" s="34">
        <f t="shared" ca="1" si="120"/>
        <v>0</v>
      </c>
      <c r="AB181" s="34">
        <f t="shared" ca="1" si="121"/>
        <v>0</v>
      </c>
      <c r="AC181" s="15"/>
      <c r="AD181" s="34">
        <f t="shared" ca="1" si="122"/>
        <v>0</v>
      </c>
      <c r="AE181" s="34">
        <f ca="1"/>
        <v>0</v>
      </c>
      <c r="AF181" s="34">
        <f t="shared" ca="1" si="123"/>
        <v>0</v>
      </c>
      <c r="AG181" s="15"/>
      <c r="AH181" s="272">
        <f t="shared" ref="AH181:AH219" si="131">EOMONTH(AH180,12)</f>
        <v>42369</v>
      </c>
      <c r="AI181" s="267">
        <f t="shared" si="99"/>
        <v>1.6666666666666665</v>
      </c>
      <c r="AJ181" s="267">
        <f t="shared" si="100"/>
        <v>0.85312406236063398</v>
      </c>
      <c r="AK181" s="34">
        <f t="shared" ref="AK181:AK219" ca="1" si="132">AJ181*AF181</f>
        <v>0</v>
      </c>
      <c r="AL181" s="233"/>
      <c r="AN181" s="232"/>
      <c r="AO181" s="237">
        <f t="shared" si="124"/>
        <v>2</v>
      </c>
      <c r="AP181" s="34">
        <f t="shared" ref="AP181:AS181" ca="1" si="133">+AP131</f>
        <v>452.18640427824948</v>
      </c>
      <c r="AQ181" s="34">
        <f t="shared" ca="1" si="133"/>
        <v>2.9909631614575236</v>
      </c>
      <c r="AR181" s="34">
        <f t="shared" ca="1" si="133"/>
        <v>0</v>
      </c>
      <c r="AS181" s="34">
        <f t="shared" ca="1" si="133"/>
        <v>470.1321832469946</v>
      </c>
      <c r="AT181" s="15"/>
      <c r="AW181" s="34">
        <f t="shared" ca="1" si="126"/>
        <v>452.18640427824948</v>
      </c>
      <c r="AX181" s="34">
        <f t="shared" ca="1" si="102"/>
        <v>2.9909631614575236</v>
      </c>
      <c r="AY181" s="34">
        <f t="shared" ca="1" si="103"/>
        <v>0</v>
      </c>
      <c r="AZ181" s="34">
        <f t="shared" ca="1" si="104"/>
        <v>470.1321832469946</v>
      </c>
      <c r="BB181" s="34">
        <f t="shared" ca="1" si="127"/>
        <v>0</v>
      </c>
      <c r="BC181" s="34">
        <f t="shared" ca="1" si="105"/>
        <v>0</v>
      </c>
      <c r="BD181" s="34">
        <f t="shared" ca="1" si="105"/>
        <v>0</v>
      </c>
      <c r="BE181" s="34">
        <f t="shared" ca="1" si="105"/>
        <v>0</v>
      </c>
      <c r="BF181" s="34">
        <f t="shared" ca="1" si="105"/>
        <v>0</v>
      </c>
      <c r="BG181" s="34">
        <f t="shared" ca="1" si="105"/>
        <v>0</v>
      </c>
      <c r="BH181" s="34">
        <f t="shared" ca="1" si="105"/>
        <v>0</v>
      </c>
      <c r="BI181" s="34">
        <f t="shared" ca="1" si="105"/>
        <v>0</v>
      </c>
      <c r="BJ181" s="34">
        <f t="shared" ca="1" si="105"/>
        <v>0</v>
      </c>
      <c r="BK181" s="34">
        <f t="shared" ca="1" si="105"/>
        <v>0</v>
      </c>
      <c r="BL181" s="34">
        <f t="shared" ca="1" si="105"/>
        <v>0</v>
      </c>
      <c r="BM181" s="34">
        <f t="shared" ca="1" si="105"/>
        <v>0</v>
      </c>
      <c r="BN181" s="34">
        <f t="shared" ca="1" si="105"/>
        <v>0</v>
      </c>
      <c r="BO181" s="34">
        <f t="shared" ca="1" si="105"/>
        <v>0</v>
      </c>
      <c r="BP181" s="34">
        <f t="shared" ca="1" si="105"/>
        <v>0</v>
      </c>
      <c r="BQ181" s="34">
        <f t="shared" ca="1" si="105"/>
        <v>0</v>
      </c>
      <c r="BR181" s="34">
        <f t="shared" ca="1" si="105"/>
        <v>0</v>
      </c>
      <c r="BS181" s="34">
        <f t="shared" ca="1" si="106"/>
        <v>0</v>
      </c>
      <c r="BT181" s="34">
        <f t="shared" ca="1" si="106"/>
        <v>0</v>
      </c>
      <c r="BU181" s="34">
        <f t="shared" ca="1" si="106"/>
        <v>0</v>
      </c>
      <c r="BV181" s="34">
        <f t="shared" ca="1" si="106"/>
        <v>0</v>
      </c>
      <c r="BW181" s="34">
        <f t="shared" ca="1" si="106"/>
        <v>0</v>
      </c>
      <c r="BX181" s="34">
        <f t="shared" ca="1" si="106"/>
        <v>0</v>
      </c>
      <c r="BY181" s="34">
        <f t="shared" ca="1" si="106"/>
        <v>0</v>
      </c>
      <c r="BZ181" s="34">
        <f t="shared" ca="1" si="106"/>
        <v>0</v>
      </c>
      <c r="CA181" s="34">
        <f t="shared" ca="1" si="106"/>
        <v>0</v>
      </c>
      <c r="CB181" s="34">
        <f t="shared" ca="1" si="106"/>
        <v>0</v>
      </c>
      <c r="CC181" s="34">
        <f t="shared" ca="1" si="106"/>
        <v>0</v>
      </c>
      <c r="CD181" s="34">
        <f t="shared" ca="1" si="106"/>
        <v>0</v>
      </c>
      <c r="CE181" s="34">
        <f t="shared" ca="1" si="106"/>
        <v>0</v>
      </c>
      <c r="CF181" s="34">
        <f t="shared" ca="1" si="106"/>
        <v>0</v>
      </c>
      <c r="CG181" s="34">
        <f t="shared" ca="1" si="106"/>
        <v>0</v>
      </c>
      <c r="CH181" s="34">
        <f t="shared" ca="1" si="106"/>
        <v>0</v>
      </c>
      <c r="CI181" s="34">
        <f t="shared" ca="1" si="107"/>
        <v>0</v>
      </c>
      <c r="CJ181" s="34">
        <f t="shared" ca="1" si="107"/>
        <v>0</v>
      </c>
      <c r="CK181" s="34">
        <f t="shared" ca="1" si="107"/>
        <v>0</v>
      </c>
      <c r="CL181" s="34">
        <f t="shared" ca="1" si="107"/>
        <v>0</v>
      </c>
      <c r="CM181" s="34">
        <f t="shared" ca="1" si="107"/>
        <v>0</v>
      </c>
      <c r="CN181" s="34">
        <f t="shared" ca="1" si="107"/>
        <v>0</v>
      </c>
      <c r="CO181" s="34">
        <f t="shared" ca="1" si="107"/>
        <v>0</v>
      </c>
      <c r="CP181" s="34">
        <f t="shared" ca="1" si="107"/>
        <v>0</v>
      </c>
      <c r="CQ181" s="34">
        <f t="shared" ca="1" si="128"/>
        <v>0</v>
      </c>
      <c r="CR181" s="363">
        <v>0</v>
      </c>
      <c r="CS181" s="34">
        <f t="shared" ca="1" si="129"/>
        <v>0</v>
      </c>
      <c r="CT181" s="233"/>
    </row>
    <row r="182" spans="2:98" x14ac:dyDescent="0.3">
      <c r="B182" s="232"/>
      <c r="C182" s="250">
        <f t="shared" si="130"/>
        <v>2016</v>
      </c>
      <c r="D182" s="263">
        <f t="shared" ca="1" si="108"/>
        <v>0</v>
      </c>
      <c r="E182" s="263">
        <f t="shared" ca="1" si="94"/>
        <v>0</v>
      </c>
      <c r="F182" s="263">
        <f t="shared" ca="1" si="95"/>
        <v>0</v>
      </c>
      <c r="G182" s="263">
        <f t="shared" ca="1" si="109"/>
        <v>0</v>
      </c>
      <c r="H182" s="15"/>
      <c r="I182" s="271">
        <f ca="1">Assumptions!O$66</f>
        <v>4.0999999999999996</v>
      </c>
      <c r="J182" s="271">
        <f ca="1">Assumptions!P$66</f>
        <v>84</v>
      </c>
      <c r="K182" s="271">
        <f t="shared" ca="1" si="96"/>
        <v>42</v>
      </c>
      <c r="L182" s="15"/>
      <c r="M182" s="35">
        <f t="shared" ca="1" si="110"/>
        <v>3.8539999999999996</v>
      </c>
      <c r="N182" s="35">
        <f t="shared" ca="1" si="97"/>
        <v>78.12</v>
      </c>
      <c r="O182" s="35">
        <f t="shared" ca="1" si="98"/>
        <v>39.06</v>
      </c>
      <c r="P182" s="15"/>
      <c r="Q182" s="34">
        <f t="shared" ca="1" si="111"/>
        <v>0</v>
      </c>
      <c r="R182" s="34">
        <f t="shared" ca="1" si="112"/>
        <v>0</v>
      </c>
      <c r="S182" s="34">
        <f t="shared" ca="1" si="113"/>
        <v>0</v>
      </c>
      <c r="T182" s="34">
        <f t="shared" ca="1" si="114"/>
        <v>0</v>
      </c>
      <c r="U182" s="15"/>
      <c r="V182" s="35">
        <f t="shared" si="115"/>
        <v>0.31</v>
      </c>
      <c r="W182" s="34">
        <f t="shared" ca="1" si="116"/>
        <v>0</v>
      </c>
      <c r="X182" s="35">
        <f t="shared" si="117"/>
        <v>0.37</v>
      </c>
      <c r="Y182" s="34">
        <f t="shared" ca="1" si="118"/>
        <v>0</v>
      </c>
      <c r="Z182" s="35">
        <f t="shared" si="119"/>
        <v>0.57999999999999996</v>
      </c>
      <c r="AA182" s="34">
        <f t="shared" ca="1" si="120"/>
        <v>0</v>
      </c>
      <c r="AB182" s="34">
        <f t="shared" ca="1" si="121"/>
        <v>0</v>
      </c>
      <c r="AC182" s="15"/>
      <c r="AD182" s="34">
        <f t="shared" ca="1" si="122"/>
        <v>0</v>
      </c>
      <c r="AE182" s="34">
        <f ca="1"/>
        <v>0</v>
      </c>
      <c r="AF182" s="34">
        <f t="shared" ca="1" si="123"/>
        <v>0</v>
      </c>
      <c r="AG182" s="15"/>
      <c r="AH182" s="272">
        <f t="shared" si="131"/>
        <v>42735</v>
      </c>
      <c r="AI182" s="267">
        <f t="shared" si="99"/>
        <v>2.6666666666666665</v>
      </c>
      <c r="AJ182" s="267">
        <f t="shared" si="100"/>
        <v>0.77556732941875806</v>
      </c>
      <c r="AK182" s="34">
        <f t="shared" ca="1" si="132"/>
        <v>0</v>
      </c>
      <c r="AL182" s="233"/>
      <c r="AN182" s="232"/>
      <c r="AO182" s="237">
        <f t="shared" si="124"/>
        <v>3</v>
      </c>
      <c r="AP182" s="34">
        <f t="shared" ref="AP182:AS182" ca="1" si="134">+AP132</f>
        <v>365.59640341440161</v>
      </c>
      <c r="AQ182" s="34">
        <f t="shared" ca="1" si="134"/>
        <v>2.4182181600952579</v>
      </c>
      <c r="AR182" s="34">
        <f t="shared" ca="1" si="134"/>
        <v>0</v>
      </c>
      <c r="AS182" s="34">
        <f t="shared" ca="1" si="134"/>
        <v>380.10571237497317</v>
      </c>
      <c r="AT182" s="15"/>
      <c r="AW182" s="34">
        <f t="shared" ca="1" si="126"/>
        <v>365.59640341440161</v>
      </c>
      <c r="AX182" s="34">
        <f t="shared" ca="1" si="102"/>
        <v>2.4182181600952579</v>
      </c>
      <c r="AY182" s="34">
        <f t="shared" ca="1" si="103"/>
        <v>0</v>
      </c>
      <c r="AZ182" s="34">
        <f t="shared" ca="1" si="104"/>
        <v>380.10571237497317</v>
      </c>
      <c r="BB182" s="34">
        <f t="shared" ca="1" si="127"/>
        <v>0</v>
      </c>
      <c r="BC182" s="34">
        <f t="shared" ca="1" si="105"/>
        <v>0</v>
      </c>
      <c r="BD182" s="34">
        <f t="shared" ca="1" si="105"/>
        <v>0</v>
      </c>
      <c r="BE182" s="34">
        <f t="shared" ca="1" si="105"/>
        <v>0</v>
      </c>
      <c r="BF182" s="34">
        <f t="shared" ca="1" si="105"/>
        <v>0</v>
      </c>
      <c r="BG182" s="34">
        <f t="shared" ca="1" si="105"/>
        <v>0</v>
      </c>
      <c r="BH182" s="34">
        <f t="shared" ca="1" si="105"/>
        <v>0</v>
      </c>
      <c r="BI182" s="34">
        <f t="shared" ca="1" si="105"/>
        <v>0</v>
      </c>
      <c r="BJ182" s="34">
        <f t="shared" ca="1" si="105"/>
        <v>0</v>
      </c>
      <c r="BK182" s="34">
        <f t="shared" ca="1" si="105"/>
        <v>0</v>
      </c>
      <c r="BL182" s="34">
        <f t="shared" ca="1" si="105"/>
        <v>0</v>
      </c>
      <c r="BM182" s="34">
        <f t="shared" ca="1" si="105"/>
        <v>0</v>
      </c>
      <c r="BN182" s="34">
        <f t="shared" ca="1" si="105"/>
        <v>0</v>
      </c>
      <c r="BO182" s="34">
        <f t="shared" ca="1" si="105"/>
        <v>0</v>
      </c>
      <c r="BP182" s="34">
        <f t="shared" ca="1" si="105"/>
        <v>0</v>
      </c>
      <c r="BQ182" s="34">
        <f t="shared" ca="1" si="105"/>
        <v>0</v>
      </c>
      <c r="BR182" s="34">
        <f t="shared" ca="1" si="105"/>
        <v>0</v>
      </c>
      <c r="BS182" s="34">
        <f t="shared" ca="1" si="106"/>
        <v>0</v>
      </c>
      <c r="BT182" s="34">
        <f t="shared" ca="1" si="106"/>
        <v>0</v>
      </c>
      <c r="BU182" s="34">
        <f t="shared" ca="1" si="106"/>
        <v>0</v>
      </c>
      <c r="BV182" s="34">
        <f t="shared" ca="1" si="106"/>
        <v>0</v>
      </c>
      <c r="BW182" s="34">
        <f t="shared" ca="1" si="106"/>
        <v>0</v>
      </c>
      <c r="BX182" s="34">
        <f t="shared" ca="1" si="106"/>
        <v>0</v>
      </c>
      <c r="BY182" s="34">
        <f t="shared" ca="1" si="106"/>
        <v>0</v>
      </c>
      <c r="BZ182" s="34">
        <f t="shared" ca="1" si="106"/>
        <v>0</v>
      </c>
      <c r="CA182" s="34">
        <f t="shared" ca="1" si="106"/>
        <v>0</v>
      </c>
      <c r="CB182" s="34">
        <f t="shared" ca="1" si="106"/>
        <v>0</v>
      </c>
      <c r="CC182" s="34">
        <f t="shared" ca="1" si="106"/>
        <v>0</v>
      </c>
      <c r="CD182" s="34">
        <f t="shared" ca="1" si="106"/>
        <v>0</v>
      </c>
      <c r="CE182" s="34">
        <f t="shared" ca="1" si="106"/>
        <v>0</v>
      </c>
      <c r="CF182" s="34">
        <f t="shared" ca="1" si="106"/>
        <v>0</v>
      </c>
      <c r="CG182" s="34">
        <f t="shared" ca="1" si="106"/>
        <v>0</v>
      </c>
      <c r="CH182" s="34">
        <f t="shared" ca="1" si="106"/>
        <v>0</v>
      </c>
      <c r="CI182" s="34">
        <f t="shared" ca="1" si="107"/>
        <v>0</v>
      </c>
      <c r="CJ182" s="34">
        <f t="shared" ca="1" si="107"/>
        <v>0</v>
      </c>
      <c r="CK182" s="34">
        <f t="shared" ca="1" si="107"/>
        <v>0</v>
      </c>
      <c r="CL182" s="34">
        <f t="shared" ca="1" si="107"/>
        <v>0</v>
      </c>
      <c r="CM182" s="34">
        <f t="shared" ca="1" si="107"/>
        <v>0</v>
      </c>
      <c r="CN182" s="34">
        <f t="shared" ca="1" si="107"/>
        <v>0</v>
      </c>
      <c r="CO182" s="34">
        <f t="shared" ca="1" si="107"/>
        <v>0</v>
      </c>
      <c r="CP182" s="34">
        <f t="shared" ca="1" si="107"/>
        <v>0</v>
      </c>
      <c r="CQ182" s="34">
        <f t="shared" ca="1" si="128"/>
        <v>0</v>
      </c>
      <c r="CR182" s="363">
        <v>0</v>
      </c>
      <c r="CS182" s="34">
        <f t="shared" ca="1" si="129"/>
        <v>0</v>
      </c>
      <c r="CT182" s="233"/>
    </row>
    <row r="183" spans="2:98" x14ac:dyDescent="0.3">
      <c r="B183" s="232"/>
      <c r="C183" s="250">
        <f t="shared" si="130"/>
        <v>2017</v>
      </c>
      <c r="D183" s="263">
        <f t="shared" ca="1" si="108"/>
        <v>8486.9173599635415</v>
      </c>
      <c r="E183" s="263">
        <f t="shared" ca="1" si="94"/>
        <v>56.136268003240112</v>
      </c>
      <c r="F183" s="263">
        <f t="shared" ca="1" si="95"/>
        <v>0</v>
      </c>
      <c r="G183" s="263">
        <f t="shared" ca="1" si="109"/>
        <v>8823.7349679829822</v>
      </c>
      <c r="H183" s="15"/>
      <c r="I183" s="271">
        <f ca="1">Assumptions!O$67</f>
        <v>4.2</v>
      </c>
      <c r="J183" s="271">
        <f ca="1">Assumptions!P$67</f>
        <v>82</v>
      </c>
      <c r="K183" s="271">
        <f t="shared" ca="1" si="96"/>
        <v>41</v>
      </c>
      <c r="L183" s="15"/>
      <c r="M183" s="35">
        <f t="shared" ca="1" si="110"/>
        <v>3.948</v>
      </c>
      <c r="N183" s="35">
        <f t="shared" ca="1" si="97"/>
        <v>76.260000000000005</v>
      </c>
      <c r="O183" s="35">
        <f t="shared" ca="1" si="98"/>
        <v>38.130000000000003</v>
      </c>
      <c r="P183" s="15"/>
      <c r="Q183" s="34">
        <f t="shared" ca="1" si="111"/>
        <v>33506.349737136065</v>
      </c>
      <c r="R183" s="34">
        <f t="shared" ca="1" si="112"/>
        <v>4280.9517979270913</v>
      </c>
      <c r="S183" s="34">
        <f t="shared" ca="1" si="113"/>
        <v>0</v>
      </c>
      <c r="T183" s="34">
        <f t="shared" ca="1" si="114"/>
        <v>37787.301535063154</v>
      </c>
      <c r="U183" s="15"/>
      <c r="V183" s="35">
        <f t="shared" si="115"/>
        <v>0.31</v>
      </c>
      <c r="W183" s="34">
        <f t="shared" ca="1" si="116"/>
        <v>2735.3578400747247</v>
      </c>
      <c r="X183" s="35">
        <f t="shared" si="117"/>
        <v>0.37</v>
      </c>
      <c r="Y183" s="34">
        <f t="shared" ca="1" si="118"/>
        <v>3264.7819381537033</v>
      </c>
      <c r="Z183" s="35">
        <f t="shared" si="119"/>
        <v>0.57999999999999996</v>
      </c>
      <c r="AA183" s="34">
        <f t="shared" ca="1" si="120"/>
        <v>5117.7662814301293</v>
      </c>
      <c r="AB183" s="34">
        <f t="shared" ca="1" si="121"/>
        <v>11117.906059658557</v>
      </c>
      <c r="AC183" s="15"/>
      <c r="AD183" s="34">
        <f t="shared" ca="1" si="122"/>
        <v>26669.395475404599</v>
      </c>
      <c r="AE183" s="34">
        <f ca="1"/>
        <v>44068.311055851082</v>
      </c>
      <c r="AF183" s="34">
        <f t="shared" ca="1" si="123"/>
        <v>-17398.915580446483</v>
      </c>
      <c r="AG183" s="15"/>
      <c r="AH183" s="272">
        <f t="shared" si="131"/>
        <v>43100</v>
      </c>
      <c r="AI183" s="267">
        <f t="shared" si="99"/>
        <v>3.666666666666667</v>
      </c>
      <c r="AJ183" s="267">
        <f t="shared" si="100"/>
        <v>0.7050612085625072</v>
      </c>
      <c r="AK183" s="34">
        <f t="shared" ca="1" si="132"/>
        <v>-12267.300446826634</v>
      </c>
      <c r="AL183" s="233"/>
      <c r="AN183" s="232"/>
      <c r="AO183" s="237">
        <f t="shared" si="124"/>
        <v>4</v>
      </c>
      <c r="AP183" s="34">
        <f t="shared" ref="AP183:AS183" ca="1" si="135">+AP133</f>
        <v>311.73571482763862</v>
      </c>
      <c r="AQ183" s="34">
        <f t="shared" ca="1" si="135"/>
        <v>2.06195947144478</v>
      </c>
      <c r="AR183" s="34">
        <f t="shared" ca="1" si="135"/>
        <v>0</v>
      </c>
      <c r="AS183" s="34">
        <f t="shared" ca="1" si="135"/>
        <v>324.10747165630727</v>
      </c>
      <c r="AT183" s="15"/>
      <c r="AW183" s="34">
        <f t="shared" ca="1" si="126"/>
        <v>311.73571482763862</v>
      </c>
      <c r="AX183" s="34">
        <f t="shared" ca="1" si="102"/>
        <v>2.06195947144478</v>
      </c>
      <c r="AY183" s="34">
        <f t="shared" ca="1" si="103"/>
        <v>0</v>
      </c>
      <c r="AZ183" s="34">
        <f t="shared" ca="1" si="104"/>
        <v>324.10747165630727</v>
      </c>
      <c r="BB183" s="34">
        <f t="shared" ca="1" si="127"/>
        <v>0</v>
      </c>
      <c r="BC183" s="34">
        <f t="shared" ca="1" si="105"/>
        <v>0</v>
      </c>
      <c r="BD183" s="34">
        <f t="shared" ca="1" si="105"/>
        <v>0</v>
      </c>
      <c r="BE183" s="34">
        <f t="shared" ca="1" si="105"/>
        <v>0</v>
      </c>
      <c r="BF183" s="34">
        <f t="shared" ca="1" si="105"/>
        <v>17647.469935965964</v>
      </c>
      <c r="BG183" s="34">
        <f t="shared" ca="1" si="105"/>
        <v>0</v>
      </c>
      <c r="BH183" s="34">
        <f t="shared" ca="1" si="105"/>
        <v>0</v>
      </c>
      <c r="BI183" s="34">
        <f t="shared" ca="1" si="105"/>
        <v>0</v>
      </c>
      <c r="BJ183" s="34">
        <f t="shared" ca="1" si="105"/>
        <v>0</v>
      </c>
      <c r="BK183" s="34">
        <f t="shared" ca="1" si="105"/>
        <v>0</v>
      </c>
      <c r="BL183" s="34">
        <f t="shared" ca="1" si="105"/>
        <v>0</v>
      </c>
      <c r="BM183" s="34">
        <f t="shared" ca="1" si="105"/>
        <v>0</v>
      </c>
      <c r="BN183" s="34">
        <f t="shared" ca="1" si="105"/>
        <v>0</v>
      </c>
      <c r="BO183" s="34">
        <f t="shared" ca="1" si="105"/>
        <v>0</v>
      </c>
      <c r="BP183" s="34">
        <f t="shared" ca="1" si="105"/>
        <v>0</v>
      </c>
      <c r="BQ183" s="34">
        <f t="shared" ca="1" si="105"/>
        <v>0</v>
      </c>
      <c r="BR183" s="34">
        <f t="shared" ca="1" si="105"/>
        <v>0</v>
      </c>
      <c r="BS183" s="34">
        <f t="shared" ca="1" si="106"/>
        <v>0</v>
      </c>
      <c r="BT183" s="34">
        <f t="shared" ca="1" si="106"/>
        <v>0</v>
      </c>
      <c r="BU183" s="34">
        <f t="shared" ca="1" si="106"/>
        <v>0</v>
      </c>
      <c r="BV183" s="34">
        <f t="shared" ca="1" si="106"/>
        <v>0</v>
      </c>
      <c r="BW183" s="34">
        <f t="shared" ca="1" si="106"/>
        <v>0</v>
      </c>
      <c r="BX183" s="34">
        <f t="shared" ca="1" si="106"/>
        <v>0</v>
      </c>
      <c r="BY183" s="34">
        <f t="shared" ca="1" si="106"/>
        <v>0</v>
      </c>
      <c r="BZ183" s="34">
        <f t="shared" ca="1" si="106"/>
        <v>0</v>
      </c>
      <c r="CA183" s="34">
        <f t="shared" ca="1" si="106"/>
        <v>0</v>
      </c>
      <c r="CB183" s="34">
        <f t="shared" ca="1" si="106"/>
        <v>0</v>
      </c>
      <c r="CC183" s="34">
        <f t="shared" ca="1" si="106"/>
        <v>0</v>
      </c>
      <c r="CD183" s="34">
        <f t="shared" ca="1" si="106"/>
        <v>0</v>
      </c>
      <c r="CE183" s="34">
        <f t="shared" ca="1" si="106"/>
        <v>0</v>
      </c>
      <c r="CF183" s="34">
        <f t="shared" ca="1" si="106"/>
        <v>0</v>
      </c>
      <c r="CG183" s="34">
        <f t="shared" ca="1" si="106"/>
        <v>0</v>
      </c>
      <c r="CH183" s="34">
        <f t="shared" ca="1" si="106"/>
        <v>0</v>
      </c>
      <c r="CI183" s="34">
        <f t="shared" ca="1" si="107"/>
        <v>0</v>
      </c>
      <c r="CJ183" s="34">
        <f t="shared" ca="1" si="107"/>
        <v>0</v>
      </c>
      <c r="CK183" s="34">
        <f t="shared" ca="1" si="107"/>
        <v>0</v>
      </c>
      <c r="CL183" s="34">
        <f t="shared" ca="1" si="107"/>
        <v>0</v>
      </c>
      <c r="CM183" s="34">
        <f t="shared" ca="1" si="107"/>
        <v>0</v>
      </c>
      <c r="CN183" s="34">
        <f t="shared" ca="1" si="107"/>
        <v>0</v>
      </c>
      <c r="CO183" s="34">
        <f t="shared" ca="1" si="107"/>
        <v>0</v>
      </c>
      <c r="CP183" s="34">
        <f t="shared" ca="1" si="107"/>
        <v>0</v>
      </c>
      <c r="CQ183" s="34">
        <f t="shared" ca="1" si="128"/>
        <v>17647.469935965964</v>
      </c>
      <c r="CR183" s="363">
        <v>0</v>
      </c>
      <c r="CS183" s="34">
        <f t="shared" ca="1" si="129"/>
        <v>17647.469935965964</v>
      </c>
      <c r="CT183" s="233"/>
    </row>
    <row r="184" spans="2:98" x14ac:dyDescent="0.3">
      <c r="B184" s="232"/>
      <c r="C184" s="250">
        <f t="shared" si="130"/>
        <v>2018</v>
      </c>
      <c r="D184" s="263">
        <f t="shared" ca="1" si="108"/>
        <v>38236.938527272483</v>
      </c>
      <c r="E184" s="263">
        <f t="shared" ca="1" si="94"/>
        <v>252.91621654244625</v>
      </c>
      <c r="F184" s="263">
        <f t="shared" ca="1" si="95"/>
        <v>0</v>
      </c>
      <c r="G184" s="263">
        <f t="shared" ca="1" si="109"/>
        <v>39754.435826527158</v>
      </c>
      <c r="H184" s="15"/>
      <c r="I184" s="271">
        <f ca="1">Assumptions!O$68</f>
        <v>4.5</v>
      </c>
      <c r="J184" s="271">
        <f ca="1">Assumptions!P$68</f>
        <v>80</v>
      </c>
      <c r="K184" s="271">
        <f t="shared" ca="1" si="96"/>
        <v>40</v>
      </c>
      <c r="L184" s="15"/>
      <c r="M184" s="35">
        <f t="shared" ca="1" si="110"/>
        <v>4.2299999999999995</v>
      </c>
      <c r="N184" s="35">
        <f t="shared" ca="1" si="97"/>
        <v>74.400000000000006</v>
      </c>
      <c r="O184" s="35">
        <f t="shared" ca="1" si="98"/>
        <v>37.200000000000003</v>
      </c>
      <c r="P184" s="15"/>
      <c r="Q184" s="34">
        <f t="shared" ca="1" si="111"/>
        <v>161742.24997036258</v>
      </c>
      <c r="R184" s="34">
        <f t="shared" ca="1" si="112"/>
        <v>18816.966510758004</v>
      </c>
      <c r="S184" s="34">
        <f t="shared" ca="1" si="113"/>
        <v>0</v>
      </c>
      <c r="T184" s="34">
        <f t="shared" ca="1" si="114"/>
        <v>180559.21648112059</v>
      </c>
      <c r="U184" s="15"/>
      <c r="V184" s="35">
        <f t="shared" si="115"/>
        <v>0.31</v>
      </c>
      <c r="W184" s="34">
        <f t="shared" ca="1" si="116"/>
        <v>12323.875106223419</v>
      </c>
      <c r="X184" s="35">
        <f t="shared" si="117"/>
        <v>0.37</v>
      </c>
      <c r="Y184" s="34">
        <f t="shared" ca="1" si="118"/>
        <v>14709.141255815048</v>
      </c>
      <c r="Z184" s="35">
        <f t="shared" si="119"/>
        <v>0.57999999999999996</v>
      </c>
      <c r="AA184" s="34">
        <f t="shared" ca="1" si="120"/>
        <v>23057.572779385751</v>
      </c>
      <c r="AB184" s="34">
        <f t="shared" ca="1" si="121"/>
        <v>50090.589141424221</v>
      </c>
      <c r="AC184" s="15"/>
      <c r="AD184" s="34">
        <f t="shared" ca="1" si="122"/>
        <v>130468.62733969637</v>
      </c>
      <c r="AE184" s="34">
        <f ca="1"/>
        <v>178143.71257485033</v>
      </c>
      <c r="AF184" s="34">
        <f t="shared" ca="1" si="123"/>
        <v>-47675.085235153965</v>
      </c>
      <c r="AG184" s="15"/>
      <c r="AH184" s="272">
        <f t="shared" si="131"/>
        <v>43465</v>
      </c>
      <c r="AI184" s="267">
        <f t="shared" si="99"/>
        <v>4.666666666666667</v>
      </c>
      <c r="AJ184" s="267">
        <f t="shared" si="100"/>
        <v>0.64096473505682472</v>
      </c>
      <c r="AK184" s="34">
        <f t="shared" ca="1" si="132"/>
        <v>-30558.048376561997</v>
      </c>
      <c r="AL184" s="233"/>
      <c r="AN184" s="232"/>
      <c r="AO184" s="237">
        <f t="shared" si="124"/>
        <v>5</v>
      </c>
      <c r="AP184" s="34">
        <f t="shared" ref="AP184:AS184" ca="1" si="136">+AP134</f>
        <v>274.37402209873375</v>
      </c>
      <c r="AQ184" s="34">
        <f t="shared" ca="1" si="136"/>
        <v>1.8148325221500221</v>
      </c>
      <c r="AR184" s="34">
        <f t="shared" ca="1" si="136"/>
        <v>0</v>
      </c>
      <c r="AS184" s="34">
        <f t="shared" ca="1" si="136"/>
        <v>285.26301723163385</v>
      </c>
      <c r="AT184" s="15"/>
      <c r="AW184" s="34">
        <f t="shared" ca="1" si="126"/>
        <v>274.37402209873375</v>
      </c>
      <c r="AX184" s="34">
        <f t="shared" ca="1" si="102"/>
        <v>1.8148325221500221</v>
      </c>
      <c r="AY184" s="34">
        <f t="shared" ca="1" si="103"/>
        <v>0</v>
      </c>
      <c r="AZ184" s="34">
        <f t="shared" ca="1" si="104"/>
        <v>285.26301723163385</v>
      </c>
      <c r="BB184" s="34">
        <f t="shared" ca="1" si="127"/>
        <v>0</v>
      </c>
      <c r="BC184" s="34">
        <f t="shared" ca="1" si="105"/>
        <v>0</v>
      </c>
      <c r="BD184" s="34">
        <f t="shared" ca="1" si="105"/>
        <v>0</v>
      </c>
      <c r="BE184" s="34">
        <f t="shared" ca="1" si="105"/>
        <v>0</v>
      </c>
      <c r="BF184" s="34">
        <f t="shared" ca="1" si="105"/>
        <v>8169.9494973657038</v>
      </c>
      <c r="BG184" s="34">
        <f t="shared" ca="1" si="105"/>
        <v>71338.922155688619</v>
      </c>
      <c r="BH184" s="34">
        <f t="shared" ca="1" si="105"/>
        <v>0</v>
      </c>
      <c r="BI184" s="34">
        <f t="shared" ca="1" si="105"/>
        <v>0</v>
      </c>
      <c r="BJ184" s="34">
        <f t="shared" ca="1" si="105"/>
        <v>0</v>
      </c>
      <c r="BK184" s="34">
        <f t="shared" ca="1" si="105"/>
        <v>0</v>
      </c>
      <c r="BL184" s="34">
        <f t="shared" ca="1" si="105"/>
        <v>0</v>
      </c>
      <c r="BM184" s="34">
        <f t="shared" ca="1" si="105"/>
        <v>0</v>
      </c>
      <c r="BN184" s="34">
        <f t="shared" ca="1" si="105"/>
        <v>0</v>
      </c>
      <c r="BO184" s="34">
        <f t="shared" ca="1" si="105"/>
        <v>0</v>
      </c>
      <c r="BP184" s="34">
        <f t="shared" ca="1" si="105"/>
        <v>0</v>
      </c>
      <c r="BQ184" s="34">
        <f t="shared" ca="1" si="105"/>
        <v>0</v>
      </c>
      <c r="BR184" s="34">
        <f t="shared" ca="1" si="105"/>
        <v>0</v>
      </c>
      <c r="BS184" s="34">
        <f t="shared" ca="1" si="106"/>
        <v>0</v>
      </c>
      <c r="BT184" s="34">
        <f t="shared" ca="1" si="106"/>
        <v>0</v>
      </c>
      <c r="BU184" s="34">
        <f t="shared" ca="1" si="106"/>
        <v>0</v>
      </c>
      <c r="BV184" s="34">
        <f t="shared" ca="1" si="106"/>
        <v>0</v>
      </c>
      <c r="BW184" s="34">
        <f t="shared" ca="1" si="106"/>
        <v>0</v>
      </c>
      <c r="BX184" s="34">
        <f t="shared" ca="1" si="106"/>
        <v>0</v>
      </c>
      <c r="BY184" s="34">
        <f t="shared" ca="1" si="106"/>
        <v>0</v>
      </c>
      <c r="BZ184" s="34">
        <f t="shared" ca="1" si="106"/>
        <v>0</v>
      </c>
      <c r="CA184" s="34">
        <f t="shared" ca="1" si="106"/>
        <v>0</v>
      </c>
      <c r="CB184" s="34">
        <f t="shared" ca="1" si="106"/>
        <v>0</v>
      </c>
      <c r="CC184" s="34">
        <f t="shared" ca="1" si="106"/>
        <v>0</v>
      </c>
      <c r="CD184" s="34">
        <f t="shared" ca="1" si="106"/>
        <v>0</v>
      </c>
      <c r="CE184" s="34">
        <f t="shared" ca="1" si="106"/>
        <v>0</v>
      </c>
      <c r="CF184" s="34">
        <f t="shared" ca="1" si="106"/>
        <v>0</v>
      </c>
      <c r="CG184" s="34">
        <f t="shared" ca="1" si="106"/>
        <v>0</v>
      </c>
      <c r="CH184" s="34">
        <f t="shared" ca="1" si="106"/>
        <v>0</v>
      </c>
      <c r="CI184" s="34">
        <f t="shared" ca="1" si="107"/>
        <v>0</v>
      </c>
      <c r="CJ184" s="34">
        <f t="shared" ca="1" si="107"/>
        <v>0</v>
      </c>
      <c r="CK184" s="34">
        <f t="shared" ca="1" si="107"/>
        <v>0</v>
      </c>
      <c r="CL184" s="34">
        <f t="shared" ca="1" si="107"/>
        <v>0</v>
      </c>
      <c r="CM184" s="34">
        <f t="shared" ca="1" si="107"/>
        <v>0</v>
      </c>
      <c r="CN184" s="34">
        <f t="shared" ca="1" si="107"/>
        <v>0</v>
      </c>
      <c r="CO184" s="34">
        <f t="shared" ca="1" si="107"/>
        <v>0</v>
      </c>
      <c r="CP184" s="34">
        <f t="shared" ca="1" si="107"/>
        <v>0</v>
      </c>
      <c r="CQ184" s="34">
        <f t="shared" ca="1" si="128"/>
        <v>79508.871653054317</v>
      </c>
      <c r="CR184" s="363">
        <v>0</v>
      </c>
      <c r="CS184" s="34">
        <f t="shared" ca="1" si="129"/>
        <v>79508.871653054317</v>
      </c>
      <c r="CT184" s="233"/>
    </row>
    <row r="185" spans="2:98" x14ac:dyDescent="0.3">
      <c r="B185" s="232"/>
      <c r="C185" s="250">
        <f t="shared" si="130"/>
        <v>2019</v>
      </c>
      <c r="D185" s="263">
        <f t="shared" ca="1" si="108"/>
        <v>53037.565172605537</v>
      </c>
      <c r="E185" s="263">
        <f t="shared" ca="1" si="94"/>
        <v>350.81418216867002</v>
      </c>
      <c r="F185" s="263">
        <f t="shared" ca="1" si="95"/>
        <v>0</v>
      </c>
      <c r="G185" s="263">
        <f t="shared" ca="1" si="109"/>
        <v>55142.450265617554</v>
      </c>
      <c r="H185" s="15"/>
      <c r="I185" s="271">
        <f ca="1">Assumptions!O$68</f>
        <v>4.5</v>
      </c>
      <c r="J185" s="271">
        <f ca="1">Assumptions!P$68</f>
        <v>80</v>
      </c>
      <c r="K185" s="271">
        <f t="shared" ca="1" si="96"/>
        <v>40</v>
      </c>
      <c r="L185" s="15"/>
      <c r="M185" s="35">
        <f t="shared" ca="1" si="110"/>
        <v>4.2299999999999995</v>
      </c>
      <c r="N185" s="35">
        <f t="shared" ca="1" si="97"/>
        <v>74.400000000000006</v>
      </c>
      <c r="O185" s="35">
        <f t="shared" ca="1" si="98"/>
        <v>37.200000000000003</v>
      </c>
      <c r="P185" s="15"/>
      <c r="Q185" s="34">
        <f t="shared" ca="1" si="111"/>
        <v>224348.90068012138</v>
      </c>
      <c r="R185" s="34">
        <f t="shared" ca="1" si="112"/>
        <v>26100.575153349051</v>
      </c>
      <c r="S185" s="34">
        <f t="shared" ca="1" si="113"/>
        <v>0</v>
      </c>
      <c r="T185" s="34">
        <f t="shared" ca="1" si="114"/>
        <v>250449.47583347044</v>
      </c>
      <c r="U185" s="15"/>
      <c r="V185" s="35">
        <f t="shared" si="115"/>
        <v>0.31</v>
      </c>
      <c r="W185" s="34">
        <f t="shared" ca="1" si="116"/>
        <v>17094.159582341443</v>
      </c>
      <c r="X185" s="35">
        <f t="shared" si="117"/>
        <v>0.37</v>
      </c>
      <c r="Y185" s="34">
        <f t="shared" ca="1" si="118"/>
        <v>20402.706598278495</v>
      </c>
      <c r="Z185" s="35">
        <f t="shared" si="119"/>
        <v>0.57999999999999996</v>
      </c>
      <c r="AA185" s="34">
        <f t="shared" ca="1" si="120"/>
        <v>31982.621154058179</v>
      </c>
      <c r="AB185" s="34">
        <f t="shared" ca="1" si="121"/>
        <v>69479.487334678124</v>
      </c>
      <c r="AC185" s="15"/>
      <c r="AD185" s="34">
        <f t="shared" ca="1" si="122"/>
        <v>180969.98849879231</v>
      </c>
      <c r="AE185" s="34">
        <f ca="1"/>
        <v>178143.71257485033</v>
      </c>
      <c r="AF185" s="34">
        <f t="shared" ca="1" si="123"/>
        <v>2826.2759239419829</v>
      </c>
      <c r="AG185" s="15"/>
      <c r="AH185" s="272">
        <f t="shared" si="131"/>
        <v>43830</v>
      </c>
      <c r="AI185" s="267">
        <f t="shared" si="99"/>
        <v>5.666666666666667</v>
      </c>
      <c r="AJ185" s="267">
        <f t="shared" si="100"/>
        <v>0.58269521368802246</v>
      </c>
      <c r="AK185" s="34">
        <f t="shared" ca="1" si="132"/>
        <v>1646.8574534426868</v>
      </c>
      <c r="AL185" s="233"/>
      <c r="AN185" s="232"/>
      <c r="AO185" s="237">
        <f t="shared" si="124"/>
        <v>6</v>
      </c>
      <c r="AP185" s="34">
        <f t="shared" ref="AP185:AS185" ca="1" si="137">+AP135</f>
        <v>246.6451173205852</v>
      </c>
      <c r="AQ185" s="34">
        <f t="shared" ca="1" si="137"/>
        <v>1.6314211415460804</v>
      </c>
      <c r="AR185" s="34">
        <f t="shared" ca="1" si="137"/>
        <v>0</v>
      </c>
      <c r="AS185" s="34">
        <f t="shared" ca="1" si="137"/>
        <v>256.43364416986168</v>
      </c>
      <c r="AT185" s="15"/>
      <c r="AW185" s="34">
        <f t="shared" ca="1" si="126"/>
        <v>246.6451173205852</v>
      </c>
      <c r="AX185" s="34">
        <f t="shared" ca="1" si="102"/>
        <v>1.6314211415460804</v>
      </c>
      <c r="AY185" s="34">
        <f t="shared" ca="1" si="103"/>
        <v>0</v>
      </c>
      <c r="AZ185" s="34">
        <f t="shared" ca="1" si="104"/>
        <v>256.43364416986168</v>
      </c>
      <c r="BB185" s="34">
        <f t="shared" ca="1" si="127"/>
        <v>0</v>
      </c>
      <c r="BC185" s="34">
        <f t="shared" ca="1" si="105"/>
        <v>0</v>
      </c>
      <c r="BD185" s="34">
        <f t="shared" ca="1" si="105"/>
        <v>0</v>
      </c>
      <c r="BE185" s="34">
        <f t="shared" ca="1" si="105"/>
        <v>0</v>
      </c>
      <c r="BF185" s="34">
        <f t="shared" ca="1" si="105"/>
        <v>5919.4089396271256</v>
      </c>
      <c r="BG185" s="34">
        <f t="shared" ca="1" si="105"/>
        <v>33026.569435919366</v>
      </c>
      <c r="BH185" s="34">
        <f t="shared" ca="1" si="105"/>
        <v>71338.922155688619</v>
      </c>
      <c r="BI185" s="34">
        <f t="shared" ca="1" si="105"/>
        <v>0</v>
      </c>
      <c r="BJ185" s="34">
        <f t="shared" ca="1" si="105"/>
        <v>0</v>
      </c>
      <c r="BK185" s="34">
        <f t="shared" ca="1" si="105"/>
        <v>0</v>
      </c>
      <c r="BL185" s="34">
        <f t="shared" ca="1" si="105"/>
        <v>0</v>
      </c>
      <c r="BM185" s="34">
        <f t="shared" ca="1" si="105"/>
        <v>0</v>
      </c>
      <c r="BN185" s="34">
        <f t="shared" ca="1" si="105"/>
        <v>0</v>
      </c>
      <c r="BO185" s="34">
        <f t="shared" ca="1" si="105"/>
        <v>0</v>
      </c>
      <c r="BP185" s="34">
        <f t="shared" ca="1" si="105"/>
        <v>0</v>
      </c>
      <c r="BQ185" s="34">
        <f t="shared" ca="1" si="105"/>
        <v>0</v>
      </c>
      <c r="BR185" s="34">
        <f t="shared" ca="1" si="105"/>
        <v>0</v>
      </c>
      <c r="BS185" s="34">
        <f t="shared" ca="1" si="106"/>
        <v>0</v>
      </c>
      <c r="BT185" s="34">
        <f t="shared" ca="1" si="106"/>
        <v>0</v>
      </c>
      <c r="BU185" s="34">
        <f t="shared" ca="1" si="106"/>
        <v>0</v>
      </c>
      <c r="BV185" s="34">
        <f t="shared" ca="1" si="106"/>
        <v>0</v>
      </c>
      <c r="BW185" s="34">
        <f t="shared" ca="1" si="106"/>
        <v>0</v>
      </c>
      <c r="BX185" s="34">
        <f t="shared" ca="1" si="106"/>
        <v>0</v>
      </c>
      <c r="BY185" s="34">
        <f t="shared" ca="1" si="106"/>
        <v>0</v>
      </c>
      <c r="BZ185" s="34">
        <f t="shared" ca="1" si="106"/>
        <v>0</v>
      </c>
      <c r="CA185" s="34">
        <f t="shared" ca="1" si="106"/>
        <v>0</v>
      </c>
      <c r="CB185" s="34">
        <f t="shared" ca="1" si="106"/>
        <v>0</v>
      </c>
      <c r="CC185" s="34">
        <f t="shared" ca="1" si="106"/>
        <v>0</v>
      </c>
      <c r="CD185" s="34">
        <f t="shared" ca="1" si="106"/>
        <v>0</v>
      </c>
      <c r="CE185" s="34">
        <f t="shared" ca="1" si="106"/>
        <v>0</v>
      </c>
      <c r="CF185" s="34">
        <f t="shared" ca="1" si="106"/>
        <v>0</v>
      </c>
      <c r="CG185" s="34">
        <f t="shared" ca="1" si="106"/>
        <v>0</v>
      </c>
      <c r="CH185" s="34">
        <f t="shared" ca="1" si="106"/>
        <v>0</v>
      </c>
      <c r="CI185" s="34">
        <f t="shared" ca="1" si="107"/>
        <v>0</v>
      </c>
      <c r="CJ185" s="34">
        <f t="shared" ca="1" si="107"/>
        <v>0</v>
      </c>
      <c r="CK185" s="34">
        <f t="shared" ca="1" si="107"/>
        <v>0</v>
      </c>
      <c r="CL185" s="34">
        <f t="shared" ca="1" si="107"/>
        <v>0</v>
      </c>
      <c r="CM185" s="34">
        <f t="shared" ca="1" si="107"/>
        <v>0</v>
      </c>
      <c r="CN185" s="34">
        <f t="shared" ca="1" si="107"/>
        <v>0</v>
      </c>
      <c r="CO185" s="34">
        <f t="shared" ca="1" si="107"/>
        <v>0</v>
      </c>
      <c r="CP185" s="34">
        <f t="shared" ca="1" si="107"/>
        <v>0</v>
      </c>
      <c r="CQ185" s="34">
        <f t="shared" ca="1" si="128"/>
        <v>110284.90053123511</v>
      </c>
      <c r="CR185" s="363">
        <v>0</v>
      </c>
      <c r="CS185" s="34">
        <f t="shared" ca="1" si="129"/>
        <v>110284.90053123511</v>
      </c>
      <c r="CT185" s="233"/>
    </row>
    <row r="186" spans="2:98" x14ac:dyDescent="0.3">
      <c r="B186" s="232"/>
      <c r="C186" s="250">
        <f t="shared" si="130"/>
        <v>2020</v>
      </c>
      <c r="D186" s="263">
        <f t="shared" ca="1" si="108"/>
        <v>64000.177992834826</v>
      </c>
      <c r="E186" s="263">
        <f t="shared" ca="1" si="94"/>
        <v>423.32580743737549</v>
      </c>
      <c r="F186" s="263">
        <f t="shared" ca="1" si="95"/>
        <v>0</v>
      </c>
      <c r="G186" s="263">
        <f t="shared" ca="1" si="109"/>
        <v>66540.132837459081</v>
      </c>
      <c r="H186" s="15"/>
      <c r="I186" s="271">
        <f ca="1">Assumptions!O$68</f>
        <v>4.5</v>
      </c>
      <c r="J186" s="271">
        <f ca="1">Assumptions!P$68</f>
        <v>80</v>
      </c>
      <c r="K186" s="271">
        <f t="shared" ca="1" si="96"/>
        <v>40</v>
      </c>
      <c r="L186" s="15"/>
      <c r="M186" s="35">
        <f t="shared" ca="1" si="110"/>
        <v>4.2299999999999995</v>
      </c>
      <c r="N186" s="35">
        <f t="shared" ca="1" si="97"/>
        <v>74.400000000000006</v>
      </c>
      <c r="O186" s="35">
        <f t="shared" ca="1" si="98"/>
        <v>37.200000000000003</v>
      </c>
      <c r="P186" s="15"/>
      <c r="Q186" s="34">
        <f t="shared" ca="1" si="111"/>
        <v>270720.75290969131</v>
      </c>
      <c r="R186" s="34">
        <f t="shared" ca="1" si="112"/>
        <v>31495.440073340738</v>
      </c>
      <c r="S186" s="34">
        <f t="shared" ca="1" si="113"/>
        <v>0</v>
      </c>
      <c r="T186" s="34">
        <f t="shared" ca="1" si="114"/>
        <v>302216.19298303203</v>
      </c>
      <c r="U186" s="15"/>
      <c r="V186" s="35">
        <f t="shared" si="115"/>
        <v>0.31</v>
      </c>
      <c r="W186" s="34">
        <f t="shared" ca="1" si="116"/>
        <v>20627.441179612317</v>
      </c>
      <c r="X186" s="35">
        <f t="shared" si="117"/>
        <v>0.37</v>
      </c>
      <c r="Y186" s="34">
        <f t="shared" ca="1" si="118"/>
        <v>24619.84914985986</v>
      </c>
      <c r="Z186" s="35">
        <f t="shared" si="119"/>
        <v>0.57999999999999996</v>
      </c>
      <c r="AA186" s="34">
        <f t="shared" ca="1" si="120"/>
        <v>38593.277045726267</v>
      </c>
      <c r="AB186" s="34">
        <f t="shared" ca="1" si="121"/>
        <v>83840.567375198443</v>
      </c>
      <c r="AC186" s="15"/>
      <c r="AD186" s="34">
        <f t="shared" ca="1" si="122"/>
        <v>218375.62560783359</v>
      </c>
      <c r="AE186" s="34">
        <f ca="1"/>
        <v>178143.71257485033</v>
      </c>
      <c r="AF186" s="34">
        <f t="shared" ca="1" si="123"/>
        <v>40231.913032983255</v>
      </c>
      <c r="AG186" s="15"/>
      <c r="AH186" s="272">
        <f t="shared" si="131"/>
        <v>44196</v>
      </c>
      <c r="AI186" s="267">
        <f t="shared" si="99"/>
        <v>6.666666666666667</v>
      </c>
      <c r="AJ186" s="267">
        <f t="shared" si="100"/>
        <v>0.52972292153456579</v>
      </c>
      <c r="AK186" s="34">
        <f t="shared" ca="1" si="132"/>
        <v>21311.766510756464</v>
      </c>
      <c r="AL186" s="233"/>
      <c r="AN186" s="232"/>
      <c r="AO186" s="237">
        <f t="shared" si="124"/>
        <v>7</v>
      </c>
      <c r="AP186" s="34">
        <f t="shared" ref="AP186:AS186" ca="1" si="138">+AP136</f>
        <v>225.09151377683958</v>
      </c>
      <c r="AQ186" s="34">
        <f t="shared" ca="1" si="138"/>
        <v>1.4888559657998084</v>
      </c>
      <c r="AR186" s="34">
        <f t="shared" ca="1" si="138"/>
        <v>0</v>
      </c>
      <c r="AS186" s="34">
        <f t="shared" ca="1" si="138"/>
        <v>234.02464957163843</v>
      </c>
      <c r="AT186" s="15"/>
      <c r="AW186" s="34">
        <f t="shared" ca="1" si="126"/>
        <v>225.09151377683958</v>
      </c>
      <c r="AX186" s="34">
        <f t="shared" ca="1" si="102"/>
        <v>1.4888559657998084</v>
      </c>
      <c r="AY186" s="34">
        <f t="shared" ca="1" si="103"/>
        <v>0</v>
      </c>
      <c r="AZ186" s="34">
        <f t="shared" ca="1" si="104"/>
        <v>234.02464957163843</v>
      </c>
      <c r="BB186" s="34">
        <f t="shared" ca="1" si="127"/>
        <v>0</v>
      </c>
      <c r="BC186" s="34">
        <f t="shared" ca="1" si="105"/>
        <v>0</v>
      </c>
      <c r="BD186" s="34">
        <f t="shared" ca="1" si="105"/>
        <v>0</v>
      </c>
      <c r="BE186" s="34">
        <f t="shared" ca="1" si="105"/>
        <v>0</v>
      </c>
      <c r="BF186" s="34">
        <f t="shared" ca="1" si="105"/>
        <v>4785.8905048703382</v>
      </c>
      <c r="BG186" s="34">
        <f t="shared" ca="1" si="105"/>
        <v>23928.883578439847</v>
      </c>
      <c r="BH186" s="34">
        <f t="shared" ca="1" si="105"/>
        <v>33026.569435919366</v>
      </c>
      <c r="BI186" s="34">
        <f t="shared" ca="1" si="105"/>
        <v>71338.922155688619</v>
      </c>
      <c r="BJ186" s="34">
        <f t="shared" ca="1" si="105"/>
        <v>0</v>
      </c>
      <c r="BK186" s="34">
        <f t="shared" ca="1" si="105"/>
        <v>0</v>
      </c>
      <c r="BL186" s="34">
        <f t="shared" ca="1" si="105"/>
        <v>0</v>
      </c>
      <c r="BM186" s="34">
        <f t="shared" ca="1" si="105"/>
        <v>0</v>
      </c>
      <c r="BN186" s="34">
        <f t="shared" ca="1" si="105"/>
        <v>0</v>
      </c>
      <c r="BO186" s="34">
        <f t="shared" ca="1" si="105"/>
        <v>0</v>
      </c>
      <c r="BP186" s="34">
        <f t="shared" ca="1" si="105"/>
        <v>0</v>
      </c>
      <c r="BQ186" s="34">
        <f t="shared" ca="1" si="105"/>
        <v>0</v>
      </c>
      <c r="BR186" s="34">
        <f t="shared" ca="1" si="105"/>
        <v>0</v>
      </c>
      <c r="BS186" s="34">
        <f t="shared" ca="1" si="106"/>
        <v>0</v>
      </c>
      <c r="BT186" s="34">
        <f t="shared" ca="1" si="106"/>
        <v>0</v>
      </c>
      <c r="BU186" s="34">
        <f t="shared" ca="1" si="106"/>
        <v>0</v>
      </c>
      <c r="BV186" s="34">
        <f t="shared" ca="1" si="106"/>
        <v>0</v>
      </c>
      <c r="BW186" s="34">
        <f t="shared" ca="1" si="106"/>
        <v>0</v>
      </c>
      <c r="BX186" s="34">
        <f t="shared" ca="1" si="106"/>
        <v>0</v>
      </c>
      <c r="BY186" s="34">
        <f t="shared" ca="1" si="106"/>
        <v>0</v>
      </c>
      <c r="BZ186" s="34">
        <f t="shared" ca="1" si="106"/>
        <v>0</v>
      </c>
      <c r="CA186" s="34">
        <f t="shared" ca="1" si="106"/>
        <v>0</v>
      </c>
      <c r="CB186" s="34">
        <f t="shared" ca="1" si="106"/>
        <v>0</v>
      </c>
      <c r="CC186" s="34">
        <f t="shared" ca="1" si="106"/>
        <v>0</v>
      </c>
      <c r="CD186" s="34">
        <f t="shared" ca="1" si="106"/>
        <v>0</v>
      </c>
      <c r="CE186" s="34">
        <f t="shared" ca="1" si="106"/>
        <v>0</v>
      </c>
      <c r="CF186" s="34">
        <f t="shared" ca="1" si="106"/>
        <v>0</v>
      </c>
      <c r="CG186" s="34">
        <f t="shared" ca="1" si="106"/>
        <v>0</v>
      </c>
      <c r="CH186" s="34">
        <f t="shared" ca="1" si="106"/>
        <v>0</v>
      </c>
      <c r="CI186" s="34">
        <f t="shared" ca="1" si="107"/>
        <v>0</v>
      </c>
      <c r="CJ186" s="34">
        <f t="shared" ca="1" si="107"/>
        <v>0</v>
      </c>
      <c r="CK186" s="34">
        <f t="shared" ca="1" si="107"/>
        <v>0</v>
      </c>
      <c r="CL186" s="34">
        <f t="shared" ca="1" si="107"/>
        <v>0</v>
      </c>
      <c r="CM186" s="34">
        <f t="shared" ca="1" si="107"/>
        <v>0</v>
      </c>
      <c r="CN186" s="34">
        <f t="shared" ca="1" si="107"/>
        <v>0</v>
      </c>
      <c r="CO186" s="34">
        <f t="shared" ca="1" si="107"/>
        <v>0</v>
      </c>
      <c r="CP186" s="34">
        <f t="shared" ca="1" si="107"/>
        <v>0</v>
      </c>
      <c r="CQ186" s="34">
        <f t="shared" ca="1" si="128"/>
        <v>133080.26567491816</v>
      </c>
      <c r="CR186" s="363">
        <v>0</v>
      </c>
      <c r="CS186" s="34">
        <f t="shared" ca="1" si="129"/>
        <v>133080.26567491816</v>
      </c>
      <c r="CT186" s="233"/>
    </row>
    <row r="187" spans="2:98" x14ac:dyDescent="0.3">
      <c r="B187" s="232"/>
      <c r="C187" s="250">
        <f t="shared" si="130"/>
        <v>2021</v>
      </c>
      <c r="D187" s="263">
        <f t="shared" ca="1" si="108"/>
        <v>72965.199568539174</v>
      </c>
      <c r="E187" s="263">
        <f t="shared" ca="1" si="94"/>
        <v>482.62447060130324</v>
      </c>
      <c r="F187" s="263">
        <f t="shared" ca="1" si="95"/>
        <v>0</v>
      </c>
      <c r="G187" s="263">
        <f t="shared" ca="1" si="109"/>
        <v>75860.946392146987</v>
      </c>
      <c r="H187" s="15"/>
      <c r="I187" s="271">
        <f ca="1">Assumptions!O$68</f>
        <v>4.5</v>
      </c>
      <c r="J187" s="271">
        <f ca="1">Assumptions!P$68</f>
        <v>80</v>
      </c>
      <c r="K187" s="271">
        <f t="shared" ca="1" si="96"/>
        <v>40</v>
      </c>
      <c r="L187" s="15"/>
      <c r="M187" s="35">
        <f t="shared" ca="1" si="110"/>
        <v>4.2299999999999995</v>
      </c>
      <c r="N187" s="35">
        <f t="shared" ca="1" si="97"/>
        <v>74.400000000000006</v>
      </c>
      <c r="O187" s="35">
        <f t="shared" ca="1" si="98"/>
        <v>37.200000000000003</v>
      </c>
      <c r="P187" s="15"/>
      <c r="Q187" s="34">
        <f t="shared" ca="1" si="111"/>
        <v>308642.79417492065</v>
      </c>
      <c r="R187" s="34">
        <f t="shared" ca="1" si="112"/>
        <v>35907.260612736965</v>
      </c>
      <c r="S187" s="34">
        <f t="shared" ca="1" si="113"/>
        <v>0</v>
      </c>
      <c r="T187" s="34">
        <f t="shared" ca="1" si="114"/>
        <v>344550.05478765763</v>
      </c>
      <c r="U187" s="15"/>
      <c r="V187" s="35">
        <f t="shared" si="115"/>
        <v>0.31</v>
      </c>
      <c r="W187" s="34">
        <f t="shared" ca="1" si="116"/>
        <v>23516.893381565566</v>
      </c>
      <c r="X187" s="35">
        <f t="shared" si="117"/>
        <v>0.37</v>
      </c>
      <c r="Y187" s="34">
        <f t="shared" ca="1" si="118"/>
        <v>28068.550165094384</v>
      </c>
      <c r="Z187" s="35">
        <f t="shared" si="119"/>
        <v>0.57999999999999996</v>
      </c>
      <c r="AA187" s="34">
        <f t="shared" ca="1" si="120"/>
        <v>43999.348907445252</v>
      </c>
      <c r="AB187" s="34">
        <f t="shared" ca="1" si="121"/>
        <v>95584.792454105205</v>
      </c>
      <c r="AC187" s="15"/>
      <c r="AD187" s="34">
        <f t="shared" ca="1" si="122"/>
        <v>248965.26233355241</v>
      </c>
      <c r="AE187" s="34">
        <f ca="1"/>
        <v>178143.71257485033</v>
      </c>
      <c r="AF187" s="34">
        <f t="shared" ca="1" si="123"/>
        <v>70821.54975870208</v>
      </c>
      <c r="AG187" s="15"/>
      <c r="AH187" s="272">
        <f t="shared" si="131"/>
        <v>44561</v>
      </c>
      <c r="AI187" s="267">
        <f t="shared" si="99"/>
        <v>7.6666666666666661</v>
      </c>
      <c r="AJ187" s="267">
        <f t="shared" si="100"/>
        <v>0.48156629230415066</v>
      </c>
      <c r="AK187" s="34">
        <f t="shared" ca="1" si="132"/>
        <v>34105.271132532078</v>
      </c>
      <c r="AL187" s="233"/>
      <c r="AN187" s="232"/>
      <c r="AO187" s="237">
        <f t="shared" si="124"/>
        <v>8</v>
      </c>
      <c r="AP187" s="34">
        <f t="shared" ref="AP187:AS187" ca="1" si="139">+AP137</f>
        <v>207.76361251053979</v>
      </c>
      <c r="AQ187" s="34">
        <f t="shared" ca="1" si="139"/>
        <v>1.3742414752655367</v>
      </c>
      <c r="AR187" s="34">
        <f t="shared" ca="1" si="139"/>
        <v>0</v>
      </c>
      <c r="AS187" s="34">
        <f t="shared" ca="1" si="139"/>
        <v>216.009061362133</v>
      </c>
      <c r="AT187" s="15"/>
      <c r="AW187" s="34">
        <f t="shared" ca="1" si="126"/>
        <v>207.76361251053979</v>
      </c>
      <c r="AX187" s="34">
        <f t="shared" ca="1" si="102"/>
        <v>1.3742414752655367</v>
      </c>
      <c r="AY187" s="34">
        <f t="shared" ca="1" si="103"/>
        <v>0</v>
      </c>
      <c r="AZ187" s="34">
        <f t="shared" ca="1" si="104"/>
        <v>216.009061362133</v>
      </c>
      <c r="BB187" s="34">
        <f t="shared" ca="1" si="127"/>
        <v>0</v>
      </c>
      <c r="BC187" s="34">
        <f t="shared" ca="1" si="105"/>
        <v>0</v>
      </c>
      <c r="BD187" s="34">
        <f t="shared" ca="1" si="105"/>
        <v>0</v>
      </c>
      <c r="BE187" s="34">
        <f t="shared" ca="1" si="105"/>
        <v>0</v>
      </c>
      <c r="BF187" s="34">
        <f t="shared" ca="1" si="105"/>
        <v>4080.8196789930253</v>
      </c>
      <c r="BG187" s="34">
        <f t="shared" ca="1" si="105"/>
        <v>19346.697935253127</v>
      </c>
      <c r="BH187" s="34">
        <f t="shared" ca="1" si="105"/>
        <v>23928.883578439847</v>
      </c>
      <c r="BI187" s="34">
        <f t="shared" ca="1" si="105"/>
        <v>33026.569435919366</v>
      </c>
      <c r="BJ187" s="34">
        <f t="shared" ca="1" si="105"/>
        <v>71338.922155688619</v>
      </c>
      <c r="BK187" s="34">
        <f t="shared" ca="1" si="105"/>
        <v>0</v>
      </c>
      <c r="BL187" s="34">
        <f t="shared" ca="1" si="105"/>
        <v>0</v>
      </c>
      <c r="BM187" s="34">
        <f t="shared" ca="1" si="105"/>
        <v>0</v>
      </c>
      <c r="BN187" s="34">
        <f t="shared" ca="1" si="105"/>
        <v>0</v>
      </c>
      <c r="BO187" s="34">
        <f t="shared" ca="1" si="105"/>
        <v>0</v>
      </c>
      <c r="BP187" s="34">
        <f t="shared" ca="1" si="105"/>
        <v>0</v>
      </c>
      <c r="BQ187" s="34">
        <f t="shared" ca="1" si="105"/>
        <v>0</v>
      </c>
      <c r="BR187" s="34">
        <f t="shared" ca="1" si="105"/>
        <v>0</v>
      </c>
      <c r="BS187" s="34">
        <f t="shared" ca="1" si="106"/>
        <v>0</v>
      </c>
      <c r="BT187" s="34">
        <f t="shared" ca="1" si="106"/>
        <v>0</v>
      </c>
      <c r="BU187" s="34">
        <f t="shared" ca="1" si="106"/>
        <v>0</v>
      </c>
      <c r="BV187" s="34">
        <f t="shared" ca="1" si="106"/>
        <v>0</v>
      </c>
      <c r="BW187" s="34">
        <f t="shared" ca="1" si="106"/>
        <v>0</v>
      </c>
      <c r="BX187" s="34">
        <f t="shared" ca="1" si="106"/>
        <v>0</v>
      </c>
      <c r="BY187" s="34">
        <f t="shared" ca="1" si="106"/>
        <v>0</v>
      </c>
      <c r="BZ187" s="34">
        <f t="shared" ca="1" si="106"/>
        <v>0</v>
      </c>
      <c r="CA187" s="34">
        <f t="shared" ca="1" si="106"/>
        <v>0</v>
      </c>
      <c r="CB187" s="34">
        <f t="shared" ca="1" si="106"/>
        <v>0</v>
      </c>
      <c r="CC187" s="34">
        <f t="shared" ca="1" si="106"/>
        <v>0</v>
      </c>
      <c r="CD187" s="34">
        <f t="shared" ca="1" si="106"/>
        <v>0</v>
      </c>
      <c r="CE187" s="34">
        <f t="shared" ca="1" si="106"/>
        <v>0</v>
      </c>
      <c r="CF187" s="34">
        <f t="shared" ca="1" si="106"/>
        <v>0</v>
      </c>
      <c r="CG187" s="34">
        <f t="shared" ca="1" si="106"/>
        <v>0</v>
      </c>
      <c r="CH187" s="34">
        <f t="shared" ca="1" si="106"/>
        <v>0</v>
      </c>
      <c r="CI187" s="34">
        <f t="shared" ca="1" si="107"/>
        <v>0</v>
      </c>
      <c r="CJ187" s="34">
        <f t="shared" ca="1" si="107"/>
        <v>0</v>
      </c>
      <c r="CK187" s="34">
        <f t="shared" ca="1" si="107"/>
        <v>0</v>
      </c>
      <c r="CL187" s="34">
        <f t="shared" ca="1" si="107"/>
        <v>0</v>
      </c>
      <c r="CM187" s="34">
        <f t="shared" ca="1" si="107"/>
        <v>0</v>
      </c>
      <c r="CN187" s="34">
        <f t="shared" ca="1" si="107"/>
        <v>0</v>
      </c>
      <c r="CO187" s="34">
        <f t="shared" ca="1" si="107"/>
        <v>0</v>
      </c>
      <c r="CP187" s="34">
        <f t="shared" ca="1" si="107"/>
        <v>0</v>
      </c>
      <c r="CQ187" s="34">
        <f t="shared" ca="1" si="128"/>
        <v>151721.89278429397</v>
      </c>
      <c r="CR187" s="363">
        <v>0</v>
      </c>
      <c r="CS187" s="34">
        <f t="shared" ca="1" si="129"/>
        <v>151721.89278429397</v>
      </c>
      <c r="CT187" s="233"/>
    </row>
    <row r="188" spans="2:98" x14ac:dyDescent="0.3">
      <c r="B188" s="232"/>
      <c r="C188" s="250">
        <f t="shared" si="130"/>
        <v>2022</v>
      </c>
      <c r="D188" s="263">
        <f t="shared" ca="1" si="108"/>
        <v>80663.38398065629</v>
      </c>
      <c r="E188" s="263">
        <f t="shared" ca="1" si="94"/>
        <v>533.54370605133818</v>
      </c>
      <c r="F188" s="263">
        <f t="shared" ca="1" si="95"/>
        <v>0</v>
      </c>
      <c r="G188" s="263">
        <f t="shared" ca="1" si="109"/>
        <v>83864.64621696432</v>
      </c>
      <c r="H188" s="15"/>
      <c r="I188" s="271">
        <f ca="1">Assumptions!O$68</f>
        <v>4.5</v>
      </c>
      <c r="J188" s="271">
        <f ca="1">Assumptions!P$68</f>
        <v>80</v>
      </c>
      <c r="K188" s="271">
        <f t="shared" ca="1" si="96"/>
        <v>40</v>
      </c>
      <c r="L188" s="15"/>
      <c r="M188" s="35">
        <f t="shared" ca="1" si="110"/>
        <v>4.2299999999999995</v>
      </c>
      <c r="N188" s="35">
        <f t="shared" ca="1" si="97"/>
        <v>74.400000000000006</v>
      </c>
      <c r="O188" s="35">
        <f t="shared" ca="1" si="98"/>
        <v>37.200000000000003</v>
      </c>
      <c r="P188" s="15"/>
      <c r="Q188" s="34">
        <f t="shared" ca="1" si="111"/>
        <v>341206.11423817609</v>
      </c>
      <c r="R188" s="34">
        <f t="shared" ca="1" si="112"/>
        <v>39695.651730219564</v>
      </c>
      <c r="S188" s="34">
        <f t="shared" ca="1" si="113"/>
        <v>0</v>
      </c>
      <c r="T188" s="34">
        <f t="shared" ca="1" si="114"/>
        <v>380901.76596839563</v>
      </c>
      <c r="U188" s="15"/>
      <c r="V188" s="35">
        <f t="shared" si="115"/>
        <v>0.31</v>
      </c>
      <c r="W188" s="34">
        <f t="shared" ca="1" si="116"/>
        <v>25998.040327258939</v>
      </c>
      <c r="X188" s="35">
        <f t="shared" si="117"/>
        <v>0.37</v>
      </c>
      <c r="Y188" s="34">
        <f t="shared" ca="1" si="118"/>
        <v>31029.919100276798</v>
      </c>
      <c r="Z188" s="35">
        <f t="shared" si="119"/>
        <v>0.57999999999999996</v>
      </c>
      <c r="AA188" s="34">
        <f t="shared" ca="1" si="120"/>
        <v>48641.494805839306</v>
      </c>
      <c r="AB188" s="34">
        <f t="shared" ca="1" si="121"/>
        <v>105669.45423337504</v>
      </c>
      <c r="AC188" s="15"/>
      <c r="AD188" s="34">
        <f t="shared" ca="1" si="122"/>
        <v>275232.3117350206</v>
      </c>
      <c r="AE188" s="34">
        <f ca="1"/>
        <v>178143.71257485033</v>
      </c>
      <c r="AF188" s="34">
        <f t="shared" ca="1" si="123"/>
        <v>97088.59916017027</v>
      </c>
      <c r="AG188" s="15"/>
      <c r="AH188" s="272">
        <f t="shared" si="131"/>
        <v>44926</v>
      </c>
      <c r="AI188" s="267">
        <f t="shared" si="99"/>
        <v>8.6666666666666661</v>
      </c>
      <c r="AJ188" s="267">
        <f t="shared" si="100"/>
        <v>0.4377875384583188</v>
      </c>
      <c r="AK188" s="34">
        <f t="shared" ca="1" si="132"/>
        <v>42504.178838697342</v>
      </c>
      <c r="AL188" s="233"/>
      <c r="AN188" s="232"/>
      <c r="AO188" s="237">
        <f t="shared" si="124"/>
        <v>9</v>
      </c>
      <c r="AP188" s="34">
        <f t="shared" ref="AP188:AS188" ca="1" si="140">+AP138</f>
        <v>193.47036650761675</v>
      </c>
      <c r="AQ188" s="34">
        <f t="shared" ca="1" si="140"/>
        <v>1.2796995521826688</v>
      </c>
      <c r="AR188" s="34">
        <f t="shared" ca="1" si="140"/>
        <v>0</v>
      </c>
      <c r="AS188" s="34">
        <f t="shared" ca="1" si="140"/>
        <v>201.14856382071275</v>
      </c>
      <c r="AT188" s="15"/>
      <c r="AW188" s="34">
        <f t="shared" ca="1" si="126"/>
        <v>193.47036650761675</v>
      </c>
      <c r="AX188" s="34">
        <f t="shared" ca="1" si="102"/>
        <v>1.2796995521826688</v>
      </c>
      <c r="AY188" s="34">
        <f t="shared" ca="1" si="103"/>
        <v>0</v>
      </c>
      <c r="AZ188" s="34">
        <f t="shared" ca="1" si="104"/>
        <v>201.14856382071275</v>
      </c>
      <c r="BB188" s="34">
        <f t="shared" ca="1" si="127"/>
        <v>0</v>
      </c>
      <c r="BC188" s="34">
        <f t="shared" ca="1" si="105"/>
        <v>0</v>
      </c>
      <c r="BD188" s="34">
        <f t="shared" ca="1" si="105"/>
        <v>0</v>
      </c>
      <c r="BE188" s="34">
        <f t="shared" ca="1" si="105"/>
        <v>0</v>
      </c>
      <c r="BF188" s="34">
        <f t="shared" ca="1" si="105"/>
        <v>3591.7312503126427</v>
      </c>
      <c r="BG188" s="34">
        <f t="shared" ca="1" si="105"/>
        <v>16496.488078315044</v>
      </c>
      <c r="BH188" s="34">
        <f t="shared" ca="1" si="105"/>
        <v>19346.697935253127</v>
      </c>
      <c r="BI188" s="34">
        <f t="shared" ca="1" si="105"/>
        <v>23928.883578439847</v>
      </c>
      <c r="BJ188" s="34">
        <f t="shared" ca="1" si="105"/>
        <v>33026.569435919366</v>
      </c>
      <c r="BK188" s="34">
        <f t="shared" ca="1" si="105"/>
        <v>71338.922155688619</v>
      </c>
      <c r="BL188" s="34">
        <f t="shared" ca="1" si="105"/>
        <v>0</v>
      </c>
      <c r="BM188" s="34">
        <f t="shared" ca="1" si="105"/>
        <v>0</v>
      </c>
      <c r="BN188" s="34">
        <f t="shared" ca="1" si="105"/>
        <v>0</v>
      </c>
      <c r="BO188" s="34">
        <f t="shared" ca="1" si="105"/>
        <v>0</v>
      </c>
      <c r="BP188" s="34">
        <f t="shared" ca="1" si="105"/>
        <v>0</v>
      </c>
      <c r="BQ188" s="34">
        <f t="shared" ca="1" si="105"/>
        <v>0</v>
      </c>
      <c r="BR188" s="34">
        <f t="shared" ca="1" si="105"/>
        <v>0</v>
      </c>
      <c r="BS188" s="34">
        <f t="shared" ca="1" si="106"/>
        <v>0</v>
      </c>
      <c r="BT188" s="34">
        <f t="shared" ca="1" si="106"/>
        <v>0</v>
      </c>
      <c r="BU188" s="34">
        <f t="shared" ca="1" si="106"/>
        <v>0</v>
      </c>
      <c r="BV188" s="34">
        <f t="shared" ca="1" si="106"/>
        <v>0</v>
      </c>
      <c r="BW188" s="34">
        <f t="shared" ca="1" si="106"/>
        <v>0</v>
      </c>
      <c r="BX188" s="34">
        <f t="shared" ca="1" si="106"/>
        <v>0</v>
      </c>
      <c r="BY188" s="34">
        <f t="shared" ca="1" si="106"/>
        <v>0</v>
      </c>
      <c r="BZ188" s="34">
        <f t="shared" ca="1" si="106"/>
        <v>0</v>
      </c>
      <c r="CA188" s="34">
        <f t="shared" ca="1" si="106"/>
        <v>0</v>
      </c>
      <c r="CB188" s="34">
        <f t="shared" ca="1" si="106"/>
        <v>0</v>
      </c>
      <c r="CC188" s="34">
        <f t="shared" ca="1" si="106"/>
        <v>0</v>
      </c>
      <c r="CD188" s="34">
        <f t="shared" ca="1" si="106"/>
        <v>0</v>
      </c>
      <c r="CE188" s="34">
        <f t="shared" ca="1" si="106"/>
        <v>0</v>
      </c>
      <c r="CF188" s="34">
        <f t="shared" ca="1" si="106"/>
        <v>0</v>
      </c>
      <c r="CG188" s="34">
        <f t="shared" ca="1" si="106"/>
        <v>0</v>
      </c>
      <c r="CH188" s="34">
        <f t="shared" ca="1" si="106"/>
        <v>0</v>
      </c>
      <c r="CI188" s="34">
        <f t="shared" ca="1" si="107"/>
        <v>0</v>
      </c>
      <c r="CJ188" s="34">
        <f t="shared" ca="1" si="107"/>
        <v>0</v>
      </c>
      <c r="CK188" s="34">
        <f t="shared" ca="1" si="107"/>
        <v>0</v>
      </c>
      <c r="CL188" s="34">
        <f t="shared" ca="1" si="107"/>
        <v>0</v>
      </c>
      <c r="CM188" s="34">
        <f t="shared" ca="1" si="107"/>
        <v>0</v>
      </c>
      <c r="CN188" s="34">
        <f t="shared" ca="1" si="107"/>
        <v>0</v>
      </c>
      <c r="CO188" s="34">
        <f t="shared" ca="1" si="107"/>
        <v>0</v>
      </c>
      <c r="CP188" s="34">
        <f t="shared" ca="1" si="107"/>
        <v>0</v>
      </c>
      <c r="CQ188" s="34">
        <f t="shared" ca="1" si="128"/>
        <v>167729.29243392864</v>
      </c>
      <c r="CR188" s="363">
        <v>0</v>
      </c>
      <c r="CS188" s="34">
        <f t="shared" ca="1" si="129"/>
        <v>167729.29243392864</v>
      </c>
      <c r="CT188" s="233"/>
    </row>
    <row r="189" spans="2:98" x14ac:dyDescent="0.3">
      <c r="B189" s="232"/>
      <c r="C189" s="250">
        <f t="shared" si="130"/>
        <v>2023</v>
      </c>
      <c r="D189" s="263">
        <f t="shared" ca="1" si="108"/>
        <v>87471.389827765001</v>
      </c>
      <c r="E189" s="263">
        <f t="shared" ca="1" si="94"/>
        <v>578.57490225501624</v>
      </c>
      <c r="F189" s="263">
        <f t="shared" ca="1" si="95"/>
        <v>0</v>
      </c>
      <c r="G189" s="263">
        <f t="shared" ca="1" si="109"/>
        <v>90942.839241295093</v>
      </c>
      <c r="H189" s="15"/>
      <c r="I189" s="271">
        <f ca="1">Assumptions!O$68</f>
        <v>4.5</v>
      </c>
      <c r="J189" s="271">
        <f ca="1">Assumptions!P$68</f>
        <v>80</v>
      </c>
      <c r="K189" s="271">
        <f t="shared" ca="1" si="96"/>
        <v>40</v>
      </c>
      <c r="L189" s="15"/>
      <c r="M189" s="35">
        <f t="shared" ca="1" si="110"/>
        <v>4.2299999999999995</v>
      </c>
      <c r="N189" s="35">
        <f t="shared" ca="1" si="97"/>
        <v>74.400000000000006</v>
      </c>
      <c r="O189" s="35">
        <f t="shared" ca="1" si="98"/>
        <v>37.200000000000003</v>
      </c>
      <c r="P189" s="15"/>
      <c r="Q189" s="34">
        <f t="shared" ca="1" si="111"/>
        <v>370003.97897144593</v>
      </c>
      <c r="R189" s="34">
        <f t="shared" ca="1" si="112"/>
        <v>43045.972727773209</v>
      </c>
      <c r="S189" s="34">
        <f t="shared" ca="1" si="113"/>
        <v>0</v>
      </c>
      <c r="T189" s="34">
        <f t="shared" ca="1" si="114"/>
        <v>413049.95169921912</v>
      </c>
      <c r="U189" s="15"/>
      <c r="V189" s="35">
        <f t="shared" si="115"/>
        <v>0.31</v>
      </c>
      <c r="W189" s="34">
        <f t="shared" ca="1" si="116"/>
        <v>28192.280164801479</v>
      </c>
      <c r="X189" s="35">
        <f t="shared" si="117"/>
        <v>0.37</v>
      </c>
      <c r="Y189" s="34">
        <f t="shared" ca="1" si="118"/>
        <v>33648.850519279185</v>
      </c>
      <c r="Z189" s="35">
        <f t="shared" si="119"/>
        <v>0.57999999999999996</v>
      </c>
      <c r="AA189" s="34">
        <f t="shared" ca="1" si="120"/>
        <v>52746.84675995115</v>
      </c>
      <c r="AB189" s="34">
        <f t="shared" ca="1" si="121"/>
        <v>114587.97744403181</v>
      </c>
      <c r="AC189" s="15"/>
      <c r="AD189" s="34">
        <f t="shared" ca="1" si="122"/>
        <v>298461.97425518732</v>
      </c>
      <c r="AE189" s="34">
        <f ca="1"/>
        <v>178143.71257485033</v>
      </c>
      <c r="AF189" s="34">
        <f t="shared" ca="1" si="123"/>
        <v>120318.26168033699</v>
      </c>
      <c r="AG189" s="15"/>
      <c r="AH189" s="272">
        <f t="shared" si="131"/>
        <v>45291</v>
      </c>
      <c r="AI189" s="267">
        <f t="shared" si="99"/>
        <v>9.6666666666666661</v>
      </c>
      <c r="AJ189" s="267">
        <f t="shared" si="100"/>
        <v>0.39798867132574434</v>
      </c>
      <c r="AK189" s="34">
        <f t="shared" ca="1" si="132"/>
        <v>47885.305102380538</v>
      </c>
      <c r="AL189" s="233"/>
      <c r="AN189" s="232"/>
      <c r="AO189" s="237">
        <f t="shared" si="124"/>
        <v>10</v>
      </c>
      <c r="AP189" s="34">
        <f t="shared" ref="AP189:AS189" ca="1" si="141">+AP139</f>
        <v>181.43914062862891</v>
      </c>
      <c r="AQ189" s="34">
        <f t="shared" ca="1" si="141"/>
        <v>1.2001196421040723</v>
      </c>
      <c r="AR189" s="34">
        <f t="shared" ca="1" si="141"/>
        <v>0</v>
      </c>
      <c r="AS189" s="34">
        <f t="shared" ca="1" si="141"/>
        <v>188.63985848125333</v>
      </c>
      <c r="AT189" s="15"/>
      <c r="AW189" s="34">
        <f t="shared" ca="1" si="126"/>
        <v>181.43914062862891</v>
      </c>
      <c r="AX189" s="34">
        <f t="shared" ca="1" si="102"/>
        <v>1.2001196421040723</v>
      </c>
      <c r="AY189" s="34">
        <f t="shared" ca="1" si="103"/>
        <v>0</v>
      </c>
      <c r="AZ189" s="34">
        <f t="shared" ca="1" si="104"/>
        <v>188.63985848125333</v>
      </c>
      <c r="BB189" s="34">
        <f t="shared" ca="1" si="127"/>
        <v>0</v>
      </c>
      <c r="BC189" s="34">
        <f t="shared" ca="1" si="105"/>
        <v>0</v>
      </c>
      <c r="BD189" s="34">
        <f t="shared" ca="1" si="105"/>
        <v>0</v>
      </c>
      <c r="BE189" s="34">
        <f t="shared" ca="1" si="105"/>
        <v>0</v>
      </c>
      <c r="BF189" s="34">
        <f t="shared" ca="1" si="105"/>
        <v>3228.742170417971</v>
      </c>
      <c r="BG189" s="34">
        <f t="shared" ca="1" si="105"/>
        <v>14519.375128556216</v>
      </c>
      <c r="BH189" s="34">
        <f t="shared" ca="1" si="105"/>
        <v>16496.488078315044</v>
      </c>
      <c r="BI189" s="34">
        <f t="shared" ca="1" si="105"/>
        <v>19346.697935253127</v>
      </c>
      <c r="BJ189" s="34">
        <f t="shared" ca="1" si="105"/>
        <v>23928.883578439847</v>
      </c>
      <c r="BK189" s="34">
        <f t="shared" ca="1" si="105"/>
        <v>33026.569435919366</v>
      </c>
      <c r="BL189" s="34">
        <f t="shared" ca="1" si="105"/>
        <v>71338.922155688619</v>
      </c>
      <c r="BM189" s="34">
        <f t="shared" ca="1" si="105"/>
        <v>0</v>
      </c>
      <c r="BN189" s="34">
        <f t="shared" ca="1" si="105"/>
        <v>0</v>
      </c>
      <c r="BO189" s="34">
        <f t="shared" ca="1" si="105"/>
        <v>0</v>
      </c>
      <c r="BP189" s="34">
        <f t="shared" ca="1" si="105"/>
        <v>0</v>
      </c>
      <c r="BQ189" s="34">
        <f t="shared" ca="1" si="105"/>
        <v>0</v>
      </c>
      <c r="BR189" s="34">
        <f t="shared" ca="1" si="105"/>
        <v>0</v>
      </c>
      <c r="BS189" s="34">
        <f t="shared" ca="1" si="106"/>
        <v>0</v>
      </c>
      <c r="BT189" s="34">
        <f t="shared" ca="1" si="106"/>
        <v>0</v>
      </c>
      <c r="BU189" s="34">
        <f t="shared" ca="1" si="106"/>
        <v>0</v>
      </c>
      <c r="BV189" s="34">
        <f t="shared" ca="1" si="106"/>
        <v>0</v>
      </c>
      <c r="BW189" s="34">
        <f t="shared" ca="1" si="106"/>
        <v>0</v>
      </c>
      <c r="BX189" s="34">
        <f t="shared" ca="1" si="106"/>
        <v>0</v>
      </c>
      <c r="BY189" s="34">
        <f t="shared" ca="1" si="106"/>
        <v>0</v>
      </c>
      <c r="BZ189" s="34">
        <f t="shared" ca="1" si="106"/>
        <v>0</v>
      </c>
      <c r="CA189" s="34">
        <f t="shared" ca="1" si="106"/>
        <v>0</v>
      </c>
      <c r="CB189" s="34">
        <f t="shared" ca="1" si="106"/>
        <v>0</v>
      </c>
      <c r="CC189" s="34">
        <f t="shared" ca="1" si="106"/>
        <v>0</v>
      </c>
      <c r="CD189" s="34">
        <f t="shared" ca="1" si="106"/>
        <v>0</v>
      </c>
      <c r="CE189" s="34">
        <f t="shared" ca="1" si="106"/>
        <v>0</v>
      </c>
      <c r="CF189" s="34">
        <f t="shared" ca="1" si="106"/>
        <v>0</v>
      </c>
      <c r="CG189" s="34">
        <f t="shared" ca="1" si="106"/>
        <v>0</v>
      </c>
      <c r="CH189" s="34">
        <f t="shared" ca="1" si="106"/>
        <v>0</v>
      </c>
      <c r="CI189" s="34">
        <f t="shared" ca="1" si="107"/>
        <v>0</v>
      </c>
      <c r="CJ189" s="34">
        <f t="shared" ca="1" si="107"/>
        <v>0</v>
      </c>
      <c r="CK189" s="34">
        <f t="shared" ca="1" si="107"/>
        <v>0</v>
      </c>
      <c r="CL189" s="34">
        <f t="shared" ca="1" si="107"/>
        <v>0</v>
      </c>
      <c r="CM189" s="34">
        <f t="shared" ca="1" si="107"/>
        <v>0</v>
      </c>
      <c r="CN189" s="34">
        <f t="shared" ca="1" si="107"/>
        <v>0</v>
      </c>
      <c r="CO189" s="34">
        <f t="shared" ca="1" si="107"/>
        <v>0</v>
      </c>
      <c r="CP189" s="34">
        <f t="shared" ca="1" si="107"/>
        <v>0</v>
      </c>
      <c r="CQ189" s="34">
        <f t="shared" ca="1" si="128"/>
        <v>181885.67848259019</v>
      </c>
      <c r="CR189" s="363">
        <v>0</v>
      </c>
      <c r="CS189" s="34">
        <f t="shared" ca="1" si="129"/>
        <v>181885.67848259019</v>
      </c>
      <c r="CT189" s="233"/>
    </row>
    <row r="190" spans="2:98" x14ac:dyDescent="0.3">
      <c r="B190" s="232"/>
      <c r="C190" s="250">
        <f t="shared" si="130"/>
        <v>2024</v>
      </c>
      <c r="D190" s="263">
        <f t="shared" ca="1" si="108"/>
        <v>93612.596396709036</v>
      </c>
      <c r="E190" s="263">
        <f t="shared" ca="1" si="94"/>
        <v>619.1955897432448</v>
      </c>
      <c r="F190" s="263">
        <f t="shared" ca="1" si="95"/>
        <v>0</v>
      </c>
      <c r="G190" s="263">
        <f t="shared" ca="1" si="109"/>
        <v>97327.769935168501</v>
      </c>
      <c r="H190" s="15"/>
      <c r="I190" s="271">
        <f ca="1">Assumptions!O$68</f>
        <v>4.5</v>
      </c>
      <c r="J190" s="271">
        <f ca="1">Assumptions!P$68</f>
        <v>80</v>
      </c>
      <c r="K190" s="271">
        <f t="shared" ca="1" si="96"/>
        <v>40</v>
      </c>
      <c r="L190" s="15"/>
      <c r="M190" s="35">
        <f t="shared" ca="1" si="110"/>
        <v>4.2299999999999995</v>
      </c>
      <c r="N190" s="35">
        <f t="shared" ca="1" si="97"/>
        <v>74.400000000000006</v>
      </c>
      <c r="O190" s="35">
        <f t="shared" ca="1" si="98"/>
        <v>37.200000000000003</v>
      </c>
      <c r="P190" s="15"/>
      <c r="Q190" s="34">
        <f t="shared" ca="1" si="111"/>
        <v>395981.28275807918</v>
      </c>
      <c r="R190" s="34">
        <f t="shared" ca="1" si="112"/>
        <v>46068.151876897413</v>
      </c>
      <c r="S190" s="34">
        <f t="shared" ca="1" si="113"/>
        <v>0</v>
      </c>
      <c r="T190" s="34">
        <f t="shared" ca="1" si="114"/>
        <v>442049.43463497661</v>
      </c>
      <c r="U190" s="15"/>
      <c r="V190" s="35">
        <f t="shared" si="115"/>
        <v>0.31</v>
      </c>
      <c r="W190" s="34">
        <f t="shared" ca="1" si="116"/>
        <v>30171.608679902234</v>
      </c>
      <c r="X190" s="35">
        <f t="shared" si="117"/>
        <v>0.37</v>
      </c>
      <c r="Y190" s="34">
        <f t="shared" ca="1" si="118"/>
        <v>36011.274876012343</v>
      </c>
      <c r="Z190" s="35">
        <f t="shared" si="119"/>
        <v>0.57999999999999996</v>
      </c>
      <c r="AA190" s="34">
        <f t="shared" ca="1" si="120"/>
        <v>56450.106562397727</v>
      </c>
      <c r="AB190" s="34">
        <f t="shared" ca="1" si="121"/>
        <v>122632.9901183123</v>
      </c>
      <c r="AC190" s="15"/>
      <c r="AD190" s="34">
        <f t="shared" ca="1" si="122"/>
        <v>319416.44451666431</v>
      </c>
      <c r="AE190" s="34">
        <f ca="1"/>
        <v>178143.71257485033</v>
      </c>
      <c r="AF190" s="34">
        <f t="shared" ca="1" si="123"/>
        <v>141272.73194181398</v>
      </c>
      <c r="AG190" s="15"/>
      <c r="AH190" s="272">
        <f t="shared" si="131"/>
        <v>45657</v>
      </c>
      <c r="AI190" s="267">
        <f t="shared" si="99"/>
        <v>10.666666666666666</v>
      </c>
      <c r="AJ190" s="267">
        <f t="shared" si="100"/>
        <v>0.36180788302340394</v>
      </c>
      <c r="AK190" s="34">
        <f t="shared" ca="1" si="132"/>
        <v>51113.588072800536</v>
      </c>
      <c r="AL190" s="233"/>
      <c r="AN190" s="232"/>
      <c r="AO190" s="237">
        <f t="shared" si="124"/>
        <v>11</v>
      </c>
      <c r="AP190" s="34">
        <f t="shared" ref="AP190:AS190" ca="1" si="142">+AP140</f>
        <v>171.14472578090351</v>
      </c>
      <c r="AQ190" s="34">
        <f t="shared" ca="1" si="142"/>
        <v>1.1320277771408758</v>
      </c>
      <c r="AR190" s="34">
        <f t="shared" ca="1" si="142"/>
        <v>0</v>
      </c>
      <c r="AS190" s="34">
        <f t="shared" ca="1" si="142"/>
        <v>177.93689244374877</v>
      </c>
      <c r="AT190" s="15"/>
      <c r="AW190" s="34">
        <f t="shared" ca="1" si="126"/>
        <v>171.14472578090351</v>
      </c>
      <c r="AX190" s="34">
        <f t="shared" ca="1" si="102"/>
        <v>1.1320277771408758</v>
      </c>
      <c r="AY190" s="34">
        <f t="shared" ca="1" si="103"/>
        <v>0</v>
      </c>
      <c r="AZ190" s="34">
        <f t="shared" ca="1" si="104"/>
        <v>177.93689244374877</v>
      </c>
      <c r="BB190" s="34">
        <f t="shared" ca="1" si="127"/>
        <v>0</v>
      </c>
      <c r="BC190" s="34">
        <f t="shared" ca="1" si="105"/>
        <v>0</v>
      </c>
      <c r="BD190" s="34">
        <f t="shared" ca="1" si="105"/>
        <v>0</v>
      </c>
      <c r="BE190" s="34">
        <f t="shared" ca="1" si="105"/>
        <v>0</v>
      </c>
      <c r="BF190" s="34">
        <f t="shared" ca="1" si="105"/>
        <v>2946.5917291598598</v>
      </c>
      <c r="BG190" s="34">
        <f t="shared" ca="1" si="105"/>
        <v>13052.011829004938</v>
      </c>
      <c r="BH190" s="34">
        <f t="shared" ca="1" si="105"/>
        <v>14519.375128556216</v>
      </c>
      <c r="BI190" s="34">
        <f t="shared" ca="1" si="105"/>
        <v>16496.488078315044</v>
      </c>
      <c r="BJ190" s="34">
        <f t="shared" ca="1" si="105"/>
        <v>19346.697935253127</v>
      </c>
      <c r="BK190" s="34">
        <f t="shared" ca="1" si="105"/>
        <v>23928.883578439847</v>
      </c>
      <c r="BL190" s="34">
        <f t="shared" ca="1" si="105"/>
        <v>33026.569435919366</v>
      </c>
      <c r="BM190" s="34">
        <f t="shared" ca="1" si="105"/>
        <v>71338.922155688619</v>
      </c>
      <c r="BN190" s="34">
        <f t="shared" ca="1" si="105"/>
        <v>0</v>
      </c>
      <c r="BO190" s="34">
        <f t="shared" ca="1" si="105"/>
        <v>0</v>
      </c>
      <c r="BP190" s="34">
        <f t="shared" ca="1" si="105"/>
        <v>0</v>
      </c>
      <c r="BQ190" s="34">
        <f t="shared" ca="1" si="105"/>
        <v>0</v>
      </c>
      <c r="BR190" s="34">
        <f t="shared" ca="1" si="105"/>
        <v>0</v>
      </c>
      <c r="BS190" s="34">
        <f t="shared" ca="1" si="106"/>
        <v>0</v>
      </c>
      <c r="BT190" s="34">
        <f t="shared" ca="1" si="106"/>
        <v>0</v>
      </c>
      <c r="BU190" s="34">
        <f t="shared" ca="1" si="106"/>
        <v>0</v>
      </c>
      <c r="BV190" s="34">
        <f t="shared" ca="1" si="106"/>
        <v>0</v>
      </c>
      <c r="BW190" s="34">
        <f t="shared" ca="1" si="106"/>
        <v>0</v>
      </c>
      <c r="BX190" s="34">
        <f t="shared" ca="1" si="106"/>
        <v>0</v>
      </c>
      <c r="BY190" s="34">
        <f t="shared" ca="1" si="106"/>
        <v>0</v>
      </c>
      <c r="BZ190" s="34">
        <f t="shared" ca="1" si="106"/>
        <v>0</v>
      </c>
      <c r="CA190" s="34">
        <f t="shared" ca="1" si="106"/>
        <v>0</v>
      </c>
      <c r="CB190" s="34">
        <f t="shared" ca="1" si="106"/>
        <v>0</v>
      </c>
      <c r="CC190" s="34">
        <f t="shared" ca="1" si="106"/>
        <v>0</v>
      </c>
      <c r="CD190" s="34">
        <f t="shared" ca="1" si="106"/>
        <v>0</v>
      </c>
      <c r="CE190" s="34">
        <f t="shared" ca="1" si="106"/>
        <v>0</v>
      </c>
      <c r="CF190" s="34">
        <f t="shared" ca="1" si="106"/>
        <v>0</v>
      </c>
      <c r="CG190" s="34">
        <f t="shared" ca="1" si="106"/>
        <v>0</v>
      </c>
      <c r="CH190" s="34">
        <f t="shared" ca="1" si="106"/>
        <v>0</v>
      </c>
      <c r="CI190" s="34">
        <f t="shared" ca="1" si="107"/>
        <v>0</v>
      </c>
      <c r="CJ190" s="34">
        <f t="shared" ca="1" si="107"/>
        <v>0</v>
      </c>
      <c r="CK190" s="34">
        <f t="shared" ca="1" si="107"/>
        <v>0</v>
      </c>
      <c r="CL190" s="34">
        <f t="shared" ca="1" si="107"/>
        <v>0</v>
      </c>
      <c r="CM190" s="34">
        <f t="shared" ca="1" si="107"/>
        <v>0</v>
      </c>
      <c r="CN190" s="34">
        <f t="shared" ca="1" si="107"/>
        <v>0</v>
      </c>
      <c r="CO190" s="34">
        <f t="shared" ca="1" si="107"/>
        <v>0</v>
      </c>
      <c r="CP190" s="34">
        <f t="shared" ca="1" si="107"/>
        <v>0</v>
      </c>
      <c r="CQ190" s="34">
        <f t="shared" ca="1" si="128"/>
        <v>194655.539870337</v>
      </c>
      <c r="CR190" s="363">
        <v>0</v>
      </c>
      <c r="CS190" s="34">
        <f t="shared" ca="1" si="129"/>
        <v>194655.539870337</v>
      </c>
      <c r="CT190" s="233"/>
    </row>
    <row r="191" spans="2:98" x14ac:dyDescent="0.3">
      <c r="B191" s="232"/>
      <c r="C191" s="250">
        <f t="shared" si="130"/>
        <v>2025</v>
      </c>
      <c r="D191" s="263">
        <f t="shared" ca="1" si="108"/>
        <v>99231.885909616321</v>
      </c>
      <c r="E191" s="263">
        <f t="shared" ca="1" si="94"/>
        <v>656.36408434559075</v>
      </c>
      <c r="F191" s="263">
        <f t="shared" ca="1" si="95"/>
        <v>0</v>
      </c>
      <c r="G191" s="263">
        <f t="shared" ca="1" si="109"/>
        <v>103170.07041568987</v>
      </c>
      <c r="H191" s="15"/>
      <c r="I191" s="271">
        <f ca="1">Assumptions!O$68</f>
        <v>4.5</v>
      </c>
      <c r="J191" s="271">
        <f ca="1">Assumptions!P$68</f>
        <v>80</v>
      </c>
      <c r="K191" s="271">
        <f t="shared" ca="1" si="96"/>
        <v>40</v>
      </c>
      <c r="L191" s="15"/>
      <c r="M191" s="35">
        <f t="shared" ca="1" si="110"/>
        <v>4.2299999999999995</v>
      </c>
      <c r="N191" s="35">
        <f t="shared" ca="1" si="97"/>
        <v>74.400000000000006</v>
      </c>
      <c r="O191" s="35">
        <f t="shared" ca="1" si="98"/>
        <v>37.200000000000003</v>
      </c>
      <c r="P191" s="15"/>
      <c r="Q191" s="34">
        <f t="shared" ca="1" si="111"/>
        <v>419750.87739767699</v>
      </c>
      <c r="R191" s="34">
        <f t="shared" ca="1" si="112"/>
        <v>48833.487875311956</v>
      </c>
      <c r="S191" s="34">
        <f t="shared" ca="1" si="113"/>
        <v>0</v>
      </c>
      <c r="T191" s="34">
        <f t="shared" ca="1" si="114"/>
        <v>468584.36527298891</v>
      </c>
      <c r="U191" s="15"/>
      <c r="V191" s="35">
        <f t="shared" si="115"/>
        <v>0.31</v>
      </c>
      <c r="W191" s="34">
        <f t="shared" ca="1" si="116"/>
        <v>31982.721828863861</v>
      </c>
      <c r="X191" s="35">
        <f t="shared" si="117"/>
        <v>0.37</v>
      </c>
      <c r="Y191" s="34">
        <f t="shared" ca="1" si="118"/>
        <v>38172.926053805255</v>
      </c>
      <c r="Z191" s="35">
        <f t="shared" si="119"/>
        <v>0.57999999999999996</v>
      </c>
      <c r="AA191" s="34">
        <f t="shared" ca="1" si="120"/>
        <v>59838.640841100125</v>
      </c>
      <c r="AB191" s="34">
        <f t="shared" ca="1" si="121"/>
        <v>129994.28872376925</v>
      </c>
      <c r="AC191" s="15"/>
      <c r="AD191" s="34">
        <f t="shared" ca="1" si="122"/>
        <v>338590.07654921967</v>
      </c>
      <c r="AE191" s="34">
        <f ca="1"/>
        <v>178143.71257485033</v>
      </c>
      <c r="AF191" s="34">
        <f t="shared" ca="1" si="123"/>
        <v>160446.36397436933</v>
      </c>
      <c r="AG191" s="15"/>
      <c r="AH191" s="272">
        <f t="shared" si="131"/>
        <v>46022</v>
      </c>
      <c r="AI191" s="267">
        <f t="shared" si="99"/>
        <v>11.666666666666666</v>
      </c>
      <c r="AJ191" s="267">
        <f t="shared" si="100"/>
        <v>0.32891625729400353</v>
      </c>
      <c r="AK191" s="34">
        <f t="shared" ca="1" si="132"/>
        <v>52773.417534881002</v>
      </c>
      <c r="AL191" s="233"/>
      <c r="AN191" s="232"/>
      <c r="AO191" s="237">
        <f t="shared" si="124"/>
        <v>12</v>
      </c>
      <c r="AP191" s="34">
        <f t="shared" ref="AP191:AS191" ca="1" si="143">+AP141</f>
        <v>162.21648194090452</v>
      </c>
      <c r="AQ191" s="34">
        <f t="shared" ca="1" si="143"/>
        <v>1.0729723783732583</v>
      </c>
      <c r="AR191" s="34">
        <f t="shared" ca="1" si="143"/>
        <v>0</v>
      </c>
      <c r="AS191" s="34">
        <f t="shared" ca="1" si="143"/>
        <v>168.65431621114408</v>
      </c>
      <c r="AT191" s="15"/>
      <c r="AW191" s="34">
        <f t="shared" ca="1" si="126"/>
        <v>162.21648194090452</v>
      </c>
      <c r="AX191" s="34">
        <f t="shared" ca="1" si="102"/>
        <v>1.0729723783732583</v>
      </c>
      <c r="AY191" s="34">
        <f t="shared" ca="1" si="103"/>
        <v>0</v>
      </c>
      <c r="AZ191" s="34">
        <f t="shared" ca="1" si="104"/>
        <v>168.65431621114408</v>
      </c>
      <c r="BB191" s="34">
        <f t="shared" ca="1" si="127"/>
        <v>0</v>
      </c>
      <c r="BC191" s="34">
        <f t="shared" ca="1" si="105"/>
        <v>0</v>
      </c>
      <c r="BD191" s="34">
        <f t="shared" ca="1" si="105"/>
        <v>0</v>
      </c>
      <c r="BE191" s="34">
        <f t="shared" ca="1" si="105"/>
        <v>0</v>
      </c>
      <c r="BF191" s="34">
        <f t="shared" ca="1" si="105"/>
        <v>2719.7584305682576</v>
      </c>
      <c r="BG191" s="34">
        <f t="shared" ca="1" si="105"/>
        <v>11911.434259634292</v>
      </c>
      <c r="BH191" s="34">
        <f t="shared" ca="1" si="105"/>
        <v>13052.011829004938</v>
      </c>
      <c r="BI191" s="34">
        <f t="shared" ca="1" si="105"/>
        <v>14519.375128556216</v>
      </c>
      <c r="BJ191" s="34">
        <f t="shared" ca="1" si="105"/>
        <v>16496.488078315044</v>
      </c>
      <c r="BK191" s="34">
        <f t="shared" ca="1" si="105"/>
        <v>19346.697935253127</v>
      </c>
      <c r="BL191" s="34">
        <f t="shared" ca="1" si="105"/>
        <v>23928.883578439847</v>
      </c>
      <c r="BM191" s="34">
        <f t="shared" ca="1" si="105"/>
        <v>33026.569435919366</v>
      </c>
      <c r="BN191" s="34">
        <f t="shared" ca="1" si="105"/>
        <v>71338.922155688619</v>
      </c>
      <c r="BO191" s="34">
        <f t="shared" ca="1" si="105"/>
        <v>0</v>
      </c>
      <c r="BP191" s="34">
        <f t="shared" ca="1" si="105"/>
        <v>0</v>
      </c>
      <c r="BQ191" s="34">
        <f t="shared" ca="1" si="105"/>
        <v>0</v>
      </c>
      <c r="BR191" s="34">
        <f t="shared" ca="1" si="105"/>
        <v>0</v>
      </c>
      <c r="BS191" s="34">
        <f t="shared" ca="1" si="106"/>
        <v>0</v>
      </c>
      <c r="BT191" s="34">
        <f t="shared" ca="1" si="106"/>
        <v>0</v>
      </c>
      <c r="BU191" s="34">
        <f t="shared" ca="1" si="106"/>
        <v>0</v>
      </c>
      <c r="BV191" s="34">
        <f t="shared" ca="1" si="106"/>
        <v>0</v>
      </c>
      <c r="BW191" s="34">
        <f t="shared" ca="1" si="106"/>
        <v>0</v>
      </c>
      <c r="BX191" s="34">
        <f t="shared" ca="1" si="106"/>
        <v>0</v>
      </c>
      <c r="BY191" s="34">
        <f t="shared" ca="1" si="106"/>
        <v>0</v>
      </c>
      <c r="BZ191" s="34">
        <f t="shared" ca="1" si="106"/>
        <v>0</v>
      </c>
      <c r="CA191" s="34">
        <f t="shared" ca="1" si="106"/>
        <v>0</v>
      </c>
      <c r="CB191" s="34">
        <f t="shared" ca="1" si="106"/>
        <v>0</v>
      </c>
      <c r="CC191" s="34">
        <f t="shared" ca="1" si="106"/>
        <v>0</v>
      </c>
      <c r="CD191" s="34">
        <f t="shared" ca="1" si="106"/>
        <v>0</v>
      </c>
      <c r="CE191" s="34">
        <f t="shared" ca="1" si="106"/>
        <v>0</v>
      </c>
      <c r="CF191" s="34">
        <f t="shared" ca="1" si="106"/>
        <v>0</v>
      </c>
      <c r="CG191" s="34">
        <f t="shared" ca="1" si="106"/>
        <v>0</v>
      </c>
      <c r="CH191" s="34">
        <f t="shared" ca="1" si="106"/>
        <v>0</v>
      </c>
      <c r="CI191" s="34">
        <f t="shared" ca="1" si="107"/>
        <v>0</v>
      </c>
      <c r="CJ191" s="34">
        <f t="shared" ca="1" si="107"/>
        <v>0</v>
      </c>
      <c r="CK191" s="34">
        <f t="shared" ca="1" si="107"/>
        <v>0</v>
      </c>
      <c r="CL191" s="34">
        <f t="shared" ca="1" si="107"/>
        <v>0</v>
      </c>
      <c r="CM191" s="34">
        <f t="shared" ca="1" si="107"/>
        <v>0</v>
      </c>
      <c r="CN191" s="34">
        <f t="shared" ca="1" si="107"/>
        <v>0</v>
      </c>
      <c r="CO191" s="34">
        <f t="shared" ca="1" si="107"/>
        <v>0</v>
      </c>
      <c r="CP191" s="34">
        <f t="shared" ca="1" si="107"/>
        <v>0</v>
      </c>
      <c r="CQ191" s="34">
        <f t="shared" ca="1" si="128"/>
        <v>206340.14083137974</v>
      </c>
      <c r="CR191" s="363">
        <v>0</v>
      </c>
      <c r="CS191" s="34">
        <f t="shared" ca="1" si="129"/>
        <v>206340.14083137974</v>
      </c>
      <c r="CT191" s="233"/>
    </row>
    <row r="192" spans="2:98" x14ac:dyDescent="0.3">
      <c r="B192" s="232"/>
      <c r="C192" s="250">
        <f t="shared" si="130"/>
        <v>2026</v>
      </c>
      <c r="D192" s="263">
        <f t="shared" ca="1" si="108"/>
        <v>104429.30048957853</v>
      </c>
      <c r="E192" s="263">
        <f t="shared" ca="1" si="94"/>
        <v>690.74210941757747</v>
      </c>
      <c r="F192" s="263">
        <f t="shared" ca="1" si="95"/>
        <v>0</v>
      </c>
      <c r="G192" s="263">
        <f t="shared" ca="1" si="109"/>
        <v>108573.753146084</v>
      </c>
      <c r="H192" s="15"/>
      <c r="I192" s="271">
        <f ca="1">Assumptions!O$68</f>
        <v>4.5</v>
      </c>
      <c r="J192" s="271">
        <f ca="1">Assumptions!P$68</f>
        <v>80</v>
      </c>
      <c r="K192" s="271">
        <f t="shared" ca="1" si="96"/>
        <v>40</v>
      </c>
      <c r="L192" s="15"/>
      <c r="M192" s="35">
        <f t="shared" ca="1" si="110"/>
        <v>4.2299999999999995</v>
      </c>
      <c r="N192" s="35">
        <f t="shared" ca="1" si="97"/>
        <v>74.400000000000006</v>
      </c>
      <c r="O192" s="35">
        <f t="shared" ca="1" si="98"/>
        <v>37.200000000000003</v>
      </c>
      <c r="P192" s="15"/>
      <c r="Q192" s="34">
        <f t="shared" ca="1" si="111"/>
        <v>441735.94107091712</v>
      </c>
      <c r="R192" s="34">
        <f t="shared" ca="1" si="112"/>
        <v>51391.21294066777</v>
      </c>
      <c r="S192" s="34">
        <f t="shared" ca="1" si="113"/>
        <v>0</v>
      </c>
      <c r="T192" s="34">
        <f t="shared" ca="1" si="114"/>
        <v>493127.15401158488</v>
      </c>
      <c r="U192" s="15"/>
      <c r="V192" s="35">
        <f t="shared" si="115"/>
        <v>0.31</v>
      </c>
      <c r="W192" s="34">
        <f t="shared" ca="1" si="116"/>
        <v>33657.863475286038</v>
      </c>
      <c r="X192" s="35">
        <f t="shared" si="117"/>
        <v>0.37</v>
      </c>
      <c r="Y192" s="34">
        <f t="shared" ca="1" si="118"/>
        <v>40172.288664051077</v>
      </c>
      <c r="Z192" s="35">
        <f t="shared" si="119"/>
        <v>0.57999999999999996</v>
      </c>
      <c r="AA192" s="34">
        <f t="shared" ca="1" si="120"/>
        <v>62972.776824728717</v>
      </c>
      <c r="AB192" s="34">
        <f t="shared" ca="1" si="121"/>
        <v>136802.92896406585</v>
      </c>
      <c r="AC192" s="15"/>
      <c r="AD192" s="34">
        <f t="shared" ca="1" si="122"/>
        <v>356324.22504751902</v>
      </c>
      <c r="AE192" s="34">
        <f ca="1"/>
        <v>178143.71257485033</v>
      </c>
      <c r="AF192" s="34">
        <f t="shared" ca="1" si="123"/>
        <v>178180.51247266869</v>
      </c>
      <c r="AG192" s="15"/>
      <c r="AH192" s="272">
        <f t="shared" si="131"/>
        <v>46387</v>
      </c>
      <c r="AI192" s="267">
        <f t="shared" si="99"/>
        <v>12.666666666666666</v>
      </c>
      <c r="AJ192" s="267">
        <f t="shared" si="100"/>
        <v>0.29901477935818499</v>
      </c>
      <c r="AK192" s="34">
        <f t="shared" ca="1" si="132"/>
        <v>53278.606622943356</v>
      </c>
      <c r="AL192" s="233"/>
      <c r="AN192" s="232"/>
      <c r="AO192" s="237">
        <f t="shared" si="124"/>
        <v>13</v>
      </c>
      <c r="AP192" s="34">
        <f t="shared" ref="AP192:AS192" ca="1" si="144">+AP142</f>
        <v>154.3846588010997</v>
      </c>
      <c r="AQ192" s="34">
        <f t="shared" ca="1" si="144"/>
        <v>1.0211691965956111</v>
      </c>
      <c r="AR192" s="34">
        <f t="shared" ca="1" si="144"/>
        <v>0</v>
      </c>
      <c r="AS192" s="34">
        <f t="shared" ca="1" si="144"/>
        <v>160.51167398067338</v>
      </c>
      <c r="AT192" s="15"/>
      <c r="AW192" s="34">
        <f t="shared" ca="1" si="126"/>
        <v>154.3846588010997</v>
      </c>
      <c r="AX192" s="34">
        <f t="shared" ca="1" si="102"/>
        <v>1.0211691965956111</v>
      </c>
      <c r="AY192" s="34">
        <f t="shared" ca="1" si="103"/>
        <v>0</v>
      </c>
      <c r="AZ192" s="34">
        <f t="shared" ca="1" si="104"/>
        <v>160.51167398067338</v>
      </c>
      <c r="BB192" s="34">
        <f t="shared" ca="1" si="127"/>
        <v>0</v>
      </c>
      <c r="BC192" s="34">
        <f t="shared" ca="1" si="105"/>
        <v>0</v>
      </c>
      <c r="BD192" s="34">
        <f t="shared" ca="1" si="105"/>
        <v>0</v>
      </c>
      <c r="BE192" s="34">
        <f t="shared" ca="1" si="105"/>
        <v>0</v>
      </c>
      <c r="BF192" s="34">
        <f t="shared" ca="1" si="105"/>
        <v>2532.6507082539665</v>
      </c>
      <c r="BG192" s="34">
        <f t="shared" ca="1" si="105"/>
        <v>10994.473183102578</v>
      </c>
      <c r="BH192" s="34">
        <f t="shared" ca="1" si="105"/>
        <v>11911.434259634292</v>
      </c>
      <c r="BI192" s="34">
        <f t="shared" ca="1" si="105"/>
        <v>13052.011829004938</v>
      </c>
      <c r="BJ192" s="34">
        <f t="shared" ca="1" si="105"/>
        <v>14519.375128556216</v>
      </c>
      <c r="BK192" s="34">
        <f t="shared" ca="1" si="105"/>
        <v>16496.488078315044</v>
      </c>
      <c r="BL192" s="34">
        <f t="shared" ca="1" si="105"/>
        <v>19346.697935253127</v>
      </c>
      <c r="BM192" s="34">
        <f t="shared" ca="1" si="105"/>
        <v>23928.883578439847</v>
      </c>
      <c r="BN192" s="34">
        <f t="shared" ca="1" si="105"/>
        <v>33026.569435919366</v>
      </c>
      <c r="BO192" s="34">
        <f t="shared" ca="1" si="105"/>
        <v>71338.922155688619</v>
      </c>
      <c r="BP192" s="34">
        <f t="shared" ca="1" si="105"/>
        <v>0</v>
      </c>
      <c r="BQ192" s="34">
        <f t="shared" ca="1" si="105"/>
        <v>0</v>
      </c>
      <c r="BR192" s="34">
        <f t="shared" ca="1" si="105"/>
        <v>0</v>
      </c>
      <c r="BS192" s="34">
        <f t="shared" ca="1" si="106"/>
        <v>0</v>
      </c>
      <c r="BT192" s="34">
        <f t="shared" ca="1" si="106"/>
        <v>0</v>
      </c>
      <c r="BU192" s="34">
        <f t="shared" ca="1" si="106"/>
        <v>0</v>
      </c>
      <c r="BV192" s="34">
        <f t="shared" ca="1" si="106"/>
        <v>0</v>
      </c>
      <c r="BW192" s="34">
        <f t="shared" ca="1" si="106"/>
        <v>0</v>
      </c>
      <c r="BX192" s="34">
        <f t="shared" ca="1" si="106"/>
        <v>0</v>
      </c>
      <c r="BY192" s="34">
        <f t="shared" ca="1" si="106"/>
        <v>0</v>
      </c>
      <c r="BZ192" s="34">
        <f t="shared" ca="1" si="106"/>
        <v>0</v>
      </c>
      <c r="CA192" s="34">
        <f t="shared" ca="1" si="106"/>
        <v>0</v>
      </c>
      <c r="CB192" s="34">
        <f t="shared" ca="1" si="106"/>
        <v>0</v>
      </c>
      <c r="CC192" s="34">
        <f t="shared" ca="1" si="106"/>
        <v>0</v>
      </c>
      <c r="CD192" s="34">
        <f t="shared" ca="1" si="106"/>
        <v>0</v>
      </c>
      <c r="CE192" s="34">
        <f t="shared" ca="1" si="106"/>
        <v>0</v>
      </c>
      <c r="CF192" s="34">
        <f t="shared" ca="1" si="106"/>
        <v>0</v>
      </c>
      <c r="CG192" s="34">
        <f t="shared" ca="1" si="106"/>
        <v>0</v>
      </c>
      <c r="CH192" s="34">
        <f t="shared" ca="1" si="106"/>
        <v>0</v>
      </c>
      <c r="CI192" s="34">
        <f t="shared" ca="1" si="107"/>
        <v>0</v>
      </c>
      <c r="CJ192" s="34">
        <f t="shared" ca="1" si="107"/>
        <v>0</v>
      </c>
      <c r="CK192" s="34">
        <f t="shared" ca="1" si="107"/>
        <v>0</v>
      </c>
      <c r="CL192" s="34">
        <f t="shared" ca="1" si="107"/>
        <v>0</v>
      </c>
      <c r="CM192" s="34">
        <f t="shared" ca="1" si="107"/>
        <v>0</v>
      </c>
      <c r="CN192" s="34">
        <f t="shared" ca="1" si="107"/>
        <v>0</v>
      </c>
      <c r="CO192" s="34">
        <f t="shared" ca="1" si="107"/>
        <v>0</v>
      </c>
      <c r="CP192" s="34">
        <f t="shared" ca="1" si="107"/>
        <v>0</v>
      </c>
      <c r="CQ192" s="34">
        <f t="shared" ca="1" si="128"/>
        <v>217147.50629216799</v>
      </c>
      <c r="CR192" s="363">
        <v>0</v>
      </c>
      <c r="CS192" s="34">
        <f t="shared" ca="1" si="129"/>
        <v>217147.50629216799</v>
      </c>
      <c r="CT192" s="233"/>
    </row>
    <row r="193" spans="2:98" x14ac:dyDescent="0.3">
      <c r="B193" s="232"/>
      <c r="C193" s="250">
        <f t="shared" si="130"/>
        <v>2027</v>
      </c>
      <c r="D193" s="263">
        <f t="shared" ca="1" si="108"/>
        <v>109277.20528364502</v>
      </c>
      <c r="E193" s="263">
        <f t="shared" ca="1" si="94"/>
        <v>722.80832041401356</v>
      </c>
      <c r="F193" s="263">
        <f t="shared" ca="1" si="95"/>
        <v>0</v>
      </c>
      <c r="G193" s="263">
        <f t="shared" ca="1" si="109"/>
        <v>113614.05520612909</v>
      </c>
      <c r="H193" s="15"/>
      <c r="I193" s="271">
        <f ca="1">Assumptions!O$68</f>
        <v>4.5</v>
      </c>
      <c r="J193" s="271">
        <f ca="1">Assumptions!P$68</f>
        <v>80</v>
      </c>
      <c r="K193" s="271">
        <f t="shared" ca="1" si="96"/>
        <v>40</v>
      </c>
      <c r="L193" s="15"/>
      <c r="M193" s="35">
        <f t="shared" ca="1" si="110"/>
        <v>4.2299999999999995</v>
      </c>
      <c r="N193" s="35">
        <f t="shared" ca="1" si="97"/>
        <v>74.400000000000006</v>
      </c>
      <c r="O193" s="35">
        <f t="shared" ca="1" si="98"/>
        <v>37.200000000000003</v>
      </c>
      <c r="P193" s="15"/>
      <c r="Q193" s="34">
        <f t="shared" ca="1" si="111"/>
        <v>462242.57834981836</v>
      </c>
      <c r="R193" s="34">
        <f t="shared" ca="1" si="112"/>
        <v>53776.939038802615</v>
      </c>
      <c r="S193" s="34">
        <f t="shared" ca="1" si="113"/>
        <v>0</v>
      </c>
      <c r="T193" s="34">
        <f t="shared" ca="1" si="114"/>
        <v>516019.517388621</v>
      </c>
      <c r="U193" s="15"/>
      <c r="V193" s="35">
        <f t="shared" si="115"/>
        <v>0.31</v>
      </c>
      <c r="W193" s="34">
        <f t="shared" ca="1" si="116"/>
        <v>35220.35711390002</v>
      </c>
      <c r="X193" s="35">
        <f t="shared" si="117"/>
        <v>0.37</v>
      </c>
      <c r="Y193" s="34">
        <f t="shared" ca="1" si="118"/>
        <v>42037.200426267766</v>
      </c>
      <c r="Z193" s="35">
        <f t="shared" si="119"/>
        <v>0.57999999999999996</v>
      </c>
      <c r="AA193" s="34">
        <f t="shared" ca="1" si="120"/>
        <v>65896.152019554866</v>
      </c>
      <c r="AB193" s="34">
        <f t="shared" ca="1" si="121"/>
        <v>143153.70955972266</v>
      </c>
      <c r="AC193" s="15"/>
      <c r="AD193" s="34">
        <f t="shared" ca="1" si="122"/>
        <v>372865.80782889831</v>
      </c>
      <c r="AE193" s="34">
        <f ca="1"/>
        <v>178143.71257485033</v>
      </c>
      <c r="AF193" s="34">
        <f t="shared" ca="1" si="123"/>
        <v>194722.09525404798</v>
      </c>
      <c r="AG193" s="15"/>
      <c r="AH193" s="272">
        <f t="shared" si="131"/>
        <v>46752</v>
      </c>
      <c r="AI193" s="267">
        <f t="shared" si="99"/>
        <v>13.666666666666666</v>
      </c>
      <c r="AJ193" s="267">
        <f t="shared" si="100"/>
        <v>0.27183161759835001</v>
      </c>
      <c r="AK193" s="34">
        <f t="shared" ca="1" si="132"/>
        <v>52931.622135047852</v>
      </c>
      <c r="AL193" s="233"/>
      <c r="AN193" s="232"/>
      <c r="AO193" s="237">
        <f t="shared" si="124"/>
        <v>14</v>
      </c>
      <c r="AP193" s="34">
        <f t="shared" ref="AP193:AS193" ca="1" si="145">+AP143</f>
        <v>147.4478307150566</v>
      </c>
      <c r="AQ193" s="34">
        <f t="shared" ca="1" si="145"/>
        <v>0.97528591247556973</v>
      </c>
      <c r="AR193" s="34">
        <f t="shared" ca="1" si="145"/>
        <v>0</v>
      </c>
      <c r="AS193" s="34">
        <f t="shared" ca="1" si="145"/>
        <v>153.29954618991002</v>
      </c>
      <c r="AT193" s="15"/>
      <c r="AW193" s="34">
        <f t="shared" ca="1" si="126"/>
        <v>147.4478307150566</v>
      </c>
      <c r="AX193" s="34">
        <f t="shared" ca="1" si="102"/>
        <v>0.97528591247556973</v>
      </c>
      <c r="AY193" s="34">
        <f t="shared" ca="1" si="103"/>
        <v>0</v>
      </c>
      <c r="AZ193" s="34">
        <f t="shared" ca="1" si="104"/>
        <v>153.29954618991002</v>
      </c>
      <c r="BB193" s="34">
        <f t="shared" ca="1" si="127"/>
        <v>0</v>
      </c>
      <c r="BC193" s="34">
        <f t="shared" ca="1" si="105"/>
        <v>0</v>
      </c>
      <c r="BD193" s="34">
        <f t="shared" ca="1" si="105"/>
        <v>0</v>
      </c>
      <c r="BE193" s="34">
        <f t="shared" ca="1" si="105"/>
        <v>0</v>
      </c>
      <c r="BF193" s="34">
        <f t="shared" ca="1" si="105"/>
        <v>2375.1542745953143</v>
      </c>
      <c r="BG193" s="34">
        <f t="shared" ca="1" si="105"/>
        <v>10238.100553748853</v>
      </c>
      <c r="BH193" s="34">
        <f t="shared" ca="1" si="105"/>
        <v>10994.473183102578</v>
      </c>
      <c r="BI193" s="34">
        <f t="shared" ca="1" si="105"/>
        <v>11911.434259634292</v>
      </c>
      <c r="BJ193" s="34">
        <f t="shared" ca="1" si="105"/>
        <v>13052.011829004938</v>
      </c>
      <c r="BK193" s="34">
        <f t="shared" ca="1" si="105"/>
        <v>14519.375128556216</v>
      </c>
      <c r="BL193" s="34">
        <f t="shared" ca="1" si="105"/>
        <v>16496.488078315044</v>
      </c>
      <c r="BM193" s="34">
        <f t="shared" ca="1" si="105"/>
        <v>19346.697935253127</v>
      </c>
      <c r="BN193" s="34">
        <f t="shared" ca="1" si="105"/>
        <v>23928.883578439847</v>
      </c>
      <c r="BO193" s="34">
        <f t="shared" ca="1" si="105"/>
        <v>33026.569435919366</v>
      </c>
      <c r="BP193" s="34">
        <f t="shared" ca="1" si="105"/>
        <v>71338.922155688619</v>
      </c>
      <c r="BQ193" s="34">
        <f t="shared" ca="1" si="105"/>
        <v>0</v>
      </c>
      <c r="BR193" s="34">
        <f t="shared" ca="1" si="105"/>
        <v>0</v>
      </c>
      <c r="BS193" s="34">
        <f t="shared" ca="1" si="106"/>
        <v>0</v>
      </c>
      <c r="BT193" s="34">
        <f t="shared" ca="1" si="106"/>
        <v>0</v>
      </c>
      <c r="BU193" s="34">
        <f t="shared" ca="1" si="106"/>
        <v>0</v>
      </c>
      <c r="BV193" s="34">
        <f t="shared" ca="1" si="106"/>
        <v>0</v>
      </c>
      <c r="BW193" s="34">
        <f t="shared" ca="1" si="106"/>
        <v>0</v>
      </c>
      <c r="BX193" s="34">
        <f t="shared" ca="1" si="106"/>
        <v>0</v>
      </c>
      <c r="BY193" s="34">
        <f t="shared" ca="1" si="106"/>
        <v>0</v>
      </c>
      <c r="BZ193" s="34">
        <f t="shared" ca="1" si="106"/>
        <v>0</v>
      </c>
      <c r="CA193" s="34">
        <f t="shared" ca="1" si="106"/>
        <v>0</v>
      </c>
      <c r="CB193" s="34">
        <f t="shared" ca="1" si="106"/>
        <v>0</v>
      </c>
      <c r="CC193" s="34">
        <f t="shared" ca="1" si="106"/>
        <v>0</v>
      </c>
      <c r="CD193" s="34">
        <f t="shared" ca="1" si="106"/>
        <v>0</v>
      </c>
      <c r="CE193" s="34">
        <f t="shared" ca="1" si="106"/>
        <v>0</v>
      </c>
      <c r="CF193" s="34">
        <f t="shared" ca="1" si="106"/>
        <v>0</v>
      </c>
      <c r="CG193" s="34">
        <f t="shared" ca="1" si="106"/>
        <v>0</v>
      </c>
      <c r="CH193" s="34">
        <f t="shared" ca="1" si="106"/>
        <v>0</v>
      </c>
      <c r="CI193" s="34">
        <f t="shared" ca="1" si="107"/>
        <v>0</v>
      </c>
      <c r="CJ193" s="34">
        <f t="shared" ca="1" si="107"/>
        <v>0</v>
      </c>
      <c r="CK193" s="34">
        <f t="shared" ca="1" si="107"/>
        <v>0</v>
      </c>
      <c r="CL193" s="34">
        <f t="shared" ca="1" si="107"/>
        <v>0</v>
      </c>
      <c r="CM193" s="34">
        <f t="shared" ca="1" si="107"/>
        <v>0</v>
      </c>
      <c r="CN193" s="34">
        <f t="shared" ca="1" si="107"/>
        <v>0</v>
      </c>
      <c r="CO193" s="34">
        <f t="shared" ca="1" si="107"/>
        <v>0</v>
      </c>
      <c r="CP193" s="34">
        <f t="shared" ca="1" si="107"/>
        <v>0</v>
      </c>
      <c r="CQ193" s="34">
        <f t="shared" ca="1" si="128"/>
        <v>227228.11041225819</v>
      </c>
      <c r="CR193" s="363">
        <v>0</v>
      </c>
      <c r="CS193" s="34">
        <f t="shared" ca="1" si="129"/>
        <v>227228.11041225819</v>
      </c>
      <c r="CT193" s="233"/>
    </row>
    <row r="194" spans="2:98" x14ac:dyDescent="0.3">
      <c r="B194" s="232"/>
      <c r="C194" s="250">
        <f t="shared" si="130"/>
        <v>2028</v>
      </c>
      <c r="D194" s="263">
        <f t="shared" ca="1" si="108"/>
        <v>113829.86023254885</v>
      </c>
      <c r="E194" s="263">
        <f t="shared" ca="1" si="94"/>
        <v>752.92161685584927</v>
      </c>
      <c r="F194" s="263">
        <f t="shared" ca="1" si="95"/>
        <v>0</v>
      </c>
      <c r="G194" s="263">
        <f t="shared" ca="1" si="109"/>
        <v>118347.38993368394</v>
      </c>
      <c r="H194" s="15"/>
      <c r="I194" s="271">
        <f ca="1">Assumptions!O$68</f>
        <v>4.5</v>
      </c>
      <c r="J194" s="271">
        <f ca="1">Assumptions!P$68</f>
        <v>80</v>
      </c>
      <c r="K194" s="271">
        <f t="shared" ca="1" si="96"/>
        <v>40</v>
      </c>
      <c r="L194" s="15"/>
      <c r="M194" s="35">
        <f t="shared" ca="1" si="110"/>
        <v>4.2299999999999995</v>
      </c>
      <c r="N194" s="35">
        <f t="shared" ca="1" si="97"/>
        <v>74.400000000000006</v>
      </c>
      <c r="O194" s="35">
        <f t="shared" ca="1" si="98"/>
        <v>37.200000000000003</v>
      </c>
      <c r="P194" s="15"/>
      <c r="Q194" s="34">
        <f t="shared" ca="1" si="111"/>
        <v>481500.30878368154</v>
      </c>
      <c r="R194" s="34">
        <f t="shared" ca="1" si="112"/>
        <v>56017.36829407519</v>
      </c>
      <c r="S194" s="34">
        <f t="shared" ca="1" si="113"/>
        <v>0</v>
      </c>
      <c r="T194" s="34">
        <f t="shared" ca="1" si="114"/>
        <v>537517.67707775673</v>
      </c>
      <c r="U194" s="15"/>
      <c r="V194" s="35">
        <f t="shared" si="115"/>
        <v>0.31</v>
      </c>
      <c r="W194" s="34">
        <f t="shared" ca="1" si="116"/>
        <v>36687.690879442023</v>
      </c>
      <c r="X194" s="35">
        <f t="shared" si="117"/>
        <v>0.37</v>
      </c>
      <c r="Y194" s="34">
        <f t="shared" ca="1" si="118"/>
        <v>43788.534275463055</v>
      </c>
      <c r="Z194" s="35">
        <f t="shared" si="119"/>
        <v>0.57999999999999996</v>
      </c>
      <c r="AA194" s="34">
        <f t="shared" ca="1" si="120"/>
        <v>68641.486161536683</v>
      </c>
      <c r="AB194" s="34">
        <f t="shared" ca="1" si="121"/>
        <v>149117.71131644177</v>
      </c>
      <c r="AC194" s="15"/>
      <c r="AD194" s="34">
        <f t="shared" ca="1" si="122"/>
        <v>388399.96576131496</v>
      </c>
      <c r="AE194" s="34">
        <f ca="1"/>
        <v>178143.71257485033</v>
      </c>
      <c r="AF194" s="34">
        <f t="shared" ca="1" si="123"/>
        <v>210256.25318646463</v>
      </c>
      <c r="AG194" s="15"/>
      <c r="AH194" s="272">
        <f t="shared" si="131"/>
        <v>47118</v>
      </c>
      <c r="AI194" s="267">
        <f t="shared" si="99"/>
        <v>14.666666666666666</v>
      </c>
      <c r="AJ194" s="267">
        <f t="shared" si="100"/>
        <v>0.24711965236213634</v>
      </c>
      <c r="AK194" s="34">
        <f t="shared" ca="1" si="132"/>
        <v>51958.452194404461</v>
      </c>
      <c r="AL194" s="233"/>
      <c r="AN194" s="232"/>
      <c r="AO194" s="237">
        <f t="shared" si="124"/>
        <v>15</v>
      </c>
      <c r="AP194" s="34">
        <f t="shared" ref="AP194:AS194" ca="1" si="146">+AP144</f>
        <v>141.25226172074025</v>
      </c>
      <c r="AQ194" s="34">
        <f t="shared" ca="1" si="146"/>
        <v>0.93430564758714141</v>
      </c>
      <c r="AR194" s="34">
        <f t="shared" ca="1" si="146"/>
        <v>0</v>
      </c>
      <c r="AS194" s="34">
        <f t="shared" ca="1" si="146"/>
        <v>146.85809560626311</v>
      </c>
      <c r="AT194" s="15"/>
      <c r="AW194" s="34">
        <f t="shared" ca="1" si="126"/>
        <v>141.25226172074025</v>
      </c>
      <c r="AX194" s="34">
        <f t="shared" ca="1" si="102"/>
        <v>0.93430564758714141</v>
      </c>
      <c r="AY194" s="34">
        <f t="shared" ca="1" si="103"/>
        <v>0</v>
      </c>
      <c r="AZ194" s="34">
        <f t="shared" ca="1" si="104"/>
        <v>146.85809560626311</v>
      </c>
      <c r="BB194" s="34">
        <f t="shared" ca="1" si="127"/>
        <v>0</v>
      </c>
      <c r="BC194" s="34">
        <f t="shared" ca="1" si="105"/>
        <v>0</v>
      </c>
      <c r="BD194" s="34">
        <f t="shared" ca="1" si="105"/>
        <v>0</v>
      </c>
      <c r="BE194" s="34">
        <f t="shared" ca="1" si="105"/>
        <v>0</v>
      </c>
      <c r="BF194" s="34">
        <f t="shared" ca="1" si="105"/>
        <v>2240.3938070064683</v>
      </c>
      <c r="BG194" s="34">
        <f t="shared" ca="1" si="105"/>
        <v>9601.429922698524</v>
      </c>
      <c r="BH194" s="34">
        <f t="shared" ca="1" si="105"/>
        <v>10238.100553748853</v>
      </c>
      <c r="BI194" s="34">
        <f t="shared" ca="1" si="105"/>
        <v>10994.473183102578</v>
      </c>
      <c r="BJ194" s="34">
        <f t="shared" ca="1" si="105"/>
        <v>11911.434259634292</v>
      </c>
      <c r="BK194" s="34">
        <f t="shared" ca="1" si="105"/>
        <v>13052.011829004938</v>
      </c>
      <c r="BL194" s="34">
        <f t="shared" ca="1" si="105"/>
        <v>14519.375128556216</v>
      </c>
      <c r="BM194" s="34">
        <f t="shared" ca="1" si="105"/>
        <v>16496.488078315044</v>
      </c>
      <c r="BN194" s="34">
        <f t="shared" ca="1" si="105"/>
        <v>19346.697935253127</v>
      </c>
      <c r="BO194" s="34">
        <f t="shared" ca="1" si="105"/>
        <v>23928.883578439847</v>
      </c>
      <c r="BP194" s="34">
        <f t="shared" ca="1" si="105"/>
        <v>33026.569435919366</v>
      </c>
      <c r="BQ194" s="34">
        <f t="shared" ca="1" si="105"/>
        <v>71338.922155688619</v>
      </c>
      <c r="BR194" s="34">
        <f t="shared" ref="BR194:CG209" ca="1" si="147">IF($AO194&lt;BR$178,0,OFFSET($AZ$178,$AO194-BR$178+1,0)*BR$176)</f>
        <v>0</v>
      </c>
      <c r="BS194" s="34">
        <f t="shared" ca="1" si="106"/>
        <v>0</v>
      </c>
      <c r="BT194" s="34">
        <f t="shared" ca="1" si="106"/>
        <v>0</v>
      </c>
      <c r="BU194" s="34">
        <f t="shared" ca="1" si="106"/>
        <v>0</v>
      </c>
      <c r="BV194" s="34">
        <f t="shared" ca="1" si="106"/>
        <v>0</v>
      </c>
      <c r="BW194" s="34">
        <f t="shared" ca="1" si="106"/>
        <v>0</v>
      </c>
      <c r="BX194" s="34">
        <f t="shared" ca="1" si="106"/>
        <v>0</v>
      </c>
      <c r="BY194" s="34">
        <f t="shared" ca="1" si="106"/>
        <v>0</v>
      </c>
      <c r="BZ194" s="34">
        <f t="shared" ca="1" si="106"/>
        <v>0</v>
      </c>
      <c r="CA194" s="34">
        <f t="shared" ca="1" si="106"/>
        <v>0</v>
      </c>
      <c r="CB194" s="34">
        <f t="shared" ca="1" si="106"/>
        <v>0</v>
      </c>
      <c r="CC194" s="34">
        <f t="shared" ca="1" si="106"/>
        <v>0</v>
      </c>
      <c r="CD194" s="34">
        <f t="shared" ca="1" si="106"/>
        <v>0</v>
      </c>
      <c r="CE194" s="34">
        <f t="shared" ca="1" si="106"/>
        <v>0</v>
      </c>
      <c r="CF194" s="34">
        <f t="shared" ca="1" si="106"/>
        <v>0</v>
      </c>
      <c r="CG194" s="34">
        <f t="shared" ca="1" si="106"/>
        <v>0</v>
      </c>
      <c r="CH194" s="34">
        <f t="shared" ref="CH194:CP209" ca="1" si="148">IF($AO194&lt;CH$178,0,OFFSET($AZ$178,$AO194-CH$178+1,0)*CH$176)</f>
        <v>0</v>
      </c>
      <c r="CI194" s="34">
        <f t="shared" ca="1" si="107"/>
        <v>0</v>
      </c>
      <c r="CJ194" s="34">
        <f t="shared" ca="1" si="107"/>
        <v>0</v>
      </c>
      <c r="CK194" s="34">
        <f t="shared" ca="1" si="107"/>
        <v>0</v>
      </c>
      <c r="CL194" s="34">
        <f t="shared" ca="1" si="107"/>
        <v>0</v>
      </c>
      <c r="CM194" s="34">
        <f t="shared" ca="1" si="107"/>
        <v>0</v>
      </c>
      <c r="CN194" s="34">
        <f t="shared" ca="1" si="107"/>
        <v>0</v>
      </c>
      <c r="CO194" s="34">
        <f t="shared" ca="1" si="107"/>
        <v>0</v>
      </c>
      <c r="CP194" s="34">
        <f t="shared" ca="1" si="107"/>
        <v>0</v>
      </c>
      <c r="CQ194" s="34">
        <f t="shared" ca="1" si="128"/>
        <v>236694.77986736788</v>
      </c>
      <c r="CR194" s="363">
        <v>0</v>
      </c>
      <c r="CS194" s="34">
        <f t="shared" ca="1" si="129"/>
        <v>236694.77986736788</v>
      </c>
      <c r="CT194" s="233"/>
    </row>
    <row r="195" spans="2:98" x14ac:dyDescent="0.3">
      <c r="B195" s="232"/>
      <c r="C195" s="250">
        <f t="shared" si="130"/>
        <v>2029</v>
      </c>
      <c r="D195" s="263">
        <f t="shared" ca="1" si="108"/>
        <v>118129.13226276189</v>
      </c>
      <c r="E195" s="263">
        <f t="shared" ca="1" si="94"/>
        <v>781.35892532375112</v>
      </c>
      <c r="F195" s="263">
        <f t="shared" ca="1" si="95"/>
        <v>0</v>
      </c>
      <c r="G195" s="263">
        <f t="shared" ca="1" si="109"/>
        <v>122817.2858147044</v>
      </c>
      <c r="H195" s="15"/>
      <c r="I195" s="271">
        <f ca="1">Assumptions!O$68</f>
        <v>4.5</v>
      </c>
      <c r="J195" s="271">
        <f ca="1">Assumptions!P$68</f>
        <v>80</v>
      </c>
      <c r="K195" s="271">
        <f t="shared" ca="1" si="96"/>
        <v>40</v>
      </c>
      <c r="L195" s="15"/>
      <c r="M195" s="35">
        <f t="shared" ca="1" si="110"/>
        <v>4.2299999999999995</v>
      </c>
      <c r="N195" s="35">
        <f t="shared" ca="1" si="97"/>
        <v>74.400000000000006</v>
      </c>
      <c r="O195" s="35">
        <f t="shared" ca="1" si="98"/>
        <v>37.200000000000003</v>
      </c>
      <c r="P195" s="15"/>
      <c r="Q195" s="34">
        <f t="shared" ca="1" si="111"/>
        <v>499686.22947148274</v>
      </c>
      <c r="R195" s="34">
        <f t="shared" ca="1" si="112"/>
        <v>58133.104044087086</v>
      </c>
      <c r="S195" s="34">
        <f t="shared" ca="1" si="113"/>
        <v>0</v>
      </c>
      <c r="T195" s="34">
        <f t="shared" ca="1" si="114"/>
        <v>557819.3335155698</v>
      </c>
      <c r="U195" s="15"/>
      <c r="V195" s="35">
        <f t="shared" si="115"/>
        <v>0.31</v>
      </c>
      <c r="W195" s="34">
        <f t="shared" ca="1" si="116"/>
        <v>38073.358602558365</v>
      </c>
      <c r="X195" s="35">
        <f t="shared" si="117"/>
        <v>0.37</v>
      </c>
      <c r="Y195" s="34">
        <f t="shared" ca="1" si="118"/>
        <v>45442.395751440628</v>
      </c>
      <c r="Z195" s="35">
        <f t="shared" si="119"/>
        <v>0.57999999999999996</v>
      </c>
      <c r="AA195" s="34">
        <f t="shared" ca="1" si="120"/>
        <v>71234.025772528548</v>
      </c>
      <c r="AB195" s="34">
        <f t="shared" ca="1" si="121"/>
        <v>154749.78012652753</v>
      </c>
      <c r="AC195" s="15"/>
      <c r="AD195" s="34">
        <f t="shared" ca="1" si="122"/>
        <v>403069.55338904227</v>
      </c>
      <c r="AE195" s="34">
        <f ca="1"/>
        <v>178143.71257485033</v>
      </c>
      <c r="AF195" s="34">
        <f t="shared" ca="1" si="123"/>
        <v>224925.84081419194</v>
      </c>
      <c r="AG195" s="15"/>
      <c r="AH195" s="272">
        <f t="shared" si="131"/>
        <v>47483</v>
      </c>
      <c r="AI195" s="267">
        <f t="shared" si="99"/>
        <v>15.666666666666668</v>
      </c>
      <c r="AJ195" s="267">
        <f t="shared" si="100"/>
        <v>0.22465422942012386</v>
      </c>
      <c r="AK195" s="34">
        <f t="shared" ca="1" si="132"/>
        <v>50530.541444785733</v>
      </c>
      <c r="AL195" s="233"/>
      <c r="AN195" s="232"/>
      <c r="AO195" s="237">
        <f t="shared" si="124"/>
        <v>16</v>
      </c>
      <c r="AP195" s="34">
        <f t="shared" ref="AP195:AS195" ca="1" si="149">+AP145</f>
        <v>135.65299547404385</v>
      </c>
      <c r="AQ195" s="34">
        <f t="shared" ca="1" si="149"/>
        <v>0.89726959582483268</v>
      </c>
      <c r="AR195" s="34">
        <f t="shared" ca="1" si="149"/>
        <v>0</v>
      </c>
      <c r="AS195" s="34">
        <f t="shared" ca="1" si="149"/>
        <v>141.03661304899285</v>
      </c>
      <c r="AT195" s="15"/>
      <c r="AW195" s="34">
        <f t="shared" ca="1" si="126"/>
        <v>135.65299547404385</v>
      </c>
      <c r="AX195" s="34">
        <f t="shared" ca="1" si="102"/>
        <v>0.89726959582483268</v>
      </c>
      <c r="AY195" s="34">
        <f t="shared" ca="1" si="103"/>
        <v>0</v>
      </c>
      <c r="AZ195" s="34">
        <f t="shared" ca="1" si="104"/>
        <v>141.03661304899285</v>
      </c>
      <c r="BB195" s="34">
        <f t="shared" ca="1" si="127"/>
        <v>0</v>
      </c>
      <c r="BC195" s="34">
        <f t="shared" ca="1" si="127"/>
        <v>0</v>
      </c>
      <c r="BD195" s="34">
        <f t="shared" ca="1" si="127"/>
        <v>0</v>
      </c>
      <c r="BE195" s="34">
        <f t="shared" ca="1" si="127"/>
        <v>0</v>
      </c>
      <c r="BF195" s="34">
        <f t="shared" ca="1" si="127"/>
        <v>2123.5173907727331</v>
      </c>
      <c r="BG195" s="34">
        <f t="shared" ca="1" si="127"/>
        <v>9056.6681782746382</v>
      </c>
      <c r="BH195" s="34">
        <f t="shared" ca="1" si="127"/>
        <v>9601.429922698524</v>
      </c>
      <c r="BI195" s="34">
        <f t="shared" ca="1" si="127"/>
        <v>10238.100553748853</v>
      </c>
      <c r="BJ195" s="34">
        <f t="shared" ca="1" si="127"/>
        <v>10994.473183102578</v>
      </c>
      <c r="BK195" s="34">
        <f t="shared" ca="1" si="127"/>
        <v>11911.434259634292</v>
      </c>
      <c r="BL195" s="34">
        <f t="shared" ca="1" si="127"/>
        <v>13052.011829004938</v>
      </c>
      <c r="BM195" s="34">
        <f t="shared" ca="1" si="127"/>
        <v>14519.375128556216</v>
      </c>
      <c r="BN195" s="34">
        <f t="shared" ca="1" si="127"/>
        <v>16496.488078315044</v>
      </c>
      <c r="BO195" s="34">
        <f t="shared" ca="1" si="127"/>
        <v>19346.697935253127</v>
      </c>
      <c r="BP195" s="34">
        <f t="shared" ca="1" si="127"/>
        <v>23928.883578439847</v>
      </c>
      <c r="BQ195" s="34">
        <f t="shared" ca="1" si="127"/>
        <v>33026.569435919366</v>
      </c>
      <c r="BR195" s="34">
        <f t="shared" ca="1" si="147"/>
        <v>71338.922155688619</v>
      </c>
      <c r="BS195" s="34">
        <f t="shared" ca="1" si="147"/>
        <v>0</v>
      </c>
      <c r="BT195" s="34">
        <f t="shared" ca="1" si="147"/>
        <v>0</v>
      </c>
      <c r="BU195" s="34">
        <f t="shared" ca="1" si="147"/>
        <v>0</v>
      </c>
      <c r="BV195" s="34">
        <f t="shared" ca="1" si="147"/>
        <v>0</v>
      </c>
      <c r="BW195" s="34">
        <f t="shared" ca="1" si="147"/>
        <v>0</v>
      </c>
      <c r="BX195" s="34">
        <f t="shared" ca="1" si="147"/>
        <v>0</v>
      </c>
      <c r="BY195" s="34">
        <f t="shared" ca="1" si="147"/>
        <v>0</v>
      </c>
      <c r="BZ195" s="34">
        <f t="shared" ca="1" si="147"/>
        <v>0</v>
      </c>
      <c r="CA195" s="34">
        <f t="shared" ca="1" si="147"/>
        <v>0</v>
      </c>
      <c r="CB195" s="34">
        <f t="shared" ca="1" si="147"/>
        <v>0</v>
      </c>
      <c r="CC195" s="34">
        <f t="shared" ca="1" si="147"/>
        <v>0</v>
      </c>
      <c r="CD195" s="34">
        <f t="shared" ca="1" si="147"/>
        <v>0</v>
      </c>
      <c r="CE195" s="34">
        <f t="shared" ca="1" si="147"/>
        <v>0</v>
      </c>
      <c r="CF195" s="34">
        <f t="shared" ca="1" si="147"/>
        <v>0</v>
      </c>
      <c r="CG195" s="34">
        <f t="shared" ca="1" si="147"/>
        <v>0</v>
      </c>
      <c r="CH195" s="34">
        <f t="shared" ca="1" si="148"/>
        <v>0</v>
      </c>
      <c r="CI195" s="34">
        <f t="shared" ca="1" si="148"/>
        <v>0</v>
      </c>
      <c r="CJ195" s="34">
        <f t="shared" ca="1" si="148"/>
        <v>0</v>
      </c>
      <c r="CK195" s="34">
        <f t="shared" ca="1" si="148"/>
        <v>0</v>
      </c>
      <c r="CL195" s="34">
        <f t="shared" ca="1" si="148"/>
        <v>0</v>
      </c>
      <c r="CM195" s="34">
        <f t="shared" ca="1" si="148"/>
        <v>0</v>
      </c>
      <c r="CN195" s="34">
        <f t="shared" ca="1" si="148"/>
        <v>0</v>
      </c>
      <c r="CO195" s="34">
        <f t="shared" ca="1" si="148"/>
        <v>0</v>
      </c>
      <c r="CP195" s="34">
        <f t="shared" ca="1" si="148"/>
        <v>0</v>
      </c>
      <c r="CQ195" s="34">
        <f t="shared" ca="1" si="128"/>
        <v>245634.57162940881</v>
      </c>
      <c r="CR195" s="363">
        <v>0</v>
      </c>
      <c r="CS195" s="34">
        <f t="shared" ca="1" si="129"/>
        <v>245634.57162940881</v>
      </c>
      <c r="CT195" s="233"/>
    </row>
    <row r="196" spans="2:98" x14ac:dyDescent="0.3">
      <c r="B196" s="232"/>
      <c r="C196" s="250">
        <f t="shared" si="130"/>
        <v>2030</v>
      </c>
      <c r="D196" s="263">
        <f t="shared" ca="1" si="108"/>
        <v>122208.09099355112</v>
      </c>
      <c r="E196" s="263">
        <f t="shared" ca="1" si="94"/>
        <v>808.33898307309664</v>
      </c>
      <c r="F196" s="263">
        <f t="shared" ca="1" si="95"/>
        <v>0</v>
      </c>
      <c r="G196" s="263">
        <f t="shared" ca="1" si="109"/>
        <v>127058.12489198969</v>
      </c>
      <c r="H196" s="15"/>
      <c r="I196" s="271">
        <f ca="1">Assumptions!O$68</f>
        <v>4.5</v>
      </c>
      <c r="J196" s="271">
        <f ca="1">Assumptions!P$68</f>
        <v>80</v>
      </c>
      <c r="K196" s="271">
        <f t="shared" ca="1" si="96"/>
        <v>40</v>
      </c>
      <c r="L196" s="15"/>
      <c r="M196" s="35">
        <f t="shared" ca="1" si="110"/>
        <v>4.2299999999999995</v>
      </c>
      <c r="N196" s="35">
        <f t="shared" ca="1" si="97"/>
        <v>74.400000000000006</v>
      </c>
      <c r="O196" s="35">
        <f t="shared" ca="1" si="98"/>
        <v>37.200000000000003</v>
      </c>
      <c r="P196" s="15"/>
      <c r="Q196" s="34">
        <f t="shared" ca="1" si="111"/>
        <v>516940.22490272118</v>
      </c>
      <c r="R196" s="34">
        <f t="shared" ca="1" si="112"/>
        <v>60140.420340638397</v>
      </c>
      <c r="S196" s="34">
        <f t="shared" ca="1" si="113"/>
        <v>0</v>
      </c>
      <c r="T196" s="34">
        <f t="shared" ca="1" si="114"/>
        <v>577080.64524335961</v>
      </c>
      <c r="U196" s="15"/>
      <c r="V196" s="35">
        <f t="shared" si="115"/>
        <v>0.31</v>
      </c>
      <c r="W196" s="34">
        <f t="shared" ca="1" si="116"/>
        <v>39388.018716516803</v>
      </c>
      <c r="X196" s="35">
        <f t="shared" si="117"/>
        <v>0.37</v>
      </c>
      <c r="Y196" s="34">
        <f t="shared" ca="1" si="118"/>
        <v>47011.506210036183</v>
      </c>
      <c r="Z196" s="35">
        <f t="shared" si="119"/>
        <v>0.57999999999999996</v>
      </c>
      <c r="AA196" s="34">
        <f t="shared" ca="1" si="120"/>
        <v>73693.712437354014</v>
      </c>
      <c r="AB196" s="34">
        <f t="shared" ca="1" si="121"/>
        <v>160093.23736390698</v>
      </c>
      <c r="AC196" s="15"/>
      <c r="AD196" s="34">
        <f t="shared" ca="1" si="122"/>
        <v>416987.40787945263</v>
      </c>
      <c r="AE196" s="34">
        <f ca="1"/>
        <v>178143.71257485033</v>
      </c>
      <c r="AF196" s="34">
        <f t="shared" ca="1" si="123"/>
        <v>238843.6953046023</v>
      </c>
      <c r="AG196" s="15"/>
      <c r="AH196" s="272">
        <f t="shared" si="131"/>
        <v>47848</v>
      </c>
      <c r="AI196" s="267">
        <f t="shared" si="99"/>
        <v>16.666666666666668</v>
      </c>
      <c r="AJ196" s="267">
        <f t="shared" si="100"/>
        <v>0.2042311176546581</v>
      </c>
      <c r="AK196" s="34">
        <f t="shared" ca="1" si="132"/>
        <v>48779.314836827543</v>
      </c>
      <c r="AL196" s="233"/>
      <c r="AN196" s="232"/>
      <c r="AO196" s="237">
        <f t="shared" ref="AO196:AO211" si="150">AO146</f>
        <v>17</v>
      </c>
      <c r="AP196" s="34">
        <f t="shared" ref="AP196:AS196" ca="1" si="151">+AP146</f>
        <v>130.37334676969567</v>
      </c>
      <c r="AQ196" s="34">
        <f t="shared" ca="1" si="151"/>
        <v>0.86234763746709031</v>
      </c>
      <c r="AR196" s="34">
        <f t="shared" ca="1" si="151"/>
        <v>0</v>
      </c>
      <c r="AS196" s="34">
        <f t="shared" ca="1" si="151"/>
        <v>135.54743259449822</v>
      </c>
      <c r="AT196" s="15"/>
      <c r="AW196" s="34">
        <f t="shared" ca="1" si="126"/>
        <v>130.37334676969567</v>
      </c>
      <c r="AX196" s="34">
        <f t="shared" ca="1" si="102"/>
        <v>0.86234763746709031</v>
      </c>
      <c r="AY196" s="34">
        <f t="shared" ca="1" si="103"/>
        <v>0</v>
      </c>
      <c r="AZ196" s="34">
        <f t="shared" ca="1" si="104"/>
        <v>135.54743259449822</v>
      </c>
      <c r="BB196" s="34">
        <f t="shared" ref="BB196:BQ211" ca="1" si="152">IF($AO196&lt;BB$178,0,OFFSET($AZ$178,$AO196-BB$178+1,0)*BB$176)</f>
        <v>0</v>
      </c>
      <c r="BC196" s="34">
        <f t="shared" ca="1" si="152"/>
        <v>0</v>
      </c>
      <c r="BD196" s="34">
        <f t="shared" ca="1" si="152"/>
        <v>0</v>
      </c>
      <c r="BE196" s="34">
        <f t="shared" ca="1" si="152"/>
        <v>0</v>
      </c>
      <c r="BF196" s="34">
        <f t="shared" ca="1" si="152"/>
        <v>2020.9938220216211</v>
      </c>
      <c r="BG196" s="34">
        <f t="shared" ca="1" si="152"/>
        <v>8584.2017233217048</v>
      </c>
      <c r="BH196" s="34">
        <f t="shared" ca="1" si="152"/>
        <v>9056.6681782746382</v>
      </c>
      <c r="BI196" s="34">
        <f t="shared" ca="1" si="152"/>
        <v>9601.429922698524</v>
      </c>
      <c r="BJ196" s="34">
        <f t="shared" ca="1" si="152"/>
        <v>10238.100553748853</v>
      </c>
      <c r="BK196" s="34">
        <f t="shared" ca="1" si="152"/>
        <v>10994.473183102578</v>
      </c>
      <c r="BL196" s="34">
        <f t="shared" ca="1" si="152"/>
        <v>11911.434259634292</v>
      </c>
      <c r="BM196" s="34">
        <f t="shared" ca="1" si="152"/>
        <v>13052.011829004938</v>
      </c>
      <c r="BN196" s="34">
        <f t="shared" ca="1" si="152"/>
        <v>14519.375128556216</v>
      </c>
      <c r="BO196" s="34">
        <f t="shared" ca="1" si="152"/>
        <v>16496.488078315044</v>
      </c>
      <c r="BP196" s="34">
        <f t="shared" ca="1" si="152"/>
        <v>19346.697935253127</v>
      </c>
      <c r="BQ196" s="34">
        <f t="shared" ca="1" si="152"/>
        <v>23928.883578439847</v>
      </c>
      <c r="BR196" s="34">
        <f t="shared" ca="1" si="147"/>
        <v>33026.569435919366</v>
      </c>
      <c r="BS196" s="34">
        <f t="shared" ca="1" si="147"/>
        <v>71338.922155688619</v>
      </c>
      <c r="BT196" s="34">
        <f t="shared" ca="1" si="147"/>
        <v>0</v>
      </c>
      <c r="BU196" s="34">
        <f t="shared" ca="1" si="147"/>
        <v>0</v>
      </c>
      <c r="BV196" s="34">
        <f t="shared" ca="1" si="147"/>
        <v>0</v>
      </c>
      <c r="BW196" s="34">
        <f t="shared" ca="1" si="147"/>
        <v>0</v>
      </c>
      <c r="BX196" s="34">
        <f t="shared" ca="1" si="147"/>
        <v>0</v>
      </c>
      <c r="BY196" s="34">
        <f t="shared" ca="1" si="147"/>
        <v>0</v>
      </c>
      <c r="BZ196" s="34">
        <f t="shared" ca="1" si="147"/>
        <v>0</v>
      </c>
      <c r="CA196" s="34">
        <f t="shared" ca="1" si="147"/>
        <v>0</v>
      </c>
      <c r="CB196" s="34">
        <f t="shared" ca="1" si="147"/>
        <v>0</v>
      </c>
      <c r="CC196" s="34">
        <f t="shared" ca="1" si="147"/>
        <v>0</v>
      </c>
      <c r="CD196" s="34">
        <f t="shared" ca="1" si="147"/>
        <v>0</v>
      </c>
      <c r="CE196" s="34">
        <f t="shared" ca="1" si="147"/>
        <v>0</v>
      </c>
      <c r="CF196" s="34">
        <f t="shared" ca="1" si="147"/>
        <v>0</v>
      </c>
      <c r="CG196" s="34">
        <f t="shared" ca="1" si="147"/>
        <v>0</v>
      </c>
      <c r="CH196" s="34">
        <f t="shared" ca="1" si="148"/>
        <v>0</v>
      </c>
      <c r="CI196" s="34">
        <f t="shared" ca="1" si="148"/>
        <v>0</v>
      </c>
      <c r="CJ196" s="34">
        <f t="shared" ca="1" si="148"/>
        <v>0</v>
      </c>
      <c r="CK196" s="34">
        <f t="shared" ca="1" si="148"/>
        <v>0</v>
      </c>
      <c r="CL196" s="34">
        <f t="shared" ca="1" si="148"/>
        <v>0</v>
      </c>
      <c r="CM196" s="34">
        <f t="shared" ca="1" si="148"/>
        <v>0</v>
      </c>
      <c r="CN196" s="34">
        <f t="shared" ca="1" si="148"/>
        <v>0</v>
      </c>
      <c r="CO196" s="34">
        <f t="shared" ca="1" si="148"/>
        <v>0</v>
      </c>
      <c r="CP196" s="34">
        <f t="shared" ca="1" si="148"/>
        <v>0</v>
      </c>
      <c r="CQ196" s="34">
        <f t="shared" ca="1" si="128"/>
        <v>254116.24978397938</v>
      </c>
      <c r="CR196" s="363">
        <v>0</v>
      </c>
      <c r="CS196" s="34">
        <f t="shared" ca="1" si="129"/>
        <v>254116.24978397938</v>
      </c>
      <c r="CT196" s="233"/>
    </row>
    <row r="197" spans="2:98" x14ac:dyDescent="0.3">
      <c r="B197" s="232"/>
      <c r="C197" s="250">
        <f t="shared" si="130"/>
        <v>2031</v>
      </c>
      <c r="D197" s="263">
        <f t="shared" ca="1" si="108"/>
        <v>126093.3712772072</v>
      </c>
      <c r="E197" s="263">
        <f t="shared" ca="1" si="94"/>
        <v>834.03796493191851</v>
      </c>
      <c r="F197" s="263">
        <f t="shared" ca="1" si="95"/>
        <v>0</v>
      </c>
      <c r="G197" s="263">
        <f t="shared" ca="1" si="109"/>
        <v>131097.59906679872</v>
      </c>
      <c r="H197" s="15"/>
      <c r="I197" s="271">
        <f ca="1">Assumptions!O$68</f>
        <v>4.5</v>
      </c>
      <c r="J197" s="271">
        <f ca="1">Assumptions!P$68</f>
        <v>80</v>
      </c>
      <c r="K197" s="271">
        <f t="shared" ca="1" si="96"/>
        <v>40</v>
      </c>
      <c r="L197" s="15"/>
      <c r="M197" s="35">
        <f t="shared" ca="1" si="110"/>
        <v>4.2299999999999995</v>
      </c>
      <c r="N197" s="35">
        <f t="shared" ca="1" si="97"/>
        <v>74.400000000000006</v>
      </c>
      <c r="O197" s="35">
        <f t="shared" ca="1" si="98"/>
        <v>37.200000000000003</v>
      </c>
      <c r="P197" s="15"/>
      <c r="Q197" s="34">
        <f t="shared" ca="1" si="111"/>
        <v>533374.96050258644</v>
      </c>
      <c r="R197" s="34">
        <f t="shared" ca="1" si="112"/>
        <v>62052.424590934745</v>
      </c>
      <c r="S197" s="34">
        <f t="shared" ca="1" si="113"/>
        <v>0</v>
      </c>
      <c r="T197" s="34">
        <f t="shared" ca="1" si="114"/>
        <v>595427.38509352121</v>
      </c>
      <c r="U197" s="15"/>
      <c r="V197" s="35">
        <f t="shared" si="115"/>
        <v>0.31</v>
      </c>
      <c r="W197" s="34">
        <f t="shared" ca="1" si="116"/>
        <v>40640.255710707606</v>
      </c>
      <c r="X197" s="35">
        <f t="shared" si="117"/>
        <v>0.37</v>
      </c>
      <c r="Y197" s="34">
        <f t="shared" ca="1" si="118"/>
        <v>48506.111654715525</v>
      </c>
      <c r="Z197" s="35">
        <f t="shared" si="119"/>
        <v>0.57999999999999996</v>
      </c>
      <c r="AA197" s="34">
        <f t="shared" ca="1" si="120"/>
        <v>76036.607458743252</v>
      </c>
      <c r="AB197" s="34">
        <f t="shared" ca="1" si="121"/>
        <v>165182.97482416639</v>
      </c>
      <c r="AC197" s="15"/>
      <c r="AD197" s="34">
        <f t="shared" ca="1" si="122"/>
        <v>430244.41026935482</v>
      </c>
      <c r="AE197" s="34">
        <f ca="1"/>
        <v>178143.71257485033</v>
      </c>
      <c r="AF197" s="34">
        <f t="shared" ca="1" si="123"/>
        <v>252100.69769450449</v>
      </c>
      <c r="AG197" s="15"/>
      <c r="AH197" s="272">
        <f t="shared" si="131"/>
        <v>48213</v>
      </c>
      <c r="AI197" s="267">
        <f t="shared" si="99"/>
        <v>17.666666666666668</v>
      </c>
      <c r="AJ197" s="267">
        <f t="shared" si="100"/>
        <v>0.1856646524133255</v>
      </c>
      <c r="AK197" s="34">
        <f t="shared" ca="1" si="132"/>
        <v>46806.188410607021</v>
      </c>
      <c r="AL197" s="233"/>
      <c r="AN197" s="232"/>
      <c r="AO197" s="237">
        <f t="shared" si="150"/>
        <v>18</v>
      </c>
      <c r="AP197" s="34">
        <f t="shared" ref="AP197:AS197" ca="1" si="153">+AP147</f>
        <v>125.29968012712044</v>
      </c>
      <c r="AQ197" s="34">
        <f t="shared" ca="1" si="153"/>
        <v>0.82878813661106598</v>
      </c>
      <c r="AR197" s="34">
        <f t="shared" ca="1" si="153"/>
        <v>0</v>
      </c>
      <c r="AS197" s="34">
        <f t="shared" ca="1" si="153"/>
        <v>130.27240894678684</v>
      </c>
      <c r="AT197" s="15"/>
      <c r="AW197" s="34">
        <f t="shared" ca="1" si="126"/>
        <v>125.29968012712044</v>
      </c>
      <c r="AX197" s="34">
        <f t="shared" ca="1" si="102"/>
        <v>0.82878813661106598</v>
      </c>
      <c r="AY197" s="34">
        <f t="shared" ca="1" si="103"/>
        <v>0</v>
      </c>
      <c r="AZ197" s="34">
        <f t="shared" ca="1" si="104"/>
        <v>130.27240894678684</v>
      </c>
      <c r="BB197" s="34">
        <f t="shared" ca="1" si="152"/>
        <v>0</v>
      </c>
      <c r="BC197" s="34">
        <f t="shared" ca="1" si="152"/>
        <v>0</v>
      </c>
      <c r="BD197" s="34">
        <f t="shared" ca="1" si="152"/>
        <v>0</v>
      </c>
      <c r="BE197" s="34">
        <f t="shared" ca="1" si="152"/>
        <v>0</v>
      </c>
      <c r="BF197" s="34">
        <f t="shared" ca="1" si="152"/>
        <v>1930.1863103479332</v>
      </c>
      <c r="BG197" s="34">
        <f t="shared" ca="1" si="152"/>
        <v>8169.7558612917592</v>
      </c>
      <c r="BH197" s="34">
        <f t="shared" ca="1" si="152"/>
        <v>8584.2017233217048</v>
      </c>
      <c r="BI197" s="34">
        <f t="shared" ca="1" si="152"/>
        <v>9056.6681782746382</v>
      </c>
      <c r="BJ197" s="34">
        <f t="shared" ca="1" si="152"/>
        <v>9601.429922698524</v>
      </c>
      <c r="BK197" s="34">
        <f t="shared" ca="1" si="152"/>
        <v>10238.100553748853</v>
      </c>
      <c r="BL197" s="34">
        <f t="shared" ca="1" si="152"/>
        <v>10994.473183102578</v>
      </c>
      <c r="BM197" s="34">
        <f t="shared" ca="1" si="152"/>
        <v>11911.434259634292</v>
      </c>
      <c r="BN197" s="34">
        <f t="shared" ca="1" si="152"/>
        <v>13052.011829004938</v>
      </c>
      <c r="BO197" s="34">
        <f t="shared" ca="1" si="152"/>
        <v>14519.375128556216</v>
      </c>
      <c r="BP197" s="34">
        <f t="shared" ca="1" si="152"/>
        <v>16496.488078315044</v>
      </c>
      <c r="BQ197" s="34">
        <f t="shared" ca="1" si="152"/>
        <v>19346.697935253127</v>
      </c>
      <c r="BR197" s="34">
        <f t="shared" ca="1" si="147"/>
        <v>23928.883578439847</v>
      </c>
      <c r="BS197" s="34">
        <f t="shared" ca="1" si="147"/>
        <v>33026.569435919366</v>
      </c>
      <c r="BT197" s="34">
        <f t="shared" ca="1" si="147"/>
        <v>71338.922155688619</v>
      </c>
      <c r="BU197" s="34">
        <f t="shared" ca="1" si="147"/>
        <v>0</v>
      </c>
      <c r="BV197" s="34">
        <f t="shared" ca="1" si="147"/>
        <v>0</v>
      </c>
      <c r="BW197" s="34">
        <f t="shared" ca="1" si="147"/>
        <v>0</v>
      </c>
      <c r="BX197" s="34">
        <f t="shared" ca="1" si="147"/>
        <v>0</v>
      </c>
      <c r="BY197" s="34">
        <f t="shared" ca="1" si="147"/>
        <v>0</v>
      </c>
      <c r="BZ197" s="34">
        <f t="shared" ca="1" si="147"/>
        <v>0</v>
      </c>
      <c r="CA197" s="34">
        <f t="shared" ca="1" si="147"/>
        <v>0</v>
      </c>
      <c r="CB197" s="34">
        <f t="shared" ca="1" si="147"/>
        <v>0</v>
      </c>
      <c r="CC197" s="34">
        <f t="shared" ca="1" si="147"/>
        <v>0</v>
      </c>
      <c r="CD197" s="34">
        <f t="shared" ca="1" si="147"/>
        <v>0</v>
      </c>
      <c r="CE197" s="34">
        <f t="shared" ca="1" si="147"/>
        <v>0</v>
      </c>
      <c r="CF197" s="34">
        <f t="shared" ca="1" si="147"/>
        <v>0</v>
      </c>
      <c r="CG197" s="34">
        <f t="shared" ca="1" si="147"/>
        <v>0</v>
      </c>
      <c r="CH197" s="34">
        <f t="shared" ca="1" si="148"/>
        <v>0</v>
      </c>
      <c r="CI197" s="34">
        <f t="shared" ca="1" si="148"/>
        <v>0</v>
      </c>
      <c r="CJ197" s="34">
        <f t="shared" ca="1" si="148"/>
        <v>0</v>
      </c>
      <c r="CK197" s="34">
        <f t="shared" ca="1" si="148"/>
        <v>0</v>
      </c>
      <c r="CL197" s="34">
        <f t="shared" ca="1" si="148"/>
        <v>0</v>
      </c>
      <c r="CM197" s="34">
        <f t="shared" ca="1" si="148"/>
        <v>0</v>
      </c>
      <c r="CN197" s="34">
        <f t="shared" ca="1" si="148"/>
        <v>0</v>
      </c>
      <c r="CO197" s="34">
        <f t="shared" ca="1" si="148"/>
        <v>0</v>
      </c>
      <c r="CP197" s="34">
        <f t="shared" ca="1" si="148"/>
        <v>0</v>
      </c>
      <c r="CQ197" s="34">
        <f t="shared" ca="1" si="128"/>
        <v>262195.19813359744</v>
      </c>
      <c r="CR197" s="363">
        <v>0</v>
      </c>
      <c r="CS197" s="34">
        <f t="shared" ca="1" si="129"/>
        <v>262195.19813359744</v>
      </c>
      <c r="CT197" s="233"/>
    </row>
    <row r="198" spans="2:98" x14ac:dyDescent="0.3">
      <c r="B198" s="232"/>
      <c r="C198" s="250">
        <f t="shared" si="130"/>
        <v>2032</v>
      </c>
      <c r="D198" s="263">
        <f t="shared" ca="1" si="108"/>
        <v>129806.78209336131</v>
      </c>
      <c r="E198" s="263">
        <f t="shared" ca="1" si="94"/>
        <v>858.60012524764625</v>
      </c>
      <c r="F198" s="263">
        <f t="shared" ca="1" si="95"/>
        <v>0</v>
      </c>
      <c r="G198" s="263">
        <f t="shared" ca="1" si="109"/>
        <v>134958.38284484719</v>
      </c>
      <c r="H198" s="15"/>
      <c r="I198" s="271">
        <f ca="1">Assumptions!O$68</f>
        <v>4.5</v>
      </c>
      <c r="J198" s="271">
        <f ca="1">Assumptions!P$68</f>
        <v>80</v>
      </c>
      <c r="K198" s="271">
        <f t="shared" ca="1" si="96"/>
        <v>40</v>
      </c>
      <c r="L198" s="15"/>
      <c r="M198" s="35">
        <f t="shared" ca="1" si="110"/>
        <v>4.2299999999999995</v>
      </c>
      <c r="N198" s="35">
        <f t="shared" ca="1" si="97"/>
        <v>74.400000000000006</v>
      </c>
      <c r="O198" s="35">
        <f t="shared" ca="1" si="98"/>
        <v>37.200000000000003</v>
      </c>
      <c r="P198" s="15"/>
      <c r="Q198" s="34">
        <f t="shared" ca="1" si="111"/>
        <v>549082.68825491832</v>
      </c>
      <c r="R198" s="34">
        <f t="shared" ca="1" si="112"/>
        <v>63879.849318424887</v>
      </c>
      <c r="S198" s="34">
        <f t="shared" ca="1" si="113"/>
        <v>0</v>
      </c>
      <c r="T198" s="34">
        <f t="shared" ca="1" si="114"/>
        <v>612962.53757334326</v>
      </c>
      <c r="U198" s="15"/>
      <c r="V198" s="35">
        <f t="shared" si="115"/>
        <v>0.31</v>
      </c>
      <c r="W198" s="34">
        <f t="shared" ca="1" si="116"/>
        <v>41837.098681902629</v>
      </c>
      <c r="X198" s="35">
        <f t="shared" si="117"/>
        <v>0.37</v>
      </c>
      <c r="Y198" s="34">
        <f t="shared" ca="1" si="118"/>
        <v>49934.601652593461</v>
      </c>
      <c r="Z198" s="35">
        <f t="shared" si="119"/>
        <v>0.57999999999999996</v>
      </c>
      <c r="AA198" s="34">
        <f t="shared" ca="1" si="120"/>
        <v>78275.862050011361</v>
      </c>
      <c r="AB198" s="34">
        <f t="shared" ca="1" si="121"/>
        <v>170047.56238450744</v>
      </c>
      <c r="AC198" s="15"/>
      <c r="AD198" s="34">
        <f t="shared" ca="1" si="122"/>
        <v>442914.97518883582</v>
      </c>
      <c r="AE198" s="34">
        <f ca="1"/>
        <v>178143.71257485033</v>
      </c>
      <c r="AF198" s="34">
        <f t="shared" ca="1" si="123"/>
        <v>264771.26261398545</v>
      </c>
      <c r="AG198" s="15"/>
      <c r="AH198" s="272">
        <f t="shared" si="131"/>
        <v>48579</v>
      </c>
      <c r="AI198" s="267">
        <f t="shared" si="99"/>
        <v>18.666666666666668</v>
      </c>
      <c r="AJ198" s="267">
        <f t="shared" si="100"/>
        <v>0.16878604764847771</v>
      </c>
      <c r="AK198" s="34">
        <f t="shared" ca="1" si="132"/>
        <v>44689.694947511751</v>
      </c>
      <c r="AL198" s="233"/>
      <c r="AN198" s="232"/>
      <c r="AO198" s="237">
        <f t="shared" si="150"/>
        <v>19</v>
      </c>
      <c r="AP198" s="34">
        <f t="shared" ref="AP198:AS198" ca="1" si="154">+AP148</f>
        <v>120.42345965851247</v>
      </c>
      <c r="AQ198" s="34">
        <f t="shared" ca="1" si="154"/>
        <v>0.79653463307632233</v>
      </c>
      <c r="AR198" s="34">
        <f t="shared" ca="1" si="154"/>
        <v>0</v>
      </c>
      <c r="AS198" s="34">
        <f t="shared" ca="1" si="154"/>
        <v>125.2026674569704</v>
      </c>
      <c r="AT198" s="15"/>
      <c r="AW198" s="34">
        <f t="shared" ca="1" si="126"/>
        <v>120.42345965851247</v>
      </c>
      <c r="AX198" s="34">
        <f t="shared" ca="1" si="102"/>
        <v>0.79653463307632233</v>
      </c>
      <c r="AY198" s="34">
        <f t="shared" ca="1" si="103"/>
        <v>0</v>
      </c>
      <c r="AZ198" s="34">
        <f t="shared" ca="1" si="104"/>
        <v>125.2026674569704</v>
      </c>
      <c r="BB198" s="34">
        <f t="shared" ca="1" si="152"/>
        <v>0</v>
      </c>
      <c r="BC198" s="34">
        <f t="shared" ca="1" si="152"/>
        <v>0</v>
      </c>
      <c r="BD198" s="34">
        <f t="shared" ca="1" si="152"/>
        <v>0</v>
      </c>
      <c r="BE198" s="34">
        <f t="shared" ca="1" si="152"/>
        <v>0</v>
      </c>
      <c r="BF198" s="34">
        <f t="shared" ca="1" si="152"/>
        <v>1849.0823537847771</v>
      </c>
      <c r="BG198" s="34">
        <f t="shared" ca="1" si="152"/>
        <v>7802.6715126600911</v>
      </c>
      <c r="BH198" s="34">
        <f t="shared" ca="1" si="152"/>
        <v>8169.7558612917592</v>
      </c>
      <c r="BI198" s="34">
        <f t="shared" ca="1" si="152"/>
        <v>8584.2017233217048</v>
      </c>
      <c r="BJ198" s="34">
        <f t="shared" ca="1" si="152"/>
        <v>9056.6681782746382</v>
      </c>
      <c r="BK198" s="34">
        <f t="shared" ca="1" si="152"/>
        <v>9601.429922698524</v>
      </c>
      <c r="BL198" s="34">
        <f t="shared" ca="1" si="152"/>
        <v>10238.100553748853</v>
      </c>
      <c r="BM198" s="34">
        <f t="shared" ca="1" si="152"/>
        <v>10994.473183102578</v>
      </c>
      <c r="BN198" s="34">
        <f t="shared" ca="1" si="152"/>
        <v>11911.434259634292</v>
      </c>
      <c r="BO198" s="34">
        <f t="shared" ca="1" si="152"/>
        <v>13052.011829004938</v>
      </c>
      <c r="BP198" s="34">
        <f t="shared" ca="1" si="152"/>
        <v>14519.375128556216</v>
      </c>
      <c r="BQ198" s="34">
        <f t="shared" ca="1" si="152"/>
        <v>16496.488078315044</v>
      </c>
      <c r="BR198" s="34">
        <f t="shared" ca="1" si="147"/>
        <v>19346.697935253127</v>
      </c>
      <c r="BS198" s="34">
        <f t="shared" ca="1" si="147"/>
        <v>23928.883578439847</v>
      </c>
      <c r="BT198" s="34">
        <f t="shared" ca="1" si="147"/>
        <v>33026.569435919366</v>
      </c>
      <c r="BU198" s="34">
        <f t="shared" ca="1" si="147"/>
        <v>71338.922155688619</v>
      </c>
      <c r="BV198" s="34">
        <f t="shared" ca="1" si="147"/>
        <v>0</v>
      </c>
      <c r="BW198" s="34">
        <f t="shared" ca="1" si="147"/>
        <v>0</v>
      </c>
      <c r="BX198" s="34">
        <f t="shared" ca="1" si="147"/>
        <v>0</v>
      </c>
      <c r="BY198" s="34">
        <f t="shared" ca="1" si="147"/>
        <v>0</v>
      </c>
      <c r="BZ198" s="34">
        <f t="shared" ca="1" si="147"/>
        <v>0</v>
      </c>
      <c r="CA198" s="34">
        <f t="shared" ca="1" si="147"/>
        <v>0</v>
      </c>
      <c r="CB198" s="34">
        <f t="shared" ca="1" si="147"/>
        <v>0</v>
      </c>
      <c r="CC198" s="34">
        <f t="shared" ca="1" si="147"/>
        <v>0</v>
      </c>
      <c r="CD198" s="34">
        <f t="shared" ca="1" si="147"/>
        <v>0</v>
      </c>
      <c r="CE198" s="34">
        <f t="shared" ca="1" si="147"/>
        <v>0</v>
      </c>
      <c r="CF198" s="34">
        <f t="shared" ca="1" si="147"/>
        <v>0</v>
      </c>
      <c r="CG198" s="34">
        <f t="shared" ca="1" si="147"/>
        <v>0</v>
      </c>
      <c r="CH198" s="34">
        <f t="shared" ca="1" si="148"/>
        <v>0</v>
      </c>
      <c r="CI198" s="34">
        <f t="shared" ca="1" si="148"/>
        <v>0</v>
      </c>
      <c r="CJ198" s="34">
        <f t="shared" ca="1" si="148"/>
        <v>0</v>
      </c>
      <c r="CK198" s="34">
        <f t="shared" ca="1" si="148"/>
        <v>0</v>
      </c>
      <c r="CL198" s="34">
        <f t="shared" ca="1" si="148"/>
        <v>0</v>
      </c>
      <c r="CM198" s="34">
        <f t="shared" ca="1" si="148"/>
        <v>0</v>
      </c>
      <c r="CN198" s="34">
        <f t="shared" ca="1" si="148"/>
        <v>0</v>
      </c>
      <c r="CO198" s="34">
        <f t="shared" ca="1" si="148"/>
        <v>0</v>
      </c>
      <c r="CP198" s="34">
        <f t="shared" ca="1" si="148"/>
        <v>0</v>
      </c>
      <c r="CQ198" s="34">
        <f t="shared" ca="1" si="128"/>
        <v>269916.76568969438</v>
      </c>
      <c r="CR198" s="363">
        <v>0</v>
      </c>
      <c r="CS198" s="34">
        <f t="shared" ca="1" si="129"/>
        <v>269916.76568969438</v>
      </c>
      <c r="CT198" s="233"/>
    </row>
    <row r="199" spans="2:98" x14ac:dyDescent="0.3">
      <c r="B199" s="232"/>
      <c r="C199" s="250">
        <f t="shared" si="130"/>
        <v>2033</v>
      </c>
      <c r="D199" s="263">
        <f t="shared" ca="1" si="108"/>
        <v>133366.27525134463</v>
      </c>
      <c r="E199" s="263">
        <f t="shared" ca="1" si="94"/>
        <v>882.14420531785788</v>
      </c>
      <c r="F199" s="263">
        <f t="shared" ca="1" si="95"/>
        <v>0</v>
      </c>
      <c r="G199" s="263">
        <f t="shared" ca="1" si="109"/>
        <v>138659.14048325177</v>
      </c>
      <c r="H199" s="15"/>
      <c r="I199" s="271">
        <f ca="1">Assumptions!O$68</f>
        <v>4.5</v>
      </c>
      <c r="J199" s="271">
        <f ca="1">Assumptions!P$68</f>
        <v>80</v>
      </c>
      <c r="K199" s="271">
        <f t="shared" ca="1" si="96"/>
        <v>40</v>
      </c>
      <c r="L199" s="15"/>
      <c r="M199" s="35">
        <f t="shared" ca="1" si="110"/>
        <v>4.2299999999999995</v>
      </c>
      <c r="N199" s="35">
        <f t="shared" ca="1" si="97"/>
        <v>74.400000000000006</v>
      </c>
      <c r="O199" s="35">
        <f t="shared" ca="1" si="98"/>
        <v>37.200000000000003</v>
      </c>
      <c r="P199" s="15"/>
      <c r="Q199" s="34">
        <f t="shared" ca="1" si="111"/>
        <v>564139.34431318776</v>
      </c>
      <c r="R199" s="34">
        <f t="shared" ca="1" si="112"/>
        <v>65631.528875648626</v>
      </c>
      <c r="S199" s="34">
        <f t="shared" ca="1" si="113"/>
        <v>0</v>
      </c>
      <c r="T199" s="34">
        <f t="shared" ca="1" si="114"/>
        <v>629770.87318883638</v>
      </c>
      <c r="U199" s="15"/>
      <c r="V199" s="35">
        <f t="shared" si="115"/>
        <v>0.31</v>
      </c>
      <c r="W199" s="34">
        <f t="shared" ca="1" si="116"/>
        <v>42984.333549808049</v>
      </c>
      <c r="X199" s="35">
        <f t="shared" si="117"/>
        <v>0.37</v>
      </c>
      <c r="Y199" s="34">
        <f t="shared" ca="1" si="118"/>
        <v>51303.881978803154</v>
      </c>
      <c r="Z199" s="35">
        <f t="shared" si="119"/>
        <v>0.57999999999999996</v>
      </c>
      <c r="AA199" s="34">
        <f t="shared" ca="1" si="120"/>
        <v>80422.301480286027</v>
      </c>
      <c r="AB199" s="34">
        <f t="shared" ca="1" si="121"/>
        <v>174710.51700889724</v>
      </c>
      <c r="AC199" s="15"/>
      <c r="AD199" s="34">
        <f t="shared" ca="1" si="122"/>
        <v>455060.35617993912</v>
      </c>
      <c r="AE199" s="34">
        <f ca="1"/>
        <v>178143.71257485033</v>
      </c>
      <c r="AF199" s="34">
        <f t="shared" ca="1" si="123"/>
        <v>276916.64360508882</v>
      </c>
      <c r="AG199" s="15"/>
      <c r="AH199" s="272">
        <f t="shared" si="131"/>
        <v>48944</v>
      </c>
      <c r="AI199" s="267">
        <f t="shared" si="99"/>
        <v>19.666666666666668</v>
      </c>
      <c r="AJ199" s="267">
        <f t="shared" si="100"/>
        <v>0.15344186149861608</v>
      </c>
      <c r="AK199" s="34">
        <f t="shared" ca="1" si="132"/>
        <v>42490.605274713671</v>
      </c>
      <c r="AL199" s="233"/>
      <c r="AN199" s="232"/>
      <c r="AO199" s="237">
        <f t="shared" si="150"/>
        <v>20</v>
      </c>
      <c r="AP199" s="34">
        <f t="shared" ref="AP199:AS199" ca="1" si="155">+AP149</f>
        <v>115.73700947552931</v>
      </c>
      <c r="AQ199" s="34">
        <f t="shared" ca="1" si="155"/>
        <v>0.76553635510358775</v>
      </c>
      <c r="AR199" s="34">
        <f t="shared" ca="1" si="155"/>
        <v>0</v>
      </c>
      <c r="AS199" s="34">
        <f t="shared" ca="1" si="155"/>
        <v>120.33022760615083</v>
      </c>
      <c r="AT199" s="15"/>
      <c r="AW199" s="34">
        <f t="shared" ca="1" si="126"/>
        <v>115.73700947552931</v>
      </c>
      <c r="AX199" s="34">
        <f t="shared" ca="1" si="102"/>
        <v>0.76553635510358775</v>
      </c>
      <c r="AY199" s="34">
        <f t="shared" ca="1" si="103"/>
        <v>0</v>
      </c>
      <c r="AZ199" s="34">
        <f t="shared" ca="1" si="104"/>
        <v>120.33022760615083</v>
      </c>
      <c r="BB199" s="34">
        <f t="shared" ca="1" si="152"/>
        <v>0</v>
      </c>
      <c r="BC199" s="34">
        <f t="shared" ca="1" si="152"/>
        <v>0</v>
      </c>
      <c r="BD199" s="34">
        <f t="shared" ca="1" si="152"/>
        <v>0</v>
      </c>
      <c r="BE199" s="34">
        <f t="shared" ca="1" si="152"/>
        <v>0</v>
      </c>
      <c r="BF199" s="34">
        <f t="shared" ca="1" si="152"/>
        <v>1775.7843811733494</v>
      </c>
      <c r="BG199" s="34">
        <f t="shared" ca="1" si="152"/>
        <v>7474.8132494205784</v>
      </c>
      <c r="BH199" s="34">
        <f t="shared" ca="1" si="152"/>
        <v>7802.6715126600911</v>
      </c>
      <c r="BI199" s="34">
        <f t="shared" ca="1" si="152"/>
        <v>8169.7558612917592</v>
      </c>
      <c r="BJ199" s="34">
        <f t="shared" ca="1" si="152"/>
        <v>8584.2017233217048</v>
      </c>
      <c r="BK199" s="34">
        <f t="shared" ca="1" si="152"/>
        <v>9056.6681782746382</v>
      </c>
      <c r="BL199" s="34">
        <f t="shared" ca="1" si="152"/>
        <v>9601.429922698524</v>
      </c>
      <c r="BM199" s="34">
        <f t="shared" ca="1" si="152"/>
        <v>10238.100553748853</v>
      </c>
      <c r="BN199" s="34">
        <f t="shared" ca="1" si="152"/>
        <v>10994.473183102578</v>
      </c>
      <c r="BO199" s="34">
        <f t="shared" ca="1" si="152"/>
        <v>11911.434259634292</v>
      </c>
      <c r="BP199" s="34">
        <f t="shared" ca="1" si="152"/>
        <v>13052.011829004938</v>
      </c>
      <c r="BQ199" s="34">
        <f t="shared" ca="1" si="152"/>
        <v>14519.375128556216</v>
      </c>
      <c r="BR199" s="34">
        <f t="shared" ca="1" si="147"/>
        <v>16496.488078315044</v>
      </c>
      <c r="BS199" s="34">
        <f t="shared" ca="1" si="147"/>
        <v>19346.697935253127</v>
      </c>
      <c r="BT199" s="34">
        <f t="shared" ca="1" si="147"/>
        <v>23928.883578439847</v>
      </c>
      <c r="BU199" s="34">
        <f t="shared" ca="1" si="147"/>
        <v>33026.569435919366</v>
      </c>
      <c r="BV199" s="34">
        <f t="shared" ca="1" si="147"/>
        <v>71338.922155688619</v>
      </c>
      <c r="BW199" s="34">
        <f t="shared" ca="1" si="147"/>
        <v>0</v>
      </c>
      <c r="BX199" s="34">
        <f t="shared" ca="1" si="147"/>
        <v>0</v>
      </c>
      <c r="BY199" s="34">
        <f t="shared" ca="1" si="147"/>
        <v>0</v>
      </c>
      <c r="BZ199" s="34">
        <f t="shared" ca="1" si="147"/>
        <v>0</v>
      </c>
      <c r="CA199" s="34">
        <f t="shared" ca="1" si="147"/>
        <v>0</v>
      </c>
      <c r="CB199" s="34">
        <f t="shared" ca="1" si="147"/>
        <v>0</v>
      </c>
      <c r="CC199" s="34">
        <f t="shared" ca="1" si="147"/>
        <v>0</v>
      </c>
      <c r="CD199" s="34">
        <f t="shared" ca="1" si="147"/>
        <v>0</v>
      </c>
      <c r="CE199" s="34">
        <f t="shared" ca="1" si="147"/>
        <v>0</v>
      </c>
      <c r="CF199" s="34">
        <f t="shared" ca="1" si="147"/>
        <v>0</v>
      </c>
      <c r="CG199" s="34">
        <f t="shared" ca="1" si="147"/>
        <v>0</v>
      </c>
      <c r="CH199" s="34">
        <f t="shared" ca="1" si="148"/>
        <v>0</v>
      </c>
      <c r="CI199" s="34">
        <f t="shared" ca="1" si="148"/>
        <v>0</v>
      </c>
      <c r="CJ199" s="34">
        <f t="shared" ca="1" si="148"/>
        <v>0</v>
      </c>
      <c r="CK199" s="34">
        <f t="shared" ca="1" si="148"/>
        <v>0</v>
      </c>
      <c r="CL199" s="34">
        <f t="shared" ca="1" si="148"/>
        <v>0</v>
      </c>
      <c r="CM199" s="34">
        <f t="shared" ca="1" si="148"/>
        <v>0</v>
      </c>
      <c r="CN199" s="34">
        <f t="shared" ca="1" si="148"/>
        <v>0</v>
      </c>
      <c r="CO199" s="34">
        <f t="shared" ca="1" si="148"/>
        <v>0</v>
      </c>
      <c r="CP199" s="34">
        <f t="shared" ca="1" si="148"/>
        <v>0</v>
      </c>
      <c r="CQ199" s="34">
        <f t="shared" ca="1" si="128"/>
        <v>277318.28096650355</v>
      </c>
      <c r="CR199" s="363">
        <v>0</v>
      </c>
      <c r="CS199" s="34">
        <f t="shared" ca="1" si="129"/>
        <v>277318.28096650355</v>
      </c>
      <c r="CT199" s="233"/>
    </row>
    <row r="200" spans="2:98" x14ac:dyDescent="0.3">
      <c r="B200" s="232"/>
      <c r="C200" s="250">
        <f t="shared" si="130"/>
        <v>2034</v>
      </c>
      <c r="D200" s="263">
        <f t="shared" ca="1" si="108"/>
        <v>136785.28425624128</v>
      </c>
      <c r="E200" s="263">
        <f t="shared" ca="1" si="94"/>
        <v>904.7590603545982</v>
      </c>
      <c r="F200" s="263">
        <f t="shared" ca="1" si="95"/>
        <v>0</v>
      </c>
      <c r="G200" s="263">
        <f t="shared" ca="1" si="109"/>
        <v>142213.83861836887</v>
      </c>
      <c r="H200" s="15"/>
      <c r="I200" s="271">
        <f ca="1">Assumptions!O$68</f>
        <v>4.5</v>
      </c>
      <c r="J200" s="271">
        <f ca="1">Assumptions!P$68</f>
        <v>80</v>
      </c>
      <c r="K200" s="271">
        <f t="shared" ca="1" si="96"/>
        <v>40</v>
      </c>
      <c r="L200" s="15"/>
      <c r="M200" s="35">
        <f t="shared" ca="1" si="110"/>
        <v>4.2299999999999995</v>
      </c>
      <c r="N200" s="35">
        <f t="shared" ca="1" si="97"/>
        <v>74.400000000000006</v>
      </c>
      <c r="O200" s="35">
        <f t="shared" ca="1" si="98"/>
        <v>37.200000000000003</v>
      </c>
      <c r="P200" s="15"/>
      <c r="Q200" s="34">
        <f t="shared" ca="1" si="111"/>
        <v>578601.75240390061</v>
      </c>
      <c r="R200" s="34">
        <f t="shared" ca="1" si="112"/>
        <v>67314.074090382113</v>
      </c>
      <c r="S200" s="34">
        <f t="shared" ca="1" si="113"/>
        <v>0</v>
      </c>
      <c r="T200" s="34">
        <f t="shared" ca="1" si="114"/>
        <v>645915.82649428269</v>
      </c>
      <c r="U200" s="15"/>
      <c r="V200" s="35">
        <f t="shared" si="115"/>
        <v>0.31</v>
      </c>
      <c r="W200" s="34">
        <f t="shared" ca="1" si="116"/>
        <v>44086.28997169435</v>
      </c>
      <c r="X200" s="35">
        <f t="shared" si="117"/>
        <v>0.37</v>
      </c>
      <c r="Y200" s="34">
        <f t="shared" ca="1" si="118"/>
        <v>52619.120288796483</v>
      </c>
      <c r="Z200" s="35">
        <f t="shared" si="119"/>
        <v>0.57999999999999996</v>
      </c>
      <c r="AA200" s="34">
        <f t="shared" ca="1" si="120"/>
        <v>82484.026398653936</v>
      </c>
      <c r="AB200" s="34">
        <f t="shared" ca="1" si="121"/>
        <v>179189.43665914476</v>
      </c>
      <c r="AC200" s="15"/>
      <c r="AD200" s="34">
        <f t="shared" ca="1" si="122"/>
        <v>466726.38983513793</v>
      </c>
      <c r="AE200" s="34">
        <f ca="1"/>
        <v>178143.71257485033</v>
      </c>
      <c r="AF200" s="34">
        <f t="shared" ca="1" si="123"/>
        <v>288582.67726028757</v>
      </c>
      <c r="AG200" s="15"/>
      <c r="AH200" s="272">
        <f t="shared" si="131"/>
        <v>49309</v>
      </c>
      <c r="AI200" s="267">
        <f t="shared" si="99"/>
        <v>20.666666666666668</v>
      </c>
      <c r="AJ200" s="267">
        <f t="shared" si="100"/>
        <v>0.13949260136237826</v>
      </c>
      <c r="AK200" s="34">
        <f t="shared" ca="1" si="132"/>
        <v>40255.148359157152</v>
      </c>
      <c r="AL200" s="233"/>
      <c r="AN200" s="232"/>
      <c r="AO200" s="237">
        <f t="shared" si="150"/>
        <v>21</v>
      </c>
      <c r="AP200" s="34">
        <f t="shared" ref="AP200:AS200" ca="1" si="156">+AP150</f>
        <v>111.23294897425454</v>
      </c>
      <c r="AQ200" s="34">
        <f t="shared" ca="1" si="156"/>
        <v>0.73574448407687909</v>
      </c>
      <c r="AR200" s="34">
        <f t="shared" ca="1" si="156"/>
        <v>0</v>
      </c>
      <c r="AS200" s="34">
        <f t="shared" ca="1" si="156"/>
        <v>115.64741587871582</v>
      </c>
      <c r="AT200" s="15"/>
      <c r="AW200" s="34">
        <f t="shared" ca="1" si="126"/>
        <v>111.23294897425454</v>
      </c>
      <c r="AX200" s="34">
        <f t="shared" ca="1" si="102"/>
        <v>0.73574448407687909</v>
      </c>
      <c r="AY200" s="34">
        <f t="shared" ca="1" si="103"/>
        <v>0</v>
      </c>
      <c r="AZ200" s="34">
        <f t="shared" ca="1" si="104"/>
        <v>115.64741587871582</v>
      </c>
      <c r="BB200" s="34">
        <f t="shared" ca="1" si="152"/>
        <v>0</v>
      </c>
      <c r="BC200" s="34">
        <f t="shared" ca="1" si="152"/>
        <v>0</v>
      </c>
      <c r="BD200" s="34">
        <f t="shared" ca="1" si="152"/>
        <v>0</v>
      </c>
      <c r="BE200" s="34">
        <f t="shared" ca="1" si="152"/>
        <v>0</v>
      </c>
      <c r="BF200" s="34">
        <f t="shared" ca="1" si="152"/>
        <v>1706.6704063989587</v>
      </c>
      <c r="BG200" s="34">
        <f t="shared" ca="1" si="152"/>
        <v>7178.5102450086188</v>
      </c>
      <c r="BH200" s="34">
        <f t="shared" ca="1" si="152"/>
        <v>7474.8132494205784</v>
      </c>
      <c r="BI200" s="34">
        <f t="shared" ca="1" si="152"/>
        <v>7802.6715126600911</v>
      </c>
      <c r="BJ200" s="34">
        <f t="shared" ca="1" si="152"/>
        <v>8169.7558612917592</v>
      </c>
      <c r="BK200" s="34">
        <f t="shared" ca="1" si="152"/>
        <v>8584.2017233217048</v>
      </c>
      <c r="BL200" s="34">
        <f t="shared" ca="1" si="152"/>
        <v>9056.6681782746382</v>
      </c>
      <c r="BM200" s="34">
        <f t="shared" ca="1" si="152"/>
        <v>9601.429922698524</v>
      </c>
      <c r="BN200" s="34">
        <f t="shared" ca="1" si="152"/>
        <v>10238.100553748853</v>
      </c>
      <c r="BO200" s="34">
        <f t="shared" ca="1" si="152"/>
        <v>10994.473183102578</v>
      </c>
      <c r="BP200" s="34">
        <f t="shared" ca="1" si="152"/>
        <v>11911.434259634292</v>
      </c>
      <c r="BQ200" s="34">
        <f t="shared" ca="1" si="152"/>
        <v>13052.011829004938</v>
      </c>
      <c r="BR200" s="34">
        <f t="shared" ca="1" si="147"/>
        <v>14519.375128556216</v>
      </c>
      <c r="BS200" s="34">
        <f t="shared" ca="1" si="147"/>
        <v>16496.488078315044</v>
      </c>
      <c r="BT200" s="34">
        <f t="shared" ca="1" si="147"/>
        <v>19346.697935253127</v>
      </c>
      <c r="BU200" s="34">
        <f t="shared" ca="1" si="147"/>
        <v>23928.883578439847</v>
      </c>
      <c r="BV200" s="34">
        <f t="shared" ca="1" si="147"/>
        <v>33026.569435919366</v>
      </c>
      <c r="BW200" s="34">
        <f t="shared" ca="1" si="147"/>
        <v>71338.922155688619</v>
      </c>
      <c r="BX200" s="34">
        <f t="shared" ca="1" si="147"/>
        <v>0</v>
      </c>
      <c r="BY200" s="34">
        <f t="shared" ca="1" si="147"/>
        <v>0</v>
      </c>
      <c r="BZ200" s="34">
        <f t="shared" ca="1" si="147"/>
        <v>0</v>
      </c>
      <c r="CA200" s="34">
        <f t="shared" ca="1" si="147"/>
        <v>0</v>
      </c>
      <c r="CB200" s="34">
        <f t="shared" ca="1" si="147"/>
        <v>0</v>
      </c>
      <c r="CC200" s="34">
        <f t="shared" ca="1" si="147"/>
        <v>0</v>
      </c>
      <c r="CD200" s="34">
        <f t="shared" ca="1" si="147"/>
        <v>0</v>
      </c>
      <c r="CE200" s="34">
        <f t="shared" ca="1" si="147"/>
        <v>0</v>
      </c>
      <c r="CF200" s="34">
        <f t="shared" ca="1" si="147"/>
        <v>0</v>
      </c>
      <c r="CG200" s="34">
        <f t="shared" ca="1" si="147"/>
        <v>0</v>
      </c>
      <c r="CH200" s="34">
        <f t="shared" ca="1" si="148"/>
        <v>0</v>
      </c>
      <c r="CI200" s="34">
        <f t="shared" ca="1" si="148"/>
        <v>0</v>
      </c>
      <c r="CJ200" s="34">
        <f t="shared" ca="1" si="148"/>
        <v>0</v>
      </c>
      <c r="CK200" s="34">
        <f t="shared" ca="1" si="148"/>
        <v>0</v>
      </c>
      <c r="CL200" s="34">
        <f t="shared" ca="1" si="148"/>
        <v>0</v>
      </c>
      <c r="CM200" s="34">
        <f t="shared" ca="1" si="148"/>
        <v>0</v>
      </c>
      <c r="CN200" s="34">
        <f t="shared" ca="1" si="148"/>
        <v>0</v>
      </c>
      <c r="CO200" s="34">
        <f t="shared" ca="1" si="148"/>
        <v>0</v>
      </c>
      <c r="CP200" s="34">
        <f t="shared" ca="1" si="148"/>
        <v>0</v>
      </c>
      <c r="CQ200" s="34">
        <f t="shared" ca="1" si="128"/>
        <v>284427.67723673774</v>
      </c>
      <c r="CR200" s="363">
        <v>0</v>
      </c>
      <c r="CS200" s="34">
        <f t="shared" ca="1" si="129"/>
        <v>284427.67723673774</v>
      </c>
      <c r="CT200" s="233"/>
    </row>
    <row r="201" spans="2:98" x14ac:dyDescent="0.3">
      <c r="B201" s="232"/>
      <c r="C201" s="250">
        <f t="shared" si="130"/>
        <v>2035</v>
      </c>
      <c r="D201" s="263">
        <f t="shared" ca="1" si="108"/>
        <v>124659.03726398128</v>
      </c>
      <c r="E201" s="263">
        <f t="shared" ca="1" si="94"/>
        <v>824.55063812555034</v>
      </c>
      <c r="F201" s="263">
        <f t="shared" ca="1" si="95"/>
        <v>0</v>
      </c>
      <c r="G201" s="263">
        <f t="shared" ca="1" si="109"/>
        <v>129606.34109273458</v>
      </c>
      <c r="H201" s="15"/>
      <c r="I201" s="271">
        <f ca="1">Assumptions!O$68</f>
        <v>4.5</v>
      </c>
      <c r="J201" s="271">
        <f ca="1">Assumptions!P$68</f>
        <v>80</v>
      </c>
      <c r="K201" s="271">
        <f t="shared" ca="1" si="96"/>
        <v>40</v>
      </c>
      <c r="L201" s="15"/>
      <c r="M201" s="35">
        <f t="shared" ca="1" si="110"/>
        <v>4.2299999999999995</v>
      </c>
      <c r="N201" s="35">
        <f t="shared" ca="1" si="97"/>
        <v>74.400000000000006</v>
      </c>
      <c r="O201" s="35">
        <f t="shared" ca="1" si="98"/>
        <v>37.200000000000003</v>
      </c>
      <c r="P201" s="15"/>
      <c r="Q201" s="34">
        <f t="shared" ca="1" si="111"/>
        <v>527307.72762664082</v>
      </c>
      <c r="R201" s="34">
        <f t="shared" ca="1" si="112"/>
        <v>61346.567476540949</v>
      </c>
      <c r="S201" s="34">
        <f t="shared" ca="1" si="113"/>
        <v>0</v>
      </c>
      <c r="T201" s="34">
        <f t="shared" ca="1" si="114"/>
        <v>588654.29510318174</v>
      </c>
      <c r="U201" s="15"/>
      <c r="V201" s="35">
        <f t="shared" si="115"/>
        <v>0.31</v>
      </c>
      <c r="W201" s="34">
        <f t="shared" ca="1" si="116"/>
        <v>40177.96573874772</v>
      </c>
      <c r="X201" s="35">
        <f t="shared" si="117"/>
        <v>0.37</v>
      </c>
      <c r="Y201" s="34">
        <f t="shared" ca="1" si="118"/>
        <v>47954.346204311798</v>
      </c>
      <c r="Z201" s="35">
        <f t="shared" si="119"/>
        <v>0.57999999999999996</v>
      </c>
      <c r="AA201" s="34">
        <f t="shared" ca="1" si="120"/>
        <v>75171.67783378606</v>
      </c>
      <c r="AB201" s="34">
        <f t="shared" ca="1" si="121"/>
        <v>163303.98977684558</v>
      </c>
      <c r="AC201" s="15"/>
      <c r="AD201" s="34">
        <f t="shared" ca="1" si="122"/>
        <v>425350.30532633618</v>
      </c>
      <c r="AE201" s="34">
        <f ca="1"/>
        <v>98115.927066232296</v>
      </c>
      <c r="AF201" s="34">
        <f t="shared" ca="1" si="123"/>
        <v>327234.37826010387</v>
      </c>
      <c r="AG201" s="15"/>
      <c r="AH201" s="272">
        <f t="shared" si="131"/>
        <v>49674</v>
      </c>
      <c r="AI201" s="267">
        <f t="shared" si="99"/>
        <v>21.666666666666668</v>
      </c>
      <c r="AJ201" s="267">
        <f t="shared" si="100"/>
        <v>0.12681145578398023</v>
      </c>
      <c r="AK201" s="34">
        <f t="shared" ca="1" si="132"/>
        <v>41497.06788972942</v>
      </c>
      <c r="AL201" s="233"/>
      <c r="AN201" s="232"/>
      <c r="AO201" s="237">
        <f t="shared" si="150"/>
        <v>22</v>
      </c>
      <c r="AP201" s="34">
        <f t="shared" ref="AP201:AS201" ca="1" si="157">+AP151</f>
        <v>106.90416160781429</v>
      </c>
      <c r="AQ201" s="34">
        <f t="shared" ca="1" si="157"/>
        <v>0.70711194797161714</v>
      </c>
      <c r="AR201" s="34">
        <f t="shared" ca="1" si="157"/>
        <v>0</v>
      </c>
      <c r="AS201" s="34">
        <f t="shared" ca="1" si="157"/>
        <v>111.14683329564399</v>
      </c>
      <c r="AT201" s="15"/>
      <c r="AW201" s="34">
        <f t="shared" ca="1" si="126"/>
        <v>106.90416160781429</v>
      </c>
      <c r="AX201" s="34">
        <f t="shared" ca="1" si="102"/>
        <v>0.70711194797161714</v>
      </c>
      <c r="AY201" s="34">
        <f t="shared" ca="1" si="103"/>
        <v>0</v>
      </c>
      <c r="AZ201" s="34">
        <f t="shared" ca="1" si="104"/>
        <v>111.14683329564399</v>
      </c>
      <c r="BB201" s="34">
        <f t="shared" ca="1" si="152"/>
        <v>0</v>
      </c>
      <c r="BC201" s="34">
        <f t="shared" ca="1" si="152"/>
        <v>0</v>
      </c>
      <c r="BD201" s="34">
        <f t="shared" ca="1" si="152"/>
        <v>0</v>
      </c>
      <c r="BE201" s="34">
        <f t="shared" ca="1" si="152"/>
        <v>0</v>
      </c>
      <c r="BF201" s="34">
        <f t="shared" ca="1" si="152"/>
        <v>1640.2528684177257</v>
      </c>
      <c r="BG201" s="34">
        <f t="shared" ca="1" si="152"/>
        <v>6899.1208206780539</v>
      </c>
      <c r="BH201" s="34">
        <f t="shared" ca="1" si="152"/>
        <v>7178.5102450086188</v>
      </c>
      <c r="BI201" s="34">
        <f t="shared" ca="1" si="152"/>
        <v>7474.8132494205784</v>
      </c>
      <c r="BJ201" s="34">
        <f t="shared" ca="1" si="152"/>
        <v>7802.6715126600911</v>
      </c>
      <c r="BK201" s="34">
        <f t="shared" ca="1" si="152"/>
        <v>8169.7558612917592</v>
      </c>
      <c r="BL201" s="34">
        <f t="shared" ca="1" si="152"/>
        <v>8584.2017233217048</v>
      </c>
      <c r="BM201" s="34">
        <f t="shared" ca="1" si="152"/>
        <v>9056.6681782746382</v>
      </c>
      <c r="BN201" s="34">
        <f t="shared" ca="1" si="152"/>
        <v>9601.429922698524</v>
      </c>
      <c r="BO201" s="34">
        <f t="shared" ca="1" si="152"/>
        <v>10238.100553748853</v>
      </c>
      <c r="BP201" s="34">
        <f t="shared" ca="1" si="152"/>
        <v>10994.473183102578</v>
      </c>
      <c r="BQ201" s="34">
        <f t="shared" ca="1" si="152"/>
        <v>11911.434259634292</v>
      </c>
      <c r="BR201" s="34">
        <f t="shared" ca="1" si="147"/>
        <v>13052.011829004938</v>
      </c>
      <c r="BS201" s="34">
        <f t="shared" ca="1" si="147"/>
        <v>14519.375128556216</v>
      </c>
      <c r="BT201" s="34">
        <f t="shared" ca="1" si="147"/>
        <v>16496.488078315044</v>
      </c>
      <c r="BU201" s="34">
        <f t="shared" ca="1" si="147"/>
        <v>19346.697935253127</v>
      </c>
      <c r="BV201" s="34">
        <f t="shared" ca="1" si="147"/>
        <v>23928.883578439847</v>
      </c>
      <c r="BW201" s="34">
        <f t="shared" ca="1" si="147"/>
        <v>33026.569435919366</v>
      </c>
      <c r="BX201" s="34">
        <f t="shared" ca="1" si="147"/>
        <v>39291.223821723193</v>
      </c>
      <c r="BY201" s="34">
        <f t="shared" ca="1" si="147"/>
        <v>0</v>
      </c>
      <c r="BZ201" s="34">
        <f t="shared" ca="1" si="147"/>
        <v>0</v>
      </c>
      <c r="CA201" s="34">
        <f t="shared" ca="1" si="147"/>
        <v>0</v>
      </c>
      <c r="CB201" s="34">
        <f t="shared" ca="1" si="147"/>
        <v>0</v>
      </c>
      <c r="CC201" s="34">
        <f t="shared" ca="1" si="147"/>
        <v>0</v>
      </c>
      <c r="CD201" s="34">
        <f t="shared" ca="1" si="147"/>
        <v>0</v>
      </c>
      <c r="CE201" s="34">
        <f t="shared" ca="1" si="147"/>
        <v>0</v>
      </c>
      <c r="CF201" s="34">
        <f t="shared" ca="1" si="147"/>
        <v>0</v>
      </c>
      <c r="CG201" s="34">
        <f t="shared" ca="1" si="147"/>
        <v>0</v>
      </c>
      <c r="CH201" s="34">
        <f t="shared" ca="1" si="148"/>
        <v>0</v>
      </c>
      <c r="CI201" s="34">
        <f t="shared" ca="1" si="148"/>
        <v>0</v>
      </c>
      <c r="CJ201" s="34">
        <f t="shared" ca="1" si="148"/>
        <v>0</v>
      </c>
      <c r="CK201" s="34">
        <f t="shared" ca="1" si="148"/>
        <v>0</v>
      </c>
      <c r="CL201" s="34">
        <f t="shared" ca="1" si="148"/>
        <v>0</v>
      </c>
      <c r="CM201" s="34">
        <f t="shared" ca="1" si="148"/>
        <v>0</v>
      </c>
      <c r="CN201" s="34">
        <f t="shared" ca="1" si="148"/>
        <v>0</v>
      </c>
      <c r="CO201" s="34">
        <f t="shared" ca="1" si="148"/>
        <v>0</v>
      </c>
      <c r="CP201" s="34">
        <f t="shared" ca="1" si="148"/>
        <v>0</v>
      </c>
      <c r="CQ201" s="34">
        <f t="shared" ca="1" si="128"/>
        <v>259212.68218546917</v>
      </c>
      <c r="CR201" s="363">
        <v>0</v>
      </c>
      <c r="CS201" s="34">
        <f t="shared" ca="1" si="129"/>
        <v>259212.68218546917</v>
      </c>
      <c r="CT201" s="233"/>
    </row>
    <row r="202" spans="2:98" x14ac:dyDescent="0.3">
      <c r="B202" s="232"/>
      <c r="C202" s="250">
        <f t="shared" si="130"/>
        <v>2036</v>
      </c>
      <c r="D202" s="263">
        <f t="shared" ca="1" si="108"/>
        <v>101786.2792891159</v>
      </c>
      <c r="E202" s="263">
        <f t="shared" ca="1" si="94"/>
        <v>673.25998485402999</v>
      </c>
      <c r="F202" s="263">
        <f t="shared" ca="1" si="95"/>
        <v>0</v>
      </c>
      <c r="G202" s="263">
        <f t="shared" ca="1" si="109"/>
        <v>105825.83919824008</v>
      </c>
      <c r="H202" s="15"/>
      <c r="I202" s="271">
        <f ca="1">Assumptions!O$68</f>
        <v>4.5</v>
      </c>
      <c r="J202" s="271">
        <f ca="1">Assumptions!P$68</f>
        <v>80</v>
      </c>
      <c r="K202" s="271">
        <f t="shared" ca="1" si="96"/>
        <v>40</v>
      </c>
      <c r="L202" s="15"/>
      <c r="M202" s="35">
        <f t="shared" ca="1" si="110"/>
        <v>4.2299999999999995</v>
      </c>
      <c r="N202" s="35">
        <f t="shared" ca="1" si="97"/>
        <v>74.400000000000006</v>
      </c>
      <c r="O202" s="35">
        <f t="shared" ca="1" si="98"/>
        <v>37.200000000000003</v>
      </c>
      <c r="P202" s="15"/>
      <c r="Q202" s="34">
        <f t="shared" ca="1" si="111"/>
        <v>430555.96139296022</v>
      </c>
      <c r="R202" s="34">
        <f t="shared" ca="1" si="112"/>
        <v>50090.542873139835</v>
      </c>
      <c r="S202" s="34">
        <f t="shared" ca="1" si="113"/>
        <v>0</v>
      </c>
      <c r="T202" s="34">
        <f t="shared" ca="1" si="114"/>
        <v>480646.50426610006</v>
      </c>
      <c r="U202" s="15"/>
      <c r="V202" s="35">
        <f t="shared" si="115"/>
        <v>0.31</v>
      </c>
      <c r="W202" s="34">
        <f t="shared" ca="1" si="116"/>
        <v>32806.010151454422</v>
      </c>
      <c r="X202" s="35">
        <f t="shared" si="117"/>
        <v>0.37</v>
      </c>
      <c r="Y202" s="34">
        <f t="shared" ca="1" si="118"/>
        <v>39155.560503348832</v>
      </c>
      <c r="Z202" s="35">
        <f t="shared" si="119"/>
        <v>0.57999999999999996</v>
      </c>
      <c r="AA202" s="34">
        <f t="shared" ca="1" si="120"/>
        <v>61378.98673497924</v>
      </c>
      <c r="AB202" s="34">
        <f t="shared" ca="1" si="121"/>
        <v>133340.55738978248</v>
      </c>
      <c r="AC202" s="15"/>
      <c r="AD202" s="34">
        <f t="shared" ca="1" si="122"/>
        <v>347305.94687631761</v>
      </c>
      <c r="AE202" s="34">
        <f ca="1"/>
        <v>0</v>
      </c>
      <c r="AF202" s="34">
        <f t="shared" ca="1" si="123"/>
        <v>347305.94687631761</v>
      </c>
      <c r="AG202" s="15"/>
      <c r="AH202" s="272">
        <f t="shared" si="131"/>
        <v>50040</v>
      </c>
      <c r="AI202" s="267">
        <f t="shared" si="99"/>
        <v>22.666666666666668</v>
      </c>
      <c r="AJ202" s="267">
        <f t="shared" si="100"/>
        <v>0.11528314162180023</v>
      </c>
      <c r="AK202" s="34">
        <f t="shared" ca="1" si="132"/>
        <v>40038.520659835951</v>
      </c>
      <c r="AL202" s="233"/>
      <c r="AN202" s="232"/>
      <c r="AO202" s="237">
        <f t="shared" si="150"/>
        <v>23</v>
      </c>
      <c r="AP202" s="34">
        <f t="shared" ref="AP202:AS202" ca="1" si="158">+AP152</f>
        <v>102.74384340120095</v>
      </c>
      <c r="AQ202" s="34">
        <f t="shared" ca="1" si="158"/>
        <v>0.6795937422533741</v>
      </c>
      <c r="AR202" s="34">
        <f t="shared" ca="1" si="158"/>
        <v>0</v>
      </c>
      <c r="AS202" s="34">
        <f t="shared" ca="1" si="158"/>
        <v>106.82140585472119</v>
      </c>
      <c r="AT202" s="15"/>
      <c r="AW202" s="34">
        <f t="shared" ca="1" si="126"/>
        <v>102.74384340120095</v>
      </c>
      <c r="AX202" s="34">
        <f t="shared" ca="1" si="102"/>
        <v>0.6795937422533741</v>
      </c>
      <c r="AY202" s="34">
        <f t="shared" ca="1" si="103"/>
        <v>0</v>
      </c>
      <c r="AZ202" s="34">
        <f t="shared" ca="1" si="104"/>
        <v>106.82140585472119</v>
      </c>
      <c r="BB202" s="34">
        <f t="shared" ca="1" si="152"/>
        <v>0</v>
      </c>
      <c r="BC202" s="34">
        <f t="shared" ca="1" si="152"/>
        <v>0</v>
      </c>
      <c r="BD202" s="34">
        <f t="shared" ca="1" si="152"/>
        <v>0</v>
      </c>
      <c r="BE202" s="34">
        <f t="shared" ca="1" si="152"/>
        <v>0</v>
      </c>
      <c r="BF202" s="34">
        <f t="shared" ca="1" si="152"/>
        <v>1576.4200270045874</v>
      </c>
      <c r="BG202" s="34">
        <f t="shared" ca="1" si="152"/>
        <v>6630.6315930999299</v>
      </c>
      <c r="BH202" s="34">
        <f t="shared" ca="1" si="152"/>
        <v>6899.1208206780539</v>
      </c>
      <c r="BI202" s="34">
        <f t="shared" ca="1" si="152"/>
        <v>7178.5102450086188</v>
      </c>
      <c r="BJ202" s="34">
        <f t="shared" ca="1" si="152"/>
        <v>7474.8132494205784</v>
      </c>
      <c r="BK202" s="34">
        <f t="shared" ca="1" si="152"/>
        <v>7802.6715126600911</v>
      </c>
      <c r="BL202" s="34">
        <f t="shared" ca="1" si="152"/>
        <v>8169.7558612917592</v>
      </c>
      <c r="BM202" s="34">
        <f t="shared" ca="1" si="152"/>
        <v>8584.2017233217048</v>
      </c>
      <c r="BN202" s="34">
        <f t="shared" ca="1" si="152"/>
        <v>9056.6681782746382</v>
      </c>
      <c r="BO202" s="34">
        <f t="shared" ca="1" si="152"/>
        <v>9601.429922698524</v>
      </c>
      <c r="BP202" s="34">
        <f t="shared" ca="1" si="152"/>
        <v>10238.100553748853</v>
      </c>
      <c r="BQ202" s="34">
        <f t="shared" ca="1" si="152"/>
        <v>10994.473183102578</v>
      </c>
      <c r="BR202" s="34">
        <f t="shared" ca="1" si="147"/>
        <v>11911.434259634292</v>
      </c>
      <c r="BS202" s="34">
        <f t="shared" ca="1" si="147"/>
        <v>13052.011829004938</v>
      </c>
      <c r="BT202" s="34">
        <f t="shared" ca="1" si="147"/>
        <v>14519.375128556216</v>
      </c>
      <c r="BU202" s="34">
        <f t="shared" ca="1" si="147"/>
        <v>16496.488078315044</v>
      </c>
      <c r="BV202" s="34">
        <f t="shared" ca="1" si="147"/>
        <v>19346.697935253127</v>
      </c>
      <c r="BW202" s="34">
        <f t="shared" ca="1" si="147"/>
        <v>23928.883578439847</v>
      </c>
      <c r="BX202" s="34">
        <f t="shared" ca="1" si="147"/>
        <v>18189.990716966757</v>
      </c>
      <c r="BY202" s="34">
        <f t="shared" ca="1" si="147"/>
        <v>0</v>
      </c>
      <c r="BZ202" s="34">
        <f t="shared" ca="1" si="147"/>
        <v>0</v>
      </c>
      <c r="CA202" s="34">
        <f t="shared" ca="1" si="147"/>
        <v>0</v>
      </c>
      <c r="CB202" s="34">
        <f t="shared" ca="1" si="147"/>
        <v>0</v>
      </c>
      <c r="CC202" s="34">
        <f t="shared" ca="1" si="147"/>
        <v>0</v>
      </c>
      <c r="CD202" s="34">
        <f t="shared" ca="1" si="147"/>
        <v>0</v>
      </c>
      <c r="CE202" s="34">
        <f t="shared" ca="1" si="147"/>
        <v>0</v>
      </c>
      <c r="CF202" s="34">
        <f t="shared" ca="1" si="147"/>
        <v>0</v>
      </c>
      <c r="CG202" s="34">
        <f t="shared" ca="1" si="147"/>
        <v>0</v>
      </c>
      <c r="CH202" s="34">
        <f t="shared" ca="1" si="148"/>
        <v>0</v>
      </c>
      <c r="CI202" s="34">
        <f t="shared" ca="1" si="148"/>
        <v>0</v>
      </c>
      <c r="CJ202" s="34">
        <f t="shared" ca="1" si="148"/>
        <v>0</v>
      </c>
      <c r="CK202" s="34">
        <f t="shared" ca="1" si="148"/>
        <v>0</v>
      </c>
      <c r="CL202" s="34">
        <f t="shared" ca="1" si="148"/>
        <v>0</v>
      </c>
      <c r="CM202" s="34">
        <f t="shared" ca="1" si="148"/>
        <v>0</v>
      </c>
      <c r="CN202" s="34">
        <f t="shared" ca="1" si="148"/>
        <v>0</v>
      </c>
      <c r="CO202" s="34">
        <f t="shared" ca="1" si="148"/>
        <v>0</v>
      </c>
      <c r="CP202" s="34">
        <f t="shared" ca="1" si="148"/>
        <v>0</v>
      </c>
      <c r="CQ202" s="34">
        <f t="shared" ca="1" si="128"/>
        <v>211651.67839648016</v>
      </c>
      <c r="CR202" s="363">
        <v>0</v>
      </c>
      <c r="CS202" s="34">
        <f t="shared" ca="1" si="129"/>
        <v>211651.67839648016</v>
      </c>
      <c r="CT202" s="233"/>
    </row>
    <row r="203" spans="2:98" x14ac:dyDescent="0.3">
      <c r="B203" s="232"/>
      <c r="C203" s="250">
        <f t="shared" si="130"/>
        <v>2037</v>
      </c>
      <c r="D203" s="263">
        <f t="shared" ca="1" si="108"/>
        <v>90903.981981377685</v>
      </c>
      <c r="E203" s="263">
        <f t="shared" ca="1" si="94"/>
        <v>601.27960231372504</v>
      </c>
      <c r="F203" s="263">
        <f t="shared" ca="1" si="95"/>
        <v>0</v>
      </c>
      <c r="G203" s="263">
        <f t="shared" ca="1" si="109"/>
        <v>94511.659595260033</v>
      </c>
      <c r="H203" s="15"/>
      <c r="I203" s="271">
        <f ca="1">Assumptions!O$68</f>
        <v>4.5</v>
      </c>
      <c r="J203" s="271">
        <f ca="1">Assumptions!P$68</f>
        <v>80</v>
      </c>
      <c r="K203" s="271">
        <f t="shared" ca="1" si="96"/>
        <v>40</v>
      </c>
      <c r="L203" s="15"/>
      <c r="M203" s="35">
        <f t="shared" ca="1" si="110"/>
        <v>4.2299999999999995</v>
      </c>
      <c r="N203" s="35">
        <f t="shared" ca="1" si="97"/>
        <v>74.400000000000006</v>
      </c>
      <c r="O203" s="35">
        <f t="shared" ca="1" si="98"/>
        <v>37.200000000000003</v>
      </c>
      <c r="P203" s="15"/>
      <c r="Q203" s="34">
        <f t="shared" ca="1" si="111"/>
        <v>384523.84378122754</v>
      </c>
      <c r="R203" s="34">
        <f t="shared" ca="1" si="112"/>
        <v>44735.202412141145</v>
      </c>
      <c r="S203" s="34">
        <f t="shared" ca="1" si="113"/>
        <v>0</v>
      </c>
      <c r="T203" s="34">
        <f t="shared" ca="1" si="114"/>
        <v>429259.04619336867</v>
      </c>
      <c r="U203" s="15"/>
      <c r="V203" s="35">
        <f t="shared" si="115"/>
        <v>0.31</v>
      </c>
      <c r="W203" s="34">
        <f t="shared" ca="1" si="116"/>
        <v>29298.614474530608</v>
      </c>
      <c r="X203" s="35">
        <f t="shared" si="117"/>
        <v>0.37</v>
      </c>
      <c r="Y203" s="34">
        <f t="shared" ca="1" si="118"/>
        <v>34969.314050246212</v>
      </c>
      <c r="Z203" s="35">
        <f t="shared" si="119"/>
        <v>0.57999999999999996</v>
      </c>
      <c r="AA203" s="34">
        <f t="shared" ca="1" si="120"/>
        <v>54816.762565250814</v>
      </c>
      <c r="AB203" s="34">
        <f t="shared" ca="1" si="121"/>
        <v>119084.69109002763</v>
      </c>
      <c r="AC203" s="15"/>
      <c r="AD203" s="34">
        <f t="shared" ca="1" si="122"/>
        <v>310174.35510334105</v>
      </c>
      <c r="AE203" s="34">
        <f ca="1"/>
        <v>0</v>
      </c>
      <c r="AF203" s="34">
        <f t="shared" ca="1" si="123"/>
        <v>310174.35510334105</v>
      </c>
      <c r="AG203" s="15"/>
      <c r="AH203" s="272">
        <f t="shared" si="131"/>
        <v>50405</v>
      </c>
      <c r="AI203" s="267">
        <f t="shared" si="99"/>
        <v>23.666666666666668</v>
      </c>
      <c r="AJ203" s="267">
        <f t="shared" si="100"/>
        <v>0.10480285601981834</v>
      </c>
      <c r="AK203" s="34">
        <f t="shared" ca="1" si="132"/>
        <v>32507.158278935458</v>
      </c>
      <c r="AL203" s="233"/>
      <c r="AN203" s="232"/>
      <c r="AO203" s="237">
        <f t="shared" si="150"/>
        <v>24</v>
      </c>
      <c r="AP203" s="34">
        <f t="shared" ref="AP203:AS203" ca="1" si="159">+AP153</f>
        <v>98.745436725937381</v>
      </c>
      <c r="AQ203" s="34">
        <f t="shared" ca="1" si="159"/>
        <v>0.65314649183387619</v>
      </c>
      <c r="AR203" s="34">
        <f t="shared" ca="1" si="159"/>
        <v>0</v>
      </c>
      <c r="AS203" s="34">
        <f t="shared" ca="1" si="159"/>
        <v>102.66431567694063</v>
      </c>
      <c r="AT203" s="15"/>
      <c r="AW203" s="34">
        <f t="shared" ca="1" si="126"/>
        <v>98.745436725937381</v>
      </c>
      <c r="AX203" s="34">
        <f t="shared" ca="1" si="102"/>
        <v>0.65314649183387619</v>
      </c>
      <c r="AY203" s="34">
        <f t="shared" ca="1" si="103"/>
        <v>0</v>
      </c>
      <c r="AZ203" s="34">
        <f t="shared" ca="1" si="104"/>
        <v>102.66431567694063</v>
      </c>
      <c r="BB203" s="34">
        <f t="shared" ca="1" si="152"/>
        <v>0</v>
      </c>
      <c r="BC203" s="34">
        <f t="shared" ca="1" si="152"/>
        <v>0</v>
      </c>
      <c r="BD203" s="34">
        <f t="shared" ca="1" si="152"/>
        <v>0</v>
      </c>
      <c r="BE203" s="34">
        <f t="shared" ca="1" si="152"/>
        <v>0</v>
      </c>
      <c r="BF203" s="34">
        <f t="shared" ca="1" si="152"/>
        <v>1515.0713998769183</v>
      </c>
      <c r="BG203" s="34">
        <f t="shared" ca="1" si="152"/>
        <v>6372.5908585883144</v>
      </c>
      <c r="BH203" s="34">
        <f t="shared" ca="1" si="152"/>
        <v>6630.6315930999299</v>
      </c>
      <c r="BI203" s="34">
        <f t="shared" ca="1" si="152"/>
        <v>6899.1208206780539</v>
      </c>
      <c r="BJ203" s="34">
        <f t="shared" ca="1" si="152"/>
        <v>7178.5102450086188</v>
      </c>
      <c r="BK203" s="34">
        <f t="shared" ca="1" si="152"/>
        <v>7474.8132494205784</v>
      </c>
      <c r="BL203" s="34">
        <f t="shared" ca="1" si="152"/>
        <v>7802.6715126600911</v>
      </c>
      <c r="BM203" s="34">
        <f t="shared" ca="1" si="152"/>
        <v>8169.7558612917592</v>
      </c>
      <c r="BN203" s="34">
        <f t="shared" ca="1" si="152"/>
        <v>8584.2017233217048</v>
      </c>
      <c r="BO203" s="34">
        <f t="shared" ca="1" si="152"/>
        <v>9056.6681782746382</v>
      </c>
      <c r="BP203" s="34">
        <f t="shared" ca="1" si="152"/>
        <v>9601.429922698524</v>
      </c>
      <c r="BQ203" s="34">
        <f t="shared" ca="1" si="152"/>
        <v>10238.100553748853</v>
      </c>
      <c r="BR203" s="34">
        <f t="shared" ca="1" si="147"/>
        <v>10994.473183102578</v>
      </c>
      <c r="BS203" s="34">
        <f t="shared" ca="1" si="147"/>
        <v>11911.434259634292</v>
      </c>
      <c r="BT203" s="34">
        <f t="shared" ca="1" si="147"/>
        <v>13052.011829004938</v>
      </c>
      <c r="BU203" s="34">
        <f t="shared" ca="1" si="147"/>
        <v>14519.375128556216</v>
      </c>
      <c r="BV203" s="34">
        <f t="shared" ca="1" si="147"/>
        <v>16496.488078315044</v>
      </c>
      <c r="BW203" s="34">
        <f t="shared" ca="1" si="147"/>
        <v>19346.697935253127</v>
      </c>
      <c r="BX203" s="34">
        <f t="shared" ca="1" si="147"/>
        <v>13179.272857985909</v>
      </c>
      <c r="BY203" s="34">
        <f t="shared" ca="1" si="147"/>
        <v>0</v>
      </c>
      <c r="BZ203" s="34">
        <f t="shared" ca="1" si="147"/>
        <v>0</v>
      </c>
      <c r="CA203" s="34">
        <f t="shared" ca="1" si="147"/>
        <v>0</v>
      </c>
      <c r="CB203" s="34">
        <f t="shared" ca="1" si="147"/>
        <v>0</v>
      </c>
      <c r="CC203" s="34">
        <f t="shared" ca="1" si="147"/>
        <v>0</v>
      </c>
      <c r="CD203" s="34">
        <f t="shared" ca="1" si="147"/>
        <v>0</v>
      </c>
      <c r="CE203" s="34">
        <f t="shared" ca="1" si="147"/>
        <v>0</v>
      </c>
      <c r="CF203" s="34">
        <f t="shared" ca="1" si="147"/>
        <v>0</v>
      </c>
      <c r="CG203" s="34">
        <f t="shared" ca="1" si="147"/>
        <v>0</v>
      </c>
      <c r="CH203" s="34">
        <f t="shared" ca="1" si="148"/>
        <v>0</v>
      </c>
      <c r="CI203" s="34">
        <f t="shared" ca="1" si="148"/>
        <v>0</v>
      </c>
      <c r="CJ203" s="34">
        <f t="shared" ca="1" si="148"/>
        <v>0</v>
      </c>
      <c r="CK203" s="34">
        <f t="shared" ca="1" si="148"/>
        <v>0</v>
      </c>
      <c r="CL203" s="34">
        <f t="shared" ca="1" si="148"/>
        <v>0</v>
      </c>
      <c r="CM203" s="34">
        <f t="shared" ca="1" si="148"/>
        <v>0</v>
      </c>
      <c r="CN203" s="34">
        <f t="shared" ca="1" si="148"/>
        <v>0</v>
      </c>
      <c r="CO203" s="34">
        <f t="shared" ca="1" si="148"/>
        <v>0</v>
      </c>
      <c r="CP203" s="34">
        <f t="shared" ca="1" si="148"/>
        <v>0</v>
      </c>
      <c r="CQ203" s="34">
        <f t="shared" ca="1" si="128"/>
        <v>189023.31919052007</v>
      </c>
      <c r="CR203" s="363">
        <v>0</v>
      </c>
      <c r="CS203" s="34">
        <f t="shared" ca="1" si="129"/>
        <v>189023.31919052007</v>
      </c>
      <c r="CT203" s="233"/>
    </row>
    <row r="204" spans="2:98" x14ac:dyDescent="0.3">
      <c r="B204" s="232"/>
      <c r="C204" s="250">
        <f t="shared" si="130"/>
        <v>2038</v>
      </c>
      <c r="D204" s="263">
        <f t="shared" ca="1" si="108"/>
        <v>83303.235609009178</v>
      </c>
      <c r="E204" s="263">
        <f t="shared" ca="1" si="94"/>
        <v>551.00486564705784</v>
      </c>
      <c r="F204" s="263">
        <f t="shared" ca="1" si="95"/>
        <v>0</v>
      </c>
      <c r="G204" s="263">
        <f t="shared" ca="1" si="109"/>
        <v>86609.264802891528</v>
      </c>
      <c r="H204" s="15"/>
      <c r="I204" s="271">
        <f ca="1">Assumptions!O$68</f>
        <v>4.5</v>
      </c>
      <c r="J204" s="271">
        <f ca="1">Assumptions!P$68</f>
        <v>80</v>
      </c>
      <c r="K204" s="271">
        <f t="shared" ca="1" si="96"/>
        <v>40</v>
      </c>
      <c r="L204" s="15"/>
      <c r="M204" s="35">
        <f t="shared" ca="1" si="110"/>
        <v>4.2299999999999995</v>
      </c>
      <c r="N204" s="35">
        <f t="shared" ca="1" si="97"/>
        <v>74.400000000000006</v>
      </c>
      <c r="O204" s="35">
        <f t="shared" ca="1" si="98"/>
        <v>37.200000000000003</v>
      </c>
      <c r="P204" s="15"/>
      <c r="Q204" s="34">
        <f t="shared" ca="1" si="111"/>
        <v>352372.68662610877</v>
      </c>
      <c r="R204" s="34">
        <f t="shared" ca="1" si="112"/>
        <v>40994.762004141106</v>
      </c>
      <c r="S204" s="34">
        <f t="shared" ca="1" si="113"/>
        <v>0</v>
      </c>
      <c r="T204" s="34">
        <f t="shared" ca="1" si="114"/>
        <v>393367.44863024988</v>
      </c>
      <c r="U204" s="15"/>
      <c r="V204" s="35">
        <f t="shared" si="115"/>
        <v>0.31</v>
      </c>
      <c r="W204" s="34">
        <f t="shared" ca="1" si="116"/>
        <v>26848.872088896373</v>
      </c>
      <c r="X204" s="35">
        <f t="shared" si="117"/>
        <v>0.37</v>
      </c>
      <c r="Y204" s="34">
        <f t="shared" ca="1" si="118"/>
        <v>32045.427977069867</v>
      </c>
      <c r="Z204" s="35">
        <f t="shared" si="119"/>
        <v>0.57999999999999996</v>
      </c>
      <c r="AA204" s="34">
        <f t="shared" ca="1" si="120"/>
        <v>50233.37358567708</v>
      </c>
      <c r="AB204" s="34">
        <f t="shared" ca="1" si="121"/>
        <v>109127.67365164332</v>
      </c>
      <c r="AC204" s="15"/>
      <c r="AD204" s="34">
        <f t="shared" ca="1" si="122"/>
        <v>284239.77497860655</v>
      </c>
      <c r="AE204" s="34">
        <f ca="1"/>
        <v>0</v>
      </c>
      <c r="AF204" s="34">
        <f t="shared" ca="1" si="123"/>
        <v>284239.77497860655</v>
      </c>
      <c r="AG204" s="15"/>
      <c r="AH204" s="272">
        <f t="shared" si="131"/>
        <v>50770</v>
      </c>
      <c r="AI204" s="267">
        <f t="shared" si="99"/>
        <v>24.666666666666668</v>
      </c>
      <c r="AJ204" s="267">
        <f t="shared" si="100"/>
        <v>9.5275323654380323E-2</v>
      </c>
      <c r="AK204" s="34">
        <f t="shared" ca="1" si="132"/>
        <v>27081.036556534975</v>
      </c>
      <c r="AL204" s="233"/>
      <c r="AN204" s="232"/>
      <c r="AO204" s="237">
        <f t="shared" si="150"/>
        <v>25</v>
      </c>
      <c r="AP204" s="34">
        <f t="shared" ref="AP204:AS204" ca="1" si="160">+AP154</f>
        <v>94.902617717381801</v>
      </c>
      <c r="AQ204" s="34">
        <f t="shared" ca="1" si="160"/>
        <v>0.62772836784343022</v>
      </c>
      <c r="AR204" s="34">
        <f t="shared" ca="1" si="160"/>
        <v>0</v>
      </c>
      <c r="AS204" s="34">
        <f t="shared" ca="1" si="160"/>
        <v>98.668987924442376</v>
      </c>
      <c r="AT204" s="15"/>
      <c r="AW204" s="34">
        <f t="shared" ca="1" si="126"/>
        <v>94.902617717381801</v>
      </c>
      <c r="AX204" s="34">
        <f t="shared" ca="1" si="102"/>
        <v>0.62772836784343022</v>
      </c>
      <c r="AY204" s="34">
        <f t="shared" ca="1" si="103"/>
        <v>0</v>
      </c>
      <c r="AZ204" s="34">
        <f t="shared" ca="1" si="104"/>
        <v>98.668987924442376</v>
      </c>
      <c r="BB204" s="34">
        <f t="shared" ca="1" si="152"/>
        <v>0</v>
      </c>
      <c r="BC204" s="34">
        <f t="shared" ca="1" si="152"/>
        <v>0</v>
      </c>
      <c r="BD204" s="34">
        <f t="shared" ca="1" si="152"/>
        <v>0</v>
      </c>
      <c r="BE204" s="34">
        <f t="shared" ca="1" si="152"/>
        <v>0</v>
      </c>
      <c r="BF204" s="34">
        <f t="shared" ca="1" si="152"/>
        <v>1456.1103702138917</v>
      </c>
      <c r="BG204" s="34">
        <f t="shared" ca="1" si="152"/>
        <v>6124.5924230675573</v>
      </c>
      <c r="BH204" s="34">
        <f t="shared" ca="1" si="152"/>
        <v>6372.5908585883144</v>
      </c>
      <c r="BI204" s="34">
        <f t="shared" ca="1" si="152"/>
        <v>6630.6315930999299</v>
      </c>
      <c r="BJ204" s="34">
        <f t="shared" ca="1" si="152"/>
        <v>6899.1208206780539</v>
      </c>
      <c r="BK204" s="34">
        <f t="shared" ca="1" si="152"/>
        <v>7178.5102450086188</v>
      </c>
      <c r="BL204" s="34">
        <f t="shared" ca="1" si="152"/>
        <v>7474.8132494205784</v>
      </c>
      <c r="BM204" s="34">
        <f t="shared" ca="1" si="152"/>
        <v>7802.6715126600911</v>
      </c>
      <c r="BN204" s="34">
        <f t="shared" ca="1" si="152"/>
        <v>8169.7558612917592</v>
      </c>
      <c r="BO204" s="34">
        <f t="shared" ca="1" si="152"/>
        <v>8584.2017233217048</v>
      </c>
      <c r="BP204" s="34">
        <f t="shared" ca="1" si="152"/>
        <v>9056.6681782746382</v>
      </c>
      <c r="BQ204" s="34">
        <f t="shared" ca="1" si="152"/>
        <v>9601.429922698524</v>
      </c>
      <c r="BR204" s="34">
        <f t="shared" ca="1" si="147"/>
        <v>10238.100553748853</v>
      </c>
      <c r="BS204" s="34">
        <f t="shared" ca="1" si="147"/>
        <v>10994.473183102578</v>
      </c>
      <c r="BT204" s="34">
        <f t="shared" ca="1" si="147"/>
        <v>11911.434259634292</v>
      </c>
      <c r="BU204" s="34">
        <f t="shared" ca="1" si="147"/>
        <v>13052.011829004938</v>
      </c>
      <c r="BV204" s="34">
        <f t="shared" ca="1" si="147"/>
        <v>14519.375128556216</v>
      </c>
      <c r="BW204" s="34">
        <f t="shared" ca="1" si="147"/>
        <v>16496.488078315044</v>
      </c>
      <c r="BX204" s="34">
        <f t="shared" ca="1" si="147"/>
        <v>10655.549815097469</v>
      </c>
      <c r="BY204" s="34">
        <f t="shared" ca="1" si="147"/>
        <v>0</v>
      </c>
      <c r="BZ204" s="34">
        <f t="shared" ca="1" si="147"/>
        <v>0</v>
      </c>
      <c r="CA204" s="34">
        <f t="shared" ca="1" si="147"/>
        <v>0</v>
      </c>
      <c r="CB204" s="34">
        <f t="shared" ca="1" si="147"/>
        <v>0</v>
      </c>
      <c r="CC204" s="34">
        <f t="shared" ca="1" si="147"/>
        <v>0</v>
      </c>
      <c r="CD204" s="34">
        <f t="shared" ca="1" si="147"/>
        <v>0</v>
      </c>
      <c r="CE204" s="34">
        <f t="shared" ca="1" si="147"/>
        <v>0</v>
      </c>
      <c r="CF204" s="34">
        <f t="shared" ca="1" si="147"/>
        <v>0</v>
      </c>
      <c r="CG204" s="34">
        <f t="shared" ca="1" si="147"/>
        <v>0</v>
      </c>
      <c r="CH204" s="34">
        <f t="shared" ca="1" si="148"/>
        <v>0</v>
      </c>
      <c r="CI204" s="34">
        <f t="shared" ca="1" si="148"/>
        <v>0</v>
      </c>
      <c r="CJ204" s="34">
        <f t="shared" ca="1" si="148"/>
        <v>0</v>
      </c>
      <c r="CK204" s="34">
        <f t="shared" ca="1" si="148"/>
        <v>0</v>
      </c>
      <c r="CL204" s="34">
        <f t="shared" ca="1" si="148"/>
        <v>0</v>
      </c>
      <c r="CM204" s="34">
        <f t="shared" ca="1" si="148"/>
        <v>0</v>
      </c>
      <c r="CN204" s="34">
        <f t="shared" ca="1" si="148"/>
        <v>0</v>
      </c>
      <c r="CO204" s="34">
        <f t="shared" ca="1" si="148"/>
        <v>0</v>
      </c>
      <c r="CP204" s="34">
        <f t="shared" ca="1" si="148"/>
        <v>0</v>
      </c>
      <c r="CQ204" s="34">
        <f t="shared" ca="1" si="128"/>
        <v>173218.52960578306</v>
      </c>
      <c r="CR204" s="363">
        <v>0</v>
      </c>
      <c r="CS204" s="34">
        <f t="shared" ca="1" si="129"/>
        <v>173218.52960578306</v>
      </c>
      <c r="CT204" s="233"/>
    </row>
    <row r="205" spans="2:98" x14ac:dyDescent="0.3">
      <c r="B205" s="232"/>
      <c r="C205" s="250">
        <f t="shared" si="130"/>
        <v>2039</v>
      </c>
      <c r="D205" s="263">
        <f t="shared" ca="1" si="108"/>
        <v>77418.42691873452</v>
      </c>
      <c r="E205" s="263">
        <f t="shared" ca="1" si="94"/>
        <v>512.08010842679039</v>
      </c>
      <c r="F205" s="263">
        <f t="shared" ca="1" si="95"/>
        <v>0</v>
      </c>
      <c r="G205" s="263">
        <f t="shared" ca="1" si="109"/>
        <v>80490.907569295261</v>
      </c>
      <c r="H205" s="15"/>
      <c r="I205" s="271">
        <f ca="1">Assumptions!O$68</f>
        <v>4.5</v>
      </c>
      <c r="J205" s="271">
        <f ca="1">Assumptions!P$68</f>
        <v>80</v>
      </c>
      <c r="K205" s="271">
        <f t="shared" ca="1" si="96"/>
        <v>40</v>
      </c>
      <c r="L205" s="15"/>
      <c r="M205" s="35">
        <f t="shared" ca="1" si="110"/>
        <v>4.2299999999999995</v>
      </c>
      <c r="N205" s="35">
        <f t="shared" ca="1" si="97"/>
        <v>74.400000000000006</v>
      </c>
      <c r="O205" s="35">
        <f t="shared" ca="1" si="98"/>
        <v>37.200000000000003</v>
      </c>
      <c r="P205" s="15"/>
      <c r="Q205" s="34">
        <f t="shared" ca="1" si="111"/>
        <v>327479.945866247</v>
      </c>
      <c r="R205" s="34">
        <f t="shared" ca="1" si="112"/>
        <v>38098.760066953211</v>
      </c>
      <c r="S205" s="34">
        <f t="shared" ca="1" si="113"/>
        <v>0</v>
      </c>
      <c r="T205" s="34">
        <f t="shared" ca="1" si="114"/>
        <v>365578.7059332002</v>
      </c>
      <c r="U205" s="15"/>
      <c r="V205" s="35">
        <f t="shared" si="115"/>
        <v>0.31</v>
      </c>
      <c r="W205" s="34">
        <f t="shared" ca="1" si="116"/>
        <v>24952.181346481531</v>
      </c>
      <c r="X205" s="35">
        <f t="shared" si="117"/>
        <v>0.37</v>
      </c>
      <c r="Y205" s="34">
        <f t="shared" ca="1" si="118"/>
        <v>29781.635800639247</v>
      </c>
      <c r="Z205" s="35">
        <f t="shared" si="119"/>
        <v>0.57999999999999996</v>
      </c>
      <c r="AA205" s="34">
        <f t="shared" ca="1" si="120"/>
        <v>46684.726390191245</v>
      </c>
      <c r="AB205" s="34">
        <f t="shared" ca="1" si="121"/>
        <v>101418.54353731201</v>
      </c>
      <c r="AC205" s="15"/>
      <c r="AD205" s="34">
        <f t="shared" ca="1" si="122"/>
        <v>264160.16239588818</v>
      </c>
      <c r="AE205" s="34">
        <f ca="1"/>
        <v>0</v>
      </c>
      <c r="AF205" s="34">
        <f t="shared" ca="1" si="123"/>
        <v>264160.16239588818</v>
      </c>
      <c r="AG205" s="15"/>
      <c r="AH205" s="272">
        <f t="shared" si="131"/>
        <v>51135</v>
      </c>
      <c r="AI205" s="267">
        <f t="shared" si="99"/>
        <v>25.666666666666668</v>
      </c>
      <c r="AJ205" s="267">
        <f t="shared" si="100"/>
        <v>8.661393059489117E-2</v>
      </c>
      <c r="AK205" s="34">
        <f t="shared" ca="1" si="132"/>
        <v>22879.94997169264</v>
      </c>
      <c r="AL205" s="233"/>
      <c r="AN205" s="232"/>
      <c r="AO205" s="237">
        <f t="shared" si="150"/>
        <v>26</v>
      </c>
      <c r="AP205" s="34">
        <f t="shared" ref="AP205:AS205" ca="1" si="161">+AP155</f>
        <v>91.209357618175318</v>
      </c>
      <c r="AQ205" s="34">
        <f t="shared" ca="1" si="161"/>
        <v>0.60329949338392697</v>
      </c>
      <c r="AR205" s="34">
        <f t="shared" ca="1" si="161"/>
        <v>0</v>
      </c>
      <c r="AS205" s="34">
        <f t="shared" ca="1" si="161"/>
        <v>94.829154578478878</v>
      </c>
      <c r="AT205" s="15"/>
      <c r="AW205" s="34">
        <f t="shared" ca="1" si="126"/>
        <v>91.209357618175318</v>
      </c>
      <c r="AX205" s="34">
        <f t="shared" ca="1" si="102"/>
        <v>0.60329949338392697</v>
      </c>
      <c r="AY205" s="34">
        <f t="shared" ca="1" si="103"/>
        <v>0</v>
      </c>
      <c r="AZ205" s="34">
        <f t="shared" ca="1" si="104"/>
        <v>94.829154578478878</v>
      </c>
      <c r="BB205" s="34">
        <f t="shared" ca="1" si="152"/>
        <v>0</v>
      </c>
      <c r="BC205" s="34">
        <f t="shared" ca="1" si="152"/>
        <v>0</v>
      </c>
      <c r="BD205" s="34">
        <f t="shared" ca="1" si="152"/>
        <v>0</v>
      </c>
      <c r="BE205" s="34">
        <f t="shared" ca="1" si="152"/>
        <v>0</v>
      </c>
      <c r="BF205" s="34">
        <f t="shared" ca="1" si="152"/>
        <v>1399.4437778700758</v>
      </c>
      <c r="BG205" s="34">
        <f t="shared" ca="1" si="152"/>
        <v>5886.2457183777515</v>
      </c>
      <c r="BH205" s="34">
        <f t="shared" ca="1" si="152"/>
        <v>6124.5924230675573</v>
      </c>
      <c r="BI205" s="34">
        <f t="shared" ca="1" si="152"/>
        <v>6372.5908585883144</v>
      </c>
      <c r="BJ205" s="34">
        <f t="shared" ca="1" si="152"/>
        <v>6630.6315930999299</v>
      </c>
      <c r="BK205" s="34">
        <f t="shared" ca="1" si="152"/>
        <v>6899.1208206780539</v>
      </c>
      <c r="BL205" s="34">
        <f t="shared" ca="1" si="152"/>
        <v>7178.5102450086188</v>
      </c>
      <c r="BM205" s="34">
        <f t="shared" ca="1" si="152"/>
        <v>7474.8132494205784</v>
      </c>
      <c r="BN205" s="34">
        <f t="shared" ca="1" si="152"/>
        <v>7802.6715126600911</v>
      </c>
      <c r="BO205" s="34">
        <f t="shared" ca="1" si="152"/>
        <v>8169.7558612917592</v>
      </c>
      <c r="BP205" s="34">
        <f t="shared" ca="1" si="152"/>
        <v>8584.2017233217048</v>
      </c>
      <c r="BQ205" s="34">
        <f t="shared" ca="1" si="152"/>
        <v>9056.6681782746382</v>
      </c>
      <c r="BR205" s="34">
        <f t="shared" ca="1" si="147"/>
        <v>9601.429922698524</v>
      </c>
      <c r="BS205" s="34">
        <f t="shared" ca="1" si="147"/>
        <v>10238.100553748853</v>
      </c>
      <c r="BT205" s="34">
        <f t="shared" ca="1" si="147"/>
        <v>10994.473183102578</v>
      </c>
      <c r="BU205" s="34">
        <f t="shared" ca="1" si="147"/>
        <v>11911.434259634292</v>
      </c>
      <c r="BV205" s="34">
        <f t="shared" ca="1" si="147"/>
        <v>13052.011829004938</v>
      </c>
      <c r="BW205" s="34">
        <f t="shared" ca="1" si="147"/>
        <v>14519.375128556216</v>
      </c>
      <c r="BX205" s="34">
        <f t="shared" ca="1" si="147"/>
        <v>9085.7443001860556</v>
      </c>
      <c r="BY205" s="34">
        <f t="shared" ca="1" si="147"/>
        <v>0</v>
      </c>
      <c r="BZ205" s="34">
        <f t="shared" ca="1" si="147"/>
        <v>0</v>
      </c>
      <c r="CA205" s="34">
        <f t="shared" ca="1" si="147"/>
        <v>0</v>
      </c>
      <c r="CB205" s="34">
        <f t="shared" ca="1" si="147"/>
        <v>0</v>
      </c>
      <c r="CC205" s="34">
        <f t="shared" ca="1" si="147"/>
        <v>0</v>
      </c>
      <c r="CD205" s="34">
        <f t="shared" ca="1" si="147"/>
        <v>0</v>
      </c>
      <c r="CE205" s="34">
        <f t="shared" ca="1" si="147"/>
        <v>0</v>
      </c>
      <c r="CF205" s="34">
        <f t="shared" ca="1" si="147"/>
        <v>0</v>
      </c>
      <c r="CG205" s="34">
        <f t="shared" ca="1" si="147"/>
        <v>0</v>
      </c>
      <c r="CH205" s="34">
        <f t="shared" ca="1" si="148"/>
        <v>0</v>
      </c>
      <c r="CI205" s="34">
        <f t="shared" ca="1" si="148"/>
        <v>0</v>
      </c>
      <c r="CJ205" s="34">
        <f t="shared" ca="1" si="148"/>
        <v>0</v>
      </c>
      <c r="CK205" s="34">
        <f t="shared" ca="1" si="148"/>
        <v>0</v>
      </c>
      <c r="CL205" s="34">
        <f t="shared" ca="1" si="148"/>
        <v>0</v>
      </c>
      <c r="CM205" s="34">
        <f t="shared" ca="1" si="148"/>
        <v>0</v>
      </c>
      <c r="CN205" s="34">
        <f t="shared" ca="1" si="148"/>
        <v>0</v>
      </c>
      <c r="CO205" s="34">
        <f t="shared" ca="1" si="148"/>
        <v>0</v>
      </c>
      <c r="CP205" s="34">
        <f t="shared" ca="1" si="148"/>
        <v>0</v>
      </c>
      <c r="CQ205" s="34">
        <f t="shared" ca="1" si="128"/>
        <v>160981.81513859052</v>
      </c>
      <c r="CR205" s="363">
        <v>0</v>
      </c>
      <c r="CS205" s="34">
        <f t="shared" ca="1" si="129"/>
        <v>160981.81513859052</v>
      </c>
      <c r="CT205" s="233"/>
    </row>
    <row r="206" spans="2:98" x14ac:dyDescent="0.3">
      <c r="B206" s="232"/>
      <c r="C206" s="250">
        <f t="shared" si="130"/>
        <v>2040</v>
      </c>
      <c r="D206" s="263">
        <f t="shared" ca="1" si="108"/>
        <v>72606.595774745219</v>
      </c>
      <c r="E206" s="263">
        <f t="shared" ca="1" si="94"/>
        <v>480.25250468935019</v>
      </c>
      <c r="F206" s="263">
        <f t="shared" ca="1" si="95"/>
        <v>0</v>
      </c>
      <c r="G206" s="263">
        <f t="shared" ca="1" si="109"/>
        <v>75488.110802881318</v>
      </c>
      <c r="H206" s="15"/>
      <c r="I206" s="271">
        <f ca="1">Assumptions!O$68</f>
        <v>4.5</v>
      </c>
      <c r="J206" s="271">
        <f ca="1">Assumptions!P$68</f>
        <v>80</v>
      </c>
      <c r="K206" s="271">
        <f t="shared" ca="1" si="96"/>
        <v>40</v>
      </c>
      <c r="L206" s="15"/>
      <c r="M206" s="35">
        <f t="shared" ca="1" si="110"/>
        <v>4.2299999999999995</v>
      </c>
      <c r="N206" s="35">
        <f t="shared" ca="1" si="97"/>
        <v>74.400000000000006</v>
      </c>
      <c r="O206" s="35">
        <f t="shared" ca="1" si="98"/>
        <v>37.200000000000003</v>
      </c>
      <c r="P206" s="15"/>
      <c r="Q206" s="34">
        <f t="shared" ca="1" si="111"/>
        <v>307125.90012717224</v>
      </c>
      <c r="R206" s="34">
        <f t="shared" ca="1" si="112"/>
        <v>35730.786348887654</v>
      </c>
      <c r="S206" s="34">
        <f t="shared" ca="1" si="113"/>
        <v>0</v>
      </c>
      <c r="T206" s="34">
        <f t="shared" ca="1" si="114"/>
        <v>342856.6864760599</v>
      </c>
      <c r="U206" s="15"/>
      <c r="V206" s="35">
        <f t="shared" si="115"/>
        <v>0.31</v>
      </c>
      <c r="W206" s="34">
        <f t="shared" ca="1" si="116"/>
        <v>23401.314348893207</v>
      </c>
      <c r="X206" s="35">
        <f t="shared" si="117"/>
        <v>0.37</v>
      </c>
      <c r="Y206" s="34">
        <f t="shared" ca="1" si="118"/>
        <v>27930.600997066089</v>
      </c>
      <c r="Z206" s="35">
        <f t="shared" si="119"/>
        <v>0.57999999999999996</v>
      </c>
      <c r="AA206" s="34">
        <f t="shared" ca="1" si="120"/>
        <v>43783.104265671158</v>
      </c>
      <c r="AB206" s="34">
        <f t="shared" ca="1" si="121"/>
        <v>95115.019611630443</v>
      </c>
      <c r="AC206" s="15"/>
      <c r="AD206" s="34">
        <f t="shared" ca="1" si="122"/>
        <v>247741.66686442946</v>
      </c>
      <c r="AE206" s="34">
        <f ca="1"/>
        <v>0</v>
      </c>
      <c r="AF206" s="34">
        <f t="shared" ca="1" si="123"/>
        <v>247741.66686442946</v>
      </c>
      <c r="AG206" s="15"/>
      <c r="AH206" s="272">
        <f t="shared" si="131"/>
        <v>51501</v>
      </c>
      <c r="AI206" s="267">
        <f t="shared" si="99"/>
        <v>26.666666666666668</v>
      </c>
      <c r="AJ206" s="267">
        <f t="shared" si="100"/>
        <v>7.8739936904446528E-2</v>
      </c>
      <c r="AK206" s="34">
        <f t="shared" ca="1" si="132"/>
        <v>19507.163217507587</v>
      </c>
      <c r="AL206" s="233"/>
      <c r="AN206" s="232"/>
      <c r="AO206" s="237">
        <f t="shared" si="150"/>
        <v>27</v>
      </c>
      <c r="AP206" s="34">
        <f t="shared" ref="AP206:AS206" ca="1" si="162">+AP156</f>
        <v>87.659826061591374</v>
      </c>
      <c r="AQ206" s="34">
        <f t="shared" ca="1" si="162"/>
        <v>0.57982130380164854</v>
      </c>
      <c r="AR206" s="34">
        <f t="shared" ca="1" si="162"/>
        <v>0</v>
      </c>
      <c r="AS206" s="34">
        <f t="shared" ca="1" si="162"/>
        <v>91.138753884401268</v>
      </c>
      <c r="AT206" s="15"/>
      <c r="AW206" s="34">
        <f t="shared" ca="1" si="126"/>
        <v>87.659826061591374</v>
      </c>
      <c r="AX206" s="34">
        <f t="shared" ca="1" si="102"/>
        <v>0.57982130380164854</v>
      </c>
      <c r="AY206" s="34">
        <f t="shared" ca="1" si="103"/>
        <v>0</v>
      </c>
      <c r="AZ206" s="34">
        <f t="shared" ca="1" si="104"/>
        <v>91.138753884401268</v>
      </c>
      <c r="BB206" s="34">
        <f t="shared" ca="1" si="152"/>
        <v>0</v>
      </c>
      <c r="BC206" s="34">
        <f t="shared" ca="1" si="152"/>
        <v>0</v>
      </c>
      <c r="BD206" s="34">
        <f t="shared" ca="1" si="152"/>
        <v>0</v>
      </c>
      <c r="BE206" s="34">
        <f t="shared" ca="1" si="152"/>
        <v>0</v>
      </c>
      <c r="BF206" s="34">
        <f t="shared" ca="1" si="152"/>
        <v>1344.9825544654759</v>
      </c>
      <c r="BG206" s="34">
        <f t="shared" ca="1" si="152"/>
        <v>5657.1741497782868</v>
      </c>
      <c r="BH206" s="34">
        <f t="shared" ca="1" si="152"/>
        <v>5886.2457183777515</v>
      </c>
      <c r="BI206" s="34">
        <f t="shared" ca="1" si="152"/>
        <v>6124.5924230675573</v>
      </c>
      <c r="BJ206" s="34">
        <f t="shared" ca="1" si="152"/>
        <v>6372.5908585883144</v>
      </c>
      <c r="BK206" s="34">
        <f t="shared" ca="1" si="152"/>
        <v>6630.6315930999299</v>
      </c>
      <c r="BL206" s="34">
        <f t="shared" ca="1" si="152"/>
        <v>6899.1208206780539</v>
      </c>
      <c r="BM206" s="34">
        <f t="shared" ca="1" si="152"/>
        <v>7178.5102450086188</v>
      </c>
      <c r="BN206" s="34">
        <f t="shared" ca="1" si="152"/>
        <v>7474.8132494205784</v>
      </c>
      <c r="BO206" s="34">
        <f t="shared" ca="1" si="152"/>
        <v>7802.6715126600911</v>
      </c>
      <c r="BP206" s="34">
        <f t="shared" ca="1" si="152"/>
        <v>8169.7558612917592</v>
      </c>
      <c r="BQ206" s="34">
        <f t="shared" ca="1" si="152"/>
        <v>8584.2017233217048</v>
      </c>
      <c r="BR206" s="34">
        <f t="shared" ca="1" si="147"/>
        <v>9056.6681782746382</v>
      </c>
      <c r="BS206" s="34">
        <f t="shared" ca="1" si="147"/>
        <v>9601.429922698524</v>
      </c>
      <c r="BT206" s="34">
        <f t="shared" ca="1" si="147"/>
        <v>10238.100553748853</v>
      </c>
      <c r="BU206" s="34">
        <f t="shared" ca="1" si="147"/>
        <v>10994.473183102578</v>
      </c>
      <c r="BV206" s="34">
        <f t="shared" ca="1" si="147"/>
        <v>11911.434259634292</v>
      </c>
      <c r="BW206" s="34">
        <f t="shared" ca="1" si="147"/>
        <v>13052.011829004938</v>
      </c>
      <c r="BX206" s="34">
        <f t="shared" ca="1" si="147"/>
        <v>7996.8129695406724</v>
      </c>
      <c r="BY206" s="34">
        <f t="shared" ca="1" si="147"/>
        <v>0</v>
      </c>
      <c r="BZ206" s="34">
        <f t="shared" ca="1" si="147"/>
        <v>0</v>
      </c>
      <c r="CA206" s="34">
        <f t="shared" ca="1" si="147"/>
        <v>0</v>
      </c>
      <c r="CB206" s="34">
        <f t="shared" ca="1" si="147"/>
        <v>0</v>
      </c>
      <c r="CC206" s="34">
        <f t="shared" ca="1" si="147"/>
        <v>0</v>
      </c>
      <c r="CD206" s="34">
        <f t="shared" ca="1" si="147"/>
        <v>0</v>
      </c>
      <c r="CE206" s="34">
        <f t="shared" ca="1" si="147"/>
        <v>0</v>
      </c>
      <c r="CF206" s="34">
        <f t="shared" ca="1" si="147"/>
        <v>0</v>
      </c>
      <c r="CG206" s="34">
        <f t="shared" ca="1" si="147"/>
        <v>0</v>
      </c>
      <c r="CH206" s="34">
        <f t="shared" ca="1" si="148"/>
        <v>0</v>
      </c>
      <c r="CI206" s="34">
        <f t="shared" ca="1" si="148"/>
        <v>0</v>
      </c>
      <c r="CJ206" s="34">
        <f t="shared" ca="1" si="148"/>
        <v>0</v>
      </c>
      <c r="CK206" s="34">
        <f t="shared" ca="1" si="148"/>
        <v>0</v>
      </c>
      <c r="CL206" s="34">
        <f t="shared" ca="1" si="148"/>
        <v>0</v>
      </c>
      <c r="CM206" s="34">
        <f t="shared" ca="1" si="148"/>
        <v>0</v>
      </c>
      <c r="CN206" s="34">
        <f t="shared" ca="1" si="148"/>
        <v>0</v>
      </c>
      <c r="CO206" s="34">
        <f t="shared" ca="1" si="148"/>
        <v>0</v>
      </c>
      <c r="CP206" s="34">
        <f t="shared" ca="1" si="148"/>
        <v>0</v>
      </c>
      <c r="CQ206" s="34">
        <f t="shared" ca="1" si="128"/>
        <v>150976.22160576264</v>
      </c>
      <c r="CR206" s="363">
        <v>0</v>
      </c>
      <c r="CS206" s="34">
        <f t="shared" ca="1" si="129"/>
        <v>150976.22160576264</v>
      </c>
      <c r="CT206" s="233"/>
    </row>
    <row r="207" spans="2:98" x14ac:dyDescent="0.3">
      <c r="B207" s="232"/>
      <c r="C207" s="250">
        <f t="shared" si="130"/>
        <v>2041</v>
      </c>
      <c r="D207" s="263">
        <f t="shared" ca="1" si="108"/>
        <v>68530.601859290618</v>
      </c>
      <c r="E207" s="263">
        <f t="shared" ca="1" si="94"/>
        <v>453.29205755492467</v>
      </c>
      <c r="F207" s="263">
        <f t="shared" ca="1" si="95"/>
        <v>0</v>
      </c>
      <c r="G207" s="263">
        <f t="shared" ca="1" si="109"/>
        <v>71250.354204620162</v>
      </c>
      <c r="H207" s="15"/>
      <c r="I207" s="271">
        <f ca="1">Assumptions!O$68</f>
        <v>4.5</v>
      </c>
      <c r="J207" s="271">
        <f ca="1">Assumptions!P$68</f>
        <v>80</v>
      </c>
      <c r="K207" s="271">
        <f t="shared" ca="1" si="96"/>
        <v>40</v>
      </c>
      <c r="L207" s="15"/>
      <c r="M207" s="35">
        <f t="shared" ca="1" si="110"/>
        <v>4.2299999999999995</v>
      </c>
      <c r="N207" s="35">
        <f t="shared" ca="1" si="97"/>
        <v>74.400000000000006</v>
      </c>
      <c r="O207" s="35">
        <f t="shared" ca="1" si="98"/>
        <v>37.200000000000003</v>
      </c>
      <c r="P207" s="15"/>
      <c r="Q207" s="34">
        <f t="shared" ca="1" si="111"/>
        <v>289884.44586479926</v>
      </c>
      <c r="R207" s="34">
        <f t="shared" ca="1" si="112"/>
        <v>33724.929082086397</v>
      </c>
      <c r="S207" s="34">
        <f t="shared" ca="1" si="113"/>
        <v>0</v>
      </c>
      <c r="T207" s="34">
        <f t="shared" ca="1" si="114"/>
        <v>323609.37494688563</v>
      </c>
      <c r="U207" s="15"/>
      <c r="V207" s="35">
        <f t="shared" si="115"/>
        <v>0.31</v>
      </c>
      <c r="W207" s="34">
        <f t="shared" ca="1" si="116"/>
        <v>22087.609803432249</v>
      </c>
      <c r="X207" s="35">
        <f t="shared" si="117"/>
        <v>0.37</v>
      </c>
      <c r="Y207" s="34">
        <f t="shared" ca="1" si="118"/>
        <v>26362.631055709458</v>
      </c>
      <c r="Z207" s="35">
        <f t="shared" si="119"/>
        <v>0.57999999999999996</v>
      </c>
      <c r="AA207" s="34">
        <f t="shared" ca="1" si="120"/>
        <v>41325.205438679688</v>
      </c>
      <c r="AB207" s="34">
        <f t="shared" ca="1" si="121"/>
        <v>89775.446297821385</v>
      </c>
      <c r="AC207" s="15"/>
      <c r="AD207" s="34">
        <f t="shared" ca="1" si="122"/>
        <v>233833.92864906424</v>
      </c>
      <c r="AE207" s="34">
        <f ca="1"/>
        <v>0</v>
      </c>
      <c r="AF207" s="34">
        <f t="shared" ca="1" si="123"/>
        <v>233833.92864906424</v>
      </c>
      <c r="AG207" s="15"/>
      <c r="AH207" s="272">
        <f t="shared" si="131"/>
        <v>51866</v>
      </c>
      <c r="AI207" s="267">
        <f t="shared" si="99"/>
        <v>27.666666666666668</v>
      </c>
      <c r="AJ207" s="267">
        <f t="shared" si="100"/>
        <v>7.1581760822224116E-2</v>
      </c>
      <c r="AK207" s="34">
        <f t="shared" ca="1" si="132"/>
        <v>16738.244352678335</v>
      </c>
      <c r="AL207" s="233"/>
      <c r="AN207" s="232"/>
      <c r="AO207" s="237">
        <f t="shared" si="150"/>
        <v>28</v>
      </c>
      <c r="AP207" s="34">
        <f t="shared" ref="AP207:AS207" ca="1" si="163">+AP157</f>
        <v>84.248424672272805</v>
      </c>
      <c r="AQ207" s="34">
        <f t="shared" ca="1" si="163"/>
        <v>0.55725676893757448</v>
      </c>
      <c r="AR207" s="34">
        <f t="shared" ca="1" si="163"/>
        <v>0</v>
      </c>
      <c r="AS207" s="34">
        <f t="shared" ca="1" si="163"/>
        <v>87.591965285898254</v>
      </c>
      <c r="AT207" s="15"/>
      <c r="AW207" s="34">
        <f t="shared" ca="1" si="126"/>
        <v>84.248424672272805</v>
      </c>
      <c r="AX207" s="34">
        <f t="shared" ca="1" si="102"/>
        <v>0.55725676893757448</v>
      </c>
      <c r="AY207" s="34">
        <f t="shared" ca="1" si="103"/>
        <v>0</v>
      </c>
      <c r="AZ207" s="34">
        <f t="shared" ca="1" si="104"/>
        <v>87.591965285898254</v>
      </c>
      <c r="BB207" s="34">
        <f t="shared" ca="1" si="152"/>
        <v>0</v>
      </c>
      <c r="BC207" s="34">
        <f t="shared" ca="1" si="152"/>
        <v>0</v>
      </c>
      <c r="BD207" s="34">
        <f t="shared" ca="1" si="152"/>
        <v>0</v>
      </c>
      <c r="BE207" s="34">
        <f t="shared" ca="1" si="152"/>
        <v>0</v>
      </c>
      <c r="BF207" s="34">
        <f t="shared" ca="1" si="152"/>
        <v>1292.6408564535739</v>
      </c>
      <c r="BG207" s="34">
        <f t="shared" ca="1" si="152"/>
        <v>5437.0176632642524</v>
      </c>
      <c r="BH207" s="34">
        <f t="shared" ca="1" si="152"/>
        <v>5657.1741497782868</v>
      </c>
      <c r="BI207" s="34">
        <f t="shared" ca="1" si="152"/>
        <v>5886.2457183777515</v>
      </c>
      <c r="BJ207" s="34">
        <f t="shared" ca="1" si="152"/>
        <v>6124.5924230675573</v>
      </c>
      <c r="BK207" s="34">
        <f t="shared" ca="1" si="152"/>
        <v>6372.5908585883144</v>
      </c>
      <c r="BL207" s="34">
        <f t="shared" ca="1" si="152"/>
        <v>6630.6315930999299</v>
      </c>
      <c r="BM207" s="34">
        <f t="shared" ca="1" si="152"/>
        <v>6899.1208206780539</v>
      </c>
      <c r="BN207" s="34">
        <f t="shared" ca="1" si="152"/>
        <v>7178.5102450086188</v>
      </c>
      <c r="BO207" s="34">
        <f t="shared" ca="1" si="152"/>
        <v>7474.8132494205784</v>
      </c>
      <c r="BP207" s="34">
        <f t="shared" ca="1" si="152"/>
        <v>7802.6715126600911</v>
      </c>
      <c r="BQ207" s="34">
        <f t="shared" ca="1" si="152"/>
        <v>8169.7558612917592</v>
      </c>
      <c r="BR207" s="34">
        <f t="shared" ca="1" si="147"/>
        <v>8584.2017233217048</v>
      </c>
      <c r="BS207" s="34">
        <f t="shared" ca="1" si="147"/>
        <v>9056.6681782746382</v>
      </c>
      <c r="BT207" s="34">
        <f t="shared" ca="1" si="147"/>
        <v>9601.429922698524</v>
      </c>
      <c r="BU207" s="34">
        <f t="shared" ca="1" si="147"/>
        <v>10238.100553748853</v>
      </c>
      <c r="BV207" s="34">
        <f t="shared" ca="1" si="147"/>
        <v>10994.473183102578</v>
      </c>
      <c r="BW207" s="34">
        <f t="shared" ca="1" si="147"/>
        <v>11911.434259634292</v>
      </c>
      <c r="BX207" s="34">
        <f t="shared" ca="1" si="147"/>
        <v>7188.6356367709468</v>
      </c>
      <c r="BY207" s="34">
        <f t="shared" ca="1" si="147"/>
        <v>0</v>
      </c>
      <c r="BZ207" s="34">
        <f t="shared" ca="1" si="147"/>
        <v>0</v>
      </c>
      <c r="CA207" s="34">
        <f t="shared" ca="1" si="147"/>
        <v>0</v>
      </c>
      <c r="CB207" s="34">
        <f t="shared" ca="1" si="147"/>
        <v>0</v>
      </c>
      <c r="CC207" s="34">
        <f t="shared" ca="1" si="147"/>
        <v>0</v>
      </c>
      <c r="CD207" s="34">
        <f t="shared" ca="1" si="147"/>
        <v>0</v>
      </c>
      <c r="CE207" s="34">
        <f t="shared" ca="1" si="147"/>
        <v>0</v>
      </c>
      <c r="CF207" s="34">
        <f t="shared" ca="1" si="147"/>
        <v>0</v>
      </c>
      <c r="CG207" s="34">
        <f t="shared" ca="1" si="147"/>
        <v>0</v>
      </c>
      <c r="CH207" s="34">
        <f t="shared" ca="1" si="148"/>
        <v>0</v>
      </c>
      <c r="CI207" s="34">
        <f t="shared" ca="1" si="148"/>
        <v>0</v>
      </c>
      <c r="CJ207" s="34">
        <f t="shared" ca="1" si="148"/>
        <v>0</v>
      </c>
      <c r="CK207" s="34">
        <f t="shared" ca="1" si="148"/>
        <v>0</v>
      </c>
      <c r="CL207" s="34">
        <f t="shared" ca="1" si="148"/>
        <v>0</v>
      </c>
      <c r="CM207" s="34">
        <f t="shared" ca="1" si="148"/>
        <v>0</v>
      </c>
      <c r="CN207" s="34">
        <f t="shared" ca="1" si="148"/>
        <v>0</v>
      </c>
      <c r="CO207" s="34">
        <f t="shared" ca="1" si="148"/>
        <v>0</v>
      </c>
      <c r="CP207" s="34">
        <f t="shared" ca="1" si="148"/>
        <v>0</v>
      </c>
      <c r="CQ207" s="34">
        <f t="shared" ca="1" si="128"/>
        <v>142500.70840924032</v>
      </c>
      <c r="CR207" s="363">
        <v>0</v>
      </c>
      <c r="CS207" s="34">
        <f t="shared" ca="1" si="129"/>
        <v>142500.70840924032</v>
      </c>
      <c r="CT207" s="233"/>
    </row>
    <row r="208" spans="2:98" x14ac:dyDescent="0.3">
      <c r="B208" s="232"/>
      <c r="C208" s="250">
        <f t="shared" si="130"/>
        <v>2042</v>
      </c>
      <c r="D208" s="263">
        <f t="shared" ca="1" si="108"/>
        <v>64988.907920457917</v>
      </c>
      <c r="E208" s="263">
        <f t="shared" ca="1" si="94"/>
        <v>429.86570948257605</v>
      </c>
      <c r="F208" s="263">
        <f t="shared" ca="1" si="95"/>
        <v>0</v>
      </c>
      <c r="G208" s="263">
        <f t="shared" ca="1" si="109"/>
        <v>67568.102177353372</v>
      </c>
      <c r="H208" s="15"/>
      <c r="I208" s="271">
        <f ca="1">Assumptions!O$68</f>
        <v>4.5</v>
      </c>
      <c r="J208" s="271">
        <f ca="1">Assumptions!P$68</f>
        <v>80</v>
      </c>
      <c r="K208" s="271">
        <f t="shared" ca="1" si="96"/>
        <v>40</v>
      </c>
      <c r="L208" s="15"/>
      <c r="M208" s="35">
        <f t="shared" ca="1" si="110"/>
        <v>4.2299999999999995</v>
      </c>
      <c r="N208" s="35">
        <f t="shared" ca="1" si="97"/>
        <v>74.400000000000006</v>
      </c>
      <c r="O208" s="35">
        <f t="shared" ca="1" si="98"/>
        <v>37.200000000000003</v>
      </c>
      <c r="P208" s="15"/>
      <c r="Q208" s="34">
        <f t="shared" ca="1" si="111"/>
        <v>274903.08050353697</v>
      </c>
      <c r="R208" s="34">
        <f t="shared" ca="1" si="112"/>
        <v>31982.008785503662</v>
      </c>
      <c r="S208" s="34">
        <f t="shared" ca="1" si="113"/>
        <v>0</v>
      </c>
      <c r="T208" s="34">
        <f t="shared" ca="1" si="114"/>
        <v>306885.08928904065</v>
      </c>
      <c r="U208" s="15"/>
      <c r="V208" s="35">
        <f t="shared" si="115"/>
        <v>0.31</v>
      </c>
      <c r="W208" s="34">
        <f t="shared" ca="1" si="116"/>
        <v>20946.111674979544</v>
      </c>
      <c r="X208" s="35">
        <f t="shared" si="117"/>
        <v>0.37</v>
      </c>
      <c r="Y208" s="34">
        <f t="shared" ca="1" si="118"/>
        <v>25000.197805620748</v>
      </c>
      <c r="Z208" s="35">
        <f t="shared" si="119"/>
        <v>0.57999999999999996</v>
      </c>
      <c r="AA208" s="34">
        <f t="shared" ca="1" si="120"/>
        <v>39189.499262864956</v>
      </c>
      <c r="AB208" s="34">
        <f t="shared" ca="1" si="121"/>
        <v>85135.808743465255</v>
      </c>
      <c r="AC208" s="15"/>
      <c r="AD208" s="34">
        <f t="shared" ca="1" si="122"/>
        <v>221749.2805455754</v>
      </c>
      <c r="AE208" s="34">
        <f ca="1"/>
        <v>0</v>
      </c>
      <c r="AF208" s="34">
        <f t="shared" ca="1" si="123"/>
        <v>221749.2805455754</v>
      </c>
      <c r="AG208" s="15"/>
      <c r="AH208" s="272">
        <f t="shared" si="131"/>
        <v>52231</v>
      </c>
      <c r="AI208" s="267">
        <f t="shared" si="99"/>
        <v>28.666666666666668</v>
      </c>
      <c r="AJ208" s="267">
        <f t="shared" si="100"/>
        <v>6.5074328020203728E-2</v>
      </c>
      <c r="AK208" s="34">
        <f t="shared" ca="1" si="132"/>
        <v>14430.185420466954</v>
      </c>
      <c r="AL208" s="233"/>
      <c r="AN208" s="232"/>
      <c r="AO208" s="237">
        <f t="shared" si="150"/>
        <v>29</v>
      </c>
      <c r="AP208" s="34">
        <f t="shared" ref="AP208:AS208" ca="1" si="164">+AP158</f>
        <v>80.969778849266106</v>
      </c>
      <c r="AQ208" s="34">
        <f t="shared" ca="1" si="164"/>
        <v>0.53557033877669458</v>
      </c>
      <c r="AR208" s="34">
        <f t="shared" ca="1" si="164"/>
        <v>0</v>
      </c>
      <c r="AS208" s="34">
        <f t="shared" ca="1" si="164"/>
        <v>84.183200881926268</v>
      </c>
      <c r="AT208" s="15"/>
      <c r="AW208" s="34">
        <f t="shared" ca="1" si="126"/>
        <v>80.969778849266106</v>
      </c>
      <c r="AX208" s="34">
        <f t="shared" ca="1" si="102"/>
        <v>0.53557033877669458</v>
      </c>
      <c r="AY208" s="34">
        <f t="shared" ca="1" si="103"/>
        <v>0</v>
      </c>
      <c r="AZ208" s="34">
        <f t="shared" ca="1" si="104"/>
        <v>84.183200881926268</v>
      </c>
      <c r="BB208" s="34">
        <f t="shared" ca="1" si="152"/>
        <v>0</v>
      </c>
      <c r="BC208" s="34">
        <f t="shared" ca="1" si="152"/>
        <v>0</v>
      </c>
      <c r="BD208" s="34">
        <f t="shared" ca="1" si="152"/>
        <v>0</v>
      </c>
      <c r="BE208" s="34">
        <f t="shared" ca="1" si="152"/>
        <v>0</v>
      </c>
      <c r="BF208" s="34">
        <f t="shared" ca="1" si="152"/>
        <v>1242.3359004058118</v>
      </c>
      <c r="BG208" s="34">
        <f t="shared" ca="1" si="152"/>
        <v>5225.4292410418893</v>
      </c>
      <c r="BH208" s="34">
        <f t="shared" ca="1" si="152"/>
        <v>5437.0176632642524</v>
      </c>
      <c r="BI208" s="34">
        <f t="shared" ca="1" si="152"/>
        <v>5657.1741497782868</v>
      </c>
      <c r="BJ208" s="34">
        <f t="shared" ca="1" si="152"/>
        <v>5886.2457183777515</v>
      </c>
      <c r="BK208" s="34">
        <f t="shared" ca="1" si="152"/>
        <v>6124.5924230675573</v>
      </c>
      <c r="BL208" s="34">
        <f t="shared" ca="1" si="152"/>
        <v>6372.5908585883144</v>
      </c>
      <c r="BM208" s="34">
        <f t="shared" ca="1" si="152"/>
        <v>6630.6315930999299</v>
      </c>
      <c r="BN208" s="34">
        <f t="shared" ca="1" si="152"/>
        <v>6899.1208206780539</v>
      </c>
      <c r="BO208" s="34">
        <f t="shared" ca="1" si="152"/>
        <v>7178.5102450086188</v>
      </c>
      <c r="BP208" s="34">
        <f t="shared" ca="1" si="152"/>
        <v>7474.8132494205784</v>
      </c>
      <c r="BQ208" s="34">
        <f t="shared" ca="1" si="152"/>
        <v>7802.6715126600911</v>
      </c>
      <c r="BR208" s="34">
        <f t="shared" ca="1" si="147"/>
        <v>8169.7558612917592</v>
      </c>
      <c r="BS208" s="34">
        <f t="shared" ca="1" si="147"/>
        <v>8584.2017233217048</v>
      </c>
      <c r="BT208" s="34">
        <f t="shared" ca="1" si="147"/>
        <v>9056.6681782746382</v>
      </c>
      <c r="BU208" s="34">
        <f t="shared" ca="1" si="147"/>
        <v>9601.429922698524</v>
      </c>
      <c r="BV208" s="34">
        <f t="shared" ca="1" si="147"/>
        <v>10238.100553748853</v>
      </c>
      <c r="BW208" s="34">
        <f t="shared" ca="1" si="147"/>
        <v>10994.473183102578</v>
      </c>
      <c r="BX208" s="34">
        <f t="shared" ca="1" si="147"/>
        <v>6560.4415568775566</v>
      </c>
      <c r="BY208" s="34">
        <f t="shared" ca="1" si="147"/>
        <v>0</v>
      </c>
      <c r="BZ208" s="34">
        <f t="shared" ca="1" si="147"/>
        <v>0</v>
      </c>
      <c r="CA208" s="34">
        <f t="shared" ca="1" si="147"/>
        <v>0</v>
      </c>
      <c r="CB208" s="34">
        <f t="shared" ca="1" si="147"/>
        <v>0</v>
      </c>
      <c r="CC208" s="34">
        <f t="shared" ca="1" si="147"/>
        <v>0</v>
      </c>
      <c r="CD208" s="34">
        <f t="shared" ca="1" si="147"/>
        <v>0</v>
      </c>
      <c r="CE208" s="34">
        <f t="shared" ca="1" si="147"/>
        <v>0</v>
      </c>
      <c r="CF208" s="34">
        <f t="shared" ca="1" si="147"/>
        <v>0</v>
      </c>
      <c r="CG208" s="34">
        <f t="shared" ca="1" si="147"/>
        <v>0</v>
      </c>
      <c r="CH208" s="34">
        <f t="shared" ca="1" si="148"/>
        <v>0</v>
      </c>
      <c r="CI208" s="34">
        <f t="shared" ca="1" si="148"/>
        <v>0</v>
      </c>
      <c r="CJ208" s="34">
        <f t="shared" ca="1" si="148"/>
        <v>0</v>
      </c>
      <c r="CK208" s="34">
        <f t="shared" ca="1" si="148"/>
        <v>0</v>
      </c>
      <c r="CL208" s="34">
        <f t="shared" ca="1" si="148"/>
        <v>0</v>
      </c>
      <c r="CM208" s="34">
        <f t="shared" ca="1" si="148"/>
        <v>0</v>
      </c>
      <c r="CN208" s="34">
        <f t="shared" ca="1" si="148"/>
        <v>0</v>
      </c>
      <c r="CO208" s="34">
        <f t="shared" ca="1" si="148"/>
        <v>0</v>
      </c>
      <c r="CP208" s="34">
        <f t="shared" ca="1" si="148"/>
        <v>0</v>
      </c>
      <c r="CQ208" s="34">
        <f t="shared" ca="1" si="128"/>
        <v>135136.20435470674</v>
      </c>
      <c r="CR208" s="363">
        <v>0</v>
      </c>
      <c r="CS208" s="34">
        <f t="shared" ca="1" si="129"/>
        <v>135136.20435470674</v>
      </c>
      <c r="CT208" s="233"/>
    </row>
    <row r="209" spans="2:98" x14ac:dyDescent="0.3">
      <c r="B209" s="232"/>
      <c r="C209" s="250">
        <f t="shared" si="130"/>
        <v>2043</v>
      </c>
      <c r="D209" s="263">
        <f t="shared" ca="1" si="108"/>
        <v>61850.56857059204</v>
      </c>
      <c r="E209" s="263">
        <f t="shared" ca="1" si="94"/>
        <v>409.10732910052161</v>
      </c>
      <c r="F209" s="263">
        <f t="shared" ca="1" si="95"/>
        <v>0</v>
      </c>
      <c r="G209" s="263">
        <f t="shared" ca="1" si="109"/>
        <v>64305.212545195172</v>
      </c>
      <c r="H209" s="15"/>
      <c r="I209" s="271">
        <f ca="1">Assumptions!O$68</f>
        <v>4.5</v>
      </c>
      <c r="J209" s="271">
        <f ca="1">Assumptions!P$68</f>
        <v>80</v>
      </c>
      <c r="K209" s="271">
        <f t="shared" ca="1" si="96"/>
        <v>40</v>
      </c>
      <c r="L209" s="15"/>
      <c r="M209" s="35">
        <f t="shared" ca="1" si="110"/>
        <v>4.2299999999999995</v>
      </c>
      <c r="N209" s="35">
        <f t="shared" ca="1" si="97"/>
        <v>74.400000000000006</v>
      </c>
      <c r="O209" s="35">
        <f t="shared" ca="1" si="98"/>
        <v>37.200000000000003</v>
      </c>
      <c r="P209" s="15"/>
      <c r="Q209" s="34">
        <f t="shared" ca="1" si="111"/>
        <v>261627.90505360431</v>
      </c>
      <c r="R209" s="34">
        <f t="shared" ca="1" si="112"/>
        <v>30437.585285078811</v>
      </c>
      <c r="S209" s="34">
        <f t="shared" ca="1" si="113"/>
        <v>0</v>
      </c>
      <c r="T209" s="34">
        <f t="shared" ca="1" si="114"/>
        <v>292065.49033868313</v>
      </c>
      <c r="U209" s="15"/>
      <c r="V209" s="35">
        <f t="shared" si="115"/>
        <v>0.31</v>
      </c>
      <c r="W209" s="34">
        <f t="shared" ca="1" si="116"/>
        <v>19934.615889010503</v>
      </c>
      <c r="X209" s="35">
        <f t="shared" si="117"/>
        <v>0.37</v>
      </c>
      <c r="Y209" s="34">
        <f t="shared" ca="1" si="118"/>
        <v>23792.928641722214</v>
      </c>
      <c r="Z209" s="35">
        <f t="shared" si="119"/>
        <v>0.57999999999999996</v>
      </c>
      <c r="AA209" s="34">
        <f t="shared" ca="1" si="120"/>
        <v>37297.0232762132</v>
      </c>
      <c r="AB209" s="34">
        <f t="shared" ca="1" si="121"/>
        <v>81024.56780694591</v>
      </c>
      <c r="AC209" s="15"/>
      <c r="AD209" s="34">
        <f t="shared" ca="1" si="122"/>
        <v>211040.92253173722</v>
      </c>
      <c r="AE209" s="34">
        <f ca="1"/>
        <v>0</v>
      </c>
      <c r="AF209" s="34">
        <f t="shared" ca="1" si="123"/>
        <v>211040.92253173722</v>
      </c>
      <c r="AG209" s="15"/>
      <c r="AH209" s="272">
        <f t="shared" si="131"/>
        <v>52596</v>
      </c>
      <c r="AI209" s="267">
        <f t="shared" si="99"/>
        <v>29.666666666666668</v>
      </c>
      <c r="AJ209" s="267">
        <f t="shared" si="100"/>
        <v>5.915848001836703E-2</v>
      </c>
      <c r="AK209" s="34">
        <f t="shared" ca="1" si="132"/>
        <v>12484.86019865152</v>
      </c>
      <c r="AL209" s="233"/>
      <c r="AN209" s="232"/>
      <c r="AO209" s="237">
        <f t="shared" si="150"/>
        <v>30</v>
      </c>
      <c r="AP209" s="34">
        <f t="shared" ref="AP209:AS209" ca="1" si="165">+AP159</f>
        <v>77.818717129063771</v>
      </c>
      <c r="AQ209" s="34">
        <f t="shared" ca="1" si="165"/>
        <v>0.51472780694593945</v>
      </c>
      <c r="AR209" s="34">
        <f t="shared" ca="1" si="165"/>
        <v>0</v>
      </c>
      <c r="AS209" s="34">
        <f t="shared" ca="1" si="165"/>
        <v>80.907083970739407</v>
      </c>
      <c r="AT209" s="15"/>
      <c r="AW209" s="34">
        <f t="shared" ca="1" si="126"/>
        <v>77.818717129063771</v>
      </c>
      <c r="AX209" s="34">
        <f t="shared" ca="1" si="102"/>
        <v>0.51472780694593945</v>
      </c>
      <c r="AY209" s="34">
        <f t="shared" ca="1" si="103"/>
        <v>0</v>
      </c>
      <c r="AZ209" s="34">
        <f t="shared" ca="1" si="104"/>
        <v>80.907083970739407</v>
      </c>
      <c r="BB209" s="34">
        <f t="shared" ca="1" si="152"/>
        <v>0</v>
      </c>
      <c r="BC209" s="34">
        <f t="shared" ca="1" si="152"/>
        <v>0</v>
      </c>
      <c r="BD209" s="34">
        <f t="shared" ca="1" si="152"/>
        <v>0</v>
      </c>
      <c r="BE209" s="34">
        <f t="shared" ca="1" si="152"/>
        <v>0</v>
      </c>
      <c r="BF209" s="34">
        <f t="shared" ca="1" si="152"/>
        <v>1193.9887660365121</v>
      </c>
      <c r="BG209" s="34">
        <f t="shared" ca="1" si="152"/>
        <v>5022.0742356752116</v>
      </c>
      <c r="BH209" s="34">
        <f t="shared" ca="1" si="152"/>
        <v>5225.4292410418893</v>
      </c>
      <c r="BI209" s="34">
        <f t="shared" ca="1" si="152"/>
        <v>5437.0176632642524</v>
      </c>
      <c r="BJ209" s="34">
        <f t="shared" ca="1" si="152"/>
        <v>5657.1741497782868</v>
      </c>
      <c r="BK209" s="34">
        <f t="shared" ca="1" si="152"/>
        <v>5886.2457183777515</v>
      </c>
      <c r="BL209" s="34">
        <f t="shared" ca="1" si="152"/>
        <v>6124.5924230675573</v>
      </c>
      <c r="BM209" s="34">
        <f t="shared" ca="1" si="152"/>
        <v>6372.5908585883144</v>
      </c>
      <c r="BN209" s="34">
        <f t="shared" ca="1" si="152"/>
        <v>6630.6315930999299</v>
      </c>
      <c r="BO209" s="34">
        <f t="shared" ca="1" si="152"/>
        <v>6899.1208206780539</v>
      </c>
      <c r="BP209" s="34">
        <f t="shared" ca="1" si="152"/>
        <v>7178.5102450086188</v>
      </c>
      <c r="BQ209" s="34">
        <f t="shared" ca="1" si="152"/>
        <v>7474.8132494205784</v>
      </c>
      <c r="BR209" s="34">
        <f t="shared" ca="1" si="147"/>
        <v>7802.6715126600911</v>
      </c>
      <c r="BS209" s="34">
        <f t="shared" ca="1" si="147"/>
        <v>8169.7558612917592</v>
      </c>
      <c r="BT209" s="34">
        <f t="shared" ca="1" si="147"/>
        <v>8584.2017233217048</v>
      </c>
      <c r="BU209" s="34">
        <f t="shared" ca="1" si="147"/>
        <v>9056.6681782746382</v>
      </c>
      <c r="BV209" s="34">
        <f t="shared" ca="1" si="147"/>
        <v>9601.429922698524</v>
      </c>
      <c r="BW209" s="34">
        <f t="shared" ca="1" si="147"/>
        <v>10238.100553748853</v>
      </c>
      <c r="BX209" s="34">
        <f t="shared" ca="1" si="147"/>
        <v>6055.4083743578112</v>
      </c>
      <c r="BY209" s="34">
        <f t="shared" ca="1" si="147"/>
        <v>0</v>
      </c>
      <c r="BZ209" s="34">
        <f t="shared" ca="1" si="147"/>
        <v>0</v>
      </c>
      <c r="CA209" s="34">
        <f t="shared" ca="1" si="147"/>
        <v>0</v>
      </c>
      <c r="CB209" s="34">
        <f t="shared" ca="1" si="147"/>
        <v>0</v>
      </c>
      <c r="CC209" s="34">
        <f t="shared" ca="1" si="147"/>
        <v>0</v>
      </c>
      <c r="CD209" s="34">
        <f t="shared" ca="1" si="147"/>
        <v>0</v>
      </c>
      <c r="CE209" s="34">
        <f t="shared" ca="1" si="147"/>
        <v>0</v>
      </c>
      <c r="CF209" s="34">
        <f t="shared" ca="1" si="147"/>
        <v>0</v>
      </c>
      <c r="CG209" s="34">
        <f t="shared" ca="1" si="147"/>
        <v>0</v>
      </c>
      <c r="CH209" s="34">
        <f t="shared" ca="1" si="148"/>
        <v>0</v>
      </c>
      <c r="CI209" s="34">
        <f t="shared" ca="1" si="148"/>
        <v>0</v>
      </c>
      <c r="CJ209" s="34">
        <f t="shared" ca="1" si="148"/>
        <v>0</v>
      </c>
      <c r="CK209" s="34">
        <f t="shared" ca="1" si="148"/>
        <v>0</v>
      </c>
      <c r="CL209" s="34">
        <f t="shared" ca="1" si="148"/>
        <v>0</v>
      </c>
      <c r="CM209" s="34">
        <f t="shared" ca="1" si="148"/>
        <v>0</v>
      </c>
      <c r="CN209" s="34">
        <f t="shared" ca="1" si="148"/>
        <v>0</v>
      </c>
      <c r="CO209" s="34">
        <f t="shared" ca="1" si="148"/>
        <v>0</v>
      </c>
      <c r="CP209" s="34">
        <f t="shared" ca="1" si="148"/>
        <v>0</v>
      </c>
      <c r="CQ209" s="34">
        <f t="shared" ca="1" si="128"/>
        <v>128610.42509039034</v>
      </c>
      <c r="CR209" s="363">
        <v>0</v>
      </c>
      <c r="CS209" s="34">
        <f t="shared" ca="1" si="129"/>
        <v>128610.42509039034</v>
      </c>
      <c r="CT209" s="233"/>
    </row>
    <row r="210" spans="2:98" x14ac:dyDescent="0.3">
      <c r="B210" s="232"/>
      <c r="C210" s="250">
        <f t="shared" si="130"/>
        <v>2044</v>
      </c>
      <c r="D210" s="263">
        <f t="shared" ca="1" si="108"/>
        <v>59025.429610832689</v>
      </c>
      <c r="E210" s="263">
        <f t="shared" ca="1" si="94"/>
        <v>390.42059620742225</v>
      </c>
      <c r="F210" s="263">
        <f t="shared" ca="1" si="95"/>
        <v>0</v>
      </c>
      <c r="G210" s="263">
        <f t="shared" ca="1" si="109"/>
        <v>61367.953188077219</v>
      </c>
      <c r="H210" s="15"/>
      <c r="I210" s="271">
        <f ca="1">Assumptions!O$68</f>
        <v>4.5</v>
      </c>
      <c r="J210" s="271">
        <f ca="1">Assumptions!P$68</f>
        <v>80</v>
      </c>
      <c r="K210" s="271">
        <f t="shared" ca="1" si="96"/>
        <v>40</v>
      </c>
      <c r="L210" s="15"/>
      <c r="M210" s="35">
        <f t="shared" ca="1" si="110"/>
        <v>4.2299999999999995</v>
      </c>
      <c r="N210" s="35">
        <f t="shared" ca="1" si="97"/>
        <v>74.400000000000006</v>
      </c>
      <c r="O210" s="35">
        <f t="shared" ca="1" si="98"/>
        <v>37.200000000000003</v>
      </c>
      <c r="P210" s="15"/>
      <c r="Q210" s="34">
        <f t="shared" ca="1" si="111"/>
        <v>249677.56725382226</v>
      </c>
      <c r="R210" s="34">
        <f t="shared" ca="1" si="112"/>
        <v>29047.292357832219</v>
      </c>
      <c r="S210" s="34">
        <f t="shared" ca="1" si="113"/>
        <v>0</v>
      </c>
      <c r="T210" s="34">
        <f t="shared" ca="1" si="114"/>
        <v>278724.85961165448</v>
      </c>
      <c r="U210" s="15"/>
      <c r="V210" s="35">
        <f t="shared" si="115"/>
        <v>0.31</v>
      </c>
      <c r="W210" s="34">
        <f t="shared" ca="1" si="116"/>
        <v>19024.065488303939</v>
      </c>
      <c r="X210" s="35">
        <f t="shared" si="117"/>
        <v>0.37</v>
      </c>
      <c r="Y210" s="34">
        <f t="shared" ca="1" si="118"/>
        <v>22706.142679588571</v>
      </c>
      <c r="Z210" s="35">
        <f t="shared" si="119"/>
        <v>0.57999999999999996</v>
      </c>
      <c r="AA210" s="34">
        <f t="shared" ca="1" si="120"/>
        <v>35593.412849084787</v>
      </c>
      <c r="AB210" s="34">
        <f t="shared" ca="1" si="121"/>
        <v>77323.621016977297</v>
      </c>
      <c r="AC210" s="15"/>
      <c r="AD210" s="34">
        <f t="shared" ca="1" si="122"/>
        <v>201401.23859467718</v>
      </c>
      <c r="AE210" s="34">
        <f ca="1"/>
        <v>0</v>
      </c>
      <c r="AF210" s="34">
        <f t="shared" ca="1" si="123"/>
        <v>201401.23859467718</v>
      </c>
      <c r="AG210" s="15"/>
      <c r="AH210" s="272">
        <f t="shared" si="131"/>
        <v>52962</v>
      </c>
      <c r="AI210" s="267">
        <f t="shared" si="99"/>
        <v>30.666666666666668</v>
      </c>
      <c r="AJ210" s="267">
        <f t="shared" si="100"/>
        <v>5.3780436380333668E-2</v>
      </c>
      <c r="AK210" s="34">
        <f t="shared" ca="1" si="132"/>
        <v>10831.446499161439</v>
      </c>
      <c r="AL210" s="233"/>
      <c r="AN210" s="232"/>
      <c r="AO210" s="237">
        <f t="shared" si="150"/>
        <v>31</v>
      </c>
      <c r="AP210" s="34">
        <f t="shared" ref="AP210:AS210" ca="1" si="166">+AP160</f>
        <v>74.790289888059661</v>
      </c>
      <c r="AQ210" s="34">
        <f t="shared" ca="1" si="166"/>
        <v>0.49469643442058581</v>
      </c>
      <c r="AR210" s="34">
        <f t="shared" ca="1" si="166"/>
        <v>0</v>
      </c>
      <c r="AS210" s="34">
        <f t="shared" ca="1" si="166"/>
        <v>77.75846849458317</v>
      </c>
      <c r="AT210" s="15"/>
      <c r="AW210" s="34">
        <f t="shared" ca="1" si="126"/>
        <v>74.790289888059661</v>
      </c>
      <c r="AX210" s="34">
        <f t="shared" ca="1" si="102"/>
        <v>0.49469643442058581</v>
      </c>
      <c r="AY210" s="34">
        <f t="shared" ca="1" si="103"/>
        <v>0</v>
      </c>
      <c r="AZ210" s="34">
        <f t="shared" ca="1" si="104"/>
        <v>77.75846849458317</v>
      </c>
      <c r="BB210" s="34">
        <f t="shared" ca="1" si="152"/>
        <v>0</v>
      </c>
      <c r="BC210" s="34">
        <f t="shared" ca="1" si="152"/>
        <v>0</v>
      </c>
      <c r="BD210" s="34">
        <f t="shared" ca="1" si="152"/>
        <v>0</v>
      </c>
      <c r="BE210" s="34">
        <f t="shared" ca="1" si="152"/>
        <v>0</v>
      </c>
      <c r="BF210" s="34">
        <f t="shared" ca="1" si="152"/>
        <v>1147.5231301201291</v>
      </c>
      <c r="BG210" s="34">
        <f t="shared" ca="1" si="152"/>
        <v>4826.6336162698835</v>
      </c>
      <c r="BH210" s="34">
        <f t="shared" ca="1" si="152"/>
        <v>5022.0742356752116</v>
      </c>
      <c r="BI210" s="34">
        <f t="shared" ca="1" si="152"/>
        <v>5225.4292410418893</v>
      </c>
      <c r="BJ210" s="34">
        <f t="shared" ca="1" si="152"/>
        <v>5437.0176632642524</v>
      </c>
      <c r="BK210" s="34">
        <f t="shared" ca="1" si="152"/>
        <v>5657.1741497782868</v>
      </c>
      <c r="BL210" s="34">
        <f t="shared" ca="1" si="152"/>
        <v>5886.2457183777515</v>
      </c>
      <c r="BM210" s="34">
        <f t="shared" ca="1" si="152"/>
        <v>6124.5924230675573</v>
      </c>
      <c r="BN210" s="34">
        <f t="shared" ca="1" si="152"/>
        <v>6372.5908585883144</v>
      </c>
      <c r="BO210" s="34">
        <f t="shared" ca="1" si="152"/>
        <v>6630.6315930999299</v>
      </c>
      <c r="BP210" s="34">
        <f t="shared" ca="1" si="152"/>
        <v>6899.1208206780539</v>
      </c>
      <c r="BQ210" s="34">
        <f t="shared" ca="1" si="152"/>
        <v>7178.5102450086188</v>
      </c>
      <c r="BR210" s="34">
        <f t="shared" ref="BR210:CG219" ca="1" si="167">IF($AO210&lt;BR$178,0,OFFSET($AZ$178,$AO210-BR$178+1,0)*BR$176)</f>
        <v>7474.8132494205784</v>
      </c>
      <c r="BS210" s="34">
        <f t="shared" ca="1" si="167"/>
        <v>7802.6715126600911</v>
      </c>
      <c r="BT210" s="34">
        <f t="shared" ca="1" si="167"/>
        <v>8169.7558612917592</v>
      </c>
      <c r="BU210" s="34">
        <f t="shared" ca="1" si="167"/>
        <v>8584.2017233217048</v>
      </c>
      <c r="BV210" s="34">
        <f t="shared" ca="1" si="167"/>
        <v>9056.6681782746382</v>
      </c>
      <c r="BW210" s="34">
        <f t="shared" ca="1" si="167"/>
        <v>9601.429922698524</v>
      </c>
      <c r="BX210" s="34">
        <f t="shared" ca="1" si="167"/>
        <v>5638.8222335172641</v>
      </c>
      <c r="BY210" s="34">
        <f t="shared" ca="1" si="167"/>
        <v>0</v>
      </c>
      <c r="BZ210" s="34">
        <f t="shared" ca="1" si="167"/>
        <v>0</v>
      </c>
      <c r="CA210" s="34">
        <f t="shared" ca="1" si="167"/>
        <v>0</v>
      </c>
      <c r="CB210" s="34">
        <f t="shared" ca="1" si="167"/>
        <v>0</v>
      </c>
      <c r="CC210" s="34">
        <f t="shared" ca="1" si="167"/>
        <v>0</v>
      </c>
      <c r="CD210" s="34">
        <f t="shared" ca="1" si="167"/>
        <v>0</v>
      </c>
      <c r="CE210" s="34">
        <f t="shared" ca="1" si="167"/>
        <v>0</v>
      </c>
      <c r="CF210" s="34">
        <f t="shared" ca="1" si="167"/>
        <v>0</v>
      </c>
      <c r="CG210" s="34">
        <f t="shared" ca="1" si="167"/>
        <v>0</v>
      </c>
      <c r="CH210" s="34">
        <f t="shared" ref="CH210:CP219" ca="1" si="168">IF($AO210&lt;CH$178,0,OFFSET($AZ$178,$AO210-CH$178+1,0)*CH$176)</f>
        <v>0</v>
      </c>
      <c r="CI210" s="34">
        <f t="shared" ca="1" si="168"/>
        <v>0</v>
      </c>
      <c r="CJ210" s="34">
        <f t="shared" ca="1" si="168"/>
        <v>0</v>
      </c>
      <c r="CK210" s="34">
        <f t="shared" ca="1" si="168"/>
        <v>0</v>
      </c>
      <c r="CL210" s="34">
        <f t="shared" ca="1" si="168"/>
        <v>0</v>
      </c>
      <c r="CM210" s="34">
        <f t="shared" ca="1" si="168"/>
        <v>0</v>
      </c>
      <c r="CN210" s="34">
        <f t="shared" ca="1" si="168"/>
        <v>0</v>
      </c>
      <c r="CO210" s="34">
        <f t="shared" ca="1" si="168"/>
        <v>0</v>
      </c>
      <c r="CP210" s="34">
        <f t="shared" ca="1" si="168"/>
        <v>0</v>
      </c>
      <c r="CQ210" s="34">
        <f t="shared" ca="1" si="128"/>
        <v>122735.90637615444</v>
      </c>
      <c r="CR210" s="363">
        <v>0</v>
      </c>
      <c r="CS210" s="34">
        <f t="shared" ca="1" si="129"/>
        <v>122735.90637615444</v>
      </c>
      <c r="CT210" s="233"/>
    </row>
    <row r="211" spans="2:98" x14ac:dyDescent="0.3">
      <c r="B211" s="232"/>
      <c r="C211" s="250">
        <f t="shared" si="130"/>
        <v>2045</v>
      </c>
      <c r="D211" s="263">
        <f t="shared" ca="1" si="108"/>
        <v>56448.717491101575</v>
      </c>
      <c r="E211" s="263">
        <f t="shared" ca="1" si="94"/>
        <v>373.37706956690317</v>
      </c>
      <c r="F211" s="263">
        <f t="shared" ca="1" si="95"/>
        <v>0</v>
      </c>
      <c r="G211" s="263">
        <f t="shared" ca="1" si="109"/>
        <v>58688.979908502995</v>
      </c>
      <c r="H211" s="15"/>
      <c r="I211" s="271">
        <f ca="1">Assumptions!O$68</f>
        <v>4.5</v>
      </c>
      <c r="J211" s="271">
        <f ca="1">Assumptions!P$68</f>
        <v>80</v>
      </c>
      <c r="K211" s="271">
        <f t="shared" ca="1" si="96"/>
        <v>40</v>
      </c>
      <c r="L211" s="15"/>
      <c r="M211" s="35">
        <f t="shared" ca="1" si="110"/>
        <v>4.2299999999999995</v>
      </c>
      <c r="N211" s="35">
        <f t="shared" ca="1" si="97"/>
        <v>74.400000000000006</v>
      </c>
      <c r="O211" s="35">
        <f t="shared" ca="1" si="98"/>
        <v>37.200000000000003</v>
      </c>
      <c r="P211" s="15"/>
      <c r="Q211" s="34">
        <f t="shared" ca="1" si="111"/>
        <v>238778.07498735964</v>
      </c>
      <c r="R211" s="34">
        <f t="shared" ca="1" si="112"/>
        <v>27779.253975777599</v>
      </c>
      <c r="S211" s="34">
        <f t="shared" ca="1" si="113"/>
        <v>0</v>
      </c>
      <c r="T211" s="34">
        <f t="shared" ca="1" si="114"/>
        <v>266557.32896313723</v>
      </c>
      <c r="U211" s="15"/>
      <c r="V211" s="35">
        <f t="shared" si="115"/>
        <v>0.31</v>
      </c>
      <c r="W211" s="34">
        <f t="shared" ca="1" si="116"/>
        <v>18193.583771635927</v>
      </c>
      <c r="X211" s="35">
        <f t="shared" si="117"/>
        <v>0.37</v>
      </c>
      <c r="Y211" s="34">
        <f t="shared" ca="1" si="118"/>
        <v>21714.92256614611</v>
      </c>
      <c r="Z211" s="35">
        <f t="shared" si="119"/>
        <v>0.57999999999999996</v>
      </c>
      <c r="AA211" s="34">
        <f t="shared" ca="1" si="120"/>
        <v>34039.608346931738</v>
      </c>
      <c r="AB211" s="34">
        <f t="shared" ca="1" si="121"/>
        <v>73948.114684713772</v>
      </c>
      <c r="AC211" s="15"/>
      <c r="AD211" s="34">
        <f t="shared" ca="1" si="122"/>
        <v>192609.21427842346</v>
      </c>
      <c r="AE211" s="34">
        <f ca="1"/>
        <v>0</v>
      </c>
      <c r="AF211" s="34">
        <f t="shared" ca="1" si="123"/>
        <v>192609.21427842346</v>
      </c>
      <c r="AG211" s="15"/>
      <c r="AH211" s="272">
        <f t="shared" si="131"/>
        <v>53327</v>
      </c>
      <c r="AI211" s="267">
        <f t="shared" si="99"/>
        <v>31.666666666666664</v>
      </c>
      <c r="AJ211" s="267">
        <f t="shared" si="100"/>
        <v>4.889130580030334E-2</v>
      </c>
      <c r="AK211" s="34">
        <f t="shared" ca="1" si="132"/>
        <v>9416.9159952425543</v>
      </c>
      <c r="AL211" s="233"/>
      <c r="AN211" s="232"/>
      <c r="AO211" s="237">
        <f t="shared" si="150"/>
        <v>32</v>
      </c>
      <c r="AP211" s="34">
        <f t="shared" ref="AP211:AS211" ca="1" si="169">+AP161</f>
        <v>71.879725312558421</v>
      </c>
      <c r="AQ211" s="34">
        <f t="shared" ca="1" si="169"/>
        <v>0.47544465829020344</v>
      </c>
      <c r="AR211" s="34">
        <f t="shared" ca="1" si="169"/>
        <v>0</v>
      </c>
      <c r="AS211" s="34">
        <f t="shared" ca="1" si="169"/>
        <v>74.732393262299638</v>
      </c>
      <c r="AT211" s="15"/>
      <c r="AW211" s="34">
        <f t="shared" ca="1" si="126"/>
        <v>71.879725312558421</v>
      </c>
      <c r="AX211" s="34">
        <f t="shared" ca="1" si="102"/>
        <v>0.47544465829020344</v>
      </c>
      <c r="AY211" s="34">
        <f t="shared" ca="1" si="103"/>
        <v>0</v>
      </c>
      <c r="AZ211" s="34">
        <f t="shared" ca="1" si="104"/>
        <v>74.732393262299638</v>
      </c>
      <c r="BB211" s="34">
        <f t="shared" ca="1" si="152"/>
        <v>0</v>
      </c>
      <c r="BC211" s="34">
        <f t="shared" ca="1" si="152"/>
        <v>0</v>
      </c>
      <c r="BD211" s="34">
        <f t="shared" ca="1" si="152"/>
        <v>0</v>
      </c>
      <c r="BE211" s="34">
        <f t="shared" ca="1" si="152"/>
        <v>0</v>
      </c>
      <c r="BF211" s="34">
        <f t="shared" ca="1" si="152"/>
        <v>1102.865706346364</v>
      </c>
      <c r="BG211" s="34">
        <f t="shared" ca="1" si="152"/>
        <v>4638.7988504036575</v>
      </c>
      <c r="BH211" s="34">
        <f t="shared" ca="1" si="152"/>
        <v>4826.6336162698835</v>
      </c>
      <c r="BI211" s="34">
        <f t="shared" ca="1" si="152"/>
        <v>5022.0742356752116</v>
      </c>
      <c r="BJ211" s="34">
        <f t="shared" ca="1" si="152"/>
        <v>5225.4292410418893</v>
      </c>
      <c r="BK211" s="34">
        <f t="shared" ca="1" si="152"/>
        <v>5437.0176632642524</v>
      </c>
      <c r="BL211" s="34">
        <f t="shared" ca="1" si="152"/>
        <v>5657.1741497782868</v>
      </c>
      <c r="BM211" s="34">
        <f t="shared" ca="1" si="152"/>
        <v>5886.2457183777515</v>
      </c>
      <c r="BN211" s="34">
        <f t="shared" ca="1" si="152"/>
        <v>6124.5924230675573</v>
      </c>
      <c r="BO211" s="34">
        <f t="shared" ca="1" si="152"/>
        <v>6372.5908585883144</v>
      </c>
      <c r="BP211" s="34">
        <f t="shared" ca="1" si="152"/>
        <v>6630.6315930999299</v>
      </c>
      <c r="BQ211" s="34">
        <f t="shared" ref="BQ211:BQ219" ca="1" si="170">IF($AO211&lt;BQ$178,0,OFFSET($AZ$178,$AO211-BQ$178+1,0)*BQ$176)</f>
        <v>6899.1208206780539</v>
      </c>
      <c r="BR211" s="34">
        <f t="shared" ca="1" si="167"/>
        <v>7178.5102450086188</v>
      </c>
      <c r="BS211" s="34">
        <f t="shared" ca="1" si="167"/>
        <v>7474.8132494205784</v>
      </c>
      <c r="BT211" s="34">
        <f t="shared" ca="1" si="167"/>
        <v>7802.6715126600911</v>
      </c>
      <c r="BU211" s="34">
        <f t="shared" ca="1" si="167"/>
        <v>8169.7558612917592</v>
      </c>
      <c r="BV211" s="34">
        <f t="shared" ca="1" si="167"/>
        <v>8584.2017233217048</v>
      </c>
      <c r="BW211" s="34">
        <f t="shared" ca="1" si="167"/>
        <v>9056.6681782746382</v>
      </c>
      <c r="BX211" s="34">
        <f t="shared" ca="1" si="167"/>
        <v>5288.1641704374379</v>
      </c>
      <c r="BY211" s="34">
        <f t="shared" ca="1" si="167"/>
        <v>0</v>
      </c>
      <c r="BZ211" s="34">
        <f t="shared" ca="1" si="167"/>
        <v>0</v>
      </c>
      <c r="CA211" s="34">
        <f t="shared" ca="1" si="167"/>
        <v>0</v>
      </c>
      <c r="CB211" s="34">
        <f t="shared" ca="1" si="167"/>
        <v>0</v>
      </c>
      <c r="CC211" s="34">
        <f t="shared" ca="1" si="167"/>
        <v>0</v>
      </c>
      <c r="CD211" s="34">
        <f t="shared" ca="1" si="167"/>
        <v>0</v>
      </c>
      <c r="CE211" s="34">
        <f t="shared" ca="1" si="167"/>
        <v>0</v>
      </c>
      <c r="CF211" s="34">
        <f t="shared" ca="1" si="167"/>
        <v>0</v>
      </c>
      <c r="CG211" s="34">
        <f t="shared" ca="1" si="167"/>
        <v>0</v>
      </c>
      <c r="CH211" s="34">
        <f t="shared" ca="1" si="168"/>
        <v>0</v>
      </c>
      <c r="CI211" s="34">
        <f t="shared" ca="1" si="168"/>
        <v>0</v>
      </c>
      <c r="CJ211" s="34">
        <f t="shared" ca="1" si="168"/>
        <v>0</v>
      </c>
      <c r="CK211" s="34">
        <f t="shared" ca="1" si="168"/>
        <v>0</v>
      </c>
      <c r="CL211" s="34">
        <f t="shared" ca="1" si="168"/>
        <v>0</v>
      </c>
      <c r="CM211" s="34">
        <f t="shared" ca="1" si="168"/>
        <v>0</v>
      </c>
      <c r="CN211" s="34">
        <f t="shared" ca="1" si="168"/>
        <v>0</v>
      </c>
      <c r="CO211" s="34">
        <f t="shared" ca="1" si="168"/>
        <v>0</v>
      </c>
      <c r="CP211" s="34">
        <f t="shared" ca="1" si="168"/>
        <v>0</v>
      </c>
      <c r="CQ211" s="34">
        <f t="shared" ca="1" si="128"/>
        <v>117377.95981700599</v>
      </c>
      <c r="CR211" s="363">
        <v>0</v>
      </c>
      <c r="CS211" s="34">
        <f t="shared" ca="1" si="129"/>
        <v>117377.95981700599</v>
      </c>
      <c r="CT211" s="233"/>
    </row>
    <row r="212" spans="2:98" x14ac:dyDescent="0.3">
      <c r="B212" s="232"/>
      <c r="C212" s="250">
        <f t="shared" si="130"/>
        <v>2046</v>
      </c>
      <c r="D212" s="263">
        <f t="shared" ca="1" si="108"/>
        <v>54072.351758405472</v>
      </c>
      <c r="E212" s="263">
        <f t="shared" ca="1" si="94"/>
        <v>357.65872355429184</v>
      </c>
      <c r="F212" s="263">
        <f t="shared" ca="1" si="95"/>
        <v>0</v>
      </c>
      <c r="G212" s="263">
        <f t="shared" ca="1" si="109"/>
        <v>56218.30409973122</v>
      </c>
      <c r="H212" s="15"/>
      <c r="I212" s="271">
        <f ca="1">Assumptions!O$68</f>
        <v>4.5</v>
      </c>
      <c r="J212" s="271">
        <f ca="1">Assumptions!P$68</f>
        <v>80</v>
      </c>
      <c r="K212" s="271">
        <f t="shared" ca="1" si="96"/>
        <v>40</v>
      </c>
      <c r="L212" s="15"/>
      <c r="M212" s="35">
        <f t="shared" ca="1" si="110"/>
        <v>4.2299999999999995</v>
      </c>
      <c r="N212" s="35">
        <f t="shared" ca="1" si="97"/>
        <v>74.400000000000006</v>
      </c>
      <c r="O212" s="35">
        <f t="shared" ca="1" si="98"/>
        <v>37.200000000000003</v>
      </c>
      <c r="P212" s="15"/>
      <c r="Q212" s="34">
        <f t="shared" ca="1" si="111"/>
        <v>228726.04793805513</v>
      </c>
      <c r="R212" s="34">
        <f t="shared" ca="1" si="112"/>
        <v>26609.809032439316</v>
      </c>
      <c r="S212" s="34">
        <f t="shared" ca="1" si="113"/>
        <v>0</v>
      </c>
      <c r="T212" s="34">
        <f t="shared" ca="1" si="114"/>
        <v>255335.85697049444</v>
      </c>
      <c r="U212" s="15"/>
      <c r="V212" s="35">
        <f t="shared" si="115"/>
        <v>0.31</v>
      </c>
      <c r="W212" s="34">
        <f t="shared" ca="1" si="116"/>
        <v>17427.674270916679</v>
      </c>
      <c r="X212" s="35">
        <f t="shared" si="117"/>
        <v>0.37</v>
      </c>
      <c r="Y212" s="34">
        <f t="shared" ca="1" si="118"/>
        <v>20800.77251690055</v>
      </c>
      <c r="Z212" s="35">
        <f t="shared" si="119"/>
        <v>0.57999999999999996</v>
      </c>
      <c r="AA212" s="34">
        <f t="shared" ca="1" si="120"/>
        <v>32606.616377844104</v>
      </c>
      <c r="AB212" s="34">
        <f t="shared" ca="1" si="121"/>
        <v>70835.063165661326</v>
      </c>
      <c r="AC212" s="15"/>
      <c r="AD212" s="34">
        <f t="shared" ca="1" si="122"/>
        <v>184500.79380483311</v>
      </c>
      <c r="AE212" s="34">
        <f ca="1"/>
        <v>0</v>
      </c>
      <c r="AF212" s="34">
        <f t="shared" ca="1" si="123"/>
        <v>184500.79380483311</v>
      </c>
      <c r="AG212" s="15"/>
      <c r="AH212" s="272">
        <f t="shared" si="131"/>
        <v>53692</v>
      </c>
      <c r="AI212" s="267">
        <f t="shared" si="99"/>
        <v>32.666666666666664</v>
      </c>
      <c r="AJ212" s="267">
        <f t="shared" si="100"/>
        <v>4.4446641636639403E-2</v>
      </c>
      <c r="AK212" s="34">
        <f t="shared" ca="1" si="132"/>
        <v>8200.4406639189165</v>
      </c>
      <c r="AL212" s="233"/>
      <c r="AN212" s="232"/>
      <c r="AO212" s="237">
        <f t="shared" ref="AO212:AO219" si="171">AO162</f>
        <v>33</v>
      </c>
      <c r="AP212" s="34">
        <f t="shared" ref="AP212:AS212" ca="1" si="172">+AP162</f>
        <v>69.082423394055567</v>
      </c>
      <c r="AQ212" s="34">
        <f t="shared" ca="1" si="172"/>
        <v>0.45694205204075028</v>
      </c>
      <c r="AR212" s="34">
        <f t="shared" ca="1" si="172"/>
        <v>0</v>
      </c>
      <c r="AS212" s="34">
        <f t="shared" ca="1" si="172"/>
        <v>71.824075706300064</v>
      </c>
      <c r="AT212" s="15"/>
      <c r="AW212" s="34">
        <f t="shared" ca="1" si="126"/>
        <v>69.082423394055567</v>
      </c>
      <c r="AX212" s="34">
        <f t="shared" ca="1" si="102"/>
        <v>0.45694205204075028</v>
      </c>
      <c r="AY212" s="34">
        <f t="shared" ca="1" si="103"/>
        <v>0</v>
      </c>
      <c r="AZ212" s="34">
        <f t="shared" ca="1" si="104"/>
        <v>71.824075706300064</v>
      </c>
      <c r="BB212" s="34">
        <f t="shared" ref="BB212:BP219" ca="1" si="173">IF($AO212&lt;BB$178,0,OFFSET($AZ$178,$AO212-BB$178+1,0)*BB$176)</f>
        <v>0</v>
      </c>
      <c r="BC212" s="34">
        <f t="shared" ca="1" si="173"/>
        <v>0</v>
      </c>
      <c r="BD212" s="34">
        <f t="shared" ca="1" si="173"/>
        <v>0</v>
      </c>
      <c r="BE212" s="34">
        <f t="shared" ca="1" si="173"/>
        <v>0</v>
      </c>
      <c r="BF212" s="34">
        <f t="shared" ca="1" si="173"/>
        <v>1059.9461377548355</v>
      </c>
      <c r="BG212" s="34">
        <f t="shared" ca="1" si="173"/>
        <v>4458.2736822163788</v>
      </c>
      <c r="BH212" s="34">
        <f t="shared" ca="1" si="173"/>
        <v>4638.7988504036575</v>
      </c>
      <c r="BI212" s="34">
        <f t="shared" ca="1" si="173"/>
        <v>4826.6336162698835</v>
      </c>
      <c r="BJ212" s="34">
        <f t="shared" ca="1" si="173"/>
        <v>5022.0742356752116</v>
      </c>
      <c r="BK212" s="34">
        <f t="shared" ca="1" si="173"/>
        <v>5225.4292410418893</v>
      </c>
      <c r="BL212" s="34">
        <f t="shared" ca="1" si="173"/>
        <v>5437.0176632642524</v>
      </c>
      <c r="BM212" s="34">
        <f t="shared" ca="1" si="173"/>
        <v>5657.1741497782868</v>
      </c>
      <c r="BN212" s="34">
        <f t="shared" ca="1" si="173"/>
        <v>5886.2457183777515</v>
      </c>
      <c r="BO212" s="34">
        <f t="shared" ca="1" si="173"/>
        <v>6124.5924230675573</v>
      </c>
      <c r="BP212" s="34">
        <f t="shared" ca="1" si="173"/>
        <v>6372.5908585883144</v>
      </c>
      <c r="BQ212" s="34">
        <f t="shared" ca="1" si="170"/>
        <v>6630.6315930999299</v>
      </c>
      <c r="BR212" s="34">
        <f t="shared" ca="1" si="167"/>
        <v>6899.1208206780539</v>
      </c>
      <c r="BS212" s="34">
        <f t="shared" ca="1" si="167"/>
        <v>7178.5102450086188</v>
      </c>
      <c r="BT212" s="34">
        <f t="shared" ca="1" si="167"/>
        <v>7474.8132494205784</v>
      </c>
      <c r="BU212" s="34">
        <f t="shared" ca="1" si="167"/>
        <v>7802.6715126600911</v>
      </c>
      <c r="BV212" s="34">
        <f t="shared" ca="1" si="167"/>
        <v>8169.7558612917592</v>
      </c>
      <c r="BW212" s="34">
        <f t="shared" ca="1" si="167"/>
        <v>8584.2017233217048</v>
      </c>
      <c r="BX212" s="34">
        <f t="shared" ca="1" si="167"/>
        <v>4988.1266175436785</v>
      </c>
      <c r="BY212" s="34">
        <f t="shared" ca="1" si="167"/>
        <v>0</v>
      </c>
      <c r="BZ212" s="34">
        <f t="shared" ca="1" si="167"/>
        <v>0</v>
      </c>
      <c r="CA212" s="34">
        <f t="shared" ca="1" si="167"/>
        <v>0</v>
      </c>
      <c r="CB212" s="34">
        <f t="shared" ca="1" si="167"/>
        <v>0</v>
      </c>
      <c r="CC212" s="34">
        <f t="shared" ca="1" si="167"/>
        <v>0</v>
      </c>
      <c r="CD212" s="34">
        <f t="shared" ca="1" si="167"/>
        <v>0</v>
      </c>
      <c r="CE212" s="34">
        <f t="shared" ca="1" si="167"/>
        <v>0</v>
      </c>
      <c r="CF212" s="34">
        <f t="shared" ca="1" si="167"/>
        <v>0</v>
      </c>
      <c r="CG212" s="34">
        <f t="shared" ca="1" si="167"/>
        <v>0</v>
      </c>
      <c r="CH212" s="34">
        <f t="shared" ca="1" si="168"/>
        <v>0</v>
      </c>
      <c r="CI212" s="34">
        <f t="shared" ca="1" si="168"/>
        <v>0</v>
      </c>
      <c r="CJ212" s="34">
        <f t="shared" ca="1" si="168"/>
        <v>0</v>
      </c>
      <c r="CK212" s="34">
        <f t="shared" ca="1" si="168"/>
        <v>0</v>
      </c>
      <c r="CL212" s="34">
        <f t="shared" ca="1" si="168"/>
        <v>0</v>
      </c>
      <c r="CM212" s="34">
        <f t="shared" ca="1" si="168"/>
        <v>0</v>
      </c>
      <c r="CN212" s="34">
        <f t="shared" ca="1" si="168"/>
        <v>0</v>
      </c>
      <c r="CO212" s="34">
        <f t="shared" ca="1" si="168"/>
        <v>0</v>
      </c>
      <c r="CP212" s="34">
        <f t="shared" ca="1" si="168"/>
        <v>0</v>
      </c>
      <c r="CQ212" s="34">
        <f t="shared" ca="1" si="128"/>
        <v>112436.60819946244</v>
      </c>
      <c r="CR212" s="363">
        <v>0</v>
      </c>
      <c r="CS212" s="34">
        <f t="shared" ca="1" si="129"/>
        <v>112436.60819946244</v>
      </c>
      <c r="CT212" s="233"/>
    </row>
    <row r="213" spans="2:98" x14ac:dyDescent="0.3">
      <c r="B213" s="232"/>
      <c r="C213" s="250">
        <f t="shared" si="130"/>
        <v>2047</v>
      </c>
      <c r="D213" s="263">
        <f t="shared" ca="1" si="108"/>
        <v>51859.715442307184</v>
      </c>
      <c r="E213" s="263">
        <f t="shared" ca="1" si="94"/>
        <v>343.02335714667925</v>
      </c>
      <c r="F213" s="263">
        <f t="shared" ca="1" si="95"/>
        <v>0</v>
      </c>
      <c r="G213" s="263">
        <f t="shared" ca="1" si="109"/>
        <v>53917.855585187259</v>
      </c>
      <c r="H213" s="15"/>
      <c r="I213" s="271">
        <f ca="1">Assumptions!O$68</f>
        <v>4.5</v>
      </c>
      <c r="J213" s="271">
        <f ca="1">Assumptions!P$68</f>
        <v>80</v>
      </c>
      <c r="K213" s="271">
        <f t="shared" ca="1" si="96"/>
        <v>40</v>
      </c>
      <c r="L213" s="15"/>
      <c r="M213" s="35">
        <f t="shared" ca="1" si="110"/>
        <v>4.2299999999999995</v>
      </c>
      <c r="N213" s="35">
        <f t="shared" ca="1" si="97"/>
        <v>74.400000000000006</v>
      </c>
      <c r="O213" s="35">
        <f t="shared" ca="1" si="98"/>
        <v>37.200000000000003</v>
      </c>
      <c r="P213" s="15"/>
      <c r="Q213" s="34">
        <f t="shared" ca="1" si="111"/>
        <v>219366.59632095936</v>
      </c>
      <c r="R213" s="34">
        <f t="shared" ca="1" si="112"/>
        <v>25520.937771712939</v>
      </c>
      <c r="S213" s="34">
        <f t="shared" ca="1" si="113"/>
        <v>0</v>
      </c>
      <c r="T213" s="34">
        <f t="shared" ca="1" si="114"/>
        <v>244887.53409267229</v>
      </c>
      <c r="U213" s="15"/>
      <c r="V213" s="35">
        <f t="shared" si="115"/>
        <v>0.31</v>
      </c>
      <c r="W213" s="34">
        <f t="shared" ca="1" si="116"/>
        <v>16714.535231408052</v>
      </c>
      <c r="X213" s="35">
        <f t="shared" si="117"/>
        <v>0.37</v>
      </c>
      <c r="Y213" s="34">
        <f t="shared" ca="1" si="118"/>
        <v>19949.606566519287</v>
      </c>
      <c r="Z213" s="35">
        <f t="shared" si="119"/>
        <v>0.57999999999999996</v>
      </c>
      <c r="AA213" s="34">
        <f t="shared" ca="1" si="120"/>
        <v>31272.356239408608</v>
      </c>
      <c r="AB213" s="34">
        <f t="shared" ca="1" si="121"/>
        <v>67936.498037335943</v>
      </c>
      <c r="AC213" s="15"/>
      <c r="AD213" s="34">
        <f t="shared" ca="1" si="122"/>
        <v>176951.03605533636</v>
      </c>
      <c r="AE213" s="34">
        <f ca="1"/>
        <v>0</v>
      </c>
      <c r="AF213" s="34">
        <f t="shared" ca="1" si="123"/>
        <v>176951.03605533636</v>
      </c>
      <c r="AG213" s="15"/>
      <c r="AH213" s="272">
        <f t="shared" si="131"/>
        <v>54057</v>
      </c>
      <c r="AI213" s="267">
        <f t="shared" si="99"/>
        <v>33.666666666666664</v>
      </c>
      <c r="AJ213" s="267">
        <f t="shared" si="100"/>
        <v>4.0406037851490349E-2</v>
      </c>
      <c r="AK213" s="34">
        <f t="shared" ca="1" si="132"/>
        <v>7149.8902607123546</v>
      </c>
      <c r="AL213" s="233"/>
      <c r="AN213" s="232"/>
      <c r="AO213" s="237">
        <f t="shared" si="171"/>
        <v>34</v>
      </c>
      <c r="AP213" s="34">
        <f t="shared" ref="AP213:AS213" ca="1" si="174">+AP163</f>
        <v>66.393985773888829</v>
      </c>
      <c r="AQ213" s="34">
        <f t="shared" ca="1" si="174"/>
        <v>0.43915952296044808</v>
      </c>
      <c r="AR213" s="34">
        <f t="shared" ca="1" si="174"/>
        <v>0</v>
      </c>
      <c r="AS213" s="34">
        <f t="shared" ca="1" si="174"/>
        <v>69.028942911651512</v>
      </c>
      <c r="AT213" s="15"/>
      <c r="AW213" s="34">
        <f t="shared" ca="1" si="126"/>
        <v>66.393985773888829</v>
      </c>
      <c r="AX213" s="34">
        <f t="shared" ca="1" si="102"/>
        <v>0.43915952296044808</v>
      </c>
      <c r="AY213" s="34">
        <f t="shared" ca="1" si="103"/>
        <v>0</v>
      </c>
      <c r="AZ213" s="34">
        <f t="shared" ca="1" si="104"/>
        <v>69.028942911651512</v>
      </c>
      <c r="BB213" s="34">
        <f t="shared" ca="1" si="173"/>
        <v>0</v>
      </c>
      <c r="BC213" s="34">
        <f t="shared" ca="1" si="173"/>
        <v>0</v>
      </c>
      <c r="BD213" s="34">
        <f t="shared" ca="1" si="173"/>
        <v>0</v>
      </c>
      <c r="BE213" s="34">
        <f t="shared" ca="1" si="173"/>
        <v>0</v>
      </c>
      <c r="BF213" s="34">
        <f t="shared" ca="1" si="173"/>
        <v>1018.6967265841164</v>
      </c>
      <c r="BG213" s="34">
        <f t="shared" ca="1" si="173"/>
        <v>4284.773697583074</v>
      </c>
      <c r="BH213" s="34">
        <f t="shared" ca="1" si="173"/>
        <v>4458.2736822163788</v>
      </c>
      <c r="BI213" s="34">
        <f t="shared" ca="1" si="173"/>
        <v>4638.7988504036575</v>
      </c>
      <c r="BJ213" s="34">
        <f t="shared" ca="1" si="173"/>
        <v>4826.6336162698835</v>
      </c>
      <c r="BK213" s="34">
        <f t="shared" ca="1" si="173"/>
        <v>5022.0742356752116</v>
      </c>
      <c r="BL213" s="34">
        <f t="shared" ca="1" si="173"/>
        <v>5225.4292410418893</v>
      </c>
      <c r="BM213" s="34">
        <f t="shared" ca="1" si="173"/>
        <v>5437.0176632642524</v>
      </c>
      <c r="BN213" s="34">
        <f t="shared" ca="1" si="173"/>
        <v>5657.1741497782868</v>
      </c>
      <c r="BO213" s="34">
        <f t="shared" ca="1" si="173"/>
        <v>5886.2457183777515</v>
      </c>
      <c r="BP213" s="34">
        <f t="shared" ca="1" si="173"/>
        <v>6124.5924230675573</v>
      </c>
      <c r="BQ213" s="34">
        <f t="shared" ca="1" si="170"/>
        <v>6372.5908585883144</v>
      </c>
      <c r="BR213" s="34">
        <f t="shared" ca="1" si="167"/>
        <v>6630.6315930999299</v>
      </c>
      <c r="BS213" s="34">
        <f t="shared" ca="1" si="167"/>
        <v>6899.1208206780539</v>
      </c>
      <c r="BT213" s="34">
        <f t="shared" ca="1" si="167"/>
        <v>7178.5102450086188</v>
      </c>
      <c r="BU213" s="34">
        <f t="shared" ca="1" si="167"/>
        <v>7474.8132494205784</v>
      </c>
      <c r="BV213" s="34">
        <f t="shared" ca="1" si="167"/>
        <v>7802.6715126600911</v>
      </c>
      <c r="BW213" s="34">
        <f t="shared" ca="1" si="167"/>
        <v>8169.7558612917592</v>
      </c>
      <c r="BX213" s="34">
        <f t="shared" ca="1" si="167"/>
        <v>4727.9070253651116</v>
      </c>
      <c r="BY213" s="34">
        <f t="shared" ca="1" si="167"/>
        <v>0</v>
      </c>
      <c r="BZ213" s="34">
        <f t="shared" ca="1" si="167"/>
        <v>0</v>
      </c>
      <c r="CA213" s="34">
        <f t="shared" ca="1" si="167"/>
        <v>0</v>
      </c>
      <c r="CB213" s="34">
        <f t="shared" ca="1" si="167"/>
        <v>0</v>
      </c>
      <c r="CC213" s="34">
        <f t="shared" ca="1" si="167"/>
        <v>0</v>
      </c>
      <c r="CD213" s="34">
        <f t="shared" ca="1" si="167"/>
        <v>0</v>
      </c>
      <c r="CE213" s="34">
        <f t="shared" ca="1" si="167"/>
        <v>0</v>
      </c>
      <c r="CF213" s="34">
        <f t="shared" ca="1" si="167"/>
        <v>0</v>
      </c>
      <c r="CG213" s="34">
        <f t="shared" ca="1" si="167"/>
        <v>0</v>
      </c>
      <c r="CH213" s="34">
        <f t="shared" ca="1" si="168"/>
        <v>0</v>
      </c>
      <c r="CI213" s="34">
        <f t="shared" ca="1" si="168"/>
        <v>0</v>
      </c>
      <c r="CJ213" s="34">
        <f t="shared" ca="1" si="168"/>
        <v>0</v>
      </c>
      <c r="CK213" s="34">
        <f t="shared" ca="1" si="168"/>
        <v>0</v>
      </c>
      <c r="CL213" s="34">
        <f t="shared" ca="1" si="168"/>
        <v>0</v>
      </c>
      <c r="CM213" s="34">
        <f t="shared" ca="1" si="168"/>
        <v>0</v>
      </c>
      <c r="CN213" s="34">
        <f t="shared" ca="1" si="168"/>
        <v>0</v>
      </c>
      <c r="CO213" s="34">
        <f t="shared" ca="1" si="168"/>
        <v>0</v>
      </c>
      <c r="CP213" s="34">
        <f t="shared" ca="1" si="168"/>
        <v>0</v>
      </c>
      <c r="CQ213" s="34">
        <f t="shared" ca="1" si="128"/>
        <v>107835.71117037452</v>
      </c>
      <c r="CR213" s="363">
        <v>0</v>
      </c>
      <c r="CS213" s="34">
        <f t="shared" ca="1" si="129"/>
        <v>107835.71117037452</v>
      </c>
      <c r="CT213" s="233"/>
    </row>
    <row r="214" spans="2:98" x14ac:dyDescent="0.3">
      <c r="B214" s="232"/>
      <c r="C214" s="250">
        <f t="shared" si="130"/>
        <v>2048</v>
      </c>
      <c r="D214" s="263">
        <f t="shared" ca="1" si="108"/>
        <v>49782.340389751007</v>
      </c>
      <c r="E214" s="263">
        <f t="shared" ca="1" si="94"/>
        <v>329.28266924465407</v>
      </c>
      <c r="F214" s="263">
        <f t="shared" ca="1" si="95"/>
        <v>0</v>
      </c>
      <c r="G214" s="263">
        <f t="shared" ca="1" si="109"/>
        <v>51758.036405218932</v>
      </c>
      <c r="H214" s="15"/>
      <c r="I214" s="271">
        <f ca="1">Assumptions!O$68</f>
        <v>4.5</v>
      </c>
      <c r="J214" s="271">
        <f ca="1">Assumptions!P$68</f>
        <v>80</v>
      </c>
      <c r="K214" s="271">
        <f t="shared" ca="1" si="96"/>
        <v>40</v>
      </c>
      <c r="L214" s="15"/>
      <c r="M214" s="35">
        <f t="shared" ca="1" si="110"/>
        <v>4.2299999999999995</v>
      </c>
      <c r="N214" s="35">
        <f t="shared" ca="1" si="97"/>
        <v>74.400000000000006</v>
      </c>
      <c r="O214" s="35">
        <f t="shared" ca="1" si="98"/>
        <v>37.200000000000003</v>
      </c>
      <c r="P214" s="15"/>
      <c r="Q214" s="34">
        <f t="shared" ca="1" si="111"/>
        <v>210579.29984864674</v>
      </c>
      <c r="R214" s="34">
        <f t="shared" ca="1" si="112"/>
        <v>24498.630591802266</v>
      </c>
      <c r="S214" s="34">
        <f t="shared" ca="1" si="113"/>
        <v>0</v>
      </c>
      <c r="T214" s="34">
        <f t="shared" ca="1" si="114"/>
        <v>235077.93044044901</v>
      </c>
      <c r="U214" s="15"/>
      <c r="V214" s="35">
        <f t="shared" si="115"/>
        <v>0.31</v>
      </c>
      <c r="W214" s="34">
        <f t="shared" ca="1" si="116"/>
        <v>16044.991285617869</v>
      </c>
      <c r="X214" s="35">
        <f t="shared" si="117"/>
        <v>0.37</v>
      </c>
      <c r="Y214" s="34">
        <f t="shared" ca="1" si="118"/>
        <v>19150.473469931007</v>
      </c>
      <c r="Z214" s="35">
        <f t="shared" si="119"/>
        <v>0.57999999999999996</v>
      </c>
      <c r="AA214" s="34">
        <f t="shared" ca="1" si="120"/>
        <v>30019.661115026978</v>
      </c>
      <c r="AB214" s="34">
        <f t="shared" ca="1" si="121"/>
        <v>65215.125870575852</v>
      </c>
      <c r="AC214" s="15"/>
      <c r="AD214" s="34">
        <f t="shared" ca="1" si="122"/>
        <v>169862.80456987314</v>
      </c>
      <c r="AE214" s="34">
        <f ca="1"/>
        <v>0</v>
      </c>
      <c r="AF214" s="34">
        <f t="shared" ca="1" si="123"/>
        <v>169862.80456987314</v>
      </c>
      <c r="AG214" s="15"/>
      <c r="AH214" s="272">
        <f t="shared" si="131"/>
        <v>54423</v>
      </c>
      <c r="AI214" s="267">
        <f t="shared" si="99"/>
        <v>34.666666666666664</v>
      </c>
      <c r="AJ214" s="267">
        <f t="shared" si="100"/>
        <v>3.6732761683173049E-2</v>
      </c>
      <c r="AK214" s="34">
        <f t="shared" ca="1" si="132"/>
        <v>6239.5299191005479</v>
      </c>
      <c r="AL214" s="233"/>
      <c r="AN214" s="232"/>
      <c r="AO214" s="237">
        <f t="shared" si="171"/>
        <v>35</v>
      </c>
      <c r="AP214" s="34">
        <f t="shared" ref="AP214:AS214" ca="1" si="175">+AP164</f>
        <v>63.810170082055421</v>
      </c>
      <c r="AQ214" s="34">
        <f t="shared" ca="1" si="175"/>
        <v>0.42206901011629333</v>
      </c>
      <c r="AR214" s="34">
        <f t="shared" ca="1" si="175"/>
        <v>0</v>
      </c>
      <c r="AS214" s="34">
        <f t="shared" ca="1" si="175"/>
        <v>66.342584142753182</v>
      </c>
      <c r="AT214" s="15"/>
      <c r="AW214" s="34">
        <f t="shared" ca="1" si="126"/>
        <v>63.810170082055421</v>
      </c>
      <c r="AX214" s="34">
        <f t="shared" ca="1" si="102"/>
        <v>0.42206901011629333</v>
      </c>
      <c r="AY214" s="34">
        <f t="shared" ca="1" si="103"/>
        <v>0</v>
      </c>
      <c r="AZ214" s="34">
        <f t="shared" ca="1" si="104"/>
        <v>66.342584142753182</v>
      </c>
      <c r="BB214" s="34">
        <f t="shared" ca="1" si="173"/>
        <v>0</v>
      </c>
      <c r="BC214" s="34">
        <f t="shared" ca="1" si="173"/>
        <v>0</v>
      </c>
      <c r="BD214" s="34">
        <f t="shared" ca="1" si="173"/>
        <v>0</v>
      </c>
      <c r="BE214" s="34">
        <f t="shared" ca="1" si="173"/>
        <v>0</v>
      </c>
      <c r="BF214" s="34">
        <f t="shared" ca="1" si="173"/>
        <v>979.05267909882502</v>
      </c>
      <c r="BG214" s="34">
        <f t="shared" ca="1" si="173"/>
        <v>4118.025232043623</v>
      </c>
      <c r="BH214" s="34">
        <f t="shared" ca="1" si="173"/>
        <v>4284.773697583074</v>
      </c>
      <c r="BI214" s="34">
        <f t="shared" ca="1" si="173"/>
        <v>4458.2736822163788</v>
      </c>
      <c r="BJ214" s="34">
        <f t="shared" ca="1" si="173"/>
        <v>4638.7988504036575</v>
      </c>
      <c r="BK214" s="34">
        <f t="shared" ca="1" si="173"/>
        <v>4826.6336162698835</v>
      </c>
      <c r="BL214" s="34">
        <f t="shared" ca="1" si="173"/>
        <v>5022.0742356752116</v>
      </c>
      <c r="BM214" s="34">
        <f t="shared" ca="1" si="173"/>
        <v>5225.4292410418893</v>
      </c>
      <c r="BN214" s="34">
        <f t="shared" ca="1" si="173"/>
        <v>5437.0176632642524</v>
      </c>
      <c r="BO214" s="34">
        <f t="shared" ca="1" si="173"/>
        <v>5657.1741497782868</v>
      </c>
      <c r="BP214" s="34">
        <f t="shared" ca="1" si="173"/>
        <v>5886.2457183777515</v>
      </c>
      <c r="BQ214" s="34">
        <f t="shared" ca="1" si="170"/>
        <v>6124.5924230675573</v>
      </c>
      <c r="BR214" s="34">
        <f t="shared" ca="1" si="167"/>
        <v>6372.5908585883144</v>
      </c>
      <c r="BS214" s="34">
        <f t="shared" ca="1" si="167"/>
        <v>6630.6315930999299</v>
      </c>
      <c r="BT214" s="34">
        <f t="shared" ca="1" si="167"/>
        <v>6899.1208206780539</v>
      </c>
      <c r="BU214" s="34">
        <f t="shared" ca="1" si="167"/>
        <v>7178.5102450086188</v>
      </c>
      <c r="BV214" s="34">
        <f t="shared" ca="1" si="167"/>
        <v>7474.8132494205784</v>
      </c>
      <c r="BW214" s="34">
        <f t="shared" ca="1" si="167"/>
        <v>7802.6715126600911</v>
      </c>
      <c r="BX214" s="34">
        <f t="shared" ca="1" si="167"/>
        <v>4499.6433421618876</v>
      </c>
      <c r="BY214" s="34">
        <f t="shared" ca="1" si="167"/>
        <v>0</v>
      </c>
      <c r="BZ214" s="34">
        <f t="shared" ca="1" si="167"/>
        <v>0</v>
      </c>
      <c r="CA214" s="34">
        <f t="shared" ca="1" si="167"/>
        <v>0</v>
      </c>
      <c r="CB214" s="34">
        <f t="shared" ca="1" si="167"/>
        <v>0</v>
      </c>
      <c r="CC214" s="34">
        <f t="shared" ca="1" si="167"/>
        <v>0</v>
      </c>
      <c r="CD214" s="34">
        <f t="shared" ca="1" si="167"/>
        <v>0</v>
      </c>
      <c r="CE214" s="34">
        <f t="shared" ca="1" si="167"/>
        <v>0</v>
      </c>
      <c r="CF214" s="34">
        <f t="shared" ca="1" si="167"/>
        <v>0</v>
      </c>
      <c r="CG214" s="34">
        <f t="shared" ca="1" si="167"/>
        <v>0</v>
      </c>
      <c r="CH214" s="34">
        <f t="shared" ca="1" si="168"/>
        <v>0</v>
      </c>
      <c r="CI214" s="34">
        <f t="shared" ca="1" si="168"/>
        <v>0</v>
      </c>
      <c r="CJ214" s="34">
        <f t="shared" ca="1" si="168"/>
        <v>0</v>
      </c>
      <c r="CK214" s="34">
        <f t="shared" ca="1" si="168"/>
        <v>0</v>
      </c>
      <c r="CL214" s="34">
        <f t="shared" ca="1" si="168"/>
        <v>0</v>
      </c>
      <c r="CM214" s="34">
        <f t="shared" ca="1" si="168"/>
        <v>0</v>
      </c>
      <c r="CN214" s="34">
        <f t="shared" ca="1" si="168"/>
        <v>0</v>
      </c>
      <c r="CO214" s="34">
        <f t="shared" ca="1" si="168"/>
        <v>0</v>
      </c>
      <c r="CP214" s="34">
        <f t="shared" ca="1" si="168"/>
        <v>0</v>
      </c>
      <c r="CQ214" s="34">
        <f t="shared" ca="1" si="128"/>
        <v>103516.07281043786</v>
      </c>
      <c r="CR214" s="363">
        <v>0</v>
      </c>
      <c r="CS214" s="34">
        <f t="shared" ca="1" si="129"/>
        <v>103516.07281043786</v>
      </c>
      <c r="CT214" s="233"/>
    </row>
    <row r="215" spans="2:98" x14ac:dyDescent="0.3">
      <c r="B215" s="232"/>
      <c r="C215" s="250">
        <f t="shared" si="130"/>
        <v>2049</v>
      </c>
      <c r="D215" s="263">
        <f t="shared" ca="1" si="108"/>
        <v>47817.717382164934</v>
      </c>
      <c r="E215" s="263">
        <f t="shared" ca="1" si="94"/>
        <v>316.28777380718304</v>
      </c>
      <c r="F215" s="263">
        <f t="shared" ca="1" si="95"/>
        <v>0</v>
      </c>
      <c r="G215" s="263">
        <f t="shared" ca="1" si="109"/>
        <v>49715.44402500803</v>
      </c>
      <c r="H215" s="15"/>
      <c r="I215" s="271">
        <f ca="1">Assumptions!O$68</f>
        <v>4.5</v>
      </c>
      <c r="J215" s="271">
        <f ca="1">Assumptions!P$68</f>
        <v>80</v>
      </c>
      <c r="K215" s="271">
        <f t="shared" ca="1" si="96"/>
        <v>40</v>
      </c>
      <c r="L215" s="15"/>
      <c r="M215" s="35">
        <f t="shared" ca="1" si="110"/>
        <v>4.2299999999999995</v>
      </c>
      <c r="N215" s="35">
        <f t="shared" ca="1" si="97"/>
        <v>74.400000000000006</v>
      </c>
      <c r="O215" s="35">
        <f t="shared" ca="1" si="98"/>
        <v>37.200000000000003</v>
      </c>
      <c r="P215" s="15"/>
      <c r="Q215" s="34">
        <f t="shared" ca="1" si="111"/>
        <v>202268.94452655764</v>
      </c>
      <c r="R215" s="34">
        <f t="shared" ca="1" si="112"/>
        <v>23531.810371254422</v>
      </c>
      <c r="S215" s="34">
        <f t="shared" ca="1" si="113"/>
        <v>0</v>
      </c>
      <c r="T215" s="34">
        <f t="shared" ca="1" si="114"/>
        <v>225800.75489781206</v>
      </c>
      <c r="U215" s="15"/>
      <c r="V215" s="35">
        <f t="shared" si="115"/>
        <v>0.31</v>
      </c>
      <c r="W215" s="34">
        <f t="shared" ca="1" si="116"/>
        <v>15411.78764775249</v>
      </c>
      <c r="X215" s="35">
        <f t="shared" si="117"/>
        <v>0.37</v>
      </c>
      <c r="Y215" s="34">
        <f t="shared" ca="1" si="118"/>
        <v>18394.71428925297</v>
      </c>
      <c r="Z215" s="35">
        <f t="shared" si="119"/>
        <v>0.57999999999999996</v>
      </c>
      <c r="AA215" s="34">
        <f t="shared" ca="1" si="120"/>
        <v>28834.957534504654</v>
      </c>
      <c r="AB215" s="34">
        <f t="shared" ca="1" si="121"/>
        <v>62641.459471510112</v>
      </c>
      <c r="AC215" s="15"/>
      <c r="AD215" s="34">
        <f t="shared" ca="1" si="122"/>
        <v>163159.29542630195</v>
      </c>
      <c r="AE215" s="34">
        <f ca="1"/>
        <v>0</v>
      </c>
      <c r="AF215" s="34">
        <f t="shared" ca="1" si="123"/>
        <v>163159.29542630195</v>
      </c>
      <c r="AG215" s="15"/>
      <c r="AH215" s="272">
        <f t="shared" si="131"/>
        <v>54788</v>
      </c>
      <c r="AI215" s="267">
        <f t="shared" si="99"/>
        <v>35.666666666666664</v>
      </c>
      <c r="AJ215" s="267">
        <f t="shared" si="100"/>
        <v>3.3393419711975486E-2</v>
      </c>
      <c r="AK215" s="34">
        <f t="shared" ca="1" si="132"/>
        <v>5448.4468320807036</v>
      </c>
      <c r="AL215" s="233"/>
      <c r="AN215" s="232"/>
      <c r="AO215" s="237">
        <f t="shared" si="171"/>
        <v>36</v>
      </c>
      <c r="AP215" s="34">
        <f t="shared" ref="AP215:AS215" ca="1" si="176">+AP165</f>
        <v>61.326912212116746</v>
      </c>
      <c r="AQ215" s="34">
        <f t="shared" ca="1" si="176"/>
        <v>0.40564363169024115</v>
      </c>
      <c r="AR215" s="34">
        <f t="shared" ca="1" si="176"/>
        <v>0</v>
      </c>
      <c r="AS215" s="34">
        <f t="shared" ca="1" si="176"/>
        <v>63.760774002258195</v>
      </c>
      <c r="AT215" s="15"/>
      <c r="AW215" s="34">
        <f t="shared" ca="1" si="126"/>
        <v>61.326912212116746</v>
      </c>
      <c r="AX215" s="34">
        <f t="shared" ca="1" si="102"/>
        <v>0.40564363169024115</v>
      </c>
      <c r="AY215" s="34">
        <f t="shared" ca="1" si="103"/>
        <v>0</v>
      </c>
      <c r="AZ215" s="34">
        <f t="shared" ca="1" si="104"/>
        <v>63.760774002258195</v>
      </c>
      <c r="BB215" s="34">
        <f t="shared" ca="1" si="173"/>
        <v>0</v>
      </c>
      <c r="BC215" s="34">
        <f t="shared" ca="1" si="173"/>
        <v>0</v>
      </c>
      <c r="BD215" s="34">
        <f t="shared" ca="1" si="173"/>
        <v>0</v>
      </c>
      <c r="BE215" s="34">
        <f t="shared" ca="1" si="173"/>
        <v>0</v>
      </c>
      <c r="BF215" s="34">
        <f t="shared" ca="1" si="173"/>
        <v>940.95152920891724</v>
      </c>
      <c r="BG215" s="34">
        <f t="shared" ca="1" si="173"/>
        <v>3957.7663605027365</v>
      </c>
      <c r="BH215" s="34">
        <f t="shared" ca="1" si="173"/>
        <v>4118.025232043623</v>
      </c>
      <c r="BI215" s="34">
        <f t="shared" ca="1" si="173"/>
        <v>4284.773697583074</v>
      </c>
      <c r="BJ215" s="34">
        <f t="shared" ca="1" si="173"/>
        <v>4458.2736822163788</v>
      </c>
      <c r="BK215" s="34">
        <f t="shared" ca="1" si="173"/>
        <v>4638.7988504036575</v>
      </c>
      <c r="BL215" s="34">
        <f t="shared" ca="1" si="173"/>
        <v>4826.6336162698835</v>
      </c>
      <c r="BM215" s="34">
        <f t="shared" ca="1" si="173"/>
        <v>5022.0742356752116</v>
      </c>
      <c r="BN215" s="34">
        <f t="shared" ca="1" si="173"/>
        <v>5225.4292410418893</v>
      </c>
      <c r="BO215" s="34">
        <f t="shared" ca="1" si="173"/>
        <v>5437.0176632642524</v>
      </c>
      <c r="BP215" s="34">
        <f t="shared" ca="1" si="173"/>
        <v>5657.1741497782868</v>
      </c>
      <c r="BQ215" s="34">
        <f t="shared" ca="1" si="170"/>
        <v>5886.2457183777515</v>
      </c>
      <c r="BR215" s="34">
        <f t="shared" ca="1" si="167"/>
        <v>6124.5924230675573</v>
      </c>
      <c r="BS215" s="34">
        <f t="shared" ca="1" si="167"/>
        <v>6372.5908585883144</v>
      </c>
      <c r="BT215" s="34">
        <f t="shared" ca="1" si="167"/>
        <v>6630.6315930999299</v>
      </c>
      <c r="BU215" s="34">
        <f t="shared" ca="1" si="167"/>
        <v>6899.1208206780539</v>
      </c>
      <c r="BV215" s="34">
        <f t="shared" ca="1" si="167"/>
        <v>7178.5102450086188</v>
      </c>
      <c r="BW215" s="34">
        <f t="shared" ca="1" si="167"/>
        <v>7474.8132494205784</v>
      </c>
      <c r="BX215" s="34">
        <f t="shared" ca="1" si="167"/>
        <v>4297.4648837873492</v>
      </c>
      <c r="BY215" s="34">
        <f t="shared" ca="1" si="167"/>
        <v>0</v>
      </c>
      <c r="BZ215" s="34">
        <f t="shared" ca="1" si="167"/>
        <v>0</v>
      </c>
      <c r="CA215" s="34">
        <f t="shared" ca="1" si="167"/>
        <v>0</v>
      </c>
      <c r="CB215" s="34">
        <f t="shared" ca="1" si="167"/>
        <v>0</v>
      </c>
      <c r="CC215" s="34">
        <f t="shared" ca="1" si="167"/>
        <v>0</v>
      </c>
      <c r="CD215" s="34">
        <f t="shared" ca="1" si="167"/>
        <v>0</v>
      </c>
      <c r="CE215" s="34">
        <f t="shared" ca="1" si="167"/>
        <v>0</v>
      </c>
      <c r="CF215" s="34">
        <f t="shared" ca="1" si="167"/>
        <v>0</v>
      </c>
      <c r="CG215" s="34">
        <f t="shared" ca="1" si="167"/>
        <v>0</v>
      </c>
      <c r="CH215" s="34">
        <f t="shared" ca="1" si="168"/>
        <v>0</v>
      </c>
      <c r="CI215" s="34">
        <f t="shared" ca="1" si="168"/>
        <v>0</v>
      </c>
      <c r="CJ215" s="34">
        <f t="shared" ca="1" si="168"/>
        <v>0</v>
      </c>
      <c r="CK215" s="34">
        <f t="shared" ca="1" si="168"/>
        <v>0</v>
      </c>
      <c r="CL215" s="34">
        <f t="shared" ca="1" si="168"/>
        <v>0</v>
      </c>
      <c r="CM215" s="34">
        <f t="shared" ca="1" si="168"/>
        <v>0</v>
      </c>
      <c r="CN215" s="34">
        <f t="shared" ca="1" si="168"/>
        <v>0</v>
      </c>
      <c r="CO215" s="34">
        <f t="shared" ca="1" si="168"/>
        <v>0</v>
      </c>
      <c r="CP215" s="34">
        <f t="shared" ca="1" si="168"/>
        <v>0</v>
      </c>
      <c r="CQ215" s="34">
        <f t="shared" ca="1" si="128"/>
        <v>99430.888050016059</v>
      </c>
      <c r="CR215" s="363">
        <v>0</v>
      </c>
      <c r="CS215" s="34">
        <f t="shared" ca="1" si="129"/>
        <v>99430.888050016059</v>
      </c>
      <c r="CT215" s="233"/>
    </row>
    <row r="216" spans="2:98" x14ac:dyDescent="0.3">
      <c r="B216" s="232"/>
      <c r="C216" s="250">
        <f t="shared" si="130"/>
        <v>2050</v>
      </c>
      <c r="D216" s="263">
        <f t="shared" ca="1" si="108"/>
        <v>45947.797731717881</v>
      </c>
      <c r="E216" s="263">
        <f t="shared" ca="1" si="94"/>
        <v>303.91928873895193</v>
      </c>
      <c r="F216" s="263">
        <f t="shared" ca="1" si="95"/>
        <v>0</v>
      </c>
      <c r="G216" s="263">
        <f t="shared" ca="1" si="109"/>
        <v>47771.313464151594</v>
      </c>
      <c r="H216" s="15"/>
      <c r="I216" s="271">
        <f ca="1">Assumptions!O$68</f>
        <v>4.5</v>
      </c>
      <c r="J216" s="271">
        <f ca="1">Assumptions!P$68</f>
        <v>80</v>
      </c>
      <c r="K216" s="271">
        <f t="shared" ca="1" si="96"/>
        <v>40</v>
      </c>
      <c r="L216" s="15"/>
      <c r="M216" s="35">
        <f t="shared" ca="1" si="110"/>
        <v>4.2299999999999995</v>
      </c>
      <c r="N216" s="35">
        <f t="shared" ca="1" si="97"/>
        <v>74.400000000000006</v>
      </c>
      <c r="O216" s="35">
        <f t="shared" ca="1" si="98"/>
        <v>37.200000000000003</v>
      </c>
      <c r="P216" s="15"/>
      <c r="Q216" s="34">
        <f t="shared" ca="1" si="111"/>
        <v>194359.18440516663</v>
      </c>
      <c r="R216" s="34">
        <f t="shared" ca="1" si="112"/>
        <v>22611.595082178024</v>
      </c>
      <c r="S216" s="34">
        <f t="shared" ca="1" si="113"/>
        <v>0</v>
      </c>
      <c r="T216" s="34">
        <f t="shared" ca="1" si="114"/>
        <v>216970.77948734464</v>
      </c>
      <c r="U216" s="15"/>
      <c r="V216" s="35">
        <f t="shared" si="115"/>
        <v>0.31</v>
      </c>
      <c r="W216" s="34">
        <f t="shared" ca="1" si="116"/>
        <v>14809.107173886994</v>
      </c>
      <c r="X216" s="35">
        <f t="shared" si="117"/>
        <v>0.37</v>
      </c>
      <c r="Y216" s="34">
        <f t="shared" ca="1" si="118"/>
        <v>17675.38598173609</v>
      </c>
      <c r="Z216" s="35">
        <f t="shared" si="119"/>
        <v>0.57999999999999996</v>
      </c>
      <c r="AA216" s="34">
        <f t="shared" ca="1" si="120"/>
        <v>27707.361809207923</v>
      </c>
      <c r="AB216" s="34">
        <f t="shared" ca="1" si="121"/>
        <v>60191.854964831007</v>
      </c>
      <c r="AC216" s="15"/>
      <c r="AD216" s="34">
        <f t="shared" ca="1" si="122"/>
        <v>156778.92452251364</v>
      </c>
      <c r="AE216" s="34">
        <f ca="1"/>
        <v>0</v>
      </c>
      <c r="AF216" s="34">
        <f t="shared" ca="1" si="123"/>
        <v>156778.92452251364</v>
      </c>
      <c r="AG216" s="15"/>
      <c r="AH216" s="272">
        <f t="shared" si="131"/>
        <v>55153</v>
      </c>
      <c r="AI216" s="267">
        <f t="shared" si="99"/>
        <v>36.666666666666664</v>
      </c>
      <c r="AJ216" s="267">
        <f t="shared" si="100"/>
        <v>3.0357654283614078E-2</v>
      </c>
      <c r="AK216" s="34">
        <f t="shared" ca="1" si="132"/>
        <v>4759.4403896112944</v>
      </c>
      <c r="AL216" s="233"/>
      <c r="AN216" s="232"/>
      <c r="AO216" s="237">
        <f t="shared" si="171"/>
        <v>37</v>
      </c>
      <c r="AP216" s="34">
        <f t="shared" ref="AP216:AS216" ca="1" si="177">+AP166</f>
        <v>58.940288849935833</v>
      </c>
      <c r="AQ216" s="34">
        <f t="shared" ca="1" si="177"/>
        <v>0.38985743712751275</v>
      </c>
      <c r="AR216" s="34">
        <f t="shared" ca="1" si="177"/>
        <v>0</v>
      </c>
      <c r="AS216" s="34">
        <f t="shared" ca="1" si="177"/>
        <v>61.279433472700909</v>
      </c>
      <c r="AT216" s="15"/>
      <c r="AW216" s="34">
        <f t="shared" ca="1" si="126"/>
        <v>58.940288849935833</v>
      </c>
      <c r="AX216" s="34">
        <f t="shared" ca="1" si="102"/>
        <v>0.38985743712751275</v>
      </c>
      <c r="AY216" s="34">
        <f t="shared" ca="1" si="103"/>
        <v>0</v>
      </c>
      <c r="AZ216" s="34">
        <f t="shared" ca="1" si="104"/>
        <v>61.279433472700909</v>
      </c>
      <c r="BB216" s="34">
        <f t="shared" ca="1" si="173"/>
        <v>0</v>
      </c>
      <c r="BC216" s="34">
        <f t="shared" ca="1" si="173"/>
        <v>0</v>
      </c>
      <c r="BD216" s="34">
        <f t="shared" ca="1" si="173"/>
        <v>0</v>
      </c>
      <c r="BE216" s="34">
        <f t="shared" ca="1" si="173"/>
        <v>0</v>
      </c>
      <c r="BF216" s="34">
        <f t="shared" ca="1" si="173"/>
        <v>904.33305986406526</v>
      </c>
      <c r="BG216" s="34">
        <f t="shared" ca="1" si="173"/>
        <v>3803.7445672427962</v>
      </c>
      <c r="BH216" s="34">
        <f t="shared" ca="1" si="173"/>
        <v>3957.7663605027365</v>
      </c>
      <c r="BI216" s="34">
        <f t="shared" ca="1" si="173"/>
        <v>4118.025232043623</v>
      </c>
      <c r="BJ216" s="34">
        <f t="shared" ca="1" si="173"/>
        <v>4284.773697583074</v>
      </c>
      <c r="BK216" s="34">
        <f t="shared" ca="1" si="173"/>
        <v>4458.2736822163788</v>
      </c>
      <c r="BL216" s="34">
        <f t="shared" ca="1" si="173"/>
        <v>4638.7988504036575</v>
      </c>
      <c r="BM216" s="34">
        <f t="shared" ca="1" si="173"/>
        <v>4826.6336162698835</v>
      </c>
      <c r="BN216" s="34">
        <f t="shared" ca="1" si="173"/>
        <v>5022.0742356752116</v>
      </c>
      <c r="BO216" s="34">
        <f t="shared" ca="1" si="173"/>
        <v>5225.4292410418893</v>
      </c>
      <c r="BP216" s="34">
        <f t="shared" ca="1" si="173"/>
        <v>5437.0176632642524</v>
      </c>
      <c r="BQ216" s="34">
        <f t="shared" ca="1" si="170"/>
        <v>5657.1741497782868</v>
      </c>
      <c r="BR216" s="34">
        <f t="shared" ca="1" si="167"/>
        <v>5886.2457183777515</v>
      </c>
      <c r="BS216" s="34">
        <f t="shared" ca="1" si="167"/>
        <v>6124.5924230675573</v>
      </c>
      <c r="BT216" s="34">
        <f t="shared" ca="1" si="167"/>
        <v>6372.5908585883144</v>
      </c>
      <c r="BU216" s="34">
        <f t="shared" ca="1" si="167"/>
        <v>6630.6315930999299</v>
      </c>
      <c r="BV216" s="34">
        <f t="shared" ca="1" si="167"/>
        <v>6899.1208206780539</v>
      </c>
      <c r="BW216" s="34">
        <f t="shared" ca="1" si="167"/>
        <v>7178.5102450086188</v>
      </c>
      <c r="BX216" s="34">
        <f t="shared" ca="1" si="167"/>
        <v>4116.8909135971089</v>
      </c>
      <c r="BY216" s="34">
        <f t="shared" ca="1" si="167"/>
        <v>0</v>
      </c>
      <c r="BZ216" s="34">
        <f t="shared" ca="1" si="167"/>
        <v>0</v>
      </c>
      <c r="CA216" s="34">
        <f t="shared" ca="1" si="167"/>
        <v>0</v>
      </c>
      <c r="CB216" s="34">
        <f t="shared" ca="1" si="167"/>
        <v>0</v>
      </c>
      <c r="CC216" s="34">
        <f t="shared" ca="1" si="167"/>
        <v>0</v>
      </c>
      <c r="CD216" s="34">
        <f t="shared" ca="1" si="167"/>
        <v>0</v>
      </c>
      <c r="CE216" s="34">
        <f t="shared" ca="1" si="167"/>
        <v>0</v>
      </c>
      <c r="CF216" s="34">
        <f t="shared" ca="1" si="167"/>
        <v>0</v>
      </c>
      <c r="CG216" s="34">
        <f t="shared" ca="1" si="167"/>
        <v>0</v>
      </c>
      <c r="CH216" s="34">
        <f t="shared" ca="1" si="168"/>
        <v>0</v>
      </c>
      <c r="CI216" s="34">
        <f t="shared" ca="1" si="168"/>
        <v>0</v>
      </c>
      <c r="CJ216" s="34">
        <f t="shared" ca="1" si="168"/>
        <v>0</v>
      </c>
      <c r="CK216" s="34">
        <f t="shared" ca="1" si="168"/>
        <v>0</v>
      </c>
      <c r="CL216" s="34">
        <f t="shared" ca="1" si="168"/>
        <v>0</v>
      </c>
      <c r="CM216" s="34">
        <f t="shared" ca="1" si="168"/>
        <v>0</v>
      </c>
      <c r="CN216" s="34">
        <f t="shared" ca="1" si="168"/>
        <v>0</v>
      </c>
      <c r="CO216" s="34">
        <f t="shared" ca="1" si="168"/>
        <v>0</v>
      </c>
      <c r="CP216" s="34">
        <f t="shared" ca="1" si="168"/>
        <v>0</v>
      </c>
      <c r="CQ216" s="34">
        <f t="shared" ca="1" si="128"/>
        <v>95542.626928303187</v>
      </c>
      <c r="CR216" s="363">
        <v>0</v>
      </c>
      <c r="CS216" s="34">
        <f t="shared" ca="1" si="129"/>
        <v>95542.626928303187</v>
      </c>
      <c r="CT216" s="233"/>
    </row>
    <row r="217" spans="2:98" x14ac:dyDescent="0.3">
      <c r="B217" s="232"/>
      <c r="C217" s="250">
        <f t="shared" si="130"/>
        <v>2051</v>
      </c>
      <c r="D217" s="263">
        <f t="shared" ca="1" si="108"/>
        <v>44158.229022782769</v>
      </c>
      <c r="E217" s="263">
        <f t="shared" ca="1" si="94"/>
        <v>292.08228074251423</v>
      </c>
      <c r="F217" s="263">
        <f t="shared" ca="1" si="95"/>
        <v>0</v>
      </c>
      <c r="G217" s="263">
        <f t="shared" ca="1" si="109"/>
        <v>45910.722707237852</v>
      </c>
      <c r="H217" s="15"/>
      <c r="I217" s="271">
        <f ca="1">Assumptions!O$68</f>
        <v>4.5</v>
      </c>
      <c r="J217" s="271">
        <f ca="1">Assumptions!P$68</f>
        <v>80</v>
      </c>
      <c r="K217" s="271">
        <f t="shared" ca="1" si="96"/>
        <v>40</v>
      </c>
      <c r="L217" s="15"/>
      <c r="M217" s="35">
        <f t="shared" ca="1" si="110"/>
        <v>4.2299999999999995</v>
      </c>
      <c r="N217" s="35">
        <f t="shared" ca="1" si="97"/>
        <v>74.400000000000006</v>
      </c>
      <c r="O217" s="35">
        <f t="shared" ca="1" si="98"/>
        <v>37.200000000000003</v>
      </c>
      <c r="P217" s="15"/>
      <c r="Q217" s="34">
        <f t="shared" ca="1" si="111"/>
        <v>186789.3087663711</v>
      </c>
      <c r="R217" s="34">
        <f t="shared" ca="1" si="112"/>
        <v>21730.921687243059</v>
      </c>
      <c r="S217" s="34">
        <f t="shared" ca="1" si="113"/>
        <v>0</v>
      </c>
      <c r="T217" s="34">
        <f t="shared" ca="1" si="114"/>
        <v>208520.23045361417</v>
      </c>
      <c r="U217" s="15"/>
      <c r="V217" s="35">
        <f t="shared" si="115"/>
        <v>0.31</v>
      </c>
      <c r="W217" s="34">
        <f t="shared" ca="1" si="116"/>
        <v>14232.324039243735</v>
      </c>
      <c r="X217" s="35">
        <f t="shared" si="117"/>
        <v>0.37</v>
      </c>
      <c r="Y217" s="34">
        <f t="shared" ca="1" si="118"/>
        <v>16986.967401678005</v>
      </c>
      <c r="Z217" s="35">
        <f t="shared" si="119"/>
        <v>0.57999999999999996</v>
      </c>
      <c r="AA217" s="34">
        <f t="shared" ca="1" si="120"/>
        <v>26628.219170197954</v>
      </c>
      <c r="AB217" s="34">
        <f t="shared" ca="1" si="121"/>
        <v>57847.510611119695</v>
      </c>
      <c r="AC217" s="15"/>
      <c r="AD217" s="34">
        <f t="shared" ca="1" si="122"/>
        <v>150672.71984249447</v>
      </c>
      <c r="AE217" s="34">
        <f ca="1"/>
        <v>0</v>
      </c>
      <c r="AF217" s="34">
        <f t="shared" ca="1" si="123"/>
        <v>150672.71984249447</v>
      </c>
      <c r="AG217" s="15"/>
      <c r="AH217" s="272">
        <f t="shared" si="131"/>
        <v>55518</v>
      </c>
      <c r="AI217" s="267">
        <f t="shared" si="99"/>
        <v>37.666666666666664</v>
      </c>
      <c r="AJ217" s="267">
        <f t="shared" si="100"/>
        <v>2.7597867530558259E-2</v>
      </c>
      <c r="AK217" s="34">
        <f t="shared" ca="1" si="132"/>
        <v>4158.2457626820787</v>
      </c>
      <c r="AL217" s="233"/>
      <c r="AN217" s="232"/>
      <c r="AO217" s="250">
        <f t="shared" si="171"/>
        <v>38</v>
      </c>
      <c r="AP217" s="34">
        <f t="shared" ref="AP217:AS217" ca="1" si="178">+AP167</f>
        <v>56.64654597927278</v>
      </c>
      <c r="AQ217" s="34">
        <f t="shared" ca="1" si="178"/>
        <v>0.37468559568535503</v>
      </c>
      <c r="AR217" s="34">
        <f t="shared" ca="1" si="178"/>
        <v>0</v>
      </c>
      <c r="AS217" s="34">
        <f t="shared" ca="1" si="178"/>
        <v>58.894659553384912</v>
      </c>
      <c r="AT217" s="15"/>
      <c r="AW217" s="34">
        <f t="shared" ca="1" si="126"/>
        <v>56.64654597927278</v>
      </c>
      <c r="AX217" s="34">
        <f t="shared" ca="1" si="102"/>
        <v>0.37468559568535503</v>
      </c>
      <c r="AY217" s="34">
        <f t="shared" ca="1" si="103"/>
        <v>0</v>
      </c>
      <c r="AZ217" s="34">
        <f t="shared" ca="1" si="104"/>
        <v>58.894659553384912</v>
      </c>
      <c r="BB217" s="34">
        <f t="shared" ca="1" si="173"/>
        <v>0</v>
      </c>
      <c r="BC217" s="34">
        <f t="shared" ca="1" si="173"/>
        <v>0</v>
      </c>
      <c r="BD217" s="34">
        <f t="shared" ca="1" si="173"/>
        <v>0</v>
      </c>
      <c r="BE217" s="34">
        <f t="shared" ca="1" si="173"/>
        <v>0</v>
      </c>
      <c r="BF217" s="34">
        <f t="shared" ca="1" si="173"/>
        <v>869.13969373921304</v>
      </c>
      <c r="BG217" s="34">
        <f t="shared" ca="1" si="173"/>
        <v>3655.7164281649739</v>
      </c>
      <c r="BH217" s="34">
        <f t="shared" ca="1" si="173"/>
        <v>3803.7445672427962</v>
      </c>
      <c r="BI217" s="34">
        <f t="shared" ca="1" si="173"/>
        <v>3957.7663605027365</v>
      </c>
      <c r="BJ217" s="34">
        <f t="shared" ca="1" si="173"/>
        <v>4118.025232043623</v>
      </c>
      <c r="BK217" s="34">
        <f t="shared" ca="1" si="173"/>
        <v>4284.773697583074</v>
      </c>
      <c r="BL217" s="34">
        <f t="shared" ca="1" si="173"/>
        <v>4458.2736822163788</v>
      </c>
      <c r="BM217" s="34">
        <f t="shared" ca="1" si="173"/>
        <v>4638.7988504036575</v>
      </c>
      <c r="BN217" s="34">
        <f t="shared" ca="1" si="173"/>
        <v>4826.6336162698835</v>
      </c>
      <c r="BO217" s="34">
        <f t="shared" ca="1" si="173"/>
        <v>5022.0742356752116</v>
      </c>
      <c r="BP217" s="34">
        <f t="shared" ca="1" si="173"/>
        <v>5225.4292410418893</v>
      </c>
      <c r="BQ217" s="34">
        <f t="shared" ca="1" si="170"/>
        <v>5437.0176632642524</v>
      </c>
      <c r="BR217" s="34">
        <f t="shared" ca="1" si="167"/>
        <v>5657.1741497782868</v>
      </c>
      <c r="BS217" s="34">
        <f t="shared" ca="1" si="167"/>
        <v>5886.2457183777515</v>
      </c>
      <c r="BT217" s="34">
        <f t="shared" ca="1" si="167"/>
        <v>6124.5924230675573</v>
      </c>
      <c r="BU217" s="34">
        <f t="shared" ca="1" si="167"/>
        <v>6372.5908585883144</v>
      </c>
      <c r="BV217" s="34">
        <f t="shared" ca="1" si="167"/>
        <v>6630.6315930999299</v>
      </c>
      <c r="BW217" s="34">
        <f t="shared" ca="1" si="167"/>
        <v>6899.1208206780539</v>
      </c>
      <c r="BX217" s="34">
        <f t="shared" ca="1" si="167"/>
        <v>3953.6965827381168</v>
      </c>
      <c r="BY217" s="34">
        <f t="shared" ca="1" si="167"/>
        <v>0</v>
      </c>
      <c r="BZ217" s="34">
        <f t="shared" ca="1" si="167"/>
        <v>0</v>
      </c>
      <c r="CA217" s="34">
        <f t="shared" ca="1" si="167"/>
        <v>0</v>
      </c>
      <c r="CB217" s="34">
        <f t="shared" ca="1" si="167"/>
        <v>0</v>
      </c>
      <c r="CC217" s="34">
        <f t="shared" ca="1" si="167"/>
        <v>0</v>
      </c>
      <c r="CD217" s="34">
        <f t="shared" ca="1" si="167"/>
        <v>0</v>
      </c>
      <c r="CE217" s="34">
        <f t="shared" ca="1" si="167"/>
        <v>0</v>
      </c>
      <c r="CF217" s="34">
        <f t="shared" ca="1" si="167"/>
        <v>0</v>
      </c>
      <c r="CG217" s="34">
        <f t="shared" ca="1" si="167"/>
        <v>0</v>
      </c>
      <c r="CH217" s="34">
        <f t="shared" ca="1" si="168"/>
        <v>0</v>
      </c>
      <c r="CI217" s="34">
        <f t="shared" ca="1" si="168"/>
        <v>0</v>
      </c>
      <c r="CJ217" s="34">
        <f t="shared" ca="1" si="168"/>
        <v>0</v>
      </c>
      <c r="CK217" s="34">
        <f t="shared" ca="1" si="168"/>
        <v>0</v>
      </c>
      <c r="CL217" s="34">
        <f t="shared" ca="1" si="168"/>
        <v>0</v>
      </c>
      <c r="CM217" s="34">
        <f t="shared" ca="1" si="168"/>
        <v>0</v>
      </c>
      <c r="CN217" s="34">
        <f t="shared" ca="1" si="168"/>
        <v>0</v>
      </c>
      <c r="CO217" s="34">
        <f t="shared" ca="1" si="168"/>
        <v>0</v>
      </c>
      <c r="CP217" s="34">
        <f t="shared" ca="1" si="168"/>
        <v>0</v>
      </c>
      <c r="CQ217" s="34">
        <f t="shared" ca="1" si="128"/>
        <v>91821.445414475704</v>
      </c>
      <c r="CR217" s="363">
        <v>0</v>
      </c>
      <c r="CS217" s="34">
        <f t="shared" ca="1" si="129"/>
        <v>91821.445414475704</v>
      </c>
      <c r="CT217" s="233"/>
    </row>
    <row r="218" spans="2:98" x14ac:dyDescent="0.3">
      <c r="B218" s="232"/>
      <c r="C218" s="250">
        <f t="shared" si="130"/>
        <v>2052</v>
      </c>
      <c r="D218" s="263">
        <f t="shared" ca="1" si="108"/>
        <v>42439.742891812843</v>
      </c>
      <c r="E218" s="263">
        <f t="shared" ca="1" si="94"/>
        <v>280.71544471521105</v>
      </c>
      <c r="F218" s="263">
        <f t="shared" ca="1" si="95"/>
        <v>0</v>
      </c>
      <c r="G218" s="263">
        <f t="shared" ca="1" si="109"/>
        <v>44124.035560104108</v>
      </c>
      <c r="H218" s="15"/>
      <c r="I218" s="271">
        <f ca="1">Assumptions!O$68</f>
        <v>4.5</v>
      </c>
      <c r="J218" s="271">
        <f ca="1">Assumptions!P$68</f>
        <v>80</v>
      </c>
      <c r="K218" s="271">
        <f t="shared" ca="1" si="96"/>
        <v>40</v>
      </c>
      <c r="L218" s="15"/>
      <c r="M218" s="35">
        <f t="shared" ca="1" si="110"/>
        <v>4.2299999999999995</v>
      </c>
      <c r="N218" s="35">
        <f t="shared" ca="1" si="97"/>
        <v>74.400000000000006</v>
      </c>
      <c r="O218" s="35">
        <f t="shared" ca="1" si="98"/>
        <v>37.200000000000003</v>
      </c>
      <c r="P218" s="15"/>
      <c r="Q218" s="34">
        <f t="shared" ca="1" si="111"/>
        <v>179520.1124323683</v>
      </c>
      <c r="R218" s="34">
        <f t="shared" ca="1" si="112"/>
        <v>20885.229086811705</v>
      </c>
      <c r="S218" s="34">
        <f t="shared" ca="1" si="113"/>
        <v>0</v>
      </c>
      <c r="T218" s="34">
        <f t="shared" ca="1" si="114"/>
        <v>200405.34151918002</v>
      </c>
      <c r="U218" s="15"/>
      <c r="V218" s="35">
        <f t="shared" si="115"/>
        <v>0.31</v>
      </c>
      <c r="W218" s="34">
        <f ca="1">V218*$G218/(1-$M$6)</f>
        <v>13678.451023632273</v>
      </c>
      <c r="X218" s="35">
        <f t="shared" si="117"/>
        <v>0.37</v>
      </c>
      <c r="Y218" s="34">
        <f t="shared" ca="1" si="118"/>
        <v>16325.893157238519</v>
      </c>
      <c r="Z218" s="35">
        <f t="shared" si="119"/>
        <v>0.57999999999999996</v>
      </c>
      <c r="AA218" s="34">
        <f t="shared" ca="1" si="120"/>
        <v>25591.940624860381</v>
      </c>
      <c r="AB218" s="34">
        <f t="shared" ca="1" si="121"/>
        <v>55596.284805731178</v>
      </c>
      <c r="AC218" s="15"/>
      <c r="AD218" s="34">
        <f t="shared" ca="1" si="122"/>
        <v>144809.05671344884</v>
      </c>
      <c r="AE218" s="34">
        <f ca="1"/>
        <v>0</v>
      </c>
      <c r="AF218" s="34">
        <f t="shared" ca="1" si="123"/>
        <v>144809.05671344884</v>
      </c>
      <c r="AG218" s="15"/>
      <c r="AH218" s="272">
        <f t="shared" si="131"/>
        <v>55884</v>
      </c>
      <c r="AI218" s="267">
        <f t="shared" si="99"/>
        <v>38.666666666666664</v>
      </c>
      <c r="AJ218" s="267">
        <f t="shared" si="100"/>
        <v>2.5088970482325681E-2</v>
      </c>
      <c r="AK218" s="34">
        <f t="shared" ca="1" si="132"/>
        <v>3633.1101494571435</v>
      </c>
      <c r="AL218" s="233"/>
      <c r="AN218" s="232"/>
      <c r="AO218" s="250">
        <f t="shared" si="171"/>
        <v>39</v>
      </c>
      <c r="AP218" s="34">
        <f t="shared" ref="AP218:AS218" ca="1" si="179">+AP168</f>
        <v>54.442064486001506</v>
      </c>
      <c r="AQ218" s="34">
        <f t="shared" ca="1" si="179"/>
        <v>0.3601041689239437</v>
      </c>
      <c r="AR218" s="34">
        <f t="shared" ca="1" si="179"/>
        <v>0</v>
      </c>
      <c r="AS218" s="34">
        <f t="shared" ca="1" si="179"/>
        <v>56.602689499545171</v>
      </c>
      <c r="AT218" s="15"/>
      <c r="AW218" s="34">
        <f t="shared" ca="1" si="126"/>
        <v>54.442064486001506</v>
      </c>
      <c r="AX218" s="34">
        <f t="shared" ca="1" si="102"/>
        <v>0.3601041689239437</v>
      </c>
      <c r="AY218" s="34">
        <f t="shared" ca="1" si="103"/>
        <v>0</v>
      </c>
      <c r="AZ218" s="34">
        <f t="shared" ca="1" si="104"/>
        <v>56.602689499545171</v>
      </c>
      <c r="BB218" s="34">
        <f t="shared" ca="1" si="173"/>
        <v>0</v>
      </c>
      <c r="BC218" s="34">
        <f t="shared" ca="1" si="173"/>
        <v>0</v>
      </c>
      <c r="BD218" s="34">
        <f t="shared" ca="1" si="173"/>
        <v>0</v>
      </c>
      <c r="BE218" s="34">
        <f t="shared" ca="1" si="173"/>
        <v>0</v>
      </c>
      <c r="BF218" s="34">
        <f t="shared" ca="1" si="173"/>
        <v>835.31589550052024</v>
      </c>
      <c r="BG218" s="34">
        <f t="shared" ca="1" si="173"/>
        <v>3513.4491901139995</v>
      </c>
      <c r="BH218" s="34">
        <f t="shared" ca="1" si="173"/>
        <v>3655.7164281649739</v>
      </c>
      <c r="BI218" s="34">
        <f t="shared" ca="1" si="173"/>
        <v>3803.7445672427962</v>
      </c>
      <c r="BJ218" s="34">
        <f t="shared" ca="1" si="173"/>
        <v>3957.7663605027365</v>
      </c>
      <c r="BK218" s="34">
        <f t="shared" ca="1" si="173"/>
        <v>4118.025232043623</v>
      </c>
      <c r="BL218" s="34">
        <f t="shared" ca="1" si="173"/>
        <v>4284.773697583074</v>
      </c>
      <c r="BM218" s="34">
        <f t="shared" ca="1" si="173"/>
        <v>4458.2736822163788</v>
      </c>
      <c r="BN218" s="34">
        <f t="shared" ca="1" si="173"/>
        <v>4638.7988504036575</v>
      </c>
      <c r="BO218" s="34">
        <f t="shared" ca="1" si="173"/>
        <v>4826.6336162698835</v>
      </c>
      <c r="BP218" s="34">
        <f t="shared" ca="1" si="173"/>
        <v>5022.0742356752116</v>
      </c>
      <c r="BQ218" s="34">
        <f t="shared" ca="1" si="170"/>
        <v>5225.4292410418893</v>
      </c>
      <c r="BR218" s="34">
        <f t="shared" ca="1" si="167"/>
        <v>5437.0176632642524</v>
      </c>
      <c r="BS218" s="34">
        <f t="shared" ca="1" si="167"/>
        <v>5657.1741497782868</v>
      </c>
      <c r="BT218" s="34">
        <f t="shared" ca="1" si="167"/>
        <v>5886.2457183777515</v>
      </c>
      <c r="BU218" s="34">
        <f t="shared" ca="1" si="167"/>
        <v>6124.5924230675573</v>
      </c>
      <c r="BV218" s="34">
        <f t="shared" ca="1" si="167"/>
        <v>6372.5908585883144</v>
      </c>
      <c r="BW218" s="34">
        <f t="shared" ca="1" si="167"/>
        <v>6630.6315930999299</v>
      </c>
      <c r="BX218" s="34">
        <f t="shared" ca="1" si="167"/>
        <v>3799.817717273379</v>
      </c>
      <c r="BY218" s="34">
        <f t="shared" ca="1" si="167"/>
        <v>0</v>
      </c>
      <c r="BZ218" s="34">
        <f t="shared" ca="1" si="167"/>
        <v>0</v>
      </c>
      <c r="CA218" s="34">
        <f t="shared" ca="1" si="167"/>
        <v>0</v>
      </c>
      <c r="CB218" s="34">
        <f t="shared" ca="1" si="167"/>
        <v>0</v>
      </c>
      <c r="CC218" s="34">
        <f t="shared" ca="1" si="167"/>
        <v>0</v>
      </c>
      <c r="CD218" s="34">
        <f t="shared" ca="1" si="167"/>
        <v>0</v>
      </c>
      <c r="CE218" s="34">
        <f t="shared" ca="1" si="167"/>
        <v>0</v>
      </c>
      <c r="CF218" s="34">
        <f t="shared" ca="1" si="167"/>
        <v>0</v>
      </c>
      <c r="CG218" s="34">
        <f t="shared" ca="1" si="167"/>
        <v>0</v>
      </c>
      <c r="CH218" s="34">
        <f t="shared" ca="1" si="168"/>
        <v>0</v>
      </c>
      <c r="CI218" s="34">
        <f t="shared" ca="1" si="168"/>
        <v>0</v>
      </c>
      <c r="CJ218" s="34">
        <f t="shared" ca="1" si="168"/>
        <v>0</v>
      </c>
      <c r="CK218" s="34">
        <f t="shared" ca="1" si="168"/>
        <v>0</v>
      </c>
      <c r="CL218" s="34">
        <f t="shared" ca="1" si="168"/>
        <v>0</v>
      </c>
      <c r="CM218" s="34">
        <f t="shared" ca="1" si="168"/>
        <v>0</v>
      </c>
      <c r="CN218" s="34">
        <f t="shared" ca="1" si="168"/>
        <v>0</v>
      </c>
      <c r="CO218" s="34">
        <f t="shared" ca="1" si="168"/>
        <v>0</v>
      </c>
      <c r="CP218" s="34">
        <f t="shared" ca="1" si="168"/>
        <v>0</v>
      </c>
      <c r="CQ218" s="34">
        <f t="shared" ca="1" si="128"/>
        <v>88248.071120208217</v>
      </c>
      <c r="CR218" s="363">
        <v>0</v>
      </c>
      <c r="CS218" s="34">
        <f t="shared" ca="1" si="129"/>
        <v>88248.071120208217</v>
      </c>
      <c r="CT218" s="233"/>
    </row>
    <row r="219" spans="2:98" x14ac:dyDescent="0.3">
      <c r="B219" s="232"/>
      <c r="C219" s="250">
        <f t="shared" si="130"/>
        <v>2053</v>
      </c>
      <c r="D219" s="263">
        <f t="shared" ca="1" si="108"/>
        <v>40788.141450335403</v>
      </c>
      <c r="E219" s="263">
        <f t="shared" ca="1" si="94"/>
        <v>269.79101394477715</v>
      </c>
      <c r="F219" s="263">
        <f t="shared" ca="1" si="95"/>
        <v>0</v>
      </c>
      <c r="G219" s="263">
        <f t="shared" ca="1" si="109"/>
        <v>42406.887534004069</v>
      </c>
      <c r="H219" s="15"/>
      <c r="I219" s="271">
        <f ca="1">Assumptions!O$68</f>
        <v>4.5</v>
      </c>
      <c r="J219" s="271">
        <f ca="1">Assumptions!P$68</f>
        <v>80</v>
      </c>
      <c r="K219" s="271">
        <f t="shared" ca="1" si="96"/>
        <v>40</v>
      </c>
      <c r="L219" s="15"/>
      <c r="M219" s="35">
        <f t="shared" ca="1" si="110"/>
        <v>4.2299999999999995</v>
      </c>
      <c r="N219" s="35">
        <f t="shared" ca="1" si="97"/>
        <v>74.400000000000006</v>
      </c>
      <c r="O219" s="35">
        <f t="shared" ca="1" si="98"/>
        <v>37.200000000000003</v>
      </c>
      <c r="P219" s="15"/>
      <c r="Q219" s="34">
        <f t="shared" ca="1" si="111"/>
        <v>172533.83833491872</v>
      </c>
      <c r="R219" s="34">
        <f t="shared" ca="1" si="112"/>
        <v>20072.451437491422</v>
      </c>
      <c r="S219" s="34">
        <f t="shared" ca="1" si="113"/>
        <v>0</v>
      </c>
      <c r="T219" s="34">
        <f t="shared" ca="1" si="114"/>
        <v>192606.28977241015</v>
      </c>
      <c r="U219" s="15"/>
      <c r="V219" s="35">
        <f t="shared" si="115"/>
        <v>0.31</v>
      </c>
      <c r="W219" s="34">
        <f t="shared" ref="W219" ca="1" si="180">V219*$G219/(1-$M$6)</f>
        <v>13146.135135541261</v>
      </c>
      <c r="X219" s="35">
        <f t="shared" si="117"/>
        <v>0.37</v>
      </c>
      <c r="Y219" s="34">
        <f t="shared" ca="1" si="118"/>
        <v>15690.548387581504</v>
      </c>
      <c r="Z219" s="35">
        <f t="shared" si="119"/>
        <v>0.57999999999999996</v>
      </c>
      <c r="AA219" s="34">
        <f t="shared" ca="1" si="120"/>
        <v>24595.994769722358</v>
      </c>
      <c r="AB219" s="34">
        <f t="shared" ca="1" si="121"/>
        <v>53432.678292845128</v>
      </c>
      <c r="AC219" s="15"/>
      <c r="AD219" s="34">
        <f t="shared" ca="1" si="122"/>
        <v>139173.61147956504</v>
      </c>
      <c r="AE219" s="34">
        <f ca="1"/>
        <v>0</v>
      </c>
      <c r="AF219" s="34">
        <f t="shared" ca="1" si="123"/>
        <v>139173.61147956504</v>
      </c>
      <c r="AG219" s="15"/>
      <c r="AH219" s="272">
        <f t="shared" si="131"/>
        <v>56249</v>
      </c>
      <c r="AI219" s="267">
        <f t="shared" si="99"/>
        <v>39.666666666666664</v>
      </c>
      <c r="AJ219" s="267">
        <f t="shared" si="100"/>
        <v>2.280815498393244E-2</v>
      </c>
      <c r="AK219" s="34">
        <f t="shared" ca="1" si="132"/>
        <v>3174.2933002995183</v>
      </c>
      <c r="AL219" s="233"/>
      <c r="AN219" s="232"/>
      <c r="AO219" s="250">
        <f t="shared" si="171"/>
        <v>40</v>
      </c>
      <c r="AP219" s="34">
        <f t="shared" ref="AP219:AS219" ca="1" si="181">+AP169</f>
        <v>52.323373548361886</v>
      </c>
      <c r="AQ219" s="34">
        <f t="shared" ca="1" si="181"/>
        <v>0.34609019927550055</v>
      </c>
      <c r="AR219" s="34">
        <f t="shared" ca="1" si="181"/>
        <v>0</v>
      </c>
      <c r="AS219" s="34">
        <f t="shared" ca="1" si="181"/>
        <v>54.399914744014886</v>
      </c>
      <c r="AT219" s="15"/>
      <c r="AW219" s="34">
        <f t="shared" ca="1" si="126"/>
        <v>52.323373548361886</v>
      </c>
      <c r="AX219" s="34">
        <f t="shared" ca="1" si="102"/>
        <v>0.34609019927550055</v>
      </c>
      <c r="AY219" s="34">
        <f t="shared" ca="1" si="103"/>
        <v>0</v>
      </c>
      <c r="AZ219" s="34">
        <f t="shared" ca="1" si="104"/>
        <v>54.399914744014886</v>
      </c>
      <c r="BB219" s="34">
        <f t="shared" ca="1" si="173"/>
        <v>0</v>
      </c>
      <c r="BC219" s="34">
        <f t="shared" ca="1" si="173"/>
        <v>0</v>
      </c>
      <c r="BD219" s="34">
        <f t="shared" ca="1" si="173"/>
        <v>0</v>
      </c>
      <c r="BE219" s="34">
        <f t="shared" ca="1" si="173"/>
        <v>0</v>
      </c>
      <c r="BF219" s="34">
        <f t="shared" ca="1" si="173"/>
        <v>802.80846339809636</v>
      </c>
      <c r="BG219" s="34">
        <f t="shared" ca="1" si="173"/>
        <v>3376.7183545712701</v>
      </c>
      <c r="BH219" s="34">
        <f t="shared" ca="1" si="173"/>
        <v>3513.4491901139995</v>
      </c>
      <c r="BI219" s="34">
        <f t="shared" ca="1" si="173"/>
        <v>3655.7164281649739</v>
      </c>
      <c r="BJ219" s="34">
        <f t="shared" ca="1" si="173"/>
        <v>3803.7445672427962</v>
      </c>
      <c r="BK219" s="34">
        <f t="shared" ca="1" si="173"/>
        <v>3957.7663605027365</v>
      </c>
      <c r="BL219" s="34">
        <f t="shared" ca="1" si="173"/>
        <v>4118.025232043623</v>
      </c>
      <c r="BM219" s="34">
        <f t="shared" ca="1" si="173"/>
        <v>4284.773697583074</v>
      </c>
      <c r="BN219" s="34">
        <f t="shared" ca="1" si="173"/>
        <v>4458.2736822163788</v>
      </c>
      <c r="BO219" s="34">
        <f t="shared" ca="1" si="173"/>
        <v>4638.7988504036575</v>
      </c>
      <c r="BP219" s="34">
        <f t="shared" ca="1" si="173"/>
        <v>4826.6336162698835</v>
      </c>
      <c r="BQ219" s="34">
        <f t="shared" ca="1" si="170"/>
        <v>5022.0742356752116</v>
      </c>
      <c r="BR219" s="34">
        <f t="shared" ca="1" si="167"/>
        <v>5225.4292410418893</v>
      </c>
      <c r="BS219" s="34">
        <f t="shared" ca="1" si="167"/>
        <v>5437.0176632642524</v>
      </c>
      <c r="BT219" s="34">
        <f t="shared" ca="1" si="167"/>
        <v>5657.1741497782868</v>
      </c>
      <c r="BU219" s="34">
        <f t="shared" ca="1" si="167"/>
        <v>5886.2457183777515</v>
      </c>
      <c r="BV219" s="34">
        <f t="shared" ca="1" si="167"/>
        <v>6124.5924230675573</v>
      </c>
      <c r="BW219" s="34">
        <f t="shared" ca="1" si="167"/>
        <v>6372.5908585883144</v>
      </c>
      <c r="BX219" s="34">
        <f t="shared" ca="1" si="167"/>
        <v>3651.9423357043788</v>
      </c>
      <c r="BY219" s="34">
        <f t="shared" ca="1" si="167"/>
        <v>0</v>
      </c>
      <c r="BZ219" s="34">
        <f t="shared" ca="1" si="167"/>
        <v>0</v>
      </c>
      <c r="CA219" s="34">
        <f t="shared" ca="1" si="167"/>
        <v>0</v>
      </c>
      <c r="CB219" s="34">
        <f t="shared" ca="1" si="167"/>
        <v>0</v>
      </c>
      <c r="CC219" s="34">
        <f t="shared" ca="1" si="167"/>
        <v>0</v>
      </c>
      <c r="CD219" s="34">
        <f t="shared" ca="1" si="167"/>
        <v>0</v>
      </c>
      <c r="CE219" s="34">
        <f t="shared" ca="1" si="167"/>
        <v>0</v>
      </c>
      <c r="CF219" s="34">
        <f t="shared" ca="1" si="167"/>
        <v>0</v>
      </c>
      <c r="CG219" s="34">
        <f t="shared" ca="1" si="167"/>
        <v>0</v>
      </c>
      <c r="CH219" s="34">
        <f t="shared" ca="1" si="168"/>
        <v>0</v>
      </c>
      <c r="CI219" s="34">
        <f t="shared" ca="1" si="168"/>
        <v>0</v>
      </c>
      <c r="CJ219" s="34">
        <f t="shared" ca="1" si="168"/>
        <v>0</v>
      </c>
      <c r="CK219" s="34">
        <f t="shared" ca="1" si="168"/>
        <v>0</v>
      </c>
      <c r="CL219" s="34">
        <f t="shared" ca="1" si="168"/>
        <v>0</v>
      </c>
      <c r="CM219" s="34">
        <f t="shared" ca="1" si="168"/>
        <v>0</v>
      </c>
      <c r="CN219" s="34">
        <f t="shared" ca="1" si="168"/>
        <v>0</v>
      </c>
      <c r="CO219" s="34">
        <f t="shared" ca="1" si="168"/>
        <v>0</v>
      </c>
      <c r="CP219" s="34">
        <f t="shared" ca="1" si="168"/>
        <v>0</v>
      </c>
      <c r="CQ219" s="34">
        <f t="shared" ca="1" si="128"/>
        <v>84813.775068008137</v>
      </c>
      <c r="CR219" s="363">
        <v>0</v>
      </c>
      <c r="CS219" s="34">
        <f t="shared" ca="1" si="129"/>
        <v>84813.775068008137</v>
      </c>
      <c r="CT219" s="233"/>
    </row>
    <row r="220" spans="2:98" x14ac:dyDescent="0.3">
      <c r="B220" s="232"/>
      <c r="C220" s="274" t="s">
        <v>302</v>
      </c>
      <c r="D220" s="39">
        <f ca="1">SUM(D179:D219)</f>
        <v>2930019.1752347178</v>
      </c>
      <c r="E220" s="39">
        <f t="shared" ref="E220:F220" ca="1" si="182">SUM(E179:E219)</f>
        <v>19380.457555947643</v>
      </c>
      <c r="F220" s="39">
        <f t="shared" ca="1" si="182"/>
        <v>0</v>
      </c>
      <c r="G220" s="39">
        <f ca="1">SUM(G179:G219)</f>
        <v>3046301.9205704043</v>
      </c>
      <c r="H220" s="15"/>
      <c r="I220" s="15"/>
      <c r="J220" s="15"/>
      <c r="K220" s="15"/>
      <c r="L220" s="15"/>
      <c r="M220" s="35"/>
      <c r="N220" s="35"/>
      <c r="O220" s="35"/>
      <c r="P220" s="15"/>
      <c r="Q220" s="8">
        <f ca="1">SUM(Q179:Q219)</f>
        <v>12391587.800547343</v>
      </c>
      <c r="R220" s="8">
        <f ca="1">SUM(R179:R219)</f>
        <v>1442010.4556209908</v>
      </c>
      <c r="S220" s="8">
        <f ca="1">SUM(S179:S219)</f>
        <v>0</v>
      </c>
      <c r="T220" s="8">
        <f t="shared" ca="1" si="114"/>
        <v>13833598.256168334</v>
      </c>
      <c r="U220" s="15"/>
      <c r="V220" s="275"/>
      <c r="W220" s="276">
        <f ca="1">SUM(W179:W219)</f>
        <v>944353.59537682519</v>
      </c>
      <c r="X220" s="275"/>
      <c r="Y220" s="276">
        <f ca="1">SUM(Y179:Y219)</f>
        <v>1127131.7106110496</v>
      </c>
      <c r="Z220" s="275"/>
      <c r="AA220" s="276">
        <f ca="1">SUM(AA179:AA219)</f>
        <v>1766855.113930834</v>
      </c>
      <c r="AB220" s="276">
        <f ca="1">SUM(AB179:AB219)</f>
        <v>3838340.4199187094</v>
      </c>
      <c r="AC220" s="15"/>
      <c r="AD220" s="276">
        <f ca="1">SUM(AD179:AD219)</f>
        <v>9995257.836249629</v>
      </c>
      <c r="AE220" s="276">
        <f ca="1">SUM(AE179:AE219)</f>
        <v>3170627.3518945384</v>
      </c>
      <c r="AF220" s="276">
        <f ca="1">SUM(AF179:AF219)</f>
        <v>6824630.4843550902</v>
      </c>
      <c r="AG220" s="15"/>
      <c r="AH220" s="277"/>
      <c r="AI220" s="278"/>
      <c r="AJ220" s="278"/>
      <c r="AK220" s="279">
        <f ca="1">SUM(AK179:AK219)</f>
        <v>930411.15636639996</v>
      </c>
      <c r="AL220" s="233"/>
      <c r="AN220" s="232"/>
      <c r="AO220" s="274" t="s">
        <v>302</v>
      </c>
      <c r="AP220" s="8">
        <f ca="1">SUM(AP179:AP219)</f>
        <v>7400.5103261742852</v>
      </c>
      <c r="AQ220" s="8">
        <f t="shared" ref="AQ220:AS220" ca="1" si="183">SUM(AQ179:AQ219)</f>
        <v>48.950285882440866</v>
      </c>
      <c r="AR220" s="8">
        <f t="shared" ca="1" si="183"/>
        <v>0</v>
      </c>
      <c r="AS220" s="8">
        <f t="shared" ca="1" si="183"/>
        <v>7694.2120414689316</v>
      </c>
      <c r="AT220" s="15"/>
      <c r="AW220" s="8">
        <f ca="1">SUM(AW179:AW219)</f>
        <v>7400.5103261742852</v>
      </c>
      <c r="AX220" s="8">
        <f ca="1">SUM(AX179:AX219)</f>
        <v>48.950285882440866</v>
      </c>
      <c r="AY220" s="8">
        <f ca="1">SUM(AY179:AY219)</f>
        <v>0</v>
      </c>
      <c r="AZ220" s="8">
        <f ca="1">SUM(AZ179:AZ219)</f>
        <v>7694.2120414689316</v>
      </c>
      <c r="BB220" s="8">
        <f ca="1">SUM(BB179:BB219)</f>
        <v>0</v>
      </c>
      <c r="BC220" s="8">
        <f t="shared" ref="BC220:CS220" ca="1" si="184">SUM(BC179:BC219)</f>
        <v>0</v>
      </c>
      <c r="BD220" s="8">
        <f t="shared" ca="1" si="184"/>
        <v>0</v>
      </c>
      <c r="BE220" s="8">
        <f t="shared" ca="1" si="184"/>
        <v>0</v>
      </c>
      <c r="BF220" s="8">
        <f t="shared" ca="1" si="184"/>
        <v>93966.675133995639</v>
      </c>
      <c r="BG220" s="8">
        <f t="shared" ca="1" si="184"/>
        <v>376609.78351302224</v>
      </c>
      <c r="BH220" s="8">
        <f t="shared" ca="1" si="184"/>
        <v>373233.06515845098</v>
      </c>
      <c r="BI220" s="8">
        <f t="shared" ca="1" si="184"/>
        <v>369719.61596833699</v>
      </c>
      <c r="BJ220" s="8">
        <f t="shared" ca="1" si="184"/>
        <v>366063.89954017202</v>
      </c>
      <c r="BK220" s="8">
        <f t="shared" ca="1" si="184"/>
        <v>362260.15497292922</v>
      </c>
      <c r="BL220" s="8">
        <f t="shared" ca="1" si="184"/>
        <v>358302.38861242647</v>
      </c>
      <c r="BM220" s="8">
        <f t="shared" ca="1" si="184"/>
        <v>354184.36338038283</v>
      </c>
      <c r="BN220" s="8">
        <f t="shared" ca="1" si="184"/>
        <v>349899.58968279976</v>
      </c>
      <c r="BO220" s="8">
        <f t="shared" ca="1" si="184"/>
        <v>345441.31600058341</v>
      </c>
      <c r="BP220" s="8">
        <f t="shared" ca="1" si="184"/>
        <v>340802.51715017977</v>
      </c>
      <c r="BQ220" s="8">
        <f t="shared" ca="1" si="184"/>
        <v>335975.88353390992</v>
      </c>
      <c r="BR220" s="8">
        <f t="shared" ca="1" si="184"/>
        <v>330953.8092982347</v>
      </c>
      <c r="BS220" s="8">
        <f t="shared" ca="1" si="184"/>
        <v>325728.38005719282</v>
      </c>
      <c r="BT220" s="8">
        <f t="shared" ca="1" si="184"/>
        <v>320291.36239392858</v>
      </c>
      <c r="BU220" s="8">
        <f t="shared" ca="1" si="184"/>
        <v>314634.18824415031</v>
      </c>
      <c r="BV220" s="8">
        <f t="shared" ca="1" si="184"/>
        <v>308747.94252577255</v>
      </c>
      <c r="BW220" s="8">
        <f t="shared" ca="1" si="184"/>
        <v>302623.35010270501</v>
      </c>
      <c r="BX220" s="8">
        <f t="shared" ca="1" si="184"/>
        <v>163165.55587163207</v>
      </c>
      <c r="BY220" s="8">
        <f t="shared" ca="1" si="184"/>
        <v>0</v>
      </c>
      <c r="BZ220" s="8">
        <f t="shared" ca="1" si="184"/>
        <v>0</v>
      </c>
      <c r="CA220" s="8">
        <f t="shared" ca="1" si="184"/>
        <v>0</v>
      </c>
      <c r="CB220" s="8">
        <f t="shared" ca="1" si="184"/>
        <v>0</v>
      </c>
      <c r="CC220" s="8">
        <f t="shared" ca="1" si="184"/>
        <v>0</v>
      </c>
      <c r="CD220" s="8">
        <f t="shared" ca="1" si="184"/>
        <v>0</v>
      </c>
      <c r="CE220" s="8">
        <f t="shared" ca="1" si="184"/>
        <v>0</v>
      </c>
      <c r="CF220" s="8">
        <f t="shared" ca="1" si="184"/>
        <v>0</v>
      </c>
      <c r="CG220" s="8">
        <f t="shared" ca="1" si="184"/>
        <v>0</v>
      </c>
      <c r="CH220" s="8">
        <f t="shared" ca="1" si="184"/>
        <v>0</v>
      </c>
      <c r="CI220" s="8">
        <f t="shared" ca="1" si="184"/>
        <v>0</v>
      </c>
      <c r="CJ220" s="8">
        <f t="shared" ca="1" si="184"/>
        <v>0</v>
      </c>
      <c r="CK220" s="8">
        <f t="shared" ca="1" si="184"/>
        <v>0</v>
      </c>
      <c r="CL220" s="8">
        <f t="shared" ca="1" si="184"/>
        <v>0</v>
      </c>
      <c r="CM220" s="8">
        <f t="shared" ca="1" si="184"/>
        <v>0</v>
      </c>
      <c r="CN220" s="8">
        <f t="shared" ca="1" si="184"/>
        <v>0</v>
      </c>
      <c r="CO220" s="8">
        <f t="shared" ca="1" si="184"/>
        <v>0</v>
      </c>
      <c r="CP220" s="8">
        <f t="shared" ca="1" si="184"/>
        <v>0</v>
      </c>
      <c r="CQ220" s="8">
        <f t="shared" ca="1" si="184"/>
        <v>6092603.8411408085</v>
      </c>
      <c r="CR220" s="8">
        <f t="shared" si="184"/>
        <v>0</v>
      </c>
      <c r="CS220" s="8">
        <f t="shared" ca="1" si="184"/>
        <v>6092603.8411408085</v>
      </c>
      <c r="CT220" s="233"/>
    </row>
    <row r="221" spans="2:98" x14ac:dyDescent="0.3">
      <c r="B221" s="232"/>
      <c r="C221" s="283" t="s">
        <v>303</v>
      </c>
      <c r="D221" s="263">
        <f t="shared" ref="D221:F221" ca="1" si="185">D222-D220</f>
        <v>422018.06404341338</v>
      </c>
      <c r="E221" s="263">
        <f t="shared" ca="1" si="185"/>
        <v>2791.4162634725326</v>
      </c>
      <c r="F221" s="263">
        <f t="shared" ca="1" si="185"/>
        <v>0</v>
      </c>
      <c r="G221" s="263">
        <f ca="1">G222-G220</f>
        <v>438766.56162424805</v>
      </c>
      <c r="H221" s="15"/>
      <c r="I221" s="15"/>
      <c r="J221" s="15"/>
      <c r="K221" s="15"/>
      <c r="L221" s="15"/>
      <c r="M221" s="35">
        <f ca="1">M219</f>
        <v>4.2299999999999995</v>
      </c>
      <c r="N221" s="35">
        <f t="shared" ref="N221:O221" ca="1" si="186">N219</f>
        <v>74.400000000000006</v>
      </c>
      <c r="O221" s="35">
        <f t="shared" ca="1" si="186"/>
        <v>37.200000000000003</v>
      </c>
      <c r="P221" s="15"/>
      <c r="Q221" s="34">
        <f t="shared" ref="Q221" ca="1" si="187">D221*M221</f>
        <v>1785136.4109036385</v>
      </c>
      <c r="R221" s="34">
        <f t="shared" ref="R221" ca="1" si="188">E221*N221</f>
        <v>207681.37000235645</v>
      </c>
      <c r="S221" s="34">
        <f t="shared" ref="S221" ca="1" si="189">F221*O221</f>
        <v>0</v>
      </c>
      <c r="T221" s="34">
        <f t="shared" ref="T221" ca="1" si="190">SUM(Q221:S221)</f>
        <v>1992817.7809059948</v>
      </c>
      <c r="U221" s="15"/>
      <c r="V221" s="35">
        <f>V219</f>
        <v>0.31</v>
      </c>
      <c r="W221" s="34">
        <f ca="1">V221*$G221/(1-$M$6)</f>
        <v>136017.6341035169</v>
      </c>
      <c r="X221" s="35">
        <f>X219</f>
        <v>0.37</v>
      </c>
      <c r="Y221" s="34">
        <f ca="1">X221*$G221/(1-$M$6)</f>
        <v>162343.62780097176</v>
      </c>
      <c r="Z221" s="35">
        <f>Z219</f>
        <v>0.57999999999999996</v>
      </c>
      <c r="AA221" s="34">
        <f ca="1">Z221*$G221/(1-$M$6)</f>
        <v>254484.60574206384</v>
      </c>
      <c r="AB221" s="34">
        <f ca="1">W221+Y221+AA221</f>
        <v>552845.86764655251</v>
      </c>
      <c r="AC221" s="15"/>
      <c r="AD221" s="34">
        <f ca="1">T221-AB221</f>
        <v>1439971.9132594424</v>
      </c>
      <c r="AE221" s="62">
        <f ca="1">CR176*$M$9*$AQ$10*Units</f>
        <v>0</v>
      </c>
      <c r="AF221" s="34">
        <f ca="1">AD221-AE221</f>
        <v>1439971.9132594424</v>
      </c>
      <c r="AG221" s="15"/>
      <c r="AH221" s="266">
        <f>Remainder_Date</f>
        <v>56249</v>
      </c>
      <c r="AI221" s="267">
        <f t="shared" ref="AI221" si="191">DAYS360(Valuation_Date,AH221)/360-MIN(0.5,0.5*DAYS360(Valuation_Date,AH221)/360)</f>
        <v>39.666666666666664</v>
      </c>
      <c r="AJ221" s="267">
        <f t="shared" ref="AJ221" si="192">1/((1+Discount_Rate)^AI221)</f>
        <v>2.280815498393244E-2</v>
      </c>
      <c r="AK221" s="34">
        <f t="shared" ref="AK221" ca="1" si="193">AJ221*AF221</f>
        <v>32843.102570131079</v>
      </c>
      <c r="AL221" s="233"/>
      <c r="AN221" s="232"/>
      <c r="AO221" s="352" t="s">
        <v>303</v>
      </c>
      <c r="AP221" s="34">
        <f ca="1">AP222-AP220</f>
        <v>6.8377874413272366E-5</v>
      </c>
      <c r="AQ221" s="34">
        <f t="shared" ref="AQ221:AS221" ca="1" si="194">AQ222-AQ220</f>
        <v>4.5228183864765015E-7</v>
      </c>
      <c r="AR221" s="34">
        <f t="shared" ca="1" si="194"/>
        <v>0</v>
      </c>
      <c r="AS221" s="34">
        <f t="shared" ca="1" si="194"/>
        <v>7.109156376827741E-5</v>
      </c>
      <c r="AT221" s="15"/>
      <c r="AW221" s="34">
        <f ca="1">AW222-AW220</f>
        <v>6.8377874413272366E-5</v>
      </c>
      <c r="AX221" s="34">
        <f t="shared" ref="AX221:AZ221" ca="1" si="195">AX222-AX220</f>
        <v>4.5228183864765015E-7</v>
      </c>
      <c r="AY221" s="34">
        <f t="shared" ca="1" si="195"/>
        <v>0</v>
      </c>
      <c r="AZ221" s="34">
        <f t="shared" ca="1" si="195"/>
        <v>7.109156376827741E-5</v>
      </c>
      <c r="BB221" s="180">
        <f ca="1">BB222-BB220</f>
        <v>0</v>
      </c>
      <c r="BC221" s="180">
        <f t="shared" ref="BC221:CP221" ca="1" si="196">BC222-BC220</f>
        <v>0</v>
      </c>
      <c r="BD221" s="180">
        <f t="shared" ca="1" si="196"/>
        <v>0</v>
      </c>
      <c r="BE221" s="180">
        <f t="shared" ca="1" si="196"/>
        <v>0</v>
      </c>
      <c r="BF221" s="180">
        <f t="shared" ca="1" si="196"/>
        <v>2910.7342105795105</v>
      </c>
      <c r="BG221" s="180">
        <f t="shared" ca="1" si="196"/>
        <v>15011.791078380251</v>
      </c>
      <c r="BH221" s="180">
        <f t="shared" ca="1" si="196"/>
        <v>18388.509432951512</v>
      </c>
      <c r="BI221" s="180">
        <f t="shared" ca="1" si="196"/>
        <v>21901.958623065497</v>
      </c>
      <c r="BJ221" s="180">
        <f t="shared" ca="1" si="196"/>
        <v>25557.675051230472</v>
      </c>
      <c r="BK221" s="180">
        <f t="shared" ca="1" si="196"/>
        <v>29361.419618473272</v>
      </c>
      <c r="BL221" s="180">
        <f t="shared" ca="1" si="196"/>
        <v>33319.18597897602</v>
      </c>
      <c r="BM221" s="180">
        <f t="shared" ca="1" si="196"/>
        <v>37437.211211019661</v>
      </c>
      <c r="BN221" s="180">
        <f t="shared" ca="1" si="196"/>
        <v>41721.984908602724</v>
      </c>
      <c r="BO221" s="180">
        <f t="shared" ca="1" si="196"/>
        <v>46180.258590819081</v>
      </c>
      <c r="BP221" s="180">
        <f t="shared" ca="1" si="196"/>
        <v>50819.057441222714</v>
      </c>
      <c r="BQ221" s="180">
        <f t="shared" ca="1" si="196"/>
        <v>55645.691057492571</v>
      </c>
      <c r="BR221" s="180">
        <f t="shared" ca="1" si="196"/>
        <v>60667.765293167788</v>
      </c>
      <c r="BS221" s="180">
        <f t="shared" ca="1" si="196"/>
        <v>65893.194534209673</v>
      </c>
      <c r="BT221" s="180">
        <f t="shared" ca="1" si="196"/>
        <v>71330.212197473913</v>
      </c>
      <c r="BU221" s="180">
        <f t="shared" ca="1" si="196"/>
        <v>76987.386347252177</v>
      </c>
      <c r="BV221" s="180">
        <f t="shared" ca="1" si="196"/>
        <v>82873.632065629936</v>
      </c>
      <c r="BW221" s="180">
        <f t="shared" ca="1" si="196"/>
        <v>88998.22448869748</v>
      </c>
      <c r="BX221" s="180">
        <f t="shared" ca="1" si="196"/>
        <v>52527.231119255564</v>
      </c>
      <c r="BY221" s="180">
        <f t="shared" ca="1" si="196"/>
        <v>0</v>
      </c>
      <c r="BZ221" s="180">
        <f t="shared" ca="1" si="196"/>
        <v>0</v>
      </c>
      <c r="CA221" s="180">
        <f t="shared" ca="1" si="196"/>
        <v>0</v>
      </c>
      <c r="CB221" s="180">
        <f t="shared" ca="1" si="196"/>
        <v>0</v>
      </c>
      <c r="CC221" s="180">
        <f t="shared" ca="1" si="196"/>
        <v>0</v>
      </c>
      <c r="CD221" s="180">
        <f t="shared" ca="1" si="196"/>
        <v>0</v>
      </c>
      <c r="CE221" s="180">
        <f t="shared" ca="1" si="196"/>
        <v>0</v>
      </c>
      <c r="CF221" s="180">
        <f t="shared" ca="1" si="196"/>
        <v>0</v>
      </c>
      <c r="CG221" s="180">
        <f t="shared" ca="1" si="196"/>
        <v>0</v>
      </c>
      <c r="CH221" s="180">
        <f t="shared" ca="1" si="196"/>
        <v>0</v>
      </c>
      <c r="CI221" s="180">
        <f t="shared" ca="1" si="196"/>
        <v>0</v>
      </c>
      <c r="CJ221" s="180">
        <f t="shared" ca="1" si="196"/>
        <v>0</v>
      </c>
      <c r="CK221" s="180">
        <f t="shared" ca="1" si="196"/>
        <v>0</v>
      </c>
      <c r="CL221" s="180">
        <f t="shared" ca="1" si="196"/>
        <v>0</v>
      </c>
      <c r="CM221" s="180">
        <f t="shared" ca="1" si="196"/>
        <v>0</v>
      </c>
      <c r="CN221" s="180">
        <f t="shared" ca="1" si="196"/>
        <v>0</v>
      </c>
      <c r="CO221" s="180">
        <f t="shared" ca="1" si="196"/>
        <v>0</v>
      </c>
      <c r="CP221" s="180">
        <f t="shared" ca="1" si="196"/>
        <v>0</v>
      </c>
      <c r="CQ221" s="180">
        <f ca="1">CQ222-CQ220</f>
        <v>877533.12324849609</v>
      </c>
      <c r="CR221" s="180">
        <f t="shared" ref="CR221:CS221" ca="1" si="197">CR222-CR220</f>
        <v>0</v>
      </c>
      <c r="CS221" s="180">
        <f t="shared" ca="1" si="197"/>
        <v>877533.12324849609</v>
      </c>
      <c r="CT221" s="233"/>
    </row>
    <row r="222" spans="2:98" x14ac:dyDescent="0.3">
      <c r="B222" s="232"/>
      <c r="C222" s="60" t="s">
        <v>26</v>
      </c>
      <c r="D222" s="39">
        <f t="shared" ca="1" si="108"/>
        <v>3352037.2392781312</v>
      </c>
      <c r="E222" s="39">
        <f ca="1">$G222*$M$14/Bbl_to_Mcfe</f>
        <v>22171.873819420176</v>
      </c>
      <c r="F222" s="39">
        <f ca="1">$G222*$M$13/Bbl_to_Mcfe</f>
        <v>0</v>
      </c>
      <c r="G222" s="39">
        <f t="shared" ref="G222" ca="1" si="198">CS222*$AQ$10</f>
        <v>3485068.4821946523</v>
      </c>
      <c r="H222" s="15"/>
      <c r="I222" s="15"/>
      <c r="J222" s="15"/>
      <c r="K222" s="15"/>
      <c r="L222" s="15"/>
      <c r="M222" s="15"/>
      <c r="N222" s="15"/>
      <c r="O222" s="15"/>
      <c r="P222" s="15"/>
      <c r="Q222" s="8">
        <f ca="1">Q221+Q220</f>
        <v>14176724.211450981</v>
      </c>
      <c r="R222" s="8">
        <f t="shared" ref="R222:T222" ca="1" si="199">R221+R220</f>
        <v>1649691.8256233472</v>
      </c>
      <c r="S222" s="8">
        <f t="shared" ca="1" si="199"/>
        <v>0</v>
      </c>
      <c r="T222" s="8">
        <f t="shared" ca="1" si="199"/>
        <v>15826416.037074329</v>
      </c>
      <c r="U222" s="15"/>
      <c r="V222" s="9"/>
      <c r="W222" s="8">
        <f ca="1">W221+W220</f>
        <v>1080371.229480342</v>
      </c>
      <c r="X222" s="9"/>
      <c r="Y222" s="8">
        <f ca="1">Y221+Y220</f>
        <v>1289475.3384120213</v>
      </c>
      <c r="Z222" s="9"/>
      <c r="AA222" s="8">
        <f ca="1">AA221+AA220</f>
        <v>2021339.7196728978</v>
      </c>
      <c r="AB222" s="8">
        <f ca="1">AB221+AB220</f>
        <v>4391186.2875652621</v>
      </c>
      <c r="AC222" s="15"/>
      <c r="AD222" s="8">
        <f ca="1">AD221+AD220</f>
        <v>11435229.749509072</v>
      </c>
      <c r="AE222" s="8">
        <f ca="1">AE221+AE220</f>
        <v>3170627.3518945384</v>
      </c>
      <c r="AF222" s="8">
        <f ca="1">AF221+AF220</f>
        <v>8264602.3976145331</v>
      </c>
      <c r="AG222" s="15"/>
      <c r="AH222" s="9"/>
      <c r="AI222" s="9"/>
      <c r="AJ222" s="9"/>
      <c r="AK222" s="65">
        <f ca="1">SUM(AK220:AK221)</f>
        <v>963254.25893653103</v>
      </c>
      <c r="AL222" s="233"/>
      <c r="AN222" s="232"/>
      <c r="AO222" s="249" t="s">
        <v>26</v>
      </c>
      <c r="AP222" s="8">
        <f ca="1">+AP172</f>
        <v>7400.5103945521596</v>
      </c>
      <c r="AQ222" s="8">
        <f t="shared" ref="AQ222:AS222" ca="1" si="200">+AQ172</f>
        <v>48.950286334722705</v>
      </c>
      <c r="AR222" s="8">
        <f t="shared" ca="1" si="200"/>
        <v>0</v>
      </c>
      <c r="AS222" s="8">
        <f t="shared" ca="1" si="200"/>
        <v>7694.2121125604954</v>
      </c>
      <c r="AT222" s="15"/>
      <c r="AW222" s="8">
        <f t="shared" ref="AW222" ca="1" si="201">AP222*(1-$M$6)</f>
        <v>7400.5103945521596</v>
      </c>
      <c r="AX222" s="8">
        <f t="shared" ref="AX222" ca="1" si="202">AQ222*(1-$M$6)</f>
        <v>48.950286334722705</v>
      </c>
      <c r="AY222" s="8">
        <f t="shared" ref="AY222" ca="1" si="203">AR222*(1-$M$6)</f>
        <v>0</v>
      </c>
      <c r="AZ222" s="8">
        <f t="shared" ref="AZ222" ca="1" si="204">AS222*(1-$M$6)</f>
        <v>7694.2121125604954</v>
      </c>
      <c r="BB222" s="364">
        <f ca="1">$AS222*BB176</f>
        <v>0</v>
      </c>
      <c r="BC222" s="364">
        <f t="shared" ref="BC222:CS222" ca="1" si="205">$AS222*BC176</f>
        <v>0</v>
      </c>
      <c r="BD222" s="364">
        <f t="shared" ca="1" si="205"/>
        <v>0</v>
      </c>
      <c r="BE222" s="364">
        <f t="shared" ca="1" si="205"/>
        <v>0</v>
      </c>
      <c r="BF222" s="364">
        <f t="shared" ca="1" si="205"/>
        <v>96877.40934457515</v>
      </c>
      <c r="BG222" s="364">
        <f t="shared" ca="1" si="205"/>
        <v>391621.57459140249</v>
      </c>
      <c r="BH222" s="364">
        <f t="shared" ca="1" si="205"/>
        <v>391621.57459140249</v>
      </c>
      <c r="BI222" s="364">
        <f t="shared" ca="1" si="205"/>
        <v>391621.57459140249</v>
      </c>
      <c r="BJ222" s="364">
        <f t="shared" ca="1" si="205"/>
        <v>391621.57459140249</v>
      </c>
      <c r="BK222" s="364">
        <f t="shared" ca="1" si="205"/>
        <v>391621.57459140249</v>
      </c>
      <c r="BL222" s="364">
        <f t="shared" ca="1" si="205"/>
        <v>391621.57459140249</v>
      </c>
      <c r="BM222" s="364">
        <f t="shared" ca="1" si="205"/>
        <v>391621.57459140249</v>
      </c>
      <c r="BN222" s="364">
        <f t="shared" ca="1" si="205"/>
        <v>391621.57459140249</v>
      </c>
      <c r="BO222" s="364">
        <f t="shared" ca="1" si="205"/>
        <v>391621.57459140249</v>
      </c>
      <c r="BP222" s="364">
        <f t="shared" ca="1" si="205"/>
        <v>391621.57459140249</v>
      </c>
      <c r="BQ222" s="364">
        <f t="shared" ca="1" si="205"/>
        <v>391621.57459140249</v>
      </c>
      <c r="BR222" s="364">
        <f t="shared" ca="1" si="205"/>
        <v>391621.57459140249</v>
      </c>
      <c r="BS222" s="364">
        <f t="shared" ca="1" si="205"/>
        <v>391621.57459140249</v>
      </c>
      <c r="BT222" s="364">
        <f t="shared" ca="1" si="205"/>
        <v>391621.57459140249</v>
      </c>
      <c r="BU222" s="364">
        <f t="shared" ca="1" si="205"/>
        <v>391621.57459140249</v>
      </c>
      <c r="BV222" s="364">
        <f t="shared" ca="1" si="205"/>
        <v>391621.57459140249</v>
      </c>
      <c r="BW222" s="364">
        <f t="shared" ca="1" si="205"/>
        <v>391621.57459140249</v>
      </c>
      <c r="BX222" s="364">
        <f t="shared" ca="1" si="205"/>
        <v>215692.78699088763</v>
      </c>
      <c r="BY222" s="364">
        <f t="shared" ca="1" si="205"/>
        <v>0</v>
      </c>
      <c r="BZ222" s="364">
        <f t="shared" ca="1" si="205"/>
        <v>0</v>
      </c>
      <c r="CA222" s="364">
        <f t="shared" ca="1" si="205"/>
        <v>0</v>
      </c>
      <c r="CB222" s="364">
        <f t="shared" ca="1" si="205"/>
        <v>0</v>
      </c>
      <c r="CC222" s="364">
        <f t="shared" ca="1" si="205"/>
        <v>0</v>
      </c>
      <c r="CD222" s="364">
        <f t="shared" ca="1" si="205"/>
        <v>0</v>
      </c>
      <c r="CE222" s="364">
        <f t="shared" ca="1" si="205"/>
        <v>0</v>
      </c>
      <c r="CF222" s="364">
        <f t="shared" ca="1" si="205"/>
        <v>0</v>
      </c>
      <c r="CG222" s="364">
        <f t="shared" ca="1" si="205"/>
        <v>0</v>
      </c>
      <c r="CH222" s="364">
        <f t="shared" ca="1" si="205"/>
        <v>0</v>
      </c>
      <c r="CI222" s="364">
        <f t="shared" ca="1" si="205"/>
        <v>0</v>
      </c>
      <c r="CJ222" s="364">
        <f t="shared" ca="1" si="205"/>
        <v>0</v>
      </c>
      <c r="CK222" s="364">
        <f t="shared" ca="1" si="205"/>
        <v>0</v>
      </c>
      <c r="CL222" s="364">
        <f t="shared" ca="1" si="205"/>
        <v>0</v>
      </c>
      <c r="CM222" s="364">
        <f t="shared" ca="1" si="205"/>
        <v>0</v>
      </c>
      <c r="CN222" s="364">
        <f t="shared" ca="1" si="205"/>
        <v>0</v>
      </c>
      <c r="CO222" s="364">
        <f t="shared" ca="1" si="205"/>
        <v>0</v>
      </c>
      <c r="CP222" s="364">
        <f t="shared" ca="1" si="205"/>
        <v>0</v>
      </c>
      <c r="CQ222" s="364">
        <f t="shared" ca="1" si="205"/>
        <v>6970136.9643893046</v>
      </c>
      <c r="CR222" s="364">
        <f t="shared" ca="1" si="205"/>
        <v>0</v>
      </c>
      <c r="CS222" s="364">
        <f t="shared" ca="1" si="205"/>
        <v>6970136.9643893046</v>
      </c>
      <c r="CT222" s="233"/>
    </row>
    <row r="223" spans="2:98" x14ac:dyDescent="0.3">
      <c r="B223" s="232"/>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233"/>
      <c r="AN223" s="232"/>
      <c r="AO223" s="15"/>
      <c r="AP223" s="15"/>
      <c r="AQ223" s="15"/>
      <c r="AR223" s="15"/>
      <c r="AS223" s="15"/>
      <c r="AT223" s="15"/>
      <c r="AW223" s="15"/>
      <c r="AX223" s="15"/>
      <c r="AY223" s="15"/>
      <c r="AZ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233"/>
    </row>
    <row r="224" spans="2:98" x14ac:dyDescent="0.3">
      <c r="B224" s="285" t="s">
        <v>31</v>
      </c>
      <c r="C224" s="286"/>
      <c r="D224" s="287"/>
      <c r="E224" s="287"/>
      <c r="F224" s="287"/>
      <c r="G224" s="287"/>
      <c r="H224" s="287"/>
      <c r="I224" s="287"/>
      <c r="J224" s="287"/>
      <c r="K224" s="287"/>
      <c r="L224" s="287"/>
      <c r="M224" s="287"/>
      <c r="N224" s="287"/>
      <c r="O224" s="287"/>
      <c r="P224" s="287"/>
      <c r="Q224" s="286" t="str">
        <f>B224</f>
        <v>POSS</v>
      </c>
      <c r="R224" s="287"/>
      <c r="S224" s="287"/>
      <c r="T224" s="287"/>
      <c r="U224" s="287"/>
      <c r="V224" s="287"/>
      <c r="W224" s="287"/>
      <c r="X224" s="287"/>
      <c r="Y224" s="287"/>
      <c r="Z224" s="287"/>
      <c r="AA224" s="287"/>
      <c r="AB224" s="287"/>
      <c r="AC224" s="287"/>
      <c r="AD224" s="286" t="str">
        <f>Q224</f>
        <v>POSS</v>
      </c>
      <c r="AE224" s="287"/>
      <c r="AF224" s="287"/>
      <c r="AG224" s="287"/>
      <c r="AH224" s="287"/>
      <c r="AI224" s="287"/>
      <c r="AJ224" s="287"/>
      <c r="AK224" s="287"/>
      <c r="AL224" s="288"/>
      <c r="AN224" s="285" t="str">
        <f>B224&amp;" - Total Production (Net) (Mmcfe)"</f>
        <v>POSS - Total Production (Net) (Mmcfe)</v>
      </c>
      <c r="AO224" s="286"/>
      <c r="AP224" s="287"/>
      <c r="AQ224" s="287"/>
      <c r="AR224" s="287"/>
      <c r="AS224" s="287"/>
      <c r="AT224" s="287"/>
      <c r="AU224" s="287"/>
      <c r="AV224" s="287"/>
      <c r="AW224" s="287"/>
      <c r="AX224" s="287"/>
      <c r="AY224" s="287"/>
      <c r="AZ224" s="287"/>
      <c r="BA224" s="287"/>
      <c r="BB224" s="287"/>
      <c r="BC224" s="287"/>
      <c r="BD224" s="287"/>
      <c r="BE224" s="287"/>
      <c r="BF224" s="287"/>
      <c r="BG224" s="287"/>
      <c r="BH224" s="287"/>
      <c r="BI224" s="287"/>
      <c r="BJ224" s="287"/>
      <c r="BK224" s="287"/>
      <c r="BL224" s="287"/>
      <c r="BM224" s="287"/>
      <c r="BN224" s="287"/>
      <c r="BO224" s="287"/>
      <c r="BP224" s="287"/>
      <c r="BQ224" s="287"/>
      <c r="BR224" s="287"/>
      <c r="BS224" s="287"/>
      <c r="BT224" s="287"/>
      <c r="BU224" s="287"/>
      <c r="BV224" s="287"/>
      <c r="BW224" s="287"/>
      <c r="BX224" s="287"/>
      <c r="BY224" s="287"/>
      <c r="BZ224" s="287"/>
      <c r="CA224" s="287"/>
      <c r="CB224" s="287"/>
      <c r="CC224" s="287"/>
      <c r="CD224" s="287"/>
      <c r="CE224" s="287"/>
      <c r="CF224" s="287"/>
      <c r="CG224" s="287"/>
      <c r="CH224" s="287"/>
      <c r="CI224" s="287"/>
      <c r="CJ224" s="287"/>
      <c r="CK224" s="287"/>
      <c r="CL224" s="287"/>
      <c r="CM224" s="287"/>
      <c r="CN224" s="287"/>
      <c r="CO224" s="287"/>
      <c r="CP224" s="287"/>
      <c r="CQ224" s="287"/>
      <c r="CR224" s="287"/>
      <c r="CS224" s="287"/>
      <c r="CT224" s="288"/>
    </row>
    <row r="225" spans="2:98" x14ac:dyDescent="0.3">
      <c r="B225" s="232"/>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233"/>
      <c r="AN225" s="232"/>
      <c r="AQ225" s="289"/>
      <c r="AR225" s="15"/>
      <c r="AS225" s="15"/>
      <c r="AT225" s="15"/>
      <c r="AW225" s="15"/>
      <c r="AX225" s="15"/>
      <c r="AY225" s="15"/>
      <c r="AZ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233"/>
    </row>
    <row r="226" spans="2:98" x14ac:dyDescent="0.3">
      <c r="B226" s="232"/>
      <c r="C226" s="37" t="s">
        <v>277</v>
      </c>
      <c r="D226" s="23"/>
      <c r="E226" s="23"/>
      <c r="F226" s="23"/>
      <c r="G226" s="23"/>
      <c r="H226" s="261"/>
      <c r="I226" s="37" t="s">
        <v>15</v>
      </c>
      <c r="J226" s="23"/>
      <c r="K226" s="23"/>
      <c r="L226" s="15"/>
      <c r="M226" s="37" t="s">
        <v>278</v>
      </c>
      <c r="N226" s="23"/>
      <c r="O226" s="23"/>
      <c r="P226" s="15"/>
      <c r="Q226" s="37" t="s">
        <v>279</v>
      </c>
      <c r="R226" s="23"/>
      <c r="S226" s="23"/>
      <c r="T226" s="23"/>
      <c r="U226" s="15"/>
      <c r="V226" s="37" t="s">
        <v>280</v>
      </c>
      <c r="W226" s="23"/>
      <c r="X226" s="23"/>
      <c r="Y226" s="23"/>
      <c r="Z226" s="23"/>
      <c r="AA226" s="23"/>
      <c r="AB226" s="4"/>
      <c r="AC226" s="15"/>
      <c r="AD226" s="37" t="s">
        <v>281</v>
      </c>
      <c r="AE226" s="23"/>
      <c r="AF226" s="23"/>
      <c r="AG226" s="15"/>
      <c r="AH226" s="37" t="s">
        <v>282</v>
      </c>
      <c r="AI226" s="23"/>
      <c r="AJ226" s="23"/>
      <c r="AK226" s="23"/>
      <c r="AL226" s="233"/>
      <c r="AN226" s="232"/>
      <c r="AO226" s="15"/>
      <c r="AP226" s="15"/>
      <c r="AQ226" s="15"/>
      <c r="AR226" s="15"/>
      <c r="AS226" s="15"/>
      <c r="AT226" s="15"/>
      <c r="AW226" s="15"/>
      <c r="AX226" s="15"/>
      <c r="AY226" s="15"/>
      <c r="AZ226" s="338" t="s">
        <v>343</v>
      </c>
      <c r="BB226" s="339">
        <f t="array" aca="1" ref="BB226:CR226" ca="1">TRANSPOSE(BA29:BA71)*$AR$11</f>
        <v>0</v>
      </c>
      <c r="BC226" s="339">
        <f ca="1"/>
        <v>0</v>
      </c>
      <c r="BD226" s="339">
        <f ca="1"/>
        <v>0</v>
      </c>
      <c r="BE226" s="339">
        <f ca="1"/>
        <v>0</v>
      </c>
      <c r="BF226" s="339">
        <f ca="1"/>
        <v>0</v>
      </c>
      <c r="BG226" s="339">
        <f ca="1"/>
        <v>0</v>
      </c>
      <c r="BH226" s="339">
        <f ca="1"/>
        <v>0</v>
      </c>
      <c r="BI226" s="339">
        <f ca="1"/>
        <v>0</v>
      </c>
      <c r="BJ226" s="339">
        <f ca="1"/>
        <v>0</v>
      </c>
      <c r="BK226" s="339">
        <f ca="1"/>
        <v>0</v>
      </c>
      <c r="BL226" s="339">
        <f ca="1"/>
        <v>0</v>
      </c>
      <c r="BM226" s="339">
        <f ca="1"/>
        <v>0</v>
      </c>
      <c r="BN226" s="339">
        <f ca="1"/>
        <v>0</v>
      </c>
      <c r="BO226" s="339">
        <f ca="1"/>
        <v>0</v>
      </c>
      <c r="BP226" s="339">
        <f ca="1"/>
        <v>0</v>
      </c>
      <c r="BQ226" s="339">
        <f ca="1"/>
        <v>0</v>
      </c>
      <c r="BR226" s="339">
        <f ca="1"/>
        <v>0</v>
      </c>
      <c r="BS226" s="339">
        <f ca="1"/>
        <v>0</v>
      </c>
      <c r="BT226" s="339">
        <f ca="1"/>
        <v>0</v>
      </c>
      <c r="BU226" s="339">
        <f ca="1"/>
        <v>0</v>
      </c>
      <c r="BV226" s="339">
        <f ca="1"/>
        <v>0</v>
      </c>
      <c r="BW226" s="339">
        <f ca="1"/>
        <v>0</v>
      </c>
      <c r="BX226" s="339">
        <f ca="1"/>
        <v>22.865081573890858</v>
      </c>
      <c r="BY226" s="339">
        <f ca="1"/>
        <v>50.898203592814376</v>
      </c>
      <c r="BZ226" s="339">
        <f ca="1"/>
        <v>50.898203592814376</v>
      </c>
      <c r="CA226" s="339">
        <f ca="1"/>
        <v>50.898203592814376</v>
      </c>
      <c r="CB226" s="339">
        <f ca="1"/>
        <v>50.898203592814376</v>
      </c>
      <c r="CC226" s="339">
        <f ca="1"/>
        <v>0</v>
      </c>
      <c r="CD226" s="339">
        <f ca="1"/>
        <v>0</v>
      </c>
      <c r="CE226" s="339">
        <f ca="1"/>
        <v>0</v>
      </c>
      <c r="CF226" s="339">
        <f ca="1"/>
        <v>0</v>
      </c>
      <c r="CG226" s="339">
        <f ca="1"/>
        <v>0</v>
      </c>
      <c r="CH226" s="339">
        <f ca="1"/>
        <v>0</v>
      </c>
      <c r="CI226" s="339">
        <f ca="1"/>
        <v>0</v>
      </c>
      <c r="CJ226" s="339">
        <f ca="1"/>
        <v>0</v>
      </c>
      <c r="CK226" s="339">
        <f ca="1"/>
        <v>0</v>
      </c>
      <c r="CL226" s="339">
        <f ca="1"/>
        <v>0</v>
      </c>
      <c r="CM226" s="339">
        <f ca="1"/>
        <v>0</v>
      </c>
      <c r="CN226" s="339">
        <f ca="1"/>
        <v>0</v>
      </c>
      <c r="CO226" s="339">
        <f ca="1"/>
        <v>0</v>
      </c>
      <c r="CP226" s="339">
        <f ca="1"/>
        <v>0</v>
      </c>
      <c r="CQ226" s="339">
        <f ca="1"/>
        <v>226.45789594514835</v>
      </c>
      <c r="CR226" s="340">
        <f ca="1"/>
        <v>433.14371257485033</v>
      </c>
      <c r="CS226" s="340">
        <f ca="1">CQ226+CR226</f>
        <v>659.60160851999865</v>
      </c>
      <c r="CT226" s="233"/>
    </row>
    <row r="227" spans="2:98" x14ac:dyDescent="0.3">
      <c r="B227" s="232"/>
      <c r="C227" s="250"/>
      <c r="D227" s="250" t="s">
        <v>10</v>
      </c>
      <c r="E227" s="250" t="s">
        <v>11</v>
      </c>
      <c r="F227" s="250" t="s">
        <v>245</v>
      </c>
      <c r="G227" s="250" t="s">
        <v>12</v>
      </c>
      <c r="H227" s="261"/>
      <c r="I227" s="262" t="s">
        <v>10</v>
      </c>
      <c r="J227" s="262" t="s">
        <v>11</v>
      </c>
      <c r="K227" s="262" t="s">
        <v>245</v>
      </c>
      <c r="L227" s="15"/>
      <c r="M227" s="262" t="s">
        <v>10</v>
      </c>
      <c r="N227" s="262" t="s">
        <v>11</v>
      </c>
      <c r="O227" s="262" t="s">
        <v>245</v>
      </c>
      <c r="P227" s="15"/>
      <c r="Q227" s="262" t="s">
        <v>10</v>
      </c>
      <c r="R227" s="262" t="s">
        <v>11</v>
      </c>
      <c r="S227" s="262" t="s">
        <v>245</v>
      </c>
      <c r="T227" s="262" t="s">
        <v>12</v>
      </c>
      <c r="U227" s="15"/>
      <c r="V227" s="262" t="s">
        <v>283</v>
      </c>
      <c r="W227" s="262" t="s">
        <v>283</v>
      </c>
      <c r="X227" s="262" t="s">
        <v>284</v>
      </c>
      <c r="Y227" s="262" t="s">
        <v>284</v>
      </c>
      <c r="Z227" s="262" t="s">
        <v>285</v>
      </c>
      <c r="AA227" s="262" t="s">
        <v>285</v>
      </c>
      <c r="AB227" s="262" t="s">
        <v>12</v>
      </c>
      <c r="AC227" s="15"/>
      <c r="AD227" s="262" t="s">
        <v>286</v>
      </c>
      <c r="AE227" s="262" t="s">
        <v>287</v>
      </c>
      <c r="AF227" s="262" t="s">
        <v>281</v>
      </c>
      <c r="AG227" s="15"/>
      <c r="AH227" s="262"/>
      <c r="AI227" s="262" t="s">
        <v>288</v>
      </c>
      <c r="AJ227" s="262" t="s">
        <v>288</v>
      </c>
      <c r="AK227" s="262" t="s">
        <v>289</v>
      </c>
      <c r="AL227" s="233"/>
      <c r="AN227" s="232"/>
      <c r="AO227" s="18"/>
      <c r="AP227" s="37" t="s">
        <v>344</v>
      </c>
      <c r="AQ227" s="331"/>
      <c r="AR227" s="331"/>
      <c r="AS227" s="11" t="s">
        <v>12</v>
      </c>
      <c r="AT227" s="15"/>
      <c r="AW227" s="37" t="s">
        <v>346</v>
      </c>
      <c r="AX227" s="331"/>
      <c r="AY227" s="331"/>
      <c r="AZ227" s="11" t="s">
        <v>12</v>
      </c>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233"/>
    </row>
    <row r="228" spans="2:98" x14ac:dyDescent="0.3">
      <c r="B228" s="232"/>
      <c r="C228" s="13" t="s">
        <v>9</v>
      </c>
      <c r="D228" s="13" t="s">
        <v>307</v>
      </c>
      <c r="E228" s="13" t="s">
        <v>308</v>
      </c>
      <c r="F228" s="13" t="s">
        <v>308</v>
      </c>
      <c r="G228" s="13" t="s">
        <v>248</v>
      </c>
      <c r="H228" s="4"/>
      <c r="I228" s="13" t="s">
        <v>24</v>
      </c>
      <c r="J228" s="13" t="s">
        <v>25</v>
      </c>
      <c r="K228" s="13" t="s">
        <v>25</v>
      </c>
      <c r="L228" s="4"/>
      <c r="M228" s="13" t="s">
        <v>24</v>
      </c>
      <c r="N228" s="13" t="s">
        <v>25</v>
      </c>
      <c r="O228" s="13" t="s">
        <v>25</v>
      </c>
      <c r="P228" s="4"/>
      <c r="Q228" s="13" t="s">
        <v>293</v>
      </c>
      <c r="R228" s="13" t="s">
        <v>293</v>
      </c>
      <c r="S228" s="13" t="s">
        <v>293</v>
      </c>
      <c r="T228" s="13" t="s">
        <v>293</v>
      </c>
      <c r="U228" s="4"/>
      <c r="V228" s="13" t="s">
        <v>294</v>
      </c>
      <c r="W228" s="13" t="s">
        <v>293</v>
      </c>
      <c r="X228" s="13" t="s">
        <v>294</v>
      </c>
      <c r="Y228" s="13" t="s">
        <v>293</v>
      </c>
      <c r="Z228" s="13" t="s">
        <v>294</v>
      </c>
      <c r="AA228" s="13" t="s">
        <v>293</v>
      </c>
      <c r="AB228" s="13" t="s">
        <v>293</v>
      </c>
      <c r="AC228" s="4"/>
      <c r="AD228" s="13" t="s">
        <v>293</v>
      </c>
      <c r="AE228" s="13" t="s">
        <v>293</v>
      </c>
      <c r="AF228" s="13" t="s">
        <v>293</v>
      </c>
      <c r="AG228" s="4"/>
      <c r="AH228" s="13" t="s">
        <v>295</v>
      </c>
      <c r="AI228" s="13" t="s">
        <v>296</v>
      </c>
      <c r="AJ228" s="13" t="s">
        <v>297</v>
      </c>
      <c r="AK228" s="13" t="s">
        <v>293</v>
      </c>
      <c r="AL228" s="233"/>
      <c r="AN228" s="232"/>
      <c r="AO228" s="24" t="s">
        <v>296</v>
      </c>
      <c r="AP228" s="24" t="s">
        <v>347</v>
      </c>
      <c r="AQ228" s="24" t="s">
        <v>351</v>
      </c>
      <c r="AR228" s="24" t="s">
        <v>352</v>
      </c>
      <c r="AS228" s="343" t="s">
        <v>169</v>
      </c>
      <c r="AT228" s="15"/>
      <c r="AW228" s="24" t="s">
        <v>347</v>
      </c>
      <c r="AX228" s="24" t="s">
        <v>351</v>
      </c>
      <c r="AY228" s="24" t="s">
        <v>352</v>
      </c>
      <c r="AZ228" s="343" t="s">
        <v>169</v>
      </c>
      <c r="BB228" s="353">
        <f>BB178</f>
        <v>0</v>
      </c>
      <c r="BC228" s="13">
        <f t="shared" ref="BC228:CS228" si="206">BC178</f>
        <v>1</v>
      </c>
      <c r="BD228" s="13">
        <f t="shared" si="206"/>
        <v>2</v>
      </c>
      <c r="BE228" s="13">
        <f t="shared" si="206"/>
        <v>3</v>
      </c>
      <c r="BF228" s="13">
        <f t="shared" si="206"/>
        <v>4</v>
      </c>
      <c r="BG228" s="13">
        <f t="shared" si="206"/>
        <v>5</v>
      </c>
      <c r="BH228" s="13">
        <f t="shared" si="206"/>
        <v>6</v>
      </c>
      <c r="BI228" s="13">
        <f t="shared" si="206"/>
        <v>7</v>
      </c>
      <c r="BJ228" s="13">
        <f t="shared" si="206"/>
        <v>8</v>
      </c>
      <c r="BK228" s="13">
        <f t="shared" si="206"/>
        <v>9</v>
      </c>
      <c r="BL228" s="13">
        <f t="shared" si="206"/>
        <v>10</v>
      </c>
      <c r="BM228" s="13">
        <f t="shared" si="206"/>
        <v>11</v>
      </c>
      <c r="BN228" s="13">
        <f t="shared" si="206"/>
        <v>12</v>
      </c>
      <c r="BO228" s="13">
        <f t="shared" si="206"/>
        <v>13</v>
      </c>
      <c r="BP228" s="13">
        <f t="shared" si="206"/>
        <v>14</v>
      </c>
      <c r="BQ228" s="13">
        <f t="shared" si="206"/>
        <v>15</v>
      </c>
      <c r="BR228" s="13">
        <f t="shared" si="206"/>
        <v>16</v>
      </c>
      <c r="BS228" s="13">
        <f t="shared" si="206"/>
        <v>17</v>
      </c>
      <c r="BT228" s="13">
        <f t="shared" si="206"/>
        <v>18</v>
      </c>
      <c r="BU228" s="13">
        <f t="shared" si="206"/>
        <v>19</v>
      </c>
      <c r="BV228" s="13">
        <f t="shared" si="206"/>
        <v>20</v>
      </c>
      <c r="BW228" s="13">
        <f t="shared" si="206"/>
        <v>21</v>
      </c>
      <c r="BX228" s="13">
        <f t="shared" si="206"/>
        <v>22</v>
      </c>
      <c r="BY228" s="13">
        <f t="shared" si="206"/>
        <v>23</v>
      </c>
      <c r="BZ228" s="13">
        <f t="shared" si="206"/>
        <v>24</v>
      </c>
      <c r="CA228" s="13">
        <f t="shared" si="206"/>
        <v>25</v>
      </c>
      <c r="CB228" s="13">
        <f t="shared" si="206"/>
        <v>26</v>
      </c>
      <c r="CC228" s="13">
        <f t="shared" si="206"/>
        <v>27</v>
      </c>
      <c r="CD228" s="13">
        <f t="shared" si="206"/>
        <v>28</v>
      </c>
      <c r="CE228" s="13">
        <f t="shared" si="206"/>
        <v>29</v>
      </c>
      <c r="CF228" s="13">
        <f t="shared" si="206"/>
        <v>30</v>
      </c>
      <c r="CG228" s="13">
        <f t="shared" si="206"/>
        <v>31</v>
      </c>
      <c r="CH228" s="13">
        <f t="shared" si="206"/>
        <v>32</v>
      </c>
      <c r="CI228" s="13">
        <f t="shared" si="206"/>
        <v>33</v>
      </c>
      <c r="CJ228" s="13">
        <f t="shared" si="206"/>
        <v>34</v>
      </c>
      <c r="CK228" s="13">
        <f t="shared" si="206"/>
        <v>35</v>
      </c>
      <c r="CL228" s="13">
        <f t="shared" si="206"/>
        <v>36</v>
      </c>
      <c r="CM228" s="13">
        <f t="shared" si="206"/>
        <v>37</v>
      </c>
      <c r="CN228" s="13">
        <f t="shared" si="206"/>
        <v>38</v>
      </c>
      <c r="CO228" s="13">
        <f t="shared" si="206"/>
        <v>39</v>
      </c>
      <c r="CP228" s="13">
        <f t="shared" si="206"/>
        <v>40</v>
      </c>
      <c r="CQ228" s="11" t="str">
        <f t="shared" si="206"/>
        <v>Subtotal</v>
      </c>
      <c r="CR228" s="11" t="str">
        <f t="shared" si="206"/>
        <v>Remainder</v>
      </c>
      <c r="CS228" s="11" t="str">
        <f t="shared" si="206"/>
        <v>Total</v>
      </c>
      <c r="CT228" s="233"/>
    </row>
    <row r="229" spans="2:98" x14ac:dyDescent="0.3">
      <c r="B229" s="232"/>
      <c r="C229" s="250">
        <f>YEAR(FY_Date)</f>
        <v>2013</v>
      </c>
      <c r="D229" s="263">
        <f ca="1">$G229*$M$12</f>
        <v>0</v>
      </c>
      <c r="E229" s="263">
        <f t="shared" ref="E229:E269" ca="1" si="207">$G229*$M$14/Bbl_to_Mcfe</f>
        <v>0</v>
      </c>
      <c r="F229" s="263">
        <f t="shared" ref="F229:F269" ca="1" si="208">$G229*$M$13/Bbl_to_Mcfe</f>
        <v>0</v>
      </c>
      <c r="G229" s="263">
        <f ca="1">CS229*$AQ$11</f>
        <v>0</v>
      </c>
      <c r="H229" s="15"/>
      <c r="I229" s="264">
        <f ca="1">Assumptions!O$63</f>
        <v>3.7</v>
      </c>
      <c r="J229" s="264">
        <f ca="1">Assumptions!P$63</f>
        <v>101</v>
      </c>
      <c r="K229" s="264">
        <f t="shared" ref="K229:K269" ca="1" si="209">J229*$R$7</f>
        <v>50.5</v>
      </c>
      <c r="L229" s="15"/>
      <c r="M229" s="51">
        <f ca="1">I229*$R$5</f>
        <v>3.4779999999999998</v>
      </c>
      <c r="N229" s="51">
        <f t="shared" ref="N229:N269" ca="1" si="210">J229*$R$6</f>
        <v>93.93</v>
      </c>
      <c r="O229" s="51">
        <f t="shared" ref="O229:O269" ca="1" si="211">N229*$R$7</f>
        <v>46.965000000000003</v>
      </c>
      <c r="P229" s="15"/>
      <c r="Q229" s="265">
        <f ca="1">D229*M229</f>
        <v>0</v>
      </c>
      <c r="R229" s="265">
        <f ca="1">E229*N229</f>
        <v>0</v>
      </c>
      <c r="S229" s="265">
        <f ca="1">F229*O229</f>
        <v>0</v>
      </c>
      <c r="T229" s="265">
        <f ca="1">SUM(Q229:S229)</f>
        <v>0</v>
      </c>
      <c r="U229" s="15"/>
      <c r="V229" s="51">
        <f>$M$18</f>
        <v>0.31</v>
      </c>
      <c r="W229" s="265">
        <f ca="1">V229*$G229/(1-$M$6)</f>
        <v>0</v>
      </c>
      <c r="X229" s="51">
        <f>$M$17</f>
        <v>0.37</v>
      </c>
      <c r="Y229" s="265">
        <f ca="1">X229*$G229/(1-$M$6)</f>
        <v>0</v>
      </c>
      <c r="Z229" s="51">
        <f>$M$19</f>
        <v>0.57999999999999996</v>
      </c>
      <c r="AA229" s="265">
        <f ca="1">Z229*$G229/(1-$M$6)</f>
        <v>0</v>
      </c>
      <c r="AB229" s="265">
        <f ca="1">W229+Y229+AA229</f>
        <v>0</v>
      </c>
      <c r="AC229" s="15"/>
      <c r="AD229" s="265">
        <f ca="1">T229-AB229</f>
        <v>0</v>
      </c>
      <c r="AE229" s="265">
        <f t="array" aca="1" ref="AE229:AE269" ca="1">TRANSPOSE(BB226:CP226)*$M$9*$AQ$11*Units</f>
        <v>0</v>
      </c>
      <c r="AF229" s="265">
        <f ca="1">AD229-AE229</f>
        <v>0</v>
      </c>
      <c r="AG229" s="15"/>
      <c r="AH229" s="272">
        <f>FY_Date</f>
        <v>41639</v>
      </c>
      <c r="AI229" s="267">
        <f t="shared" ref="AI229:AI269" si="212">DAYS360(Valuation_Date,AH229)/360-MIN(0.5,0.5*DAYS360(Valuation_Date,AH229)/360)</f>
        <v>8.3333333333333329E-2</v>
      </c>
      <c r="AJ229" s="267">
        <f t="shared" ref="AJ229:AJ269" si="213">1/((1+Discount_Rate)^AI229)</f>
        <v>0.99208894344699095</v>
      </c>
      <c r="AK229" s="265">
        <f ca="1">AJ229*AF229*Stub_Per_Adj</f>
        <v>0</v>
      </c>
      <c r="AL229" s="233"/>
      <c r="AN229" s="232"/>
      <c r="AO229" s="290">
        <f>AO179</f>
        <v>0</v>
      </c>
      <c r="AP229" s="34">
        <f ca="1">+AP179</f>
        <v>1348.0984429934706</v>
      </c>
      <c r="AQ229" s="34">
        <f t="shared" ref="AQ229:AS229" ca="1" si="214">+AQ179</f>
        <v>8.9169261677548928</v>
      </c>
      <c r="AR229" s="34">
        <f t="shared" ca="1" si="214"/>
        <v>0</v>
      </c>
      <c r="AS229" s="34">
        <f t="shared" ca="1" si="214"/>
        <v>1401.6</v>
      </c>
      <c r="AT229" s="15"/>
      <c r="AW229" s="34">
        <f ca="1">AP229*(1-$M$6)</f>
        <v>1348.0984429934706</v>
      </c>
      <c r="AX229" s="34">
        <f t="shared" ref="AX229:AX269" ca="1" si="215">AQ229*(1-$M$6)</f>
        <v>8.9169261677548928</v>
      </c>
      <c r="AY229" s="34">
        <f t="shared" ref="AY229:AY269" ca="1" si="216">AR229*(1-$M$6)</f>
        <v>0</v>
      </c>
      <c r="AZ229" s="34">
        <f t="shared" ref="AZ229:AZ269" ca="1" si="217">AS229*(1-$M$6)</f>
        <v>1401.6</v>
      </c>
      <c r="BB229" s="34">
        <f ca="1">IF($AO229&lt;BB$228,0,OFFSET($AZ$228,$AO229-BB$228+1,0)*BB$226)</f>
        <v>0</v>
      </c>
      <c r="BC229" s="34">
        <f t="shared" ref="BC229:BR244" ca="1" si="218">IF($AO229&lt;BC$228,0,OFFSET($AZ$228,$AO229-BC$228+1,0)*BC$226)</f>
        <v>0</v>
      </c>
      <c r="BD229" s="34">
        <f t="shared" ca="1" si="218"/>
        <v>0</v>
      </c>
      <c r="BE229" s="34">
        <f t="shared" ca="1" si="218"/>
        <v>0</v>
      </c>
      <c r="BF229" s="34">
        <f t="shared" ca="1" si="218"/>
        <v>0</v>
      </c>
      <c r="BG229" s="34">
        <f t="shared" ca="1" si="218"/>
        <v>0</v>
      </c>
      <c r="BH229" s="34">
        <f t="shared" ca="1" si="218"/>
        <v>0</v>
      </c>
      <c r="BI229" s="34">
        <f t="shared" ca="1" si="218"/>
        <v>0</v>
      </c>
      <c r="BJ229" s="34">
        <f t="shared" ca="1" si="218"/>
        <v>0</v>
      </c>
      <c r="BK229" s="34">
        <f t="shared" ca="1" si="218"/>
        <v>0</v>
      </c>
      <c r="BL229" s="34">
        <f t="shared" ca="1" si="218"/>
        <v>0</v>
      </c>
      <c r="BM229" s="34">
        <f t="shared" ca="1" si="218"/>
        <v>0</v>
      </c>
      <c r="BN229" s="34">
        <f t="shared" ca="1" si="218"/>
        <v>0</v>
      </c>
      <c r="BO229" s="34">
        <f t="shared" ca="1" si="218"/>
        <v>0</v>
      </c>
      <c r="BP229" s="34">
        <f t="shared" ca="1" si="218"/>
        <v>0</v>
      </c>
      <c r="BQ229" s="34">
        <f t="shared" ca="1" si="218"/>
        <v>0</v>
      </c>
      <c r="BR229" s="34">
        <f t="shared" ca="1" si="218"/>
        <v>0</v>
      </c>
      <c r="BS229" s="34">
        <f t="shared" ref="BS229:CH244" ca="1" si="219">IF($AO229&lt;BS$228,0,OFFSET($AZ$228,$AO229-BS$228+1,0)*BS$226)</f>
        <v>0</v>
      </c>
      <c r="BT229" s="34">
        <f t="shared" ca="1" si="219"/>
        <v>0</v>
      </c>
      <c r="BU229" s="34">
        <f t="shared" ca="1" si="219"/>
        <v>0</v>
      </c>
      <c r="BV229" s="34">
        <f t="shared" ca="1" si="219"/>
        <v>0</v>
      </c>
      <c r="BW229" s="34">
        <f t="shared" ca="1" si="219"/>
        <v>0</v>
      </c>
      <c r="BX229" s="34">
        <f t="shared" ca="1" si="219"/>
        <v>0</v>
      </c>
      <c r="BY229" s="34">
        <f t="shared" ca="1" si="219"/>
        <v>0</v>
      </c>
      <c r="BZ229" s="34">
        <f t="shared" ca="1" si="219"/>
        <v>0</v>
      </c>
      <c r="CA229" s="34">
        <f t="shared" ca="1" si="219"/>
        <v>0</v>
      </c>
      <c r="CB229" s="34">
        <f t="shared" ca="1" si="219"/>
        <v>0</v>
      </c>
      <c r="CC229" s="34">
        <f t="shared" ca="1" si="219"/>
        <v>0</v>
      </c>
      <c r="CD229" s="34">
        <f t="shared" ca="1" si="219"/>
        <v>0</v>
      </c>
      <c r="CE229" s="34">
        <f t="shared" ca="1" si="219"/>
        <v>0</v>
      </c>
      <c r="CF229" s="34">
        <f t="shared" ca="1" si="219"/>
        <v>0</v>
      </c>
      <c r="CG229" s="34">
        <f t="shared" ca="1" si="219"/>
        <v>0</v>
      </c>
      <c r="CH229" s="34">
        <f t="shared" ca="1" si="219"/>
        <v>0</v>
      </c>
      <c r="CI229" s="34">
        <f t="shared" ref="CI229:CP244" ca="1" si="220">IF($AO229&lt;CI$228,0,OFFSET($AZ$228,$AO229-CI$228+1,0)*CI$226)</f>
        <v>0</v>
      </c>
      <c r="CJ229" s="34">
        <f t="shared" ca="1" si="220"/>
        <v>0</v>
      </c>
      <c r="CK229" s="34">
        <f t="shared" ca="1" si="220"/>
        <v>0</v>
      </c>
      <c r="CL229" s="34">
        <f t="shared" ca="1" si="220"/>
        <v>0</v>
      </c>
      <c r="CM229" s="34">
        <f t="shared" ca="1" si="220"/>
        <v>0</v>
      </c>
      <c r="CN229" s="34">
        <f t="shared" ca="1" si="220"/>
        <v>0</v>
      </c>
      <c r="CO229" s="34">
        <f t="shared" ca="1" si="220"/>
        <v>0</v>
      </c>
      <c r="CP229" s="34">
        <f t="shared" ca="1" si="220"/>
        <v>0</v>
      </c>
      <c r="CQ229" s="34">
        <f ca="1">SUM(BB229:CP229)</f>
        <v>0</v>
      </c>
      <c r="CR229" s="363">
        <v>0</v>
      </c>
      <c r="CS229" s="34">
        <f ca="1">CQ229+CR229</f>
        <v>0</v>
      </c>
      <c r="CT229" s="233"/>
    </row>
    <row r="230" spans="2:98" x14ac:dyDescent="0.3">
      <c r="B230" s="232"/>
      <c r="C230" s="270">
        <f>C229+1</f>
        <v>2014</v>
      </c>
      <c r="D230" s="263">
        <f t="shared" ref="D230:D272" ca="1" si="221">$G230*$M$12</f>
        <v>0</v>
      </c>
      <c r="E230" s="263">
        <f t="shared" ca="1" si="207"/>
        <v>0</v>
      </c>
      <c r="F230" s="263">
        <f t="shared" ca="1" si="208"/>
        <v>0</v>
      </c>
      <c r="G230" s="263">
        <f t="shared" ref="G230:G269" ca="1" si="222">CS230*$AQ$11</f>
        <v>0</v>
      </c>
      <c r="H230" s="15"/>
      <c r="I230" s="271">
        <f ca="1">Assumptions!O$64</f>
        <v>3.8</v>
      </c>
      <c r="J230" s="271">
        <f ca="1">Assumptions!P$64</f>
        <v>92</v>
      </c>
      <c r="K230" s="271">
        <f t="shared" ca="1" si="209"/>
        <v>46</v>
      </c>
      <c r="L230" s="15"/>
      <c r="M230" s="35">
        <f t="shared" ref="M230:M269" ca="1" si="223">I230*$R$5</f>
        <v>3.5719999999999996</v>
      </c>
      <c r="N230" s="35">
        <f t="shared" ca="1" si="210"/>
        <v>85.56</v>
      </c>
      <c r="O230" s="35">
        <f t="shared" ca="1" si="211"/>
        <v>42.78</v>
      </c>
      <c r="P230" s="15"/>
      <c r="Q230" s="34">
        <f t="shared" ref="Q230:Q269" ca="1" si="224">D230*M230</f>
        <v>0</v>
      </c>
      <c r="R230" s="34">
        <f t="shared" ref="R230:R269" ca="1" si="225">E230*N230</f>
        <v>0</v>
      </c>
      <c r="S230" s="34">
        <f t="shared" ref="S230:S269" ca="1" si="226">F230*O230</f>
        <v>0</v>
      </c>
      <c r="T230" s="34">
        <f t="shared" ref="T230:T270" ca="1" si="227">SUM(Q230:S230)</f>
        <v>0</v>
      </c>
      <c r="U230" s="15"/>
      <c r="V230" s="35">
        <f t="shared" ref="V230:V269" si="228">$M$18</f>
        <v>0.31</v>
      </c>
      <c r="W230" s="34">
        <f t="shared" ref="W230:W267" ca="1" si="229">V230*$G230/(1-$M$6)</f>
        <v>0</v>
      </c>
      <c r="X230" s="35">
        <f t="shared" ref="X230:X269" si="230">$M$17</f>
        <v>0.37</v>
      </c>
      <c r="Y230" s="34">
        <f t="shared" ref="Y230:Y269" ca="1" si="231">X230*$G230/(1-$M$6)</f>
        <v>0</v>
      </c>
      <c r="Z230" s="35">
        <f t="shared" ref="Z230:Z269" si="232">$M$19</f>
        <v>0.57999999999999996</v>
      </c>
      <c r="AA230" s="34">
        <f t="shared" ref="AA230:AA269" ca="1" si="233">Z230*$G230/(1-$M$6)</f>
        <v>0</v>
      </c>
      <c r="AB230" s="34">
        <f t="shared" ref="AB230:AB269" ca="1" si="234">W230+Y230+AA230</f>
        <v>0</v>
      </c>
      <c r="AC230" s="15"/>
      <c r="AD230" s="34">
        <f t="shared" ref="AD230:AD269" ca="1" si="235">T230-AB230</f>
        <v>0</v>
      </c>
      <c r="AE230" s="34">
        <f ca="1"/>
        <v>0</v>
      </c>
      <c r="AF230" s="34">
        <f t="shared" ref="AF230:AF269" ca="1" si="236">AD230-AE230</f>
        <v>0</v>
      </c>
      <c r="AG230" s="15"/>
      <c r="AH230" s="272">
        <f>EOMONTH(AH229,12)</f>
        <v>42004</v>
      </c>
      <c r="AI230" s="267">
        <f t="shared" si="212"/>
        <v>0.66666666666666674</v>
      </c>
      <c r="AJ230" s="267">
        <f t="shared" si="213"/>
        <v>0.93843646859669738</v>
      </c>
      <c r="AK230" s="34">
        <f ca="1">AJ230*AF230</f>
        <v>0</v>
      </c>
      <c r="AL230" s="233"/>
      <c r="AN230" s="232"/>
      <c r="AO230" s="237">
        <f t="shared" ref="AO230:AO245" si="237">AO180</f>
        <v>1</v>
      </c>
      <c r="AP230" s="34">
        <f t="shared" ref="AP230:AS230" ca="1" si="238">+AP180</f>
        <v>624.10624507071179</v>
      </c>
      <c r="AQ230" s="34">
        <f t="shared" ca="1" si="238"/>
        <v>4.1281178960290754</v>
      </c>
      <c r="AR230" s="34">
        <f t="shared" ca="1" si="238"/>
        <v>0</v>
      </c>
      <c r="AS230" s="34">
        <f t="shared" ca="1" si="238"/>
        <v>648.87495244688625</v>
      </c>
      <c r="AT230" s="15"/>
      <c r="AW230" s="34">
        <f t="shared" ref="AW230:AW269" ca="1" si="239">AP230*(1-$M$6)</f>
        <v>624.10624507071179</v>
      </c>
      <c r="AX230" s="34">
        <f t="shared" ca="1" si="215"/>
        <v>4.1281178960290754</v>
      </c>
      <c r="AY230" s="34">
        <f t="shared" ca="1" si="216"/>
        <v>0</v>
      </c>
      <c r="AZ230" s="34">
        <f t="shared" ca="1" si="217"/>
        <v>648.87495244688625</v>
      </c>
      <c r="BB230" s="34">
        <f t="shared" ref="BB230:BQ245" ca="1" si="240">IF($AO230&lt;BB$228,0,OFFSET($AZ$228,$AO230-BB$228+1,0)*BB$226)</f>
        <v>0</v>
      </c>
      <c r="BC230" s="34">
        <f t="shared" ca="1" si="218"/>
        <v>0</v>
      </c>
      <c r="BD230" s="34">
        <f t="shared" ca="1" si="218"/>
        <v>0</v>
      </c>
      <c r="BE230" s="34">
        <f t="shared" ca="1" si="218"/>
        <v>0</v>
      </c>
      <c r="BF230" s="34">
        <f t="shared" ca="1" si="218"/>
        <v>0</v>
      </c>
      <c r="BG230" s="34">
        <f t="shared" ca="1" si="218"/>
        <v>0</v>
      </c>
      <c r="BH230" s="34">
        <f t="shared" ca="1" si="218"/>
        <v>0</v>
      </c>
      <c r="BI230" s="34">
        <f t="shared" ca="1" si="218"/>
        <v>0</v>
      </c>
      <c r="BJ230" s="34">
        <f t="shared" ca="1" si="218"/>
        <v>0</v>
      </c>
      <c r="BK230" s="34">
        <f t="shared" ca="1" si="218"/>
        <v>0</v>
      </c>
      <c r="BL230" s="34">
        <f t="shared" ca="1" si="218"/>
        <v>0</v>
      </c>
      <c r="BM230" s="34">
        <f t="shared" ca="1" si="218"/>
        <v>0</v>
      </c>
      <c r="BN230" s="34">
        <f t="shared" ca="1" si="218"/>
        <v>0</v>
      </c>
      <c r="BO230" s="34">
        <f t="shared" ca="1" si="218"/>
        <v>0</v>
      </c>
      <c r="BP230" s="34">
        <f t="shared" ca="1" si="218"/>
        <v>0</v>
      </c>
      <c r="BQ230" s="34">
        <f t="shared" ca="1" si="218"/>
        <v>0</v>
      </c>
      <c r="BR230" s="34">
        <f t="shared" ca="1" si="218"/>
        <v>0</v>
      </c>
      <c r="BS230" s="34">
        <f t="shared" ca="1" si="219"/>
        <v>0</v>
      </c>
      <c r="BT230" s="34">
        <f t="shared" ca="1" si="219"/>
        <v>0</v>
      </c>
      <c r="BU230" s="34">
        <f t="shared" ca="1" si="219"/>
        <v>0</v>
      </c>
      <c r="BV230" s="34">
        <f t="shared" ca="1" si="219"/>
        <v>0</v>
      </c>
      <c r="BW230" s="34">
        <f t="shared" ca="1" si="219"/>
        <v>0</v>
      </c>
      <c r="BX230" s="34">
        <f t="shared" ca="1" si="219"/>
        <v>0</v>
      </c>
      <c r="BY230" s="34">
        <f t="shared" ca="1" si="219"/>
        <v>0</v>
      </c>
      <c r="BZ230" s="34">
        <f t="shared" ca="1" si="219"/>
        <v>0</v>
      </c>
      <c r="CA230" s="34">
        <f t="shared" ca="1" si="219"/>
        <v>0</v>
      </c>
      <c r="CB230" s="34">
        <f t="shared" ca="1" si="219"/>
        <v>0</v>
      </c>
      <c r="CC230" s="34">
        <f t="shared" ca="1" si="219"/>
        <v>0</v>
      </c>
      <c r="CD230" s="34">
        <f t="shared" ca="1" si="219"/>
        <v>0</v>
      </c>
      <c r="CE230" s="34">
        <f t="shared" ca="1" si="219"/>
        <v>0</v>
      </c>
      <c r="CF230" s="34">
        <f t="shared" ca="1" si="219"/>
        <v>0</v>
      </c>
      <c r="CG230" s="34">
        <f t="shared" ca="1" si="219"/>
        <v>0</v>
      </c>
      <c r="CH230" s="34">
        <f t="shared" ca="1" si="219"/>
        <v>0</v>
      </c>
      <c r="CI230" s="34">
        <f t="shared" ca="1" si="220"/>
        <v>0</v>
      </c>
      <c r="CJ230" s="34">
        <f t="shared" ca="1" si="220"/>
        <v>0</v>
      </c>
      <c r="CK230" s="34">
        <f t="shared" ca="1" si="220"/>
        <v>0</v>
      </c>
      <c r="CL230" s="34">
        <f t="shared" ca="1" si="220"/>
        <v>0</v>
      </c>
      <c r="CM230" s="34">
        <f t="shared" ca="1" si="220"/>
        <v>0</v>
      </c>
      <c r="CN230" s="34">
        <f t="shared" ca="1" si="220"/>
        <v>0</v>
      </c>
      <c r="CO230" s="34">
        <f t="shared" ca="1" si="220"/>
        <v>0</v>
      </c>
      <c r="CP230" s="34">
        <f t="shared" ca="1" si="220"/>
        <v>0</v>
      </c>
      <c r="CQ230" s="34">
        <f t="shared" ref="CQ230:CQ269" ca="1" si="241">SUM(BB230:CP230)</f>
        <v>0</v>
      </c>
      <c r="CR230" s="363">
        <v>0</v>
      </c>
      <c r="CS230" s="34">
        <f t="shared" ref="CS230:CS269" ca="1" si="242">CQ230+CR230</f>
        <v>0</v>
      </c>
      <c r="CT230" s="233"/>
    </row>
    <row r="231" spans="2:98" x14ac:dyDescent="0.3">
      <c r="B231" s="232"/>
      <c r="C231" s="250">
        <f t="shared" ref="C231:C269" si="243">C230+1</f>
        <v>2015</v>
      </c>
      <c r="D231" s="263">
        <f t="shared" ca="1" si="221"/>
        <v>0</v>
      </c>
      <c r="E231" s="263">
        <f t="shared" ca="1" si="207"/>
        <v>0</v>
      </c>
      <c r="F231" s="263">
        <f t="shared" ca="1" si="208"/>
        <v>0</v>
      </c>
      <c r="G231" s="263">
        <f t="shared" ca="1" si="222"/>
        <v>0</v>
      </c>
      <c r="H231" s="15"/>
      <c r="I231" s="271">
        <f ca="1">Assumptions!O$65</f>
        <v>4</v>
      </c>
      <c r="J231" s="271">
        <f ca="1">Assumptions!P$65</f>
        <v>88</v>
      </c>
      <c r="K231" s="271">
        <f t="shared" ca="1" si="209"/>
        <v>44</v>
      </c>
      <c r="L231" s="15"/>
      <c r="M231" s="35">
        <f t="shared" ca="1" si="223"/>
        <v>3.76</v>
      </c>
      <c r="N231" s="35">
        <f t="shared" ca="1" si="210"/>
        <v>81.84</v>
      </c>
      <c r="O231" s="35">
        <f t="shared" ca="1" si="211"/>
        <v>40.92</v>
      </c>
      <c r="P231" s="15"/>
      <c r="Q231" s="34">
        <f t="shared" ca="1" si="224"/>
        <v>0</v>
      </c>
      <c r="R231" s="34">
        <f t="shared" ca="1" si="225"/>
        <v>0</v>
      </c>
      <c r="S231" s="34">
        <f t="shared" ca="1" si="226"/>
        <v>0</v>
      </c>
      <c r="T231" s="34">
        <f t="shared" ca="1" si="227"/>
        <v>0</v>
      </c>
      <c r="U231" s="15"/>
      <c r="V231" s="35">
        <f t="shared" si="228"/>
        <v>0.31</v>
      </c>
      <c r="W231" s="34">
        <f t="shared" ca="1" si="229"/>
        <v>0</v>
      </c>
      <c r="X231" s="35">
        <f t="shared" si="230"/>
        <v>0.37</v>
      </c>
      <c r="Y231" s="34">
        <f t="shared" ca="1" si="231"/>
        <v>0</v>
      </c>
      <c r="Z231" s="35">
        <f t="shared" si="232"/>
        <v>0.57999999999999996</v>
      </c>
      <c r="AA231" s="34">
        <f t="shared" ca="1" si="233"/>
        <v>0</v>
      </c>
      <c r="AB231" s="34">
        <f t="shared" ca="1" si="234"/>
        <v>0</v>
      </c>
      <c r="AC231" s="15"/>
      <c r="AD231" s="34">
        <f t="shared" ca="1" si="235"/>
        <v>0</v>
      </c>
      <c r="AE231" s="34">
        <f ca="1"/>
        <v>0</v>
      </c>
      <c r="AF231" s="34">
        <f t="shared" ca="1" si="236"/>
        <v>0</v>
      </c>
      <c r="AG231" s="15"/>
      <c r="AH231" s="272">
        <f t="shared" ref="AH231:AH269" si="244">EOMONTH(AH230,12)</f>
        <v>42369</v>
      </c>
      <c r="AI231" s="267">
        <f t="shared" si="212"/>
        <v>1.6666666666666665</v>
      </c>
      <c r="AJ231" s="267">
        <f t="shared" si="213"/>
        <v>0.85312406236063398</v>
      </c>
      <c r="AK231" s="34">
        <f t="shared" ref="AK231:AK269" ca="1" si="245">AJ231*AF231</f>
        <v>0</v>
      </c>
      <c r="AL231" s="233"/>
      <c r="AN231" s="232"/>
      <c r="AO231" s="237">
        <f t="shared" si="237"/>
        <v>2</v>
      </c>
      <c r="AP231" s="34">
        <f t="shared" ref="AP231:AS231" ca="1" si="246">+AP181</f>
        <v>452.18640427824948</v>
      </c>
      <c r="AQ231" s="34">
        <f t="shared" ca="1" si="246"/>
        <v>2.9909631614575236</v>
      </c>
      <c r="AR231" s="34">
        <f t="shared" ca="1" si="246"/>
        <v>0</v>
      </c>
      <c r="AS231" s="34">
        <f t="shared" ca="1" si="246"/>
        <v>470.1321832469946</v>
      </c>
      <c r="AT231" s="15"/>
      <c r="AW231" s="34">
        <f t="shared" ca="1" si="239"/>
        <v>452.18640427824948</v>
      </c>
      <c r="AX231" s="34">
        <f t="shared" ca="1" si="215"/>
        <v>2.9909631614575236</v>
      </c>
      <c r="AY231" s="34">
        <f t="shared" ca="1" si="216"/>
        <v>0</v>
      </c>
      <c r="AZ231" s="34">
        <f t="shared" ca="1" si="217"/>
        <v>470.1321832469946</v>
      </c>
      <c r="BB231" s="34">
        <f t="shared" ca="1" si="240"/>
        <v>0</v>
      </c>
      <c r="BC231" s="34">
        <f t="shared" ca="1" si="218"/>
        <v>0</v>
      </c>
      <c r="BD231" s="34">
        <f t="shared" ca="1" si="218"/>
        <v>0</v>
      </c>
      <c r="BE231" s="34">
        <f t="shared" ca="1" si="218"/>
        <v>0</v>
      </c>
      <c r="BF231" s="34">
        <f t="shared" ca="1" si="218"/>
        <v>0</v>
      </c>
      <c r="BG231" s="34">
        <f t="shared" ca="1" si="218"/>
        <v>0</v>
      </c>
      <c r="BH231" s="34">
        <f t="shared" ca="1" si="218"/>
        <v>0</v>
      </c>
      <c r="BI231" s="34">
        <f t="shared" ca="1" si="218"/>
        <v>0</v>
      </c>
      <c r="BJ231" s="34">
        <f t="shared" ca="1" si="218"/>
        <v>0</v>
      </c>
      <c r="BK231" s="34">
        <f t="shared" ca="1" si="218"/>
        <v>0</v>
      </c>
      <c r="BL231" s="34">
        <f t="shared" ca="1" si="218"/>
        <v>0</v>
      </c>
      <c r="BM231" s="34">
        <f t="shared" ca="1" si="218"/>
        <v>0</v>
      </c>
      <c r="BN231" s="34">
        <f t="shared" ca="1" si="218"/>
        <v>0</v>
      </c>
      <c r="BO231" s="34">
        <f t="shared" ca="1" si="218"/>
        <v>0</v>
      </c>
      <c r="BP231" s="34">
        <f t="shared" ca="1" si="218"/>
        <v>0</v>
      </c>
      <c r="BQ231" s="34">
        <f t="shared" ca="1" si="218"/>
        <v>0</v>
      </c>
      <c r="BR231" s="34">
        <f t="shared" ca="1" si="218"/>
        <v>0</v>
      </c>
      <c r="BS231" s="34">
        <f t="shared" ca="1" si="219"/>
        <v>0</v>
      </c>
      <c r="BT231" s="34">
        <f t="shared" ca="1" si="219"/>
        <v>0</v>
      </c>
      <c r="BU231" s="34">
        <f t="shared" ca="1" si="219"/>
        <v>0</v>
      </c>
      <c r="BV231" s="34">
        <f t="shared" ca="1" si="219"/>
        <v>0</v>
      </c>
      <c r="BW231" s="34">
        <f t="shared" ca="1" si="219"/>
        <v>0</v>
      </c>
      <c r="BX231" s="34">
        <f t="shared" ca="1" si="219"/>
        <v>0</v>
      </c>
      <c r="BY231" s="34">
        <f t="shared" ca="1" si="219"/>
        <v>0</v>
      </c>
      <c r="BZ231" s="34">
        <f t="shared" ca="1" si="219"/>
        <v>0</v>
      </c>
      <c r="CA231" s="34">
        <f t="shared" ca="1" si="219"/>
        <v>0</v>
      </c>
      <c r="CB231" s="34">
        <f t="shared" ca="1" si="219"/>
        <v>0</v>
      </c>
      <c r="CC231" s="34">
        <f t="shared" ca="1" si="219"/>
        <v>0</v>
      </c>
      <c r="CD231" s="34">
        <f t="shared" ca="1" si="219"/>
        <v>0</v>
      </c>
      <c r="CE231" s="34">
        <f t="shared" ca="1" si="219"/>
        <v>0</v>
      </c>
      <c r="CF231" s="34">
        <f t="shared" ca="1" si="219"/>
        <v>0</v>
      </c>
      <c r="CG231" s="34">
        <f t="shared" ca="1" si="219"/>
        <v>0</v>
      </c>
      <c r="CH231" s="34">
        <f t="shared" ca="1" si="219"/>
        <v>0</v>
      </c>
      <c r="CI231" s="34">
        <f t="shared" ca="1" si="220"/>
        <v>0</v>
      </c>
      <c r="CJ231" s="34">
        <f t="shared" ca="1" si="220"/>
        <v>0</v>
      </c>
      <c r="CK231" s="34">
        <f t="shared" ca="1" si="220"/>
        <v>0</v>
      </c>
      <c r="CL231" s="34">
        <f t="shared" ca="1" si="220"/>
        <v>0</v>
      </c>
      <c r="CM231" s="34">
        <f t="shared" ca="1" si="220"/>
        <v>0</v>
      </c>
      <c r="CN231" s="34">
        <f t="shared" ca="1" si="220"/>
        <v>0</v>
      </c>
      <c r="CO231" s="34">
        <f t="shared" ca="1" si="220"/>
        <v>0</v>
      </c>
      <c r="CP231" s="34">
        <f t="shared" ca="1" si="220"/>
        <v>0</v>
      </c>
      <c r="CQ231" s="34">
        <f t="shared" ca="1" si="241"/>
        <v>0</v>
      </c>
      <c r="CR231" s="363">
        <v>0</v>
      </c>
      <c r="CS231" s="34">
        <f t="shared" ca="1" si="242"/>
        <v>0</v>
      </c>
      <c r="CT231" s="233"/>
    </row>
    <row r="232" spans="2:98" x14ac:dyDescent="0.3">
      <c r="B232" s="232"/>
      <c r="C232" s="250">
        <f t="shared" si="243"/>
        <v>2016</v>
      </c>
      <c r="D232" s="263">
        <f t="shared" ca="1" si="221"/>
        <v>0</v>
      </c>
      <c r="E232" s="263">
        <f t="shared" ca="1" si="207"/>
        <v>0</v>
      </c>
      <c r="F232" s="263">
        <f t="shared" ca="1" si="208"/>
        <v>0</v>
      </c>
      <c r="G232" s="263">
        <f t="shared" ca="1" si="222"/>
        <v>0</v>
      </c>
      <c r="H232" s="15"/>
      <c r="I232" s="271">
        <f ca="1">Assumptions!O$66</f>
        <v>4.0999999999999996</v>
      </c>
      <c r="J232" s="271">
        <f ca="1">Assumptions!P$66</f>
        <v>84</v>
      </c>
      <c r="K232" s="271">
        <f t="shared" ca="1" si="209"/>
        <v>42</v>
      </c>
      <c r="L232" s="15"/>
      <c r="M232" s="35">
        <f t="shared" ca="1" si="223"/>
        <v>3.8539999999999996</v>
      </c>
      <c r="N232" s="35">
        <f t="shared" ca="1" si="210"/>
        <v>78.12</v>
      </c>
      <c r="O232" s="35">
        <f t="shared" ca="1" si="211"/>
        <v>39.06</v>
      </c>
      <c r="P232" s="15"/>
      <c r="Q232" s="34">
        <f t="shared" ca="1" si="224"/>
        <v>0</v>
      </c>
      <c r="R232" s="34">
        <f t="shared" ca="1" si="225"/>
        <v>0</v>
      </c>
      <c r="S232" s="34">
        <f t="shared" ca="1" si="226"/>
        <v>0</v>
      </c>
      <c r="T232" s="34">
        <f t="shared" ca="1" si="227"/>
        <v>0</v>
      </c>
      <c r="U232" s="15"/>
      <c r="V232" s="35">
        <f t="shared" si="228"/>
        <v>0.31</v>
      </c>
      <c r="W232" s="34">
        <f t="shared" ca="1" si="229"/>
        <v>0</v>
      </c>
      <c r="X232" s="35">
        <f t="shared" si="230"/>
        <v>0.37</v>
      </c>
      <c r="Y232" s="34">
        <f t="shared" ca="1" si="231"/>
        <v>0</v>
      </c>
      <c r="Z232" s="35">
        <f t="shared" si="232"/>
        <v>0.57999999999999996</v>
      </c>
      <c r="AA232" s="34">
        <f t="shared" ca="1" si="233"/>
        <v>0</v>
      </c>
      <c r="AB232" s="34">
        <f t="shared" ca="1" si="234"/>
        <v>0</v>
      </c>
      <c r="AC232" s="15"/>
      <c r="AD232" s="34">
        <f t="shared" ca="1" si="235"/>
        <v>0</v>
      </c>
      <c r="AE232" s="34">
        <f ca="1"/>
        <v>0</v>
      </c>
      <c r="AF232" s="34">
        <f t="shared" ca="1" si="236"/>
        <v>0</v>
      </c>
      <c r="AG232" s="15"/>
      <c r="AH232" s="272">
        <f t="shared" si="244"/>
        <v>42735</v>
      </c>
      <c r="AI232" s="267">
        <f t="shared" si="212"/>
        <v>2.6666666666666665</v>
      </c>
      <c r="AJ232" s="267">
        <f t="shared" si="213"/>
        <v>0.77556732941875806</v>
      </c>
      <c r="AK232" s="34">
        <f t="shared" ca="1" si="245"/>
        <v>0</v>
      </c>
      <c r="AL232" s="233"/>
      <c r="AN232" s="232"/>
      <c r="AO232" s="237">
        <f t="shared" si="237"/>
        <v>3</v>
      </c>
      <c r="AP232" s="34">
        <f t="shared" ref="AP232:AS232" ca="1" si="247">+AP182</f>
        <v>365.59640341440161</v>
      </c>
      <c r="AQ232" s="34">
        <f t="shared" ca="1" si="247"/>
        <v>2.4182181600952579</v>
      </c>
      <c r="AR232" s="34">
        <f t="shared" ca="1" si="247"/>
        <v>0</v>
      </c>
      <c r="AS232" s="34">
        <f t="shared" ca="1" si="247"/>
        <v>380.10571237497317</v>
      </c>
      <c r="AT232" s="15"/>
      <c r="AW232" s="34">
        <f t="shared" ca="1" si="239"/>
        <v>365.59640341440161</v>
      </c>
      <c r="AX232" s="34">
        <f t="shared" ca="1" si="215"/>
        <v>2.4182181600952579</v>
      </c>
      <c r="AY232" s="34">
        <f t="shared" ca="1" si="216"/>
        <v>0</v>
      </c>
      <c r="AZ232" s="34">
        <f t="shared" ca="1" si="217"/>
        <v>380.10571237497317</v>
      </c>
      <c r="BB232" s="34">
        <f t="shared" ca="1" si="240"/>
        <v>0</v>
      </c>
      <c r="BC232" s="34">
        <f t="shared" ca="1" si="218"/>
        <v>0</v>
      </c>
      <c r="BD232" s="34">
        <f t="shared" ca="1" si="218"/>
        <v>0</v>
      </c>
      <c r="BE232" s="34">
        <f t="shared" ca="1" si="218"/>
        <v>0</v>
      </c>
      <c r="BF232" s="34">
        <f t="shared" ca="1" si="218"/>
        <v>0</v>
      </c>
      <c r="BG232" s="34">
        <f t="shared" ca="1" si="218"/>
        <v>0</v>
      </c>
      <c r="BH232" s="34">
        <f t="shared" ca="1" si="218"/>
        <v>0</v>
      </c>
      <c r="BI232" s="34">
        <f t="shared" ca="1" si="218"/>
        <v>0</v>
      </c>
      <c r="BJ232" s="34">
        <f t="shared" ca="1" si="218"/>
        <v>0</v>
      </c>
      <c r="BK232" s="34">
        <f t="shared" ca="1" si="218"/>
        <v>0</v>
      </c>
      <c r="BL232" s="34">
        <f t="shared" ca="1" si="218"/>
        <v>0</v>
      </c>
      <c r="BM232" s="34">
        <f t="shared" ca="1" si="218"/>
        <v>0</v>
      </c>
      <c r="BN232" s="34">
        <f t="shared" ca="1" si="218"/>
        <v>0</v>
      </c>
      <c r="BO232" s="34">
        <f t="shared" ca="1" si="218"/>
        <v>0</v>
      </c>
      <c r="BP232" s="34">
        <f t="shared" ca="1" si="218"/>
        <v>0</v>
      </c>
      <c r="BQ232" s="34">
        <f t="shared" ca="1" si="218"/>
        <v>0</v>
      </c>
      <c r="BR232" s="34">
        <f t="shared" ca="1" si="218"/>
        <v>0</v>
      </c>
      <c r="BS232" s="34">
        <f t="shared" ca="1" si="219"/>
        <v>0</v>
      </c>
      <c r="BT232" s="34">
        <f t="shared" ca="1" si="219"/>
        <v>0</v>
      </c>
      <c r="BU232" s="34">
        <f t="shared" ca="1" si="219"/>
        <v>0</v>
      </c>
      <c r="BV232" s="34">
        <f t="shared" ca="1" si="219"/>
        <v>0</v>
      </c>
      <c r="BW232" s="34">
        <f t="shared" ca="1" si="219"/>
        <v>0</v>
      </c>
      <c r="BX232" s="34">
        <f t="shared" ca="1" si="219"/>
        <v>0</v>
      </c>
      <c r="BY232" s="34">
        <f t="shared" ca="1" si="219"/>
        <v>0</v>
      </c>
      <c r="BZ232" s="34">
        <f t="shared" ca="1" si="219"/>
        <v>0</v>
      </c>
      <c r="CA232" s="34">
        <f t="shared" ca="1" si="219"/>
        <v>0</v>
      </c>
      <c r="CB232" s="34">
        <f t="shared" ca="1" si="219"/>
        <v>0</v>
      </c>
      <c r="CC232" s="34">
        <f t="shared" ca="1" si="219"/>
        <v>0</v>
      </c>
      <c r="CD232" s="34">
        <f t="shared" ca="1" si="219"/>
        <v>0</v>
      </c>
      <c r="CE232" s="34">
        <f t="shared" ca="1" si="219"/>
        <v>0</v>
      </c>
      <c r="CF232" s="34">
        <f t="shared" ca="1" si="219"/>
        <v>0</v>
      </c>
      <c r="CG232" s="34">
        <f t="shared" ca="1" si="219"/>
        <v>0</v>
      </c>
      <c r="CH232" s="34">
        <f t="shared" ca="1" si="219"/>
        <v>0</v>
      </c>
      <c r="CI232" s="34">
        <f t="shared" ca="1" si="220"/>
        <v>0</v>
      </c>
      <c r="CJ232" s="34">
        <f t="shared" ca="1" si="220"/>
        <v>0</v>
      </c>
      <c r="CK232" s="34">
        <f t="shared" ca="1" si="220"/>
        <v>0</v>
      </c>
      <c r="CL232" s="34">
        <f t="shared" ca="1" si="220"/>
        <v>0</v>
      </c>
      <c r="CM232" s="34">
        <f t="shared" ca="1" si="220"/>
        <v>0</v>
      </c>
      <c r="CN232" s="34">
        <f t="shared" ca="1" si="220"/>
        <v>0</v>
      </c>
      <c r="CO232" s="34">
        <f t="shared" ca="1" si="220"/>
        <v>0</v>
      </c>
      <c r="CP232" s="34">
        <f t="shared" ca="1" si="220"/>
        <v>0</v>
      </c>
      <c r="CQ232" s="34">
        <f t="shared" ca="1" si="241"/>
        <v>0</v>
      </c>
      <c r="CR232" s="363">
        <v>0</v>
      </c>
      <c r="CS232" s="34">
        <f t="shared" ca="1" si="242"/>
        <v>0</v>
      </c>
      <c r="CT232" s="233"/>
    </row>
    <row r="233" spans="2:98" x14ac:dyDescent="0.3">
      <c r="B233" s="232"/>
      <c r="C233" s="250">
        <f t="shared" si="243"/>
        <v>2017</v>
      </c>
      <c r="D233" s="263">
        <f t="shared" ca="1" si="221"/>
        <v>0</v>
      </c>
      <c r="E233" s="263">
        <f t="shared" ca="1" si="207"/>
        <v>0</v>
      </c>
      <c r="F233" s="263">
        <f t="shared" ca="1" si="208"/>
        <v>0</v>
      </c>
      <c r="G233" s="263">
        <f t="shared" ca="1" si="222"/>
        <v>0</v>
      </c>
      <c r="H233" s="15"/>
      <c r="I233" s="271">
        <f ca="1">Assumptions!O$67</f>
        <v>4.2</v>
      </c>
      <c r="J233" s="271">
        <f ca="1">Assumptions!P$67</f>
        <v>82</v>
      </c>
      <c r="K233" s="271">
        <f t="shared" ca="1" si="209"/>
        <v>41</v>
      </c>
      <c r="L233" s="15"/>
      <c r="M233" s="35">
        <f t="shared" ca="1" si="223"/>
        <v>3.948</v>
      </c>
      <c r="N233" s="35">
        <f t="shared" ca="1" si="210"/>
        <v>76.260000000000005</v>
      </c>
      <c r="O233" s="35">
        <f t="shared" ca="1" si="211"/>
        <v>38.130000000000003</v>
      </c>
      <c r="P233" s="15"/>
      <c r="Q233" s="34">
        <f t="shared" ca="1" si="224"/>
        <v>0</v>
      </c>
      <c r="R233" s="34">
        <f t="shared" ca="1" si="225"/>
        <v>0</v>
      </c>
      <c r="S233" s="34">
        <f t="shared" ca="1" si="226"/>
        <v>0</v>
      </c>
      <c r="T233" s="34">
        <f t="shared" ca="1" si="227"/>
        <v>0</v>
      </c>
      <c r="U233" s="15"/>
      <c r="V233" s="35">
        <f t="shared" si="228"/>
        <v>0.31</v>
      </c>
      <c r="W233" s="34">
        <f t="shared" ca="1" si="229"/>
        <v>0</v>
      </c>
      <c r="X233" s="35">
        <f t="shared" si="230"/>
        <v>0.37</v>
      </c>
      <c r="Y233" s="34">
        <f t="shared" ca="1" si="231"/>
        <v>0</v>
      </c>
      <c r="Z233" s="35">
        <f t="shared" si="232"/>
        <v>0.57999999999999996</v>
      </c>
      <c r="AA233" s="34">
        <f t="shared" ca="1" si="233"/>
        <v>0</v>
      </c>
      <c r="AB233" s="34">
        <f t="shared" ca="1" si="234"/>
        <v>0</v>
      </c>
      <c r="AC233" s="15"/>
      <c r="AD233" s="34">
        <f t="shared" ca="1" si="235"/>
        <v>0</v>
      </c>
      <c r="AE233" s="34">
        <f ca="1"/>
        <v>0</v>
      </c>
      <c r="AF233" s="34">
        <f t="shared" ca="1" si="236"/>
        <v>0</v>
      </c>
      <c r="AG233" s="15"/>
      <c r="AH233" s="272">
        <f t="shared" si="244"/>
        <v>43100</v>
      </c>
      <c r="AI233" s="267">
        <f t="shared" si="212"/>
        <v>3.666666666666667</v>
      </c>
      <c r="AJ233" s="267">
        <f t="shared" si="213"/>
        <v>0.7050612085625072</v>
      </c>
      <c r="AK233" s="34">
        <f t="shared" ca="1" si="245"/>
        <v>0</v>
      </c>
      <c r="AL233" s="233"/>
      <c r="AN233" s="232"/>
      <c r="AO233" s="237">
        <f t="shared" si="237"/>
        <v>4</v>
      </c>
      <c r="AP233" s="34">
        <f t="shared" ref="AP233:AS233" ca="1" si="248">+AP183</f>
        <v>311.73571482763862</v>
      </c>
      <c r="AQ233" s="34">
        <f t="shared" ca="1" si="248"/>
        <v>2.06195947144478</v>
      </c>
      <c r="AR233" s="34">
        <f t="shared" ca="1" si="248"/>
        <v>0</v>
      </c>
      <c r="AS233" s="34">
        <f t="shared" ca="1" si="248"/>
        <v>324.10747165630727</v>
      </c>
      <c r="AT233" s="15"/>
      <c r="AW233" s="34">
        <f t="shared" ca="1" si="239"/>
        <v>311.73571482763862</v>
      </c>
      <c r="AX233" s="34">
        <f t="shared" ca="1" si="215"/>
        <v>2.06195947144478</v>
      </c>
      <c r="AY233" s="34">
        <f t="shared" ca="1" si="216"/>
        <v>0</v>
      </c>
      <c r="AZ233" s="34">
        <f t="shared" ca="1" si="217"/>
        <v>324.10747165630727</v>
      </c>
      <c r="BB233" s="34">
        <f t="shared" ca="1" si="240"/>
        <v>0</v>
      </c>
      <c r="BC233" s="34">
        <f t="shared" ca="1" si="218"/>
        <v>0</v>
      </c>
      <c r="BD233" s="34">
        <f t="shared" ca="1" si="218"/>
        <v>0</v>
      </c>
      <c r="BE233" s="34">
        <f t="shared" ca="1" si="218"/>
        <v>0</v>
      </c>
      <c r="BF233" s="34">
        <f t="shared" ca="1" si="218"/>
        <v>0</v>
      </c>
      <c r="BG233" s="34">
        <f t="shared" ca="1" si="218"/>
        <v>0</v>
      </c>
      <c r="BH233" s="34">
        <f t="shared" ca="1" si="218"/>
        <v>0</v>
      </c>
      <c r="BI233" s="34">
        <f t="shared" ca="1" si="218"/>
        <v>0</v>
      </c>
      <c r="BJ233" s="34">
        <f t="shared" ca="1" si="218"/>
        <v>0</v>
      </c>
      <c r="BK233" s="34">
        <f t="shared" ca="1" si="218"/>
        <v>0</v>
      </c>
      <c r="BL233" s="34">
        <f t="shared" ca="1" si="218"/>
        <v>0</v>
      </c>
      <c r="BM233" s="34">
        <f t="shared" ca="1" si="218"/>
        <v>0</v>
      </c>
      <c r="BN233" s="34">
        <f t="shared" ca="1" si="218"/>
        <v>0</v>
      </c>
      <c r="BO233" s="34">
        <f t="shared" ca="1" si="218"/>
        <v>0</v>
      </c>
      <c r="BP233" s="34">
        <f t="shared" ca="1" si="218"/>
        <v>0</v>
      </c>
      <c r="BQ233" s="34">
        <f t="shared" ca="1" si="218"/>
        <v>0</v>
      </c>
      <c r="BR233" s="34">
        <f t="shared" ca="1" si="218"/>
        <v>0</v>
      </c>
      <c r="BS233" s="34">
        <f t="shared" ca="1" si="219"/>
        <v>0</v>
      </c>
      <c r="BT233" s="34">
        <f t="shared" ca="1" si="219"/>
        <v>0</v>
      </c>
      <c r="BU233" s="34">
        <f t="shared" ca="1" si="219"/>
        <v>0</v>
      </c>
      <c r="BV233" s="34">
        <f t="shared" ca="1" si="219"/>
        <v>0</v>
      </c>
      <c r="BW233" s="34">
        <f t="shared" ca="1" si="219"/>
        <v>0</v>
      </c>
      <c r="BX233" s="34">
        <f t="shared" ca="1" si="219"/>
        <v>0</v>
      </c>
      <c r="BY233" s="34">
        <f t="shared" ca="1" si="219"/>
        <v>0</v>
      </c>
      <c r="BZ233" s="34">
        <f t="shared" ca="1" si="219"/>
        <v>0</v>
      </c>
      <c r="CA233" s="34">
        <f t="shared" ca="1" si="219"/>
        <v>0</v>
      </c>
      <c r="CB233" s="34">
        <f t="shared" ca="1" si="219"/>
        <v>0</v>
      </c>
      <c r="CC233" s="34">
        <f t="shared" ca="1" si="219"/>
        <v>0</v>
      </c>
      <c r="CD233" s="34">
        <f t="shared" ca="1" si="219"/>
        <v>0</v>
      </c>
      <c r="CE233" s="34">
        <f t="shared" ca="1" si="219"/>
        <v>0</v>
      </c>
      <c r="CF233" s="34">
        <f t="shared" ca="1" si="219"/>
        <v>0</v>
      </c>
      <c r="CG233" s="34">
        <f t="shared" ca="1" si="219"/>
        <v>0</v>
      </c>
      <c r="CH233" s="34">
        <f t="shared" ca="1" si="219"/>
        <v>0</v>
      </c>
      <c r="CI233" s="34">
        <f t="shared" ca="1" si="220"/>
        <v>0</v>
      </c>
      <c r="CJ233" s="34">
        <f t="shared" ca="1" si="220"/>
        <v>0</v>
      </c>
      <c r="CK233" s="34">
        <f t="shared" ca="1" si="220"/>
        <v>0</v>
      </c>
      <c r="CL233" s="34">
        <f t="shared" ca="1" si="220"/>
        <v>0</v>
      </c>
      <c r="CM233" s="34">
        <f t="shared" ca="1" si="220"/>
        <v>0</v>
      </c>
      <c r="CN233" s="34">
        <f t="shared" ca="1" si="220"/>
        <v>0</v>
      </c>
      <c r="CO233" s="34">
        <f t="shared" ca="1" si="220"/>
        <v>0</v>
      </c>
      <c r="CP233" s="34">
        <f t="shared" ca="1" si="220"/>
        <v>0</v>
      </c>
      <c r="CQ233" s="34">
        <f t="shared" ca="1" si="241"/>
        <v>0</v>
      </c>
      <c r="CR233" s="363">
        <v>0</v>
      </c>
      <c r="CS233" s="34">
        <f t="shared" ca="1" si="242"/>
        <v>0</v>
      </c>
      <c r="CT233" s="233"/>
    </row>
    <row r="234" spans="2:98" x14ac:dyDescent="0.3">
      <c r="B234" s="232"/>
      <c r="C234" s="250">
        <f t="shared" si="243"/>
        <v>2018</v>
      </c>
      <c r="D234" s="263">
        <f t="shared" ca="1" si="221"/>
        <v>0</v>
      </c>
      <c r="E234" s="263">
        <f t="shared" ca="1" si="207"/>
        <v>0</v>
      </c>
      <c r="F234" s="263">
        <f t="shared" ca="1" si="208"/>
        <v>0</v>
      </c>
      <c r="G234" s="263">
        <f t="shared" ca="1" si="222"/>
        <v>0</v>
      </c>
      <c r="H234" s="15"/>
      <c r="I234" s="271">
        <f ca="1">Assumptions!O$68</f>
        <v>4.5</v>
      </c>
      <c r="J234" s="271">
        <f ca="1">Assumptions!P$68</f>
        <v>80</v>
      </c>
      <c r="K234" s="271">
        <f t="shared" ca="1" si="209"/>
        <v>40</v>
      </c>
      <c r="L234" s="15"/>
      <c r="M234" s="35">
        <f t="shared" ca="1" si="223"/>
        <v>4.2299999999999995</v>
      </c>
      <c r="N234" s="35">
        <f t="shared" ca="1" si="210"/>
        <v>74.400000000000006</v>
      </c>
      <c r="O234" s="35">
        <f t="shared" ca="1" si="211"/>
        <v>37.200000000000003</v>
      </c>
      <c r="P234" s="15"/>
      <c r="Q234" s="34">
        <f t="shared" ca="1" si="224"/>
        <v>0</v>
      </c>
      <c r="R234" s="34">
        <f t="shared" ca="1" si="225"/>
        <v>0</v>
      </c>
      <c r="S234" s="34">
        <f t="shared" ca="1" si="226"/>
        <v>0</v>
      </c>
      <c r="T234" s="34">
        <f t="shared" ca="1" si="227"/>
        <v>0</v>
      </c>
      <c r="U234" s="15"/>
      <c r="V234" s="35">
        <f t="shared" si="228"/>
        <v>0.31</v>
      </c>
      <c r="W234" s="34">
        <f t="shared" ca="1" si="229"/>
        <v>0</v>
      </c>
      <c r="X234" s="35">
        <f t="shared" si="230"/>
        <v>0.37</v>
      </c>
      <c r="Y234" s="34">
        <f t="shared" ca="1" si="231"/>
        <v>0</v>
      </c>
      <c r="Z234" s="35">
        <f t="shared" si="232"/>
        <v>0.57999999999999996</v>
      </c>
      <c r="AA234" s="34">
        <f t="shared" ca="1" si="233"/>
        <v>0</v>
      </c>
      <c r="AB234" s="34">
        <f t="shared" ca="1" si="234"/>
        <v>0</v>
      </c>
      <c r="AC234" s="15"/>
      <c r="AD234" s="34">
        <f t="shared" ca="1" si="235"/>
        <v>0</v>
      </c>
      <c r="AE234" s="34">
        <f ca="1"/>
        <v>0</v>
      </c>
      <c r="AF234" s="34">
        <f t="shared" ca="1" si="236"/>
        <v>0</v>
      </c>
      <c r="AG234" s="15"/>
      <c r="AH234" s="272">
        <f t="shared" si="244"/>
        <v>43465</v>
      </c>
      <c r="AI234" s="267">
        <f t="shared" si="212"/>
        <v>4.666666666666667</v>
      </c>
      <c r="AJ234" s="267">
        <f t="shared" si="213"/>
        <v>0.64096473505682472</v>
      </c>
      <c r="AK234" s="34">
        <f t="shared" ca="1" si="245"/>
        <v>0</v>
      </c>
      <c r="AL234" s="233"/>
      <c r="AN234" s="232"/>
      <c r="AO234" s="237">
        <f t="shared" si="237"/>
        <v>5</v>
      </c>
      <c r="AP234" s="34">
        <f t="shared" ref="AP234:AS234" ca="1" si="249">+AP184</f>
        <v>274.37402209873375</v>
      </c>
      <c r="AQ234" s="34">
        <f t="shared" ca="1" si="249"/>
        <v>1.8148325221500221</v>
      </c>
      <c r="AR234" s="34">
        <f t="shared" ca="1" si="249"/>
        <v>0</v>
      </c>
      <c r="AS234" s="34">
        <f t="shared" ca="1" si="249"/>
        <v>285.26301723163385</v>
      </c>
      <c r="AT234" s="15"/>
      <c r="AW234" s="34">
        <f t="shared" ca="1" si="239"/>
        <v>274.37402209873375</v>
      </c>
      <c r="AX234" s="34">
        <f t="shared" ca="1" si="215"/>
        <v>1.8148325221500221</v>
      </c>
      <c r="AY234" s="34">
        <f t="shared" ca="1" si="216"/>
        <v>0</v>
      </c>
      <c r="AZ234" s="34">
        <f t="shared" ca="1" si="217"/>
        <v>285.26301723163385</v>
      </c>
      <c r="BB234" s="34">
        <f t="shared" ca="1" si="240"/>
        <v>0</v>
      </c>
      <c r="BC234" s="34">
        <f t="shared" ca="1" si="218"/>
        <v>0</v>
      </c>
      <c r="BD234" s="34">
        <f t="shared" ca="1" si="218"/>
        <v>0</v>
      </c>
      <c r="BE234" s="34">
        <f t="shared" ca="1" si="218"/>
        <v>0</v>
      </c>
      <c r="BF234" s="34">
        <f t="shared" ca="1" si="218"/>
        <v>0</v>
      </c>
      <c r="BG234" s="34">
        <f t="shared" ca="1" si="218"/>
        <v>0</v>
      </c>
      <c r="BH234" s="34">
        <f t="shared" ca="1" si="218"/>
        <v>0</v>
      </c>
      <c r="BI234" s="34">
        <f t="shared" ca="1" si="218"/>
        <v>0</v>
      </c>
      <c r="BJ234" s="34">
        <f t="shared" ca="1" si="218"/>
        <v>0</v>
      </c>
      <c r="BK234" s="34">
        <f t="shared" ca="1" si="218"/>
        <v>0</v>
      </c>
      <c r="BL234" s="34">
        <f t="shared" ca="1" si="218"/>
        <v>0</v>
      </c>
      <c r="BM234" s="34">
        <f t="shared" ca="1" si="218"/>
        <v>0</v>
      </c>
      <c r="BN234" s="34">
        <f t="shared" ca="1" si="218"/>
        <v>0</v>
      </c>
      <c r="BO234" s="34">
        <f t="shared" ca="1" si="218"/>
        <v>0</v>
      </c>
      <c r="BP234" s="34">
        <f t="shared" ca="1" si="218"/>
        <v>0</v>
      </c>
      <c r="BQ234" s="34">
        <f t="shared" ca="1" si="218"/>
        <v>0</v>
      </c>
      <c r="BR234" s="34">
        <f t="shared" ca="1" si="218"/>
        <v>0</v>
      </c>
      <c r="BS234" s="34">
        <f t="shared" ca="1" si="219"/>
        <v>0</v>
      </c>
      <c r="BT234" s="34">
        <f t="shared" ca="1" si="219"/>
        <v>0</v>
      </c>
      <c r="BU234" s="34">
        <f t="shared" ca="1" si="219"/>
        <v>0</v>
      </c>
      <c r="BV234" s="34">
        <f t="shared" ca="1" si="219"/>
        <v>0</v>
      </c>
      <c r="BW234" s="34">
        <f t="shared" ca="1" si="219"/>
        <v>0</v>
      </c>
      <c r="BX234" s="34">
        <f t="shared" ca="1" si="219"/>
        <v>0</v>
      </c>
      <c r="BY234" s="34">
        <f t="shared" ca="1" si="219"/>
        <v>0</v>
      </c>
      <c r="BZ234" s="34">
        <f t="shared" ca="1" si="219"/>
        <v>0</v>
      </c>
      <c r="CA234" s="34">
        <f t="shared" ca="1" si="219"/>
        <v>0</v>
      </c>
      <c r="CB234" s="34">
        <f t="shared" ca="1" si="219"/>
        <v>0</v>
      </c>
      <c r="CC234" s="34">
        <f t="shared" ca="1" si="219"/>
        <v>0</v>
      </c>
      <c r="CD234" s="34">
        <f t="shared" ca="1" si="219"/>
        <v>0</v>
      </c>
      <c r="CE234" s="34">
        <f t="shared" ca="1" si="219"/>
        <v>0</v>
      </c>
      <c r="CF234" s="34">
        <f t="shared" ca="1" si="219"/>
        <v>0</v>
      </c>
      <c r="CG234" s="34">
        <f t="shared" ca="1" si="219"/>
        <v>0</v>
      </c>
      <c r="CH234" s="34">
        <f t="shared" ca="1" si="219"/>
        <v>0</v>
      </c>
      <c r="CI234" s="34">
        <f t="shared" ca="1" si="220"/>
        <v>0</v>
      </c>
      <c r="CJ234" s="34">
        <f t="shared" ca="1" si="220"/>
        <v>0</v>
      </c>
      <c r="CK234" s="34">
        <f t="shared" ca="1" si="220"/>
        <v>0</v>
      </c>
      <c r="CL234" s="34">
        <f t="shared" ca="1" si="220"/>
        <v>0</v>
      </c>
      <c r="CM234" s="34">
        <f t="shared" ca="1" si="220"/>
        <v>0</v>
      </c>
      <c r="CN234" s="34">
        <f t="shared" ca="1" si="220"/>
        <v>0</v>
      </c>
      <c r="CO234" s="34">
        <f t="shared" ca="1" si="220"/>
        <v>0</v>
      </c>
      <c r="CP234" s="34">
        <f t="shared" ca="1" si="220"/>
        <v>0</v>
      </c>
      <c r="CQ234" s="34">
        <f t="shared" ca="1" si="241"/>
        <v>0</v>
      </c>
      <c r="CR234" s="363">
        <v>0</v>
      </c>
      <c r="CS234" s="34">
        <f t="shared" ca="1" si="242"/>
        <v>0</v>
      </c>
      <c r="CT234" s="233"/>
    </row>
    <row r="235" spans="2:98" x14ac:dyDescent="0.3">
      <c r="B235" s="232"/>
      <c r="C235" s="250">
        <f t="shared" si="243"/>
        <v>2019</v>
      </c>
      <c r="D235" s="263">
        <f t="shared" ca="1" si="221"/>
        <v>0</v>
      </c>
      <c r="E235" s="263">
        <f t="shared" ca="1" si="207"/>
        <v>0</v>
      </c>
      <c r="F235" s="263">
        <f t="shared" ca="1" si="208"/>
        <v>0</v>
      </c>
      <c r="G235" s="263">
        <f t="shared" ca="1" si="222"/>
        <v>0</v>
      </c>
      <c r="H235" s="15"/>
      <c r="I235" s="271">
        <f ca="1">Assumptions!O$68</f>
        <v>4.5</v>
      </c>
      <c r="J235" s="271">
        <f ca="1">Assumptions!P$68</f>
        <v>80</v>
      </c>
      <c r="K235" s="271">
        <f t="shared" ca="1" si="209"/>
        <v>40</v>
      </c>
      <c r="L235" s="15"/>
      <c r="M235" s="35">
        <f t="shared" ca="1" si="223"/>
        <v>4.2299999999999995</v>
      </c>
      <c r="N235" s="35">
        <f t="shared" ca="1" si="210"/>
        <v>74.400000000000006</v>
      </c>
      <c r="O235" s="35">
        <f t="shared" ca="1" si="211"/>
        <v>37.200000000000003</v>
      </c>
      <c r="P235" s="15"/>
      <c r="Q235" s="34">
        <f t="shared" ca="1" si="224"/>
        <v>0</v>
      </c>
      <c r="R235" s="34">
        <f t="shared" ca="1" si="225"/>
        <v>0</v>
      </c>
      <c r="S235" s="34">
        <f t="shared" ca="1" si="226"/>
        <v>0</v>
      </c>
      <c r="T235" s="34">
        <f t="shared" ca="1" si="227"/>
        <v>0</v>
      </c>
      <c r="U235" s="15"/>
      <c r="V235" s="35">
        <f t="shared" si="228"/>
        <v>0.31</v>
      </c>
      <c r="W235" s="34">
        <f t="shared" ca="1" si="229"/>
        <v>0</v>
      </c>
      <c r="X235" s="35">
        <f t="shared" si="230"/>
        <v>0.37</v>
      </c>
      <c r="Y235" s="34">
        <f t="shared" ca="1" si="231"/>
        <v>0</v>
      </c>
      <c r="Z235" s="35">
        <f t="shared" si="232"/>
        <v>0.57999999999999996</v>
      </c>
      <c r="AA235" s="34">
        <f t="shared" ca="1" si="233"/>
        <v>0</v>
      </c>
      <c r="AB235" s="34">
        <f t="shared" ca="1" si="234"/>
        <v>0</v>
      </c>
      <c r="AC235" s="15"/>
      <c r="AD235" s="34">
        <f t="shared" ca="1" si="235"/>
        <v>0</v>
      </c>
      <c r="AE235" s="34">
        <f ca="1"/>
        <v>0</v>
      </c>
      <c r="AF235" s="34">
        <f t="shared" ca="1" si="236"/>
        <v>0</v>
      </c>
      <c r="AG235" s="15"/>
      <c r="AH235" s="272">
        <f t="shared" si="244"/>
        <v>43830</v>
      </c>
      <c r="AI235" s="267">
        <f t="shared" si="212"/>
        <v>5.666666666666667</v>
      </c>
      <c r="AJ235" s="267">
        <f t="shared" si="213"/>
        <v>0.58269521368802246</v>
      </c>
      <c r="AK235" s="34">
        <f t="shared" ca="1" si="245"/>
        <v>0</v>
      </c>
      <c r="AL235" s="233"/>
      <c r="AN235" s="232"/>
      <c r="AO235" s="237">
        <f t="shared" si="237"/>
        <v>6</v>
      </c>
      <c r="AP235" s="34">
        <f t="shared" ref="AP235:AS235" ca="1" si="250">+AP185</f>
        <v>246.6451173205852</v>
      </c>
      <c r="AQ235" s="34">
        <f t="shared" ca="1" si="250"/>
        <v>1.6314211415460804</v>
      </c>
      <c r="AR235" s="34">
        <f t="shared" ca="1" si="250"/>
        <v>0</v>
      </c>
      <c r="AS235" s="34">
        <f t="shared" ca="1" si="250"/>
        <v>256.43364416986168</v>
      </c>
      <c r="AT235" s="15"/>
      <c r="AW235" s="34">
        <f t="shared" ca="1" si="239"/>
        <v>246.6451173205852</v>
      </c>
      <c r="AX235" s="34">
        <f t="shared" ca="1" si="215"/>
        <v>1.6314211415460804</v>
      </c>
      <c r="AY235" s="34">
        <f t="shared" ca="1" si="216"/>
        <v>0</v>
      </c>
      <c r="AZ235" s="34">
        <f t="shared" ca="1" si="217"/>
        <v>256.43364416986168</v>
      </c>
      <c r="BB235" s="34">
        <f t="shared" ca="1" si="240"/>
        <v>0</v>
      </c>
      <c r="BC235" s="34">
        <f t="shared" ca="1" si="218"/>
        <v>0</v>
      </c>
      <c r="BD235" s="34">
        <f t="shared" ca="1" si="218"/>
        <v>0</v>
      </c>
      <c r="BE235" s="34">
        <f t="shared" ca="1" si="218"/>
        <v>0</v>
      </c>
      <c r="BF235" s="34">
        <f t="shared" ca="1" si="218"/>
        <v>0</v>
      </c>
      <c r="BG235" s="34">
        <f t="shared" ca="1" si="218"/>
        <v>0</v>
      </c>
      <c r="BH235" s="34">
        <f t="shared" ca="1" si="218"/>
        <v>0</v>
      </c>
      <c r="BI235" s="34">
        <f t="shared" ca="1" si="218"/>
        <v>0</v>
      </c>
      <c r="BJ235" s="34">
        <f t="shared" ca="1" si="218"/>
        <v>0</v>
      </c>
      <c r="BK235" s="34">
        <f t="shared" ca="1" si="218"/>
        <v>0</v>
      </c>
      <c r="BL235" s="34">
        <f t="shared" ca="1" si="218"/>
        <v>0</v>
      </c>
      <c r="BM235" s="34">
        <f t="shared" ca="1" si="218"/>
        <v>0</v>
      </c>
      <c r="BN235" s="34">
        <f t="shared" ca="1" si="218"/>
        <v>0</v>
      </c>
      <c r="BO235" s="34">
        <f t="shared" ca="1" si="218"/>
        <v>0</v>
      </c>
      <c r="BP235" s="34">
        <f t="shared" ca="1" si="218"/>
        <v>0</v>
      </c>
      <c r="BQ235" s="34">
        <f t="shared" ca="1" si="218"/>
        <v>0</v>
      </c>
      <c r="BR235" s="34">
        <f t="shared" ca="1" si="218"/>
        <v>0</v>
      </c>
      <c r="BS235" s="34">
        <f t="shared" ca="1" si="219"/>
        <v>0</v>
      </c>
      <c r="BT235" s="34">
        <f t="shared" ca="1" si="219"/>
        <v>0</v>
      </c>
      <c r="BU235" s="34">
        <f t="shared" ca="1" si="219"/>
        <v>0</v>
      </c>
      <c r="BV235" s="34">
        <f t="shared" ca="1" si="219"/>
        <v>0</v>
      </c>
      <c r="BW235" s="34">
        <f t="shared" ca="1" si="219"/>
        <v>0</v>
      </c>
      <c r="BX235" s="34">
        <f t="shared" ca="1" si="219"/>
        <v>0</v>
      </c>
      <c r="BY235" s="34">
        <f t="shared" ca="1" si="219"/>
        <v>0</v>
      </c>
      <c r="BZ235" s="34">
        <f t="shared" ca="1" si="219"/>
        <v>0</v>
      </c>
      <c r="CA235" s="34">
        <f t="shared" ca="1" si="219"/>
        <v>0</v>
      </c>
      <c r="CB235" s="34">
        <f t="shared" ca="1" si="219"/>
        <v>0</v>
      </c>
      <c r="CC235" s="34">
        <f t="shared" ca="1" si="219"/>
        <v>0</v>
      </c>
      <c r="CD235" s="34">
        <f t="shared" ca="1" si="219"/>
        <v>0</v>
      </c>
      <c r="CE235" s="34">
        <f t="shared" ca="1" si="219"/>
        <v>0</v>
      </c>
      <c r="CF235" s="34">
        <f t="shared" ca="1" si="219"/>
        <v>0</v>
      </c>
      <c r="CG235" s="34">
        <f t="shared" ca="1" si="219"/>
        <v>0</v>
      </c>
      <c r="CH235" s="34">
        <f t="shared" ca="1" si="219"/>
        <v>0</v>
      </c>
      <c r="CI235" s="34">
        <f t="shared" ca="1" si="220"/>
        <v>0</v>
      </c>
      <c r="CJ235" s="34">
        <f t="shared" ca="1" si="220"/>
        <v>0</v>
      </c>
      <c r="CK235" s="34">
        <f t="shared" ca="1" si="220"/>
        <v>0</v>
      </c>
      <c r="CL235" s="34">
        <f t="shared" ca="1" si="220"/>
        <v>0</v>
      </c>
      <c r="CM235" s="34">
        <f t="shared" ca="1" si="220"/>
        <v>0</v>
      </c>
      <c r="CN235" s="34">
        <f t="shared" ca="1" si="220"/>
        <v>0</v>
      </c>
      <c r="CO235" s="34">
        <f t="shared" ca="1" si="220"/>
        <v>0</v>
      </c>
      <c r="CP235" s="34">
        <f t="shared" ca="1" si="220"/>
        <v>0</v>
      </c>
      <c r="CQ235" s="34">
        <f t="shared" ca="1" si="241"/>
        <v>0</v>
      </c>
      <c r="CR235" s="363">
        <v>0</v>
      </c>
      <c r="CS235" s="34">
        <f t="shared" ca="1" si="242"/>
        <v>0</v>
      </c>
      <c r="CT235" s="233"/>
    </row>
    <row r="236" spans="2:98" x14ac:dyDescent="0.3">
      <c r="B236" s="232"/>
      <c r="C236" s="250">
        <f t="shared" si="243"/>
        <v>2020</v>
      </c>
      <c r="D236" s="263">
        <f t="shared" ca="1" si="221"/>
        <v>0</v>
      </c>
      <c r="E236" s="263">
        <f t="shared" ca="1" si="207"/>
        <v>0</v>
      </c>
      <c r="F236" s="263">
        <f t="shared" ca="1" si="208"/>
        <v>0</v>
      </c>
      <c r="G236" s="263">
        <f t="shared" ca="1" si="222"/>
        <v>0</v>
      </c>
      <c r="H236" s="15"/>
      <c r="I236" s="271">
        <f ca="1">Assumptions!O$68</f>
        <v>4.5</v>
      </c>
      <c r="J236" s="271">
        <f ca="1">Assumptions!P$68</f>
        <v>80</v>
      </c>
      <c r="K236" s="271">
        <f t="shared" ca="1" si="209"/>
        <v>40</v>
      </c>
      <c r="L236" s="15"/>
      <c r="M236" s="35">
        <f t="shared" ca="1" si="223"/>
        <v>4.2299999999999995</v>
      </c>
      <c r="N236" s="35">
        <f t="shared" ca="1" si="210"/>
        <v>74.400000000000006</v>
      </c>
      <c r="O236" s="35">
        <f t="shared" ca="1" si="211"/>
        <v>37.200000000000003</v>
      </c>
      <c r="P236" s="15"/>
      <c r="Q236" s="34">
        <f t="shared" ca="1" si="224"/>
        <v>0</v>
      </c>
      <c r="R236" s="34">
        <f t="shared" ca="1" si="225"/>
        <v>0</v>
      </c>
      <c r="S236" s="34">
        <f t="shared" ca="1" si="226"/>
        <v>0</v>
      </c>
      <c r="T236" s="34">
        <f t="shared" ca="1" si="227"/>
        <v>0</v>
      </c>
      <c r="U236" s="15"/>
      <c r="V236" s="35">
        <f t="shared" si="228"/>
        <v>0.31</v>
      </c>
      <c r="W236" s="34">
        <f t="shared" ca="1" si="229"/>
        <v>0</v>
      </c>
      <c r="X236" s="35">
        <f t="shared" si="230"/>
        <v>0.37</v>
      </c>
      <c r="Y236" s="34">
        <f t="shared" ca="1" si="231"/>
        <v>0</v>
      </c>
      <c r="Z236" s="35">
        <f t="shared" si="232"/>
        <v>0.57999999999999996</v>
      </c>
      <c r="AA236" s="34">
        <f t="shared" ca="1" si="233"/>
        <v>0</v>
      </c>
      <c r="AB236" s="34">
        <f t="shared" ca="1" si="234"/>
        <v>0</v>
      </c>
      <c r="AC236" s="15"/>
      <c r="AD236" s="34">
        <f t="shared" ca="1" si="235"/>
        <v>0</v>
      </c>
      <c r="AE236" s="34">
        <f ca="1"/>
        <v>0</v>
      </c>
      <c r="AF236" s="34">
        <f t="shared" ca="1" si="236"/>
        <v>0</v>
      </c>
      <c r="AG236" s="15"/>
      <c r="AH236" s="272">
        <f t="shared" si="244"/>
        <v>44196</v>
      </c>
      <c r="AI236" s="267">
        <f t="shared" si="212"/>
        <v>6.666666666666667</v>
      </c>
      <c r="AJ236" s="267">
        <f t="shared" si="213"/>
        <v>0.52972292153456579</v>
      </c>
      <c r="AK236" s="34">
        <f t="shared" ca="1" si="245"/>
        <v>0</v>
      </c>
      <c r="AL236" s="233"/>
      <c r="AN236" s="232"/>
      <c r="AO236" s="237">
        <f t="shared" si="237"/>
        <v>7</v>
      </c>
      <c r="AP236" s="34">
        <f t="shared" ref="AP236:AS236" ca="1" si="251">+AP186</f>
        <v>225.09151377683958</v>
      </c>
      <c r="AQ236" s="34">
        <f t="shared" ca="1" si="251"/>
        <v>1.4888559657998084</v>
      </c>
      <c r="AR236" s="34">
        <f t="shared" ca="1" si="251"/>
        <v>0</v>
      </c>
      <c r="AS236" s="34">
        <f t="shared" ca="1" si="251"/>
        <v>234.02464957163843</v>
      </c>
      <c r="AT236" s="15"/>
      <c r="AW236" s="34">
        <f t="shared" ca="1" si="239"/>
        <v>225.09151377683958</v>
      </c>
      <c r="AX236" s="34">
        <f t="shared" ca="1" si="215"/>
        <v>1.4888559657998084</v>
      </c>
      <c r="AY236" s="34">
        <f t="shared" ca="1" si="216"/>
        <v>0</v>
      </c>
      <c r="AZ236" s="34">
        <f t="shared" ca="1" si="217"/>
        <v>234.02464957163843</v>
      </c>
      <c r="BB236" s="34">
        <f t="shared" ca="1" si="240"/>
        <v>0</v>
      </c>
      <c r="BC236" s="34">
        <f t="shared" ca="1" si="218"/>
        <v>0</v>
      </c>
      <c r="BD236" s="34">
        <f t="shared" ca="1" si="218"/>
        <v>0</v>
      </c>
      <c r="BE236" s="34">
        <f t="shared" ca="1" si="218"/>
        <v>0</v>
      </c>
      <c r="BF236" s="34">
        <f t="shared" ca="1" si="218"/>
        <v>0</v>
      </c>
      <c r="BG236" s="34">
        <f t="shared" ca="1" si="218"/>
        <v>0</v>
      </c>
      <c r="BH236" s="34">
        <f t="shared" ca="1" si="218"/>
        <v>0</v>
      </c>
      <c r="BI236" s="34">
        <f t="shared" ca="1" si="218"/>
        <v>0</v>
      </c>
      <c r="BJ236" s="34">
        <f t="shared" ca="1" si="218"/>
        <v>0</v>
      </c>
      <c r="BK236" s="34">
        <f t="shared" ca="1" si="218"/>
        <v>0</v>
      </c>
      <c r="BL236" s="34">
        <f t="shared" ca="1" si="218"/>
        <v>0</v>
      </c>
      <c r="BM236" s="34">
        <f t="shared" ca="1" si="218"/>
        <v>0</v>
      </c>
      <c r="BN236" s="34">
        <f t="shared" ca="1" si="218"/>
        <v>0</v>
      </c>
      <c r="BO236" s="34">
        <f t="shared" ca="1" si="218"/>
        <v>0</v>
      </c>
      <c r="BP236" s="34">
        <f t="shared" ca="1" si="218"/>
        <v>0</v>
      </c>
      <c r="BQ236" s="34">
        <f t="shared" ca="1" si="218"/>
        <v>0</v>
      </c>
      <c r="BR236" s="34">
        <f t="shared" ca="1" si="218"/>
        <v>0</v>
      </c>
      <c r="BS236" s="34">
        <f t="shared" ca="1" si="219"/>
        <v>0</v>
      </c>
      <c r="BT236" s="34">
        <f t="shared" ca="1" si="219"/>
        <v>0</v>
      </c>
      <c r="BU236" s="34">
        <f t="shared" ca="1" si="219"/>
        <v>0</v>
      </c>
      <c r="BV236" s="34">
        <f t="shared" ca="1" si="219"/>
        <v>0</v>
      </c>
      <c r="BW236" s="34">
        <f t="shared" ca="1" si="219"/>
        <v>0</v>
      </c>
      <c r="BX236" s="34">
        <f t="shared" ca="1" si="219"/>
        <v>0</v>
      </c>
      <c r="BY236" s="34">
        <f t="shared" ca="1" si="219"/>
        <v>0</v>
      </c>
      <c r="BZ236" s="34">
        <f t="shared" ca="1" si="219"/>
        <v>0</v>
      </c>
      <c r="CA236" s="34">
        <f t="shared" ca="1" si="219"/>
        <v>0</v>
      </c>
      <c r="CB236" s="34">
        <f t="shared" ca="1" si="219"/>
        <v>0</v>
      </c>
      <c r="CC236" s="34">
        <f t="shared" ca="1" si="219"/>
        <v>0</v>
      </c>
      <c r="CD236" s="34">
        <f t="shared" ca="1" si="219"/>
        <v>0</v>
      </c>
      <c r="CE236" s="34">
        <f t="shared" ca="1" si="219"/>
        <v>0</v>
      </c>
      <c r="CF236" s="34">
        <f t="shared" ca="1" si="219"/>
        <v>0</v>
      </c>
      <c r="CG236" s="34">
        <f t="shared" ca="1" si="219"/>
        <v>0</v>
      </c>
      <c r="CH236" s="34">
        <f t="shared" ca="1" si="219"/>
        <v>0</v>
      </c>
      <c r="CI236" s="34">
        <f t="shared" ca="1" si="220"/>
        <v>0</v>
      </c>
      <c r="CJ236" s="34">
        <f t="shared" ca="1" si="220"/>
        <v>0</v>
      </c>
      <c r="CK236" s="34">
        <f t="shared" ca="1" si="220"/>
        <v>0</v>
      </c>
      <c r="CL236" s="34">
        <f t="shared" ca="1" si="220"/>
        <v>0</v>
      </c>
      <c r="CM236" s="34">
        <f t="shared" ca="1" si="220"/>
        <v>0</v>
      </c>
      <c r="CN236" s="34">
        <f t="shared" ca="1" si="220"/>
        <v>0</v>
      </c>
      <c r="CO236" s="34">
        <f t="shared" ca="1" si="220"/>
        <v>0</v>
      </c>
      <c r="CP236" s="34">
        <f t="shared" ca="1" si="220"/>
        <v>0</v>
      </c>
      <c r="CQ236" s="34">
        <f t="shared" ca="1" si="241"/>
        <v>0</v>
      </c>
      <c r="CR236" s="363">
        <v>0</v>
      </c>
      <c r="CS236" s="34">
        <f t="shared" ca="1" si="242"/>
        <v>0</v>
      </c>
      <c r="CT236" s="233"/>
    </row>
    <row r="237" spans="2:98" x14ac:dyDescent="0.3">
      <c r="B237" s="232"/>
      <c r="C237" s="250">
        <f t="shared" si="243"/>
        <v>2021</v>
      </c>
      <c r="D237" s="263">
        <f t="shared" ca="1" si="221"/>
        <v>0</v>
      </c>
      <c r="E237" s="263">
        <f t="shared" ca="1" si="207"/>
        <v>0</v>
      </c>
      <c r="F237" s="263">
        <f t="shared" ca="1" si="208"/>
        <v>0</v>
      </c>
      <c r="G237" s="263">
        <f t="shared" ca="1" si="222"/>
        <v>0</v>
      </c>
      <c r="H237" s="15"/>
      <c r="I237" s="271">
        <f ca="1">Assumptions!O$68</f>
        <v>4.5</v>
      </c>
      <c r="J237" s="271">
        <f ca="1">Assumptions!P$68</f>
        <v>80</v>
      </c>
      <c r="K237" s="271">
        <f t="shared" ca="1" si="209"/>
        <v>40</v>
      </c>
      <c r="L237" s="15"/>
      <c r="M237" s="35">
        <f t="shared" ca="1" si="223"/>
        <v>4.2299999999999995</v>
      </c>
      <c r="N237" s="35">
        <f t="shared" ca="1" si="210"/>
        <v>74.400000000000006</v>
      </c>
      <c r="O237" s="35">
        <f t="shared" ca="1" si="211"/>
        <v>37.200000000000003</v>
      </c>
      <c r="P237" s="15"/>
      <c r="Q237" s="34">
        <f t="shared" ca="1" si="224"/>
        <v>0</v>
      </c>
      <c r="R237" s="34">
        <f t="shared" ca="1" si="225"/>
        <v>0</v>
      </c>
      <c r="S237" s="34">
        <f t="shared" ca="1" si="226"/>
        <v>0</v>
      </c>
      <c r="T237" s="34">
        <f t="shared" ca="1" si="227"/>
        <v>0</v>
      </c>
      <c r="U237" s="15"/>
      <c r="V237" s="35">
        <f t="shared" si="228"/>
        <v>0.31</v>
      </c>
      <c r="W237" s="34">
        <f t="shared" ca="1" si="229"/>
        <v>0</v>
      </c>
      <c r="X237" s="35">
        <f t="shared" si="230"/>
        <v>0.37</v>
      </c>
      <c r="Y237" s="34">
        <f t="shared" ca="1" si="231"/>
        <v>0</v>
      </c>
      <c r="Z237" s="35">
        <f t="shared" si="232"/>
        <v>0.57999999999999996</v>
      </c>
      <c r="AA237" s="34">
        <f t="shared" ca="1" si="233"/>
        <v>0</v>
      </c>
      <c r="AB237" s="34">
        <f t="shared" ca="1" si="234"/>
        <v>0</v>
      </c>
      <c r="AC237" s="15"/>
      <c r="AD237" s="34">
        <f t="shared" ca="1" si="235"/>
        <v>0</v>
      </c>
      <c r="AE237" s="34">
        <f ca="1"/>
        <v>0</v>
      </c>
      <c r="AF237" s="34">
        <f t="shared" ca="1" si="236"/>
        <v>0</v>
      </c>
      <c r="AG237" s="15"/>
      <c r="AH237" s="272">
        <f t="shared" si="244"/>
        <v>44561</v>
      </c>
      <c r="AI237" s="267">
        <f t="shared" si="212"/>
        <v>7.6666666666666661</v>
      </c>
      <c r="AJ237" s="267">
        <f t="shared" si="213"/>
        <v>0.48156629230415066</v>
      </c>
      <c r="AK237" s="34">
        <f t="shared" ca="1" si="245"/>
        <v>0</v>
      </c>
      <c r="AL237" s="233"/>
      <c r="AN237" s="232"/>
      <c r="AO237" s="237">
        <f t="shared" si="237"/>
        <v>8</v>
      </c>
      <c r="AP237" s="34">
        <f t="shared" ref="AP237:AS237" ca="1" si="252">+AP187</f>
        <v>207.76361251053979</v>
      </c>
      <c r="AQ237" s="34">
        <f t="shared" ca="1" si="252"/>
        <v>1.3742414752655367</v>
      </c>
      <c r="AR237" s="34">
        <f t="shared" ca="1" si="252"/>
        <v>0</v>
      </c>
      <c r="AS237" s="34">
        <f t="shared" ca="1" si="252"/>
        <v>216.009061362133</v>
      </c>
      <c r="AT237" s="15"/>
      <c r="AW237" s="34">
        <f t="shared" ca="1" si="239"/>
        <v>207.76361251053979</v>
      </c>
      <c r="AX237" s="34">
        <f t="shared" ca="1" si="215"/>
        <v>1.3742414752655367</v>
      </c>
      <c r="AY237" s="34">
        <f t="shared" ca="1" si="216"/>
        <v>0</v>
      </c>
      <c r="AZ237" s="34">
        <f t="shared" ca="1" si="217"/>
        <v>216.009061362133</v>
      </c>
      <c r="BB237" s="34">
        <f t="shared" ca="1" si="240"/>
        <v>0</v>
      </c>
      <c r="BC237" s="34">
        <f t="shared" ca="1" si="218"/>
        <v>0</v>
      </c>
      <c r="BD237" s="34">
        <f t="shared" ca="1" si="218"/>
        <v>0</v>
      </c>
      <c r="BE237" s="34">
        <f t="shared" ca="1" si="218"/>
        <v>0</v>
      </c>
      <c r="BF237" s="34">
        <f t="shared" ca="1" si="218"/>
        <v>0</v>
      </c>
      <c r="BG237" s="34">
        <f t="shared" ca="1" si="218"/>
        <v>0</v>
      </c>
      <c r="BH237" s="34">
        <f t="shared" ca="1" si="218"/>
        <v>0</v>
      </c>
      <c r="BI237" s="34">
        <f t="shared" ca="1" si="218"/>
        <v>0</v>
      </c>
      <c r="BJ237" s="34">
        <f t="shared" ca="1" si="218"/>
        <v>0</v>
      </c>
      <c r="BK237" s="34">
        <f t="shared" ca="1" si="218"/>
        <v>0</v>
      </c>
      <c r="BL237" s="34">
        <f t="shared" ca="1" si="218"/>
        <v>0</v>
      </c>
      <c r="BM237" s="34">
        <f t="shared" ca="1" si="218"/>
        <v>0</v>
      </c>
      <c r="BN237" s="34">
        <f t="shared" ca="1" si="218"/>
        <v>0</v>
      </c>
      <c r="BO237" s="34">
        <f t="shared" ca="1" si="218"/>
        <v>0</v>
      </c>
      <c r="BP237" s="34">
        <f t="shared" ca="1" si="218"/>
        <v>0</v>
      </c>
      <c r="BQ237" s="34">
        <f t="shared" ca="1" si="218"/>
        <v>0</v>
      </c>
      <c r="BR237" s="34">
        <f t="shared" ca="1" si="218"/>
        <v>0</v>
      </c>
      <c r="BS237" s="34">
        <f t="shared" ca="1" si="219"/>
        <v>0</v>
      </c>
      <c r="BT237" s="34">
        <f t="shared" ca="1" si="219"/>
        <v>0</v>
      </c>
      <c r="BU237" s="34">
        <f t="shared" ca="1" si="219"/>
        <v>0</v>
      </c>
      <c r="BV237" s="34">
        <f t="shared" ca="1" si="219"/>
        <v>0</v>
      </c>
      <c r="BW237" s="34">
        <f t="shared" ca="1" si="219"/>
        <v>0</v>
      </c>
      <c r="BX237" s="34">
        <f t="shared" ca="1" si="219"/>
        <v>0</v>
      </c>
      <c r="BY237" s="34">
        <f t="shared" ca="1" si="219"/>
        <v>0</v>
      </c>
      <c r="BZ237" s="34">
        <f t="shared" ca="1" si="219"/>
        <v>0</v>
      </c>
      <c r="CA237" s="34">
        <f t="shared" ca="1" si="219"/>
        <v>0</v>
      </c>
      <c r="CB237" s="34">
        <f t="shared" ca="1" si="219"/>
        <v>0</v>
      </c>
      <c r="CC237" s="34">
        <f t="shared" ca="1" si="219"/>
        <v>0</v>
      </c>
      <c r="CD237" s="34">
        <f t="shared" ca="1" si="219"/>
        <v>0</v>
      </c>
      <c r="CE237" s="34">
        <f t="shared" ca="1" si="219"/>
        <v>0</v>
      </c>
      <c r="CF237" s="34">
        <f t="shared" ca="1" si="219"/>
        <v>0</v>
      </c>
      <c r="CG237" s="34">
        <f t="shared" ca="1" si="219"/>
        <v>0</v>
      </c>
      <c r="CH237" s="34">
        <f t="shared" ca="1" si="219"/>
        <v>0</v>
      </c>
      <c r="CI237" s="34">
        <f t="shared" ca="1" si="220"/>
        <v>0</v>
      </c>
      <c r="CJ237" s="34">
        <f t="shared" ca="1" si="220"/>
        <v>0</v>
      </c>
      <c r="CK237" s="34">
        <f t="shared" ca="1" si="220"/>
        <v>0</v>
      </c>
      <c r="CL237" s="34">
        <f t="shared" ca="1" si="220"/>
        <v>0</v>
      </c>
      <c r="CM237" s="34">
        <f t="shared" ca="1" si="220"/>
        <v>0</v>
      </c>
      <c r="CN237" s="34">
        <f t="shared" ca="1" si="220"/>
        <v>0</v>
      </c>
      <c r="CO237" s="34">
        <f t="shared" ca="1" si="220"/>
        <v>0</v>
      </c>
      <c r="CP237" s="34">
        <f t="shared" ca="1" si="220"/>
        <v>0</v>
      </c>
      <c r="CQ237" s="34">
        <f t="shared" ca="1" si="241"/>
        <v>0</v>
      </c>
      <c r="CR237" s="363">
        <v>0</v>
      </c>
      <c r="CS237" s="34">
        <f t="shared" ca="1" si="242"/>
        <v>0</v>
      </c>
      <c r="CT237" s="233"/>
    </row>
    <row r="238" spans="2:98" x14ac:dyDescent="0.3">
      <c r="B238" s="232"/>
      <c r="C238" s="250">
        <f t="shared" si="243"/>
        <v>2022</v>
      </c>
      <c r="D238" s="263">
        <f t="shared" ca="1" si="221"/>
        <v>0</v>
      </c>
      <c r="E238" s="263">
        <f t="shared" ca="1" si="207"/>
        <v>0</v>
      </c>
      <c r="F238" s="263">
        <f t="shared" ca="1" si="208"/>
        <v>0</v>
      </c>
      <c r="G238" s="263">
        <f t="shared" ca="1" si="222"/>
        <v>0</v>
      </c>
      <c r="H238" s="15"/>
      <c r="I238" s="271">
        <f ca="1">Assumptions!O$68</f>
        <v>4.5</v>
      </c>
      <c r="J238" s="271">
        <f ca="1">Assumptions!P$68</f>
        <v>80</v>
      </c>
      <c r="K238" s="271">
        <f t="shared" ca="1" si="209"/>
        <v>40</v>
      </c>
      <c r="L238" s="15"/>
      <c r="M238" s="35">
        <f t="shared" ca="1" si="223"/>
        <v>4.2299999999999995</v>
      </c>
      <c r="N238" s="35">
        <f t="shared" ca="1" si="210"/>
        <v>74.400000000000006</v>
      </c>
      <c r="O238" s="35">
        <f t="shared" ca="1" si="211"/>
        <v>37.200000000000003</v>
      </c>
      <c r="P238" s="15"/>
      <c r="Q238" s="34">
        <f t="shared" ca="1" si="224"/>
        <v>0</v>
      </c>
      <c r="R238" s="34">
        <f t="shared" ca="1" si="225"/>
        <v>0</v>
      </c>
      <c r="S238" s="34">
        <f t="shared" ca="1" si="226"/>
        <v>0</v>
      </c>
      <c r="T238" s="34">
        <f t="shared" ca="1" si="227"/>
        <v>0</v>
      </c>
      <c r="U238" s="15"/>
      <c r="V238" s="35">
        <f t="shared" si="228"/>
        <v>0.31</v>
      </c>
      <c r="W238" s="34">
        <f t="shared" ca="1" si="229"/>
        <v>0</v>
      </c>
      <c r="X238" s="35">
        <f t="shared" si="230"/>
        <v>0.37</v>
      </c>
      <c r="Y238" s="34">
        <f t="shared" ca="1" si="231"/>
        <v>0</v>
      </c>
      <c r="Z238" s="35">
        <f t="shared" si="232"/>
        <v>0.57999999999999996</v>
      </c>
      <c r="AA238" s="34">
        <f t="shared" ca="1" si="233"/>
        <v>0</v>
      </c>
      <c r="AB238" s="34">
        <f t="shared" ca="1" si="234"/>
        <v>0</v>
      </c>
      <c r="AC238" s="15"/>
      <c r="AD238" s="34">
        <f t="shared" ca="1" si="235"/>
        <v>0</v>
      </c>
      <c r="AE238" s="34">
        <f ca="1"/>
        <v>0</v>
      </c>
      <c r="AF238" s="34">
        <f t="shared" ca="1" si="236"/>
        <v>0</v>
      </c>
      <c r="AG238" s="15"/>
      <c r="AH238" s="272">
        <f t="shared" si="244"/>
        <v>44926</v>
      </c>
      <c r="AI238" s="267">
        <f t="shared" si="212"/>
        <v>8.6666666666666661</v>
      </c>
      <c r="AJ238" s="267">
        <f t="shared" si="213"/>
        <v>0.4377875384583188</v>
      </c>
      <c r="AK238" s="34">
        <f t="shared" ca="1" si="245"/>
        <v>0</v>
      </c>
      <c r="AL238" s="233"/>
      <c r="AN238" s="232"/>
      <c r="AO238" s="237">
        <f t="shared" si="237"/>
        <v>9</v>
      </c>
      <c r="AP238" s="34">
        <f t="shared" ref="AP238:AS238" ca="1" si="253">+AP188</f>
        <v>193.47036650761675</v>
      </c>
      <c r="AQ238" s="34">
        <f t="shared" ca="1" si="253"/>
        <v>1.2796995521826688</v>
      </c>
      <c r="AR238" s="34">
        <f t="shared" ca="1" si="253"/>
        <v>0</v>
      </c>
      <c r="AS238" s="34">
        <f t="shared" ca="1" si="253"/>
        <v>201.14856382071275</v>
      </c>
      <c r="AT238" s="15"/>
      <c r="AW238" s="34">
        <f t="shared" ca="1" si="239"/>
        <v>193.47036650761675</v>
      </c>
      <c r="AX238" s="34">
        <f t="shared" ca="1" si="215"/>
        <v>1.2796995521826688</v>
      </c>
      <c r="AY238" s="34">
        <f t="shared" ca="1" si="216"/>
        <v>0</v>
      </c>
      <c r="AZ238" s="34">
        <f t="shared" ca="1" si="217"/>
        <v>201.14856382071275</v>
      </c>
      <c r="BB238" s="34">
        <f t="shared" ca="1" si="240"/>
        <v>0</v>
      </c>
      <c r="BC238" s="34">
        <f t="shared" ca="1" si="218"/>
        <v>0</v>
      </c>
      <c r="BD238" s="34">
        <f t="shared" ca="1" si="218"/>
        <v>0</v>
      </c>
      <c r="BE238" s="34">
        <f t="shared" ca="1" si="218"/>
        <v>0</v>
      </c>
      <c r="BF238" s="34">
        <f t="shared" ca="1" si="218"/>
        <v>0</v>
      </c>
      <c r="BG238" s="34">
        <f t="shared" ca="1" si="218"/>
        <v>0</v>
      </c>
      <c r="BH238" s="34">
        <f t="shared" ca="1" si="218"/>
        <v>0</v>
      </c>
      <c r="BI238" s="34">
        <f t="shared" ca="1" si="218"/>
        <v>0</v>
      </c>
      <c r="BJ238" s="34">
        <f t="shared" ca="1" si="218"/>
        <v>0</v>
      </c>
      <c r="BK238" s="34">
        <f t="shared" ca="1" si="218"/>
        <v>0</v>
      </c>
      <c r="BL238" s="34">
        <f t="shared" ca="1" si="218"/>
        <v>0</v>
      </c>
      <c r="BM238" s="34">
        <f t="shared" ca="1" si="218"/>
        <v>0</v>
      </c>
      <c r="BN238" s="34">
        <f t="shared" ca="1" si="218"/>
        <v>0</v>
      </c>
      <c r="BO238" s="34">
        <f t="shared" ca="1" si="218"/>
        <v>0</v>
      </c>
      <c r="BP238" s="34">
        <f t="shared" ca="1" si="218"/>
        <v>0</v>
      </c>
      <c r="BQ238" s="34">
        <f t="shared" ca="1" si="218"/>
        <v>0</v>
      </c>
      <c r="BR238" s="34">
        <f t="shared" ca="1" si="218"/>
        <v>0</v>
      </c>
      <c r="BS238" s="34">
        <f t="shared" ca="1" si="219"/>
        <v>0</v>
      </c>
      <c r="BT238" s="34">
        <f t="shared" ca="1" si="219"/>
        <v>0</v>
      </c>
      <c r="BU238" s="34">
        <f t="shared" ca="1" si="219"/>
        <v>0</v>
      </c>
      <c r="BV238" s="34">
        <f t="shared" ca="1" si="219"/>
        <v>0</v>
      </c>
      <c r="BW238" s="34">
        <f t="shared" ca="1" si="219"/>
        <v>0</v>
      </c>
      <c r="BX238" s="34">
        <f t="shared" ca="1" si="219"/>
        <v>0</v>
      </c>
      <c r="BY238" s="34">
        <f t="shared" ca="1" si="219"/>
        <v>0</v>
      </c>
      <c r="BZ238" s="34">
        <f t="shared" ca="1" si="219"/>
        <v>0</v>
      </c>
      <c r="CA238" s="34">
        <f t="shared" ca="1" si="219"/>
        <v>0</v>
      </c>
      <c r="CB238" s="34">
        <f t="shared" ca="1" si="219"/>
        <v>0</v>
      </c>
      <c r="CC238" s="34">
        <f t="shared" ca="1" si="219"/>
        <v>0</v>
      </c>
      <c r="CD238" s="34">
        <f t="shared" ca="1" si="219"/>
        <v>0</v>
      </c>
      <c r="CE238" s="34">
        <f t="shared" ca="1" si="219"/>
        <v>0</v>
      </c>
      <c r="CF238" s="34">
        <f t="shared" ca="1" si="219"/>
        <v>0</v>
      </c>
      <c r="CG238" s="34">
        <f t="shared" ca="1" si="219"/>
        <v>0</v>
      </c>
      <c r="CH238" s="34">
        <f t="shared" ca="1" si="219"/>
        <v>0</v>
      </c>
      <c r="CI238" s="34">
        <f t="shared" ca="1" si="220"/>
        <v>0</v>
      </c>
      <c r="CJ238" s="34">
        <f t="shared" ca="1" si="220"/>
        <v>0</v>
      </c>
      <c r="CK238" s="34">
        <f t="shared" ca="1" si="220"/>
        <v>0</v>
      </c>
      <c r="CL238" s="34">
        <f t="shared" ca="1" si="220"/>
        <v>0</v>
      </c>
      <c r="CM238" s="34">
        <f t="shared" ca="1" si="220"/>
        <v>0</v>
      </c>
      <c r="CN238" s="34">
        <f t="shared" ca="1" si="220"/>
        <v>0</v>
      </c>
      <c r="CO238" s="34">
        <f t="shared" ca="1" si="220"/>
        <v>0</v>
      </c>
      <c r="CP238" s="34">
        <f t="shared" ca="1" si="220"/>
        <v>0</v>
      </c>
      <c r="CQ238" s="34">
        <f t="shared" ca="1" si="241"/>
        <v>0</v>
      </c>
      <c r="CR238" s="363">
        <v>0</v>
      </c>
      <c r="CS238" s="34">
        <f t="shared" ca="1" si="242"/>
        <v>0</v>
      </c>
      <c r="CT238" s="233"/>
    </row>
    <row r="239" spans="2:98" x14ac:dyDescent="0.3">
      <c r="B239" s="232"/>
      <c r="C239" s="250">
        <f t="shared" si="243"/>
        <v>2023</v>
      </c>
      <c r="D239" s="263">
        <f t="shared" ca="1" si="221"/>
        <v>0</v>
      </c>
      <c r="E239" s="263">
        <f t="shared" ca="1" si="207"/>
        <v>0</v>
      </c>
      <c r="F239" s="263">
        <f t="shared" ca="1" si="208"/>
        <v>0</v>
      </c>
      <c r="G239" s="263">
        <f t="shared" ca="1" si="222"/>
        <v>0</v>
      </c>
      <c r="H239" s="15"/>
      <c r="I239" s="271">
        <f ca="1">Assumptions!O$68</f>
        <v>4.5</v>
      </c>
      <c r="J239" s="271">
        <f ca="1">Assumptions!P$68</f>
        <v>80</v>
      </c>
      <c r="K239" s="271">
        <f t="shared" ca="1" si="209"/>
        <v>40</v>
      </c>
      <c r="L239" s="15"/>
      <c r="M239" s="35">
        <f t="shared" ca="1" si="223"/>
        <v>4.2299999999999995</v>
      </c>
      <c r="N239" s="35">
        <f t="shared" ca="1" si="210"/>
        <v>74.400000000000006</v>
      </c>
      <c r="O239" s="35">
        <f t="shared" ca="1" si="211"/>
        <v>37.200000000000003</v>
      </c>
      <c r="P239" s="15"/>
      <c r="Q239" s="34">
        <f t="shared" ca="1" si="224"/>
        <v>0</v>
      </c>
      <c r="R239" s="34">
        <f t="shared" ca="1" si="225"/>
        <v>0</v>
      </c>
      <c r="S239" s="34">
        <f t="shared" ca="1" si="226"/>
        <v>0</v>
      </c>
      <c r="T239" s="34">
        <f t="shared" ca="1" si="227"/>
        <v>0</v>
      </c>
      <c r="U239" s="15"/>
      <c r="V239" s="35">
        <f t="shared" si="228"/>
        <v>0.31</v>
      </c>
      <c r="W239" s="34">
        <f t="shared" ca="1" si="229"/>
        <v>0</v>
      </c>
      <c r="X239" s="35">
        <f t="shared" si="230"/>
        <v>0.37</v>
      </c>
      <c r="Y239" s="34">
        <f t="shared" ca="1" si="231"/>
        <v>0</v>
      </c>
      <c r="Z239" s="35">
        <f t="shared" si="232"/>
        <v>0.57999999999999996</v>
      </c>
      <c r="AA239" s="34">
        <f t="shared" ca="1" si="233"/>
        <v>0</v>
      </c>
      <c r="AB239" s="34">
        <f t="shared" ca="1" si="234"/>
        <v>0</v>
      </c>
      <c r="AC239" s="15"/>
      <c r="AD239" s="34">
        <f t="shared" ca="1" si="235"/>
        <v>0</v>
      </c>
      <c r="AE239" s="34">
        <f ca="1"/>
        <v>0</v>
      </c>
      <c r="AF239" s="34">
        <f t="shared" ca="1" si="236"/>
        <v>0</v>
      </c>
      <c r="AG239" s="15"/>
      <c r="AH239" s="272">
        <f t="shared" si="244"/>
        <v>45291</v>
      </c>
      <c r="AI239" s="267">
        <f t="shared" si="212"/>
        <v>9.6666666666666661</v>
      </c>
      <c r="AJ239" s="267">
        <f t="shared" si="213"/>
        <v>0.39798867132574434</v>
      </c>
      <c r="AK239" s="34">
        <f t="shared" ca="1" si="245"/>
        <v>0</v>
      </c>
      <c r="AL239" s="233"/>
      <c r="AN239" s="232"/>
      <c r="AO239" s="237">
        <f t="shared" si="237"/>
        <v>10</v>
      </c>
      <c r="AP239" s="34">
        <f t="shared" ref="AP239:AS239" ca="1" si="254">+AP189</f>
        <v>181.43914062862891</v>
      </c>
      <c r="AQ239" s="34">
        <f t="shared" ca="1" si="254"/>
        <v>1.2001196421040723</v>
      </c>
      <c r="AR239" s="34">
        <f t="shared" ca="1" si="254"/>
        <v>0</v>
      </c>
      <c r="AS239" s="34">
        <f t="shared" ca="1" si="254"/>
        <v>188.63985848125333</v>
      </c>
      <c r="AT239" s="15"/>
      <c r="AW239" s="34">
        <f t="shared" ca="1" si="239"/>
        <v>181.43914062862891</v>
      </c>
      <c r="AX239" s="34">
        <f t="shared" ca="1" si="215"/>
        <v>1.2001196421040723</v>
      </c>
      <c r="AY239" s="34">
        <f t="shared" ca="1" si="216"/>
        <v>0</v>
      </c>
      <c r="AZ239" s="34">
        <f t="shared" ca="1" si="217"/>
        <v>188.63985848125333</v>
      </c>
      <c r="BB239" s="34">
        <f t="shared" ca="1" si="240"/>
        <v>0</v>
      </c>
      <c r="BC239" s="34">
        <f t="shared" ca="1" si="218"/>
        <v>0</v>
      </c>
      <c r="BD239" s="34">
        <f t="shared" ca="1" si="218"/>
        <v>0</v>
      </c>
      <c r="BE239" s="34">
        <f t="shared" ca="1" si="218"/>
        <v>0</v>
      </c>
      <c r="BF239" s="34">
        <f t="shared" ca="1" si="218"/>
        <v>0</v>
      </c>
      <c r="BG239" s="34">
        <f t="shared" ca="1" si="218"/>
        <v>0</v>
      </c>
      <c r="BH239" s="34">
        <f t="shared" ca="1" si="218"/>
        <v>0</v>
      </c>
      <c r="BI239" s="34">
        <f t="shared" ca="1" si="218"/>
        <v>0</v>
      </c>
      <c r="BJ239" s="34">
        <f t="shared" ca="1" si="218"/>
        <v>0</v>
      </c>
      <c r="BK239" s="34">
        <f t="shared" ca="1" si="218"/>
        <v>0</v>
      </c>
      <c r="BL239" s="34">
        <f t="shared" ca="1" si="218"/>
        <v>0</v>
      </c>
      <c r="BM239" s="34">
        <f t="shared" ca="1" si="218"/>
        <v>0</v>
      </c>
      <c r="BN239" s="34">
        <f t="shared" ca="1" si="218"/>
        <v>0</v>
      </c>
      <c r="BO239" s="34">
        <f t="shared" ca="1" si="218"/>
        <v>0</v>
      </c>
      <c r="BP239" s="34">
        <f t="shared" ca="1" si="218"/>
        <v>0</v>
      </c>
      <c r="BQ239" s="34">
        <f t="shared" ca="1" si="218"/>
        <v>0</v>
      </c>
      <c r="BR239" s="34">
        <f t="shared" ca="1" si="218"/>
        <v>0</v>
      </c>
      <c r="BS239" s="34">
        <f t="shared" ca="1" si="219"/>
        <v>0</v>
      </c>
      <c r="BT239" s="34">
        <f t="shared" ca="1" si="219"/>
        <v>0</v>
      </c>
      <c r="BU239" s="34">
        <f t="shared" ca="1" si="219"/>
        <v>0</v>
      </c>
      <c r="BV239" s="34">
        <f t="shared" ca="1" si="219"/>
        <v>0</v>
      </c>
      <c r="BW239" s="34">
        <f t="shared" ca="1" si="219"/>
        <v>0</v>
      </c>
      <c r="BX239" s="34">
        <f t="shared" ca="1" si="219"/>
        <v>0</v>
      </c>
      <c r="BY239" s="34">
        <f t="shared" ca="1" si="219"/>
        <v>0</v>
      </c>
      <c r="BZ239" s="34">
        <f t="shared" ca="1" si="219"/>
        <v>0</v>
      </c>
      <c r="CA239" s="34">
        <f t="shared" ca="1" si="219"/>
        <v>0</v>
      </c>
      <c r="CB239" s="34">
        <f t="shared" ca="1" si="219"/>
        <v>0</v>
      </c>
      <c r="CC239" s="34">
        <f t="shared" ca="1" si="219"/>
        <v>0</v>
      </c>
      <c r="CD239" s="34">
        <f t="shared" ca="1" si="219"/>
        <v>0</v>
      </c>
      <c r="CE239" s="34">
        <f t="shared" ca="1" si="219"/>
        <v>0</v>
      </c>
      <c r="CF239" s="34">
        <f t="shared" ca="1" si="219"/>
        <v>0</v>
      </c>
      <c r="CG239" s="34">
        <f t="shared" ca="1" si="219"/>
        <v>0</v>
      </c>
      <c r="CH239" s="34">
        <f t="shared" ca="1" si="219"/>
        <v>0</v>
      </c>
      <c r="CI239" s="34">
        <f t="shared" ca="1" si="220"/>
        <v>0</v>
      </c>
      <c r="CJ239" s="34">
        <f t="shared" ca="1" si="220"/>
        <v>0</v>
      </c>
      <c r="CK239" s="34">
        <f t="shared" ca="1" si="220"/>
        <v>0</v>
      </c>
      <c r="CL239" s="34">
        <f t="shared" ca="1" si="220"/>
        <v>0</v>
      </c>
      <c r="CM239" s="34">
        <f t="shared" ca="1" si="220"/>
        <v>0</v>
      </c>
      <c r="CN239" s="34">
        <f t="shared" ca="1" si="220"/>
        <v>0</v>
      </c>
      <c r="CO239" s="34">
        <f t="shared" ca="1" si="220"/>
        <v>0</v>
      </c>
      <c r="CP239" s="34">
        <f t="shared" ca="1" si="220"/>
        <v>0</v>
      </c>
      <c r="CQ239" s="34">
        <f t="shared" ca="1" si="241"/>
        <v>0</v>
      </c>
      <c r="CR239" s="363">
        <v>0</v>
      </c>
      <c r="CS239" s="34">
        <f t="shared" ca="1" si="242"/>
        <v>0</v>
      </c>
      <c r="CT239" s="233"/>
    </row>
    <row r="240" spans="2:98" x14ac:dyDescent="0.3">
      <c r="B240" s="232"/>
      <c r="C240" s="250">
        <f t="shared" si="243"/>
        <v>2024</v>
      </c>
      <c r="D240" s="263">
        <f t="shared" ca="1" si="221"/>
        <v>0</v>
      </c>
      <c r="E240" s="263">
        <f t="shared" ca="1" si="207"/>
        <v>0</v>
      </c>
      <c r="F240" s="263">
        <f t="shared" ca="1" si="208"/>
        <v>0</v>
      </c>
      <c r="G240" s="263">
        <f t="shared" ca="1" si="222"/>
        <v>0</v>
      </c>
      <c r="H240" s="15"/>
      <c r="I240" s="271">
        <f ca="1">Assumptions!O$68</f>
        <v>4.5</v>
      </c>
      <c r="J240" s="271">
        <f ca="1">Assumptions!P$68</f>
        <v>80</v>
      </c>
      <c r="K240" s="271">
        <f t="shared" ca="1" si="209"/>
        <v>40</v>
      </c>
      <c r="L240" s="15"/>
      <c r="M240" s="35">
        <f t="shared" ca="1" si="223"/>
        <v>4.2299999999999995</v>
      </c>
      <c r="N240" s="35">
        <f t="shared" ca="1" si="210"/>
        <v>74.400000000000006</v>
      </c>
      <c r="O240" s="35">
        <f t="shared" ca="1" si="211"/>
        <v>37.200000000000003</v>
      </c>
      <c r="P240" s="15"/>
      <c r="Q240" s="34">
        <f t="shared" ca="1" si="224"/>
        <v>0</v>
      </c>
      <c r="R240" s="34">
        <f t="shared" ca="1" si="225"/>
        <v>0</v>
      </c>
      <c r="S240" s="34">
        <f t="shared" ca="1" si="226"/>
        <v>0</v>
      </c>
      <c r="T240" s="34">
        <f t="shared" ca="1" si="227"/>
        <v>0</v>
      </c>
      <c r="U240" s="15"/>
      <c r="V240" s="35">
        <f t="shared" si="228"/>
        <v>0.31</v>
      </c>
      <c r="W240" s="34">
        <f t="shared" ca="1" si="229"/>
        <v>0</v>
      </c>
      <c r="X240" s="35">
        <f t="shared" si="230"/>
        <v>0.37</v>
      </c>
      <c r="Y240" s="34">
        <f t="shared" ca="1" si="231"/>
        <v>0</v>
      </c>
      <c r="Z240" s="35">
        <f t="shared" si="232"/>
        <v>0.57999999999999996</v>
      </c>
      <c r="AA240" s="34">
        <f t="shared" ca="1" si="233"/>
        <v>0</v>
      </c>
      <c r="AB240" s="34">
        <f t="shared" ca="1" si="234"/>
        <v>0</v>
      </c>
      <c r="AC240" s="15"/>
      <c r="AD240" s="34">
        <f t="shared" ca="1" si="235"/>
        <v>0</v>
      </c>
      <c r="AE240" s="34">
        <f ca="1"/>
        <v>0</v>
      </c>
      <c r="AF240" s="34">
        <f t="shared" ca="1" si="236"/>
        <v>0</v>
      </c>
      <c r="AG240" s="15"/>
      <c r="AH240" s="272">
        <f t="shared" si="244"/>
        <v>45657</v>
      </c>
      <c r="AI240" s="267">
        <f t="shared" si="212"/>
        <v>10.666666666666666</v>
      </c>
      <c r="AJ240" s="267">
        <f t="shared" si="213"/>
        <v>0.36180788302340394</v>
      </c>
      <c r="AK240" s="34">
        <f t="shared" ca="1" si="245"/>
        <v>0</v>
      </c>
      <c r="AL240" s="233"/>
      <c r="AN240" s="232"/>
      <c r="AO240" s="237">
        <f t="shared" si="237"/>
        <v>11</v>
      </c>
      <c r="AP240" s="34">
        <f t="shared" ref="AP240:AS240" ca="1" si="255">+AP190</f>
        <v>171.14472578090351</v>
      </c>
      <c r="AQ240" s="34">
        <f t="shared" ca="1" si="255"/>
        <v>1.1320277771408758</v>
      </c>
      <c r="AR240" s="34">
        <f t="shared" ca="1" si="255"/>
        <v>0</v>
      </c>
      <c r="AS240" s="34">
        <f t="shared" ca="1" si="255"/>
        <v>177.93689244374877</v>
      </c>
      <c r="AT240" s="15"/>
      <c r="AW240" s="34">
        <f t="shared" ca="1" si="239"/>
        <v>171.14472578090351</v>
      </c>
      <c r="AX240" s="34">
        <f t="shared" ca="1" si="215"/>
        <v>1.1320277771408758</v>
      </c>
      <c r="AY240" s="34">
        <f t="shared" ca="1" si="216"/>
        <v>0</v>
      </c>
      <c r="AZ240" s="34">
        <f t="shared" ca="1" si="217"/>
        <v>177.93689244374877</v>
      </c>
      <c r="BB240" s="34">
        <f t="shared" ca="1" si="240"/>
        <v>0</v>
      </c>
      <c r="BC240" s="34">
        <f t="shared" ca="1" si="218"/>
        <v>0</v>
      </c>
      <c r="BD240" s="34">
        <f t="shared" ca="1" si="218"/>
        <v>0</v>
      </c>
      <c r="BE240" s="34">
        <f t="shared" ca="1" si="218"/>
        <v>0</v>
      </c>
      <c r="BF240" s="34">
        <f t="shared" ca="1" si="218"/>
        <v>0</v>
      </c>
      <c r="BG240" s="34">
        <f t="shared" ca="1" si="218"/>
        <v>0</v>
      </c>
      <c r="BH240" s="34">
        <f t="shared" ca="1" si="218"/>
        <v>0</v>
      </c>
      <c r="BI240" s="34">
        <f t="shared" ca="1" si="218"/>
        <v>0</v>
      </c>
      <c r="BJ240" s="34">
        <f t="shared" ca="1" si="218"/>
        <v>0</v>
      </c>
      <c r="BK240" s="34">
        <f t="shared" ca="1" si="218"/>
        <v>0</v>
      </c>
      <c r="BL240" s="34">
        <f t="shared" ca="1" si="218"/>
        <v>0</v>
      </c>
      <c r="BM240" s="34">
        <f t="shared" ca="1" si="218"/>
        <v>0</v>
      </c>
      <c r="BN240" s="34">
        <f t="shared" ca="1" si="218"/>
        <v>0</v>
      </c>
      <c r="BO240" s="34">
        <f t="shared" ca="1" si="218"/>
        <v>0</v>
      </c>
      <c r="BP240" s="34">
        <f t="shared" ca="1" si="218"/>
        <v>0</v>
      </c>
      <c r="BQ240" s="34">
        <f t="shared" ca="1" si="218"/>
        <v>0</v>
      </c>
      <c r="BR240" s="34">
        <f t="shared" ca="1" si="218"/>
        <v>0</v>
      </c>
      <c r="BS240" s="34">
        <f t="shared" ca="1" si="219"/>
        <v>0</v>
      </c>
      <c r="BT240" s="34">
        <f t="shared" ca="1" si="219"/>
        <v>0</v>
      </c>
      <c r="BU240" s="34">
        <f t="shared" ca="1" si="219"/>
        <v>0</v>
      </c>
      <c r="BV240" s="34">
        <f t="shared" ca="1" si="219"/>
        <v>0</v>
      </c>
      <c r="BW240" s="34">
        <f t="shared" ca="1" si="219"/>
        <v>0</v>
      </c>
      <c r="BX240" s="34">
        <f t="shared" ca="1" si="219"/>
        <v>0</v>
      </c>
      <c r="BY240" s="34">
        <f t="shared" ca="1" si="219"/>
        <v>0</v>
      </c>
      <c r="BZ240" s="34">
        <f t="shared" ca="1" si="219"/>
        <v>0</v>
      </c>
      <c r="CA240" s="34">
        <f t="shared" ca="1" si="219"/>
        <v>0</v>
      </c>
      <c r="CB240" s="34">
        <f t="shared" ca="1" si="219"/>
        <v>0</v>
      </c>
      <c r="CC240" s="34">
        <f t="shared" ca="1" si="219"/>
        <v>0</v>
      </c>
      <c r="CD240" s="34">
        <f t="shared" ca="1" si="219"/>
        <v>0</v>
      </c>
      <c r="CE240" s="34">
        <f t="shared" ca="1" si="219"/>
        <v>0</v>
      </c>
      <c r="CF240" s="34">
        <f t="shared" ca="1" si="219"/>
        <v>0</v>
      </c>
      <c r="CG240" s="34">
        <f t="shared" ca="1" si="219"/>
        <v>0</v>
      </c>
      <c r="CH240" s="34">
        <f t="shared" ca="1" si="219"/>
        <v>0</v>
      </c>
      <c r="CI240" s="34">
        <f t="shared" ca="1" si="220"/>
        <v>0</v>
      </c>
      <c r="CJ240" s="34">
        <f t="shared" ca="1" si="220"/>
        <v>0</v>
      </c>
      <c r="CK240" s="34">
        <f t="shared" ca="1" si="220"/>
        <v>0</v>
      </c>
      <c r="CL240" s="34">
        <f t="shared" ca="1" si="220"/>
        <v>0</v>
      </c>
      <c r="CM240" s="34">
        <f t="shared" ca="1" si="220"/>
        <v>0</v>
      </c>
      <c r="CN240" s="34">
        <f t="shared" ca="1" si="220"/>
        <v>0</v>
      </c>
      <c r="CO240" s="34">
        <f t="shared" ca="1" si="220"/>
        <v>0</v>
      </c>
      <c r="CP240" s="34">
        <f t="shared" ca="1" si="220"/>
        <v>0</v>
      </c>
      <c r="CQ240" s="34">
        <f t="shared" ca="1" si="241"/>
        <v>0</v>
      </c>
      <c r="CR240" s="363">
        <v>0</v>
      </c>
      <c r="CS240" s="34">
        <f t="shared" ca="1" si="242"/>
        <v>0</v>
      </c>
      <c r="CT240" s="233"/>
    </row>
    <row r="241" spans="2:98" x14ac:dyDescent="0.3">
      <c r="B241" s="232"/>
      <c r="C241" s="250">
        <f t="shared" si="243"/>
        <v>2025</v>
      </c>
      <c r="D241" s="263">
        <f t="shared" ca="1" si="221"/>
        <v>0</v>
      </c>
      <c r="E241" s="263">
        <f t="shared" ca="1" si="207"/>
        <v>0</v>
      </c>
      <c r="F241" s="263">
        <f t="shared" ca="1" si="208"/>
        <v>0</v>
      </c>
      <c r="G241" s="263">
        <f t="shared" ca="1" si="222"/>
        <v>0</v>
      </c>
      <c r="H241" s="15"/>
      <c r="I241" s="271">
        <f ca="1">Assumptions!O$68</f>
        <v>4.5</v>
      </c>
      <c r="J241" s="271">
        <f ca="1">Assumptions!P$68</f>
        <v>80</v>
      </c>
      <c r="K241" s="271">
        <f t="shared" ca="1" si="209"/>
        <v>40</v>
      </c>
      <c r="L241" s="15"/>
      <c r="M241" s="35">
        <f t="shared" ca="1" si="223"/>
        <v>4.2299999999999995</v>
      </c>
      <c r="N241" s="35">
        <f t="shared" ca="1" si="210"/>
        <v>74.400000000000006</v>
      </c>
      <c r="O241" s="35">
        <f t="shared" ca="1" si="211"/>
        <v>37.200000000000003</v>
      </c>
      <c r="P241" s="15"/>
      <c r="Q241" s="34">
        <f t="shared" ca="1" si="224"/>
        <v>0</v>
      </c>
      <c r="R241" s="34">
        <f t="shared" ca="1" si="225"/>
        <v>0</v>
      </c>
      <c r="S241" s="34">
        <f t="shared" ca="1" si="226"/>
        <v>0</v>
      </c>
      <c r="T241" s="34">
        <f t="shared" ca="1" si="227"/>
        <v>0</v>
      </c>
      <c r="U241" s="15"/>
      <c r="V241" s="35">
        <f t="shared" si="228"/>
        <v>0.31</v>
      </c>
      <c r="W241" s="34">
        <f t="shared" ca="1" si="229"/>
        <v>0</v>
      </c>
      <c r="X241" s="35">
        <f t="shared" si="230"/>
        <v>0.37</v>
      </c>
      <c r="Y241" s="34">
        <f t="shared" ca="1" si="231"/>
        <v>0</v>
      </c>
      <c r="Z241" s="35">
        <f t="shared" si="232"/>
        <v>0.57999999999999996</v>
      </c>
      <c r="AA241" s="34">
        <f t="shared" ca="1" si="233"/>
        <v>0</v>
      </c>
      <c r="AB241" s="34">
        <f t="shared" ca="1" si="234"/>
        <v>0</v>
      </c>
      <c r="AC241" s="15"/>
      <c r="AD241" s="34">
        <f t="shared" ca="1" si="235"/>
        <v>0</v>
      </c>
      <c r="AE241" s="34">
        <f ca="1"/>
        <v>0</v>
      </c>
      <c r="AF241" s="34">
        <f t="shared" ca="1" si="236"/>
        <v>0</v>
      </c>
      <c r="AG241" s="15"/>
      <c r="AH241" s="272">
        <f t="shared" si="244"/>
        <v>46022</v>
      </c>
      <c r="AI241" s="267">
        <f t="shared" si="212"/>
        <v>11.666666666666666</v>
      </c>
      <c r="AJ241" s="267">
        <f t="shared" si="213"/>
        <v>0.32891625729400353</v>
      </c>
      <c r="AK241" s="34">
        <f t="shared" ca="1" si="245"/>
        <v>0</v>
      </c>
      <c r="AL241" s="233"/>
      <c r="AN241" s="232"/>
      <c r="AO241" s="237">
        <f t="shared" si="237"/>
        <v>12</v>
      </c>
      <c r="AP241" s="34">
        <f t="shared" ref="AP241:AS241" ca="1" si="256">+AP191</f>
        <v>162.21648194090452</v>
      </c>
      <c r="AQ241" s="34">
        <f t="shared" ca="1" si="256"/>
        <v>1.0729723783732583</v>
      </c>
      <c r="AR241" s="34">
        <f t="shared" ca="1" si="256"/>
        <v>0</v>
      </c>
      <c r="AS241" s="34">
        <f t="shared" ca="1" si="256"/>
        <v>168.65431621114408</v>
      </c>
      <c r="AT241" s="15"/>
      <c r="AW241" s="34">
        <f t="shared" ca="1" si="239"/>
        <v>162.21648194090452</v>
      </c>
      <c r="AX241" s="34">
        <f t="shared" ca="1" si="215"/>
        <v>1.0729723783732583</v>
      </c>
      <c r="AY241" s="34">
        <f t="shared" ca="1" si="216"/>
        <v>0</v>
      </c>
      <c r="AZ241" s="34">
        <f t="shared" ca="1" si="217"/>
        <v>168.65431621114408</v>
      </c>
      <c r="BB241" s="34">
        <f t="shared" ca="1" si="240"/>
        <v>0</v>
      </c>
      <c r="BC241" s="34">
        <f t="shared" ca="1" si="218"/>
        <v>0</v>
      </c>
      <c r="BD241" s="34">
        <f t="shared" ca="1" si="218"/>
        <v>0</v>
      </c>
      <c r="BE241" s="34">
        <f t="shared" ca="1" si="218"/>
        <v>0</v>
      </c>
      <c r="BF241" s="34">
        <f t="shared" ca="1" si="218"/>
        <v>0</v>
      </c>
      <c r="BG241" s="34">
        <f t="shared" ca="1" si="218"/>
        <v>0</v>
      </c>
      <c r="BH241" s="34">
        <f t="shared" ca="1" si="218"/>
        <v>0</v>
      </c>
      <c r="BI241" s="34">
        <f t="shared" ca="1" si="218"/>
        <v>0</v>
      </c>
      <c r="BJ241" s="34">
        <f t="shared" ca="1" si="218"/>
        <v>0</v>
      </c>
      <c r="BK241" s="34">
        <f t="shared" ca="1" si="218"/>
        <v>0</v>
      </c>
      <c r="BL241" s="34">
        <f t="shared" ca="1" si="218"/>
        <v>0</v>
      </c>
      <c r="BM241" s="34">
        <f t="shared" ca="1" si="218"/>
        <v>0</v>
      </c>
      <c r="BN241" s="34">
        <f t="shared" ca="1" si="218"/>
        <v>0</v>
      </c>
      <c r="BO241" s="34">
        <f t="shared" ca="1" si="218"/>
        <v>0</v>
      </c>
      <c r="BP241" s="34">
        <f t="shared" ca="1" si="218"/>
        <v>0</v>
      </c>
      <c r="BQ241" s="34">
        <f t="shared" ca="1" si="218"/>
        <v>0</v>
      </c>
      <c r="BR241" s="34">
        <f t="shared" ca="1" si="218"/>
        <v>0</v>
      </c>
      <c r="BS241" s="34">
        <f t="shared" ca="1" si="219"/>
        <v>0</v>
      </c>
      <c r="BT241" s="34">
        <f t="shared" ca="1" si="219"/>
        <v>0</v>
      </c>
      <c r="BU241" s="34">
        <f t="shared" ca="1" si="219"/>
        <v>0</v>
      </c>
      <c r="BV241" s="34">
        <f t="shared" ca="1" si="219"/>
        <v>0</v>
      </c>
      <c r="BW241" s="34">
        <f t="shared" ca="1" si="219"/>
        <v>0</v>
      </c>
      <c r="BX241" s="34">
        <f t="shared" ca="1" si="219"/>
        <v>0</v>
      </c>
      <c r="BY241" s="34">
        <f t="shared" ca="1" si="219"/>
        <v>0</v>
      </c>
      <c r="BZ241" s="34">
        <f t="shared" ca="1" si="219"/>
        <v>0</v>
      </c>
      <c r="CA241" s="34">
        <f t="shared" ca="1" si="219"/>
        <v>0</v>
      </c>
      <c r="CB241" s="34">
        <f t="shared" ca="1" si="219"/>
        <v>0</v>
      </c>
      <c r="CC241" s="34">
        <f t="shared" ca="1" si="219"/>
        <v>0</v>
      </c>
      <c r="CD241" s="34">
        <f t="shared" ca="1" si="219"/>
        <v>0</v>
      </c>
      <c r="CE241" s="34">
        <f t="shared" ca="1" si="219"/>
        <v>0</v>
      </c>
      <c r="CF241" s="34">
        <f t="shared" ca="1" si="219"/>
        <v>0</v>
      </c>
      <c r="CG241" s="34">
        <f t="shared" ca="1" si="219"/>
        <v>0</v>
      </c>
      <c r="CH241" s="34">
        <f t="shared" ca="1" si="219"/>
        <v>0</v>
      </c>
      <c r="CI241" s="34">
        <f t="shared" ca="1" si="220"/>
        <v>0</v>
      </c>
      <c r="CJ241" s="34">
        <f t="shared" ca="1" si="220"/>
        <v>0</v>
      </c>
      <c r="CK241" s="34">
        <f t="shared" ca="1" si="220"/>
        <v>0</v>
      </c>
      <c r="CL241" s="34">
        <f t="shared" ca="1" si="220"/>
        <v>0</v>
      </c>
      <c r="CM241" s="34">
        <f t="shared" ca="1" si="220"/>
        <v>0</v>
      </c>
      <c r="CN241" s="34">
        <f t="shared" ca="1" si="220"/>
        <v>0</v>
      </c>
      <c r="CO241" s="34">
        <f t="shared" ca="1" si="220"/>
        <v>0</v>
      </c>
      <c r="CP241" s="34">
        <f t="shared" ca="1" si="220"/>
        <v>0</v>
      </c>
      <c r="CQ241" s="34">
        <f t="shared" ca="1" si="241"/>
        <v>0</v>
      </c>
      <c r="CR241" s="363">
        <v>0</v>
      </c>
      <c r="CS241" s="34">
        <f t="shared" ca="1" si="242"/>
        <v>0</v>
      </c>
      <c r="CT241" s="233"/>
    </row>
    <row r="242" spans="2:98" x14ac:dyDescent="0.3">
      <c r="B242" s="232"/>
      <c r="C242" s="250">
        <f t="shared" si="243"/>
        <v>2026</v>
      </c>
      <c r="D242" s="263">
        <f t="shared" ca="1" si="221"/>
        <v>0</v>
      </c>
      <c r="E242" s="263">
        <f t="shared" ca="1" si="207"/>
        <v>0</v>
      </c>
      <c r="F242" s="263">
        <f t="shared" ca="1" si="208"/>
        <v>0</v>
      </c>
      <c r="G242" s="263">
        <f t="shared" ca="1" si="222"/>
        <v>0</v>
      </c>
      <c r="H242" s="15"/>
      <c r="I242" s="271">
        <f ca="1">Assumptions!O$68</f>
        <v>4.5</v>
      </c>
      <c r="J242" s="271">
        <f ca="1">Assumptions!P$68</f>
        <v>80</v>
      </c>
      <c r="K242" s="271">
        <f t="shared" ca="1" si="209"/>
        <v>40</v>
      </c>
      <c r="L242" s="15"/>
      <c r="M242" s="35">
        <f t="shared" ca="1" si="223"/>
        <v>4.2299999999999995</v>
      </c>
      <c r="N242" s="35">
        <f t="shared" ca="1" si="210"/>
        <v>74.400000000000006</v>
      </c>
      <c r="O242" s="35">
        <f t="shared" ca="1" si="211"/>
        <v>37.200000000000003</v>
      </c>
      <c r="P242" s="15"/>
      <c r="Q242" s="34">
        <f t="shared" ca="1" si="224"/>
        <v>0</v>
      </c>
      <c r="R242" s="34">
        <f t="shared" ca="1" si="225"/>
        <v>0</v>
      </c>
      <c r="S242" s="34">
        <f t="shared" ca="1" si="226"/>
        <v>0</v>
      </c>
      <c r="T242" s="34">
        <f t="shared" ca="1" si="227"/>
        <v>0</v>
      </c>
      <c r="U242" s="15"/>
      <c r="V242" s="35">
        <f t="shared" si="228"/>
        <v>0.31</v>
      </c>
      <c r="W242" s="34">
        <f t="shared" ca="1" si="229"/>
        <v>0</v>
      </c>
      <c r="X242" s="35">
        <f t="shared" si="230"/>
        <v>0.37</v>
      </c>
      <c r="Y242" s="34">
        <f t="shared" ca="1" si="231"/>
        <v>0</v>
      </c>
      <c r="Z242" s="35">
        <f t="shared" si="232"/>
        <v>0.57999999999999996</v>
      </c>
      <c r="AA242" s="34">
        <f t="shared" ca="1" si="233"/>
        <v>0</v>
      </c>
      <c r="AB242" s="34">
        <f t="shared" ca="1" si="234"/>
        <v>0</v>
      </c>
      <c r="AC242" s="15"/>
      <c r="AD242" s="34">
        <f t="shared" ca="1" si="235"/>
        <v>0</v>
      </c>
      <c r="AE242" s="34">
        <f ca="1"/>
        <v>0</v>
      </c>
      <c r="AF242" s="34">
        <f t="shared" ca="1" si="236"/>
        <v>0</v>
      </c>
      <c r="AG242" s="15"/>
      <c r="AH242" s="272">
        <f t="shared" si="244"/>
        <v>46387</v>
      </c>
      <c r="AI242" s="267">
        <f t="shared" si="212"/>
        <v>12.666666666666666</v>
      </c>
      <c r="AJ242" s="267">
        <f t="shared" si="213"/>
        <v>0.29901477935818499</v>
      </c>
      <c r="AK242" s="34">
        <f t="shared" ca="1" si="245"/>
        <v>0</v>
      </c>
      <c r="AL242" s="233"/>
      <c r="AN242" s="232"/>
      <c r="AO242" s="237">
        <f t="shared" si="237"/>
        <v>13</v>
      </c>
      <c r="AP242" s="34">
        <f t="shared" ref="AP242:AS242" ca="1" si="257">+AP192</f>
        <v>154.3846588010997</v>
      </c>
      <c r="AQ242" s="34">
        <f t="shared" ca="1" si="257"/>
        <v>1.0211691965956111</v>
      </c>
      <c r="AR242" s="34">
        <f t="shared" ca="1" si="257"/>
        <v>0</v>
      </c>
      <c r="AS242" s="34">
        <f t="shared" ca="1" si="257"/>
        <v>160.51167398067338</v>
      </c>
      <c r="AT242" s="15"/>
      <c r="AW242" s="34">
        <f t="shared" ca="1" si="239"/>
        <v>154.3846588010997</v>
      </c>
      <c r="AX242" s="34">
        <f t="shared" ca="1" si="215"/>
        <v>1.0211691965956111</v>
      </c>
      <c r="AY242" s="34">
        <f t="shared" ca="1" si="216"/>
        <v>0</v>
      </c>
      <c r="AZ242" s="34">
        <f t="shared" ca="1" si="217"/>
        <v>160.51167398067338</v>
      </c>
      <c r="BB242" s="34">
        <f t="shared" ca="1" si="240"/>
        <v>0</v>
      </c>
      <c r="BC242" s="34">
        <f t="shared" ca="1" si="218"/>
        <v>0</v>
      </c>
      <c r="BD242" s="34">
        <f t="shared" ca="1" si="218"/>
        <v>0</v>
      </c>
      <c r="BE242" s="34">
        <f t="shared" ca="1" si="218"/>
        <v>0</v>
      </c>
      <c r="BF242" s="34">
        <f t="shared" ca="1" si="218"/>
        <v>0</v>
      </c>
      <c r="BG242" s="34">
        <f t="shared" ca="1" si="218"/>
        <v>0</v>
      </c>
      <c r="BH242" s="34">
        <f t="shared" ca="1" si="218"/>
        <v>0</v>
      </c>
      <c r="BI242" s="34">
        <f t="shared" ca="1" si="218"/>
        <v>0</v>
      </c>
      <c r="BJ242" s="34">
        <f t="shared" ca="1" si="218"/>
        <v>0</v>
      </c>
      <c r="BK242" s="34">
        <f t="shared" ca="1" si="218"/>
        <v>0</v>
      </c>
      <c r="BL242" s="34">
        <f t="shared" ca="1" si="218"/>
        <v>0</v>
      </c>
      <c r="BM242" s="34">
        <f t="shared" ca="1" si="218"/>
        <v>0</v>
      </c>
      <c r="BN242" s="34">
        <f t="shared" ca="1" si="218"/>
        <v>0</v>
      </c>
      <c r="BO242" s="34">
        <f t="shared" ca="1" si="218"/>
        <v>0</v>
      </c>
      <c r="BP242" s="34">
        <f t="shared" ca="1" si="218"/>
        <v>0</v>
      </c>
      <c r="BQ242" s="34">
        <f t="shared" ca="1" si="218"/>
        <v>0</v>
      </c>
      <c r="BR242" s="34">
        <f t="shared" ca="1" si="218"/>
        <v>0</v>
      </c>
      <c r="BS242" s="34">
        <f t="shared" ca="1" si="219"/>
        <v>0</v>
      </c>
      <c r="BT242" s="34">
        <f t="shared" ca="1" si="219"/>
        <v>0</v>
      </c>
      <c r="BU242" s="34">
        <f t="shared" ca="1" si="219"/>
        <v>0</v>
      </c>
      <c r="BV242" s="34">
        <f t="shared" ca="1" si="219"/>
        <v>0</v>
      </c>
      <c r="BW242" s="34">
        <f t="shared" ca="1" si="219"/>
        <v>0</v>
      </c>
      <c r="BX242" s="34">
        <f t="shared" ca="1" si="219"/>
        <v>0</v>
      </c>
      <c r="BY242" s="34">
        <f t="shared" ca="1" si="219"/>
        <v>0</v>
      </c>
      <c r="BZ242" s="34">
        <f t="shared" ca="1" si="219"/>
        <v>0</v>
      </c>
      <c r="CA242" s="34">
        <f t="shared" ca="1" si="219"/>
        <v>0</v>
      </c>
      <c r="CB242" s="34">
        <f t="shared" ca="1" si="219"/>
        <v>0</v>
      </c>
      <c r="CC242" s="34">
        <f t="shared" ca="1" si="219"/>
        <v>0</v>
      </c>
      <c r="CD242" s="34">
        <f t="shared" ca="1" si="219"/>
        <v>0</v>
      </c>
      <c r="CE242" s="34">
        <f t="shared" ca="1" si="219"/>
        <v>0</v>
      </c>
      <c r="CF242" s="34">
        <f t="shared" ca="1" si="219"/>
        <v>0</v>
      </c>
      <c r="CG242" s="34">
        <f t="shared" ca="1" si="219"/>
        <v>0</v>
      </c>
      <c r="CH242" s="34">
        <f t="shared" ca="1" si="219"/>
        <v>0</v>
      </c>
      <c r="CI242" s="34">
        <f t="shared" ca="1" si="220"/>
        <v>0</v>
      </c>
      <c r="CJ242" s="34">
        <f t="shared" ca="1" si="220"/>
        <v>0</v>
      </c>
      <c r="CK242" s="34">
        <f t="shared" ca="1" si="220"/>
        <v>0</v>
      </c>
      <c r="CL242" s="34">
        <f t="shared" ca="1" si="220"/>
        <v>0</v>
      </c>
      <c r="CM242" s="34">
        <f t="shared" ca="1" si="220"/>
        <v>0</v>
      </c>
      <c r="CN242" s="34">
        <f t="shared" ca="1" si="220"/>
        <v>0</v>
      </c>
      <c r="CO242" s="34">
        <f t="shared" ca="1" si="220"/>
        <v>0</v>
      </c>
      <c r="CP242" s="34">
        <f t="shared" ca="1" si="220"/>
        <v>0</v>
      </c>
      <c r="CQ242" s="34">
        <f t="shared" ca="1" si="241"/>
        <v>0</v>
      </c>
      <c r="CR242" s="363">
        <v>0</v>
      </c>
      <c r="CS242" s="34">
        <f t="shared" ca="1" si="242"/>
        <v>0</v>
      </c>
      <c r="CT242" s="233"/>
    </row>
    <row r="243" spans="2:98" x14ac:dyDescent="0.3">
      <c r="B243" s="232"/>
      <c r="C243" s="250">
        <f t="shared" si="243"/>
        <v>2027</v>
      </c>
      <c r="D243" s="263">
        <f t="shared" ca="1" si="221"/>
        <v>0</v>
      </c>
      <c r="E243" s="263">
        <f t="shared" ca="1" si="207"/>
        <v>0</v>
      </c>
      <c r="F243" s="263">
        <f t="shared" ca="1" si="208"/>
        <v>0</v>
      </c>
      <c r="G243" s="263">
        <f t="shared" ca="1" si="222"/>
        <v>0</v>
      </c>
      <c r="H243" s="15"/>
      <c r="I243" s="271">
        <f ca="1">Assumptions!O$68</f>
        <v>4.5</v>
      </c>
      <c r="J243" s="271">
        <f ca="1">Assumptions!P$68</f>
        <v>80</v>
      </c>
      <c r="K243" s="271">
        <f t="shared" ca="1" si="209"/>
        <v>40</v>
      </c>
      <c r="L243" s="15"/>
      <c r="M243" s="35">
        <f t="shared" ca="1" si="223"/>
        <v>4.2299999999999995</v>
      </c>
      <c r="N243" s="35">
        <f t="shared" ca="1" si="210"/>
        <v>74.400000000000006</v>
      </c>
      <c r="O243" s="35">
        <f t="shared" ca="1" si="211"/>
        <v>37.200000000000003</v>
      </c>
      <c r="P243" s="15"/>
      <c r="Q243" s="34">
        <f t="shared" ca="1" si="224"/>
        <v>0</v>
      </c>
      <c r="R243" s="34">
        <f t="shared" ca="1" si="225"/>
        <v>0</v>
      </c>
      <c r="S243" s="34">
        <f t="shared" ca="1" si="226"/>
        <v>0</v>
      </c>
      <c r="T243" s="34">
        <f t="shared" ca="1" si="227"/>
        <v>0</v>
      </c>
      <c r="U243" s="15"/>
      <c r="V243" s="35">
        <f t="shared" si="228"/>
        <v>0.31</v>
      </c>
      <c r="W243" s="34">
        <f t="shared" ca="1" si="229"/>
        <v>0</v>
      </c>
      <c r="X243" s="35">
        <f t="shared" si="230"/>
        <v>0.37</v>
      </c>
      <c r="Y243" s="34">
        <f t="shared" ca="1" si="231"/>
        <v>0</v>
      </c>
      <c r="Z243" s="35">
        <f t="shared" si="232"/>
        <v>0.57999999999999996</v>
      </c>
      <c r="AA243" s="34">
        <f t="shared" ca="1" si="233"/>
        <v>0</v>
      </c>
      <c r="AB243" s="34">
        <f t="shared" ca="1" si="234"/>
        <v>0</v>
      </c>
      <c r="AC243" s="15"/>
      <c r="AD243" s="34">
        <f t="shared" ca="1" si="235"/>
        <v>0</v>
      </c>
      <c r="AE243" s="34">
        <f ca="1"/>
        <v>0</v>
      </c>
      <c r="AF243" s="34">
        <f t="shared" ca="1" si="236"/>
        <v>0</v>
      </c>
      <c r="AG243" s="15"/>
      <c r="AH243" s="272">
        <f t="shared" si="244"/>
        <v>46752</v>
      </c>
      <c r="AI243" s="267">
        <f t="shared" si="212"/>
        <v>13.666666666666666</v>
      </c>
      <c r="AJ243" s="267">
        <f t="shared" si="213"/>
        <v>0.27183161759835001</v>
      </c>
      <c r="AK243" s="34">
        <f t="shared" ca="1" si="245"/>
        <v>0</v>
      </c>
      <c r="AL243" s="233"/>
      <c r="AN243" s="232"/>
      <c r="AO243" s="237">
        <f t="shared" si="237"/>
        <v>14</v>
      </c>
      <c r="AP243" s="34">
        <f t="shared" ref="AP243:AS243" ca="1" si="258">+AP193</f>
        <v>147.4478307150566</v>
      </c>
      <c r="AQ243" s="34">
        <f t="shared" ca="1" si="258"/>
        <v>0.97528591247556973</v>
      </c>
      <c r="AR243" s="34">
        <f t="shared" ca="1" si="258"/>
        <v>0</v>
      </c>
      <c r="AS243" s="34">
        <f t="shared" ca="1" si="258"/>
        <v>153.29954618991002</v>
      </c>
      <c r="AT243" s="15"/>
      <c r="AW243" s="34">
        <f t="shared" ca="1" si="239"/>
        <v>147.4478307150566</v>
      </c>
      <c r="AX243" s="34">
        <f t="shared" ca="1" si="215"/>
        <v>0.97528591247556973</v>
      </c>
      <c r="AY243" s="34">
        <f t="shared" ca="1" si="216"/>
        <v>0</v>
      </c>
      <c r="AZ243" s="34">
        <f t="shared" ca="1" si="217"/>
        <v>153.29954618991002</v>
      </c>
      <c r="BB243" s="34">
        <f t="shared" ca="1" si="240"/>
        <v>0</v>
      </c>
      <c r="BC243" s="34">
        <f t="shared" ca="1" si="218"/>
        <v>0</v>
      </c>
      <c r="BD243" s="34">
        <f t="shared" ca="1" si="218"/>
        <v>0</v>
      </c>
      <c r="BE243" s="34">
        <f t="shared" ca="1" si="218"/>
        <v>0</v>
      </c>
      <c r="BF243" s="34">
        <f t="shared" ca="1" si="218"/>
        <v>0</v>
      </c>
      <c r="BG243" s="34">
        <f t="shared" ca="1" si="218"/>
        <v>0</v>
      </c>
      <c r="BH243" s="34">
        <f t="shared" ca="1" si="218"/>
        <v>0</v>
      </c>
      <c r="BI243" s="34">
        <f t="shared" ca="1" si="218"/>
        <v>0</v>
      </c>
      <c r="BJ243" s="34">
        <f t="shared" ca="1" si="218"/>
        <v>0</v>
      </c>
      <c r="BK243" s="34">
        <f t="shared" ca="1" si="218"/>
        <v>0</v>
      </c>
      <c r="BL243" s="34">
        <f t="shared" ca="1" si="218"/>
        <v>0</v>
      </c>
      <c r="BM243" s="34">
        <f t="shared" ca="1" si="218"/>
        <v>0</v>
      </c>
      <c r="BN243" s="34">
        <f t="shared" ca="1" si="218"/>
        <v>0</v>
      </c>
      <c r="BO243" s="34">
        <f t="shared" ca="1" si="218"/>
        <v>0</v>
      </c>
      <c r="BP243" s="34">
        <f t="shared" ca="1" si="218"/>
        <v>0</v>
      </c>
      <c r="BQ243" s="34">
        <f t="shared" ca="1" si="218"/>
        <v>0</v>
      </c>
      <c r="BR243" s="34">
        <f t="shared" ca="1" si="218"/>
        <v>0</v>
      </c>
      <c r="BS243" s="34">
        <f t="shared" ca="1" si="219"/>
        <v>0</v>
      </c>
      <c r="BT243" s="34">
        <f t="shared" ca="1" si="219"/>
        <v>0</v>
      </c>
      <c r="BU243" s="34">
        <f t="shared" ca="1" si="219"/>
        <v>0</v>
      </c>
      <c r="BV243" s="34">
        <f t="shared" ca="1" si="219"/>
        <v>0</v>
      </c>
      <c r="BW243" s="34">
        <f t="shared" ca="1" si="219"/>
        <v>0</v>
      </c>
      <c r="BX243" s="34">
        <f t="shared" ca="1" si="219"/>
        <v>0</v>
      </c>
      <c r="BY243" s="34">
        <f t="shared" ca="1" si="219"/>
        <v>0</v>
      </c>
      <c r="BZ243" s="34">
        <f t="shared" ca="1" si="219"/>
        <v>0</v>
      </c>
      <c r="CA243" s="34">
        <f t="shared" ca="1" si="219"/>
        <v>0</v>
      </c>
      <c r="CB243" s="34">
        <f t="shared" ca="1" si="219"/>
        <v>0</v>
      </c>
      <c r="CC243" s="34">
        <f t="shared" ca="1" si="219"/>
        <v>0</v>
      </c>
      <c r="CD243" s="34">
        <f t="shared" ca="1" si="219"/>
        <v>0</v>
      </c>
      <c r="CE243" s="34">
        <f t="shared" ca="1" si="219"/>
        <v>0</v>
      </c>
      <c r="CF243" s="34">
        <f t="shared" ca="1" si="219"/>
        <v>0</v>
      </c>
      <c r="CG243" s="34">
        <f t="shared" ca="1" si="219"/>
        <v>0</v>
      </c>
      <c r="CH243" s="34">
        <f t="shared" ca="1" si="219"/>
        <v>0</v>
      </c>
      <c r="CI243" s="34">
        <f t="shared" ca="1" si="220"/>
        <v>0</v>
      </c>
      <c r="CJ243" s="34">
        <f t="shared" ca="1" si="220"/>
        <v>0</v>
      </c>
      <c r="CK243" s="34">
        <f t="shared" ca="1" si="220"/>
        <v>0</v>
      </c>
      <c r="CL243" s="34">
        <f t="shared" ca="1" si="220"/>
        <v>0</v>
      </c>
      <c r="CM243" s="34">
        <f t="shared" ca="1" si="220"/>
        <v>0</v>
      </c>
      <c r="CN243" s="34">
        <f t="shared" ca="1" si="220"/>
        <v>0</v>
      </c>
      <c r="CO243" s="34">
        <f t="shared" ca="1" si="220"/>
        <v>0</v>
      </c>
      <c r="CP243" s="34">
        <f t="shared" ca="1" si="220"/>
        <v>0</v>
      </c>
      <c r="CQ243" s="34">
        <f t="shared" ca="1" si="241"/>
        <v>0</v>
      </c>
      <c r="CR243" s="363">
        <v>0</v>
      </c>
      <c r="CS243" s="34">
        <f t="shared" ca="1" si="242"/>
        <v>0</v>
      </c>
      <c r="CT243" s="233"/>
    </row>
    <row r="244" spans="2:98" x14ac:dyDescent="0.3">
      <c r="B244" s="232"/>
      <c r="C244" s="250">
        <f t="shared" si="243"/>
        <v>2028</v>
      </c>
      <c r="D244" s="263">
        <f t="shared" ca="1" si="221"/>
        <v>0</v>
      </c>
      <c r="E244" s="263">
        <f t="shared" ca="1" si="207"/>
        <v>0</v>
      </c>
      <c r="F244" s="263">
        <f t="shared" ca="1" si="208"/>
        <v>0</v>
      </c>
      <c r="G244" s="263">
        <f t="shared" ca="1" si="222"/>
        <v>0</v>
      </c>
      <c r="H244" s="15"/>
      <c r="I244" s="271">
        <f ca="1">Assumptions!O$68</f>
        <v>4.5</v>
      </c>
      <c r="J244" s="271">
        <f ca="1">Assumptions!P$68</f>
        <v>80</v>
      </c>
      <c r="K244" s="271">
        <f t="shared" ca="1" si="209"/>
        <v>40</v>
      </c>
      <c r="L244" s="15"/>
      <c r="M244" s="35">
        <f t="shared" ca="1" si="223"/>
        <v>4.2299999999999995</v>
      </c>
      <c r="N244" s="35">
        <f t="shared" ca="1" si="210"/>
        <v>74.400000000000006</v>
      </c>
      <c r="O244" s="35">
        <f t="shared" ca="1" si="211"/>
        <v>37.200000000000003</v>
      </c>
      <c r="P244" s="15"/>
      <c r="Q244" s="34">
        <f t="shared" ca="1" si="224"/>
        <v>0</v>
      </c>
      <c r="R244" s="34">
        <f t="shared" ca="1" si="225"/>
        <v>0</v>
      </c>
      <c r="S244" s="34">
        <f t="shared" ca="1" si="226"/>
        <v>0</v>
      </c>
      <c r="T244" s="34">
        <f t="shared" ca="1" si="227"/>
        <v>0</v>
      </c>
      <c r="U244" s="15"/>
      <c r="V244" s="35">
        <f t="shared" si="228"/>
        <v>0.31</v>
      </c>
      <c r="W244" s="34">
        <f t="shared" ca="1" si="229"/>
        <v>0</v>
      </c>
      <c r="X244" s="35">
        <f t="shared" si="230"/>
        <v>0.37</v>
      </c>
      <c r="Y244" s="34">
        <f t="shared" ca="1" si="231"/>
        <v>0</v>
      </c>
      <c r="Z244" s="35">
        <f t="shared" si="232"/>
        <v>0.57999999999999996</v>
      </c>
      <c r="AA244" s="34">
        <f t="shared" ca="1" si="233"/>
        <v>0</v>
      </c>
      <c r="AB244" s="34">
        <f t="shared" ca="1" si="234"/>
        <v>0</v>
      </c>
      <c r="AC244" s="15"/>
      <c r="AD244" s="34">
        <f t="shared" ca="1" si="235"/>
        <v>0</v>
      </c>
      <c r="AE244" s="34">
        <f ca="1"/>
        <v>0</v>
      </c>
      <c r="AF244" s="34">
        <f t="shared" ca="1" si="236"/>
        <v>0</v>
      </c>
      <c r="AG244" s="15"/>
      <c r="AH244" s="272">
        <f t="shared" si="244"/>
        <v>47118</v>
      </c>
      <c r="AI244" s="267">
        <f t="shared" si="212"/>
        <v>14.666666666666666</v>
      </c>
      <c r="AJ244" s="267">
        <f t="shared" si="213"/>
        <v>0.24711965236213634</v>
      </c>
      <c r="AK244" s="34">
        <f t="shared" ca="1" si="245"/>
        <v>0</v>
      </c>
      <c r="AL244" s="233"/>
      <c r="AN244" s="232"/>
      <c r="AO244" s="237">
        <f t="shared" si="237"/>
        <v>15</v>
      </c>
      <c r="AP244" s="34">
        <f t="shared" ref="AP244:AS244" ca="1" si="259">+AP194</f>
        <v>141.25226172074025</v>
      </c>
      <c r="AQ244" s="34">
        <f t="shared" ca="1" si="259"/>
        <v>0.93430564758714141</v>
      </c>
      <c r="AR244" s="34">
        <f t="shared" ca="1" si="259"/>
        <v>0</v>
      </c>
      <c r="AS244" s="34">
        <f t="shared" ca="1" si="259"/>
        <v>146.85809560626311</v>
      </c>
      <c r="AT244" s="15"/>
      <c r="AW244" s="34">
        <f t="shared" ca="1" si="239"/>
        <v>141.25226172074025</v>
      </c>
      <c r="AX244" s="34">
        <f t="shared" ca="1" si="215"/>
        <v>0.93430564758714141</v>
      </c>
      <c r="AY244" s="34">
        <f t="shared" ca="1" si="216"/>
        <v>0</v>
      </c>
      <c r="AZ244" s="34">
        <f t="shared" ca="1" si="217"/>
        <v>146.85809560626311</v>
      </c>
      <c r="BB244" s="34">
        <f t="shared" ca="1" si="240"/>
        <v>0</v>
      </c>
      <c r="BC244" s="34">
        <f t="shared" ca="1" si="218"/>
        <v>0</v>
      </c>
      <c r="BD244" s="34">
        <f t="shared" ca="1" si="218"/>
        <v>0</v>
      </c>
      <c r="BE244" s="34">
        <f t="shared" ca="1" si="218"/>
        <v>0</v>
      </c>
      <c r="BF244" s="34">
        <f t="shared" ca="1" si="218"/>
        <v>0</v>
      </c>
      <c r="BG244" s="34">
        <f t="shared" ca="1" si="218"/>
        <v>0</v>
      </c>
      <c r="BH244" s="34">
        <f t="shared" ca="1" si="218"/>
        <v>0</v>
      </c>
      <c r="BI244" s="34">
        <f t="shared" ca="1" si="218"/>
        <v>0</v>
      </c>
      <c r="BJ244" s="34">
        <f t="shared" ca="1" si="218"/>
        <v>0</v>
      </c>
      <c r="BK244" s="34">
        <f t="shared" ca="1" si="218"/>
        <v>0</v>
      </c>
      <c r="BL244" s="34">
        <f t="shared" ca="1" si="218"/>
        <v>0</v>
      </c>
      <c r="BM244" s="34">
        <f t="shared" ca="1" si="218"/>
        <v>0</v>
      </c>
      <c r="BN244" s="34">
        <f t="shared" ca="1" si="218"/>
        <v>0</v>
      </c>
      <c r="BO244" s="34">
        <f t="shared" ca="1" si="218"/>
        <v>0</v>
      </c>
      <c r="BP244" s="34">
        <f t="shared" ca="1" si="218"/>
        <v>0</v>
      </c>
      <c r="BQ244" s="34">
        <f t="shared" ca="1" si="218"/>
        <v>0</v>
      </c>
      <c r="BR244" s="34">
        <f t="shared" ref="BR244:CG259" ca="1" si="260">IF($AO244&lt;BR$228,0,OFFSET($AZ$228,$AO244-BR$228+1,0)*BR$226)</f>
        <v>0</v>
      </c>
      <c r="BS244" s="34">
        <f t="shared" ca="1" si="219"/>
        <v>0</v>
      </c>
      <c r="BT244" s="34">
        <f t="shared" ca="1" si="219"/>
        <v>0</v>
      </c>
      <c r="BU244" s="34">
        <f t="shared" ca="1" si="219"/>
        <v>0</v>
      </c>
      <c r="BV244" s="34">
        <f t="shared" ca="1" si="219"/>
        <v>0</v>
      </c>
      <c r="BW244" s="34">
        <f t="shared" ca="1" si="219"/>
        <v>0</v>
      </c>
      <c r="BX244" s="34">
        <f t="shared" ca="1" si="219"/>
        <v>0</v>
      </c>
      <c r="BY244" s="34">
        <f t="shared" ca="1" si="219"/>
        <v>0</v>
      </c>
      <c r="BZ244" s="34">
        <f t="shared" ca="1" si="219"/>
        <v>0</v>
      </c>
      <c r="CA244" s="34">
        <f t="shared" ca="1" si="219"/>
        <v>0</v>
      </c>
      <c r="CB244" s="34">
        <f t="shared" ca="1" si="219"/>
        <v>0</v>
      </c>
      <c r="CC244" s="34">
        <f t="shared" ca="1" si="219"/>
        <v>0</v>
      </c>
      <c r="CD244" s="34">
        <f t="shared" ca="1" si="219"/>
        <v>0</v>
      </c>
      <c r="CE244" s="34">
        <f t="shared" ca="1" si="219"/>
        <v>0</v>
      </c>
      <c r="CF244" s="34">
        <f t="shared" ca="1" si="219"/>
        <v>0</v>
      </c>
      <c r="CG244" s="34">
        <f t="shared" ca="1" si="219"/>
        <v>0</v>
      </c>
      <c r="CH244" s="34">
        <f t="shared" ref="CH244:CP259" ca="1" si="261">IF($AO244&lt;CH$228,0,OFFSET($AZ$228,$AO244-CH$228+1,0)*CH$226)</f>
        <v>0</v>
      </c>
      <c r="CI244" s="34">
        <f t="shared" ca="1" si="220"/>
        <v>0</v>
      </c>
      <c r="CJ244" s="34">
        <f t="shared" ca="1" si="220"/>
        <v>0</v>
      </c>
      <c r="CK244" s="34">
        <f t="shared" ca="1" si="220"/>
        <v>0</v>
      </c>
      <c r="CL244" s="34">
        <f t="shared" ca="1" si="220"/>
        <v>0</v>
      </c>
      <c r="CM244" s="34">
        <f t="shared" ca="1" si="220"/>
        <v>0</v>
      </c>
      <c r="CN244" s="34">
        <f t="shared" ca="1" si="220"/>
        <v>0</v>
      </c>
      <c r="CO244" s="34">
        <f t="shared" ca="1" si="220"/>
        <v>0</v>
      </c>
      <c r="CP244" s="34">
        <f t="shared" ca="1" si="220"/>
        <v>0</v>
      </c>
      <c r="CQ244" s="34">
        <f t="shared" ca="1" si="241"/>
        <v>0</v>
      </c>
      <c r="CR244" s="363">
        <v>0</v>
      </c>
      <c r="CS244" s="34">
        <f t="shared" ca="1" si="242"/>
        <v>0</v>
      </c>
      <c r="CT244" s="233"/>
    </row>
    <row r="245" spans="2:98" x14ac:dyDescent="0.3">
      <c r="B245" s="232"/>
      <c r="C245" s="250">
        <f t="shared" si="243"/>
        <v>2029</v>
      </c>
      <c r="D245" s="263">
        <f t="shared" ca="1" si="221"/>
        <v>0</v>
      </c>
      <c r="E245" s="263">
        <f t="shared" ca="1" si="207"/>
        <v>0</v>
      </c>
      <c r="F245" s="263">
        <f t="shared" ca="1" si="208"/>
        <v>0</v>
      </c>
      <c r="G245" s="263">
        <f t="shared" ca="1" si="222"/>
        <v>0</v>
      </c>
      <c r="H245" s="15"/>
      <c r="I245" s="271">
        <f ca="1">Assumptions!O$68</f>
        <v>4.5</v>
      </c>
      <c r="J245" s="271">
        <f ca="1">Assumptions!P$68</f>
        <v>80</v>
      </c>
      <c r="K245" s="271">
        <f t="shared" ca="1" si="209"/>
        <v>40</v>
      </c>
      <c r="L245" s="15"/>
      <c r="M245" s="35">
        <f t="shared" ca="1" si="223"/>
        <v>4.2299999999999995</v>
      </c>
      <c r="N245" s="35">
        <f t="shared" ca="1" si="210"/>
        <v>74.400000000000006</v>
      </c>
      <c r="O245" s="35">
        <f t="shared" ca="1" si="211"/>
        <v>37.200000000000003</v>
      </c>
      <c r="P245" s="15"/>
      <c r="Q245" s="34">
        <f t="shared" ca="1" si="224"/>
        <v>0</v>
      </c>
      <c r="R245" s="34">
        <f t="shared" ca="1" si="225"/>
        <v>0</v>
      </c>
      <c r="S245" s="34">
        <f t="shared" ca="1" si="226"/>
        <v>0</v>
      </c>
      <c r="T245" s="34">
        <f t="shared" ca="1" si="227"/>
        <v>0</v>
      </c>
      <c r="U245" s="15"/>
      <c r="V245" s="35">
        <f t="shared" si="228"/>
        <v>0.31</v>
      </c>
      <c r="W245" s="34">
        <f t="shared" ca="1" si="229"/>
        <v>0</v>
      </c>
      <c r="X245" s="35">
        <f t="shared" si="230"/>
        <v>0.37</v>
      </c>
      <c r="Y245" s="34">
        <f t="shared" ca="1" si="231"/>
        <v>0</v>
      </c>
      <c r="Z245" s="35">
        <f t="shared" si="232"/>
        <v>0.57999999999999996</v>
      </c>
      <c r="AA245" s="34">
        <f t="shared" ca="1" si="233"/>
        <v>0</v>
      </c>
      <c r="AB245" s="34">
        <f t="shared" ca="1" si="234"/>
        <v>0</v>
      </c>
      <c r="AC245" s="15"/>
      <c r="AD245" s="34">
        <f t="shared" ca="1" si="235"/>
        <v>0</v>
      </c>
      <c r="AE245" s="34">
        <f ca="1"/>
        <v>0</v>
      </c>
      <c r="AF245" s="34">
        <f t="shared" ca="1" si="236"/>
        <v>0</v>
      </c>
      <c r="AG245" s="15"/>
      <c r="AH245" s="272">
        <f t="shared" si="244"/>
        <v>47483</v>
      </c>
      <c r="AI245" s="267">
        <f t="shared" si="212"/>
        <v>15.666666666666668</v>
      </c>
      <c r="AJ245" s="267">
        <f t="shared" si="213"/>
        <v>0.22465422942012386</v>
      </c>
      <c r="AK245" s="34">
        <f t="shared" ca="1" si="245"/>
        <v>0</v>
      </c>
      <c r="AL245" s="233"/>
      <c r="AN245" s="232"/>
      <c r="AO245" s="237">
        <f t="shared" si="237"/>
        <v>16</v>
      </c>
      <c r="AP245" s="34">
        <f t="shared" ref="AP245:AS245" ca="1" si="262">+AP195</f>
        <v>135.65299547404385</v>
      </c>
      <c r="AQ245" s="34">
        <f t="shared" ca="1" si="262"/>
        <v>0.89726959582483268</v>
      </c>
      <c r="AR245" s="34">
        <f t="shared" ca="1" si="262"/>
        <v>0</v>
      </c>
      <c r="AS245" s="34">
        <f t="shared" ca="1" si="262"/>
        <v>141.03661304899285</v>
      </c>
      <c r="AT245" s="15"/>
      <c r="AW245" s="34">
        <f t="shared" ca="1" si="239"/>
        <v>135.65299547404385</v>
      </c>
      <c r="AX245" s="34">
        <f t="shared" ca="1" si="215"/>
        <v>0.89726959582483268</v>
      </c>
      <c r="AY245" s="34">
        <f t="shared" ca="1" si="216"/>
        <v>0</v>
      </c>
      <c r="AZ245" s="34">
        <f t="shared" ca="1" si="217"/>
        <v>141.03661304899285</v>
      </c>
      <c r="BB245" s="34">
        <f t="shared" ca="1" si="240"/>
        <v>0</v>
      </c>
      <c r="BC245" s="34">
        <f t="shared" ca="1" si="240"/>
        <v>0</v>
      </c>
      <c r="BD245" s="34">
        <f t="shared" ca="1" si="240"/>
        <v>0</v>
      </c>
      <c r="BE245" s="34">
        <f t="shared" ca="1" si="240"/>
        <v>0</v>
      </c>
      <c r="BF245" s="34">
        <f t="shared" ca="1" si="240"/>
        <v>0</v>
      </c>
      <c r="BG245" s="34">
        <f t="shared" ca="1" si="240"/>
        <v>0</v>
      </c>
      <c r="BH245" s="34">
        <f t="shared" ca="1" si="240"/>
        <v>0</v>
      </c>
      <c r="BI245" s="34">
        <f t="shared" ca="1" si="240"/>
        <v>0</v>
      </c>
      <c r="BJ245" s="34">
        <f t="shared" ca="1" si="240"/>
        <v>0</v>
      </c>
      <c r="BK245" s="34">
        <f t="shared" ca="1" si="240"/>
        <v>0</v>
      </c>
      <c r="BL245" s="34">
        <f t="shared" ca="1" si="240"/>
        <v>0</v>
      </c>
      <c r="BM245" s="34">
        <f t="shared" ca="1" si="240"/>
        <v>0</v>
      </c>
      <c r="BN245" s="34">
        <f t="shared" ca="1" si="240"/>
        <v>0</v>
      </c>
      <c r="BO245" s="34">
        <f t="shared" ca="1" si="240"/>
        <v>0</v>
      </c>
      <c r="BP245" s="34">
        <f t="shared" ca="1" si="240"/>
        <v>0</v>
      </c>
      <c r="BQ245" s="34">
        <f t="shared" ca="1" si="240"/>
        <v>0</v>
      </c>
      <c r="BR245" s="34">
        <f t="shared" ca="1" si="260"/>
        <v>0</v>
      </c>
      <c r="BS245" s="34">
        <f t="shared" ca="1" si="260"/>
        <v>0</v>
      </c>
      <c r="BT245" s="34">
        <f t="shared" ca="1" si="260"/>
        <v>0</v>
      </c>
      <c r="BU245" s="34">
        <f t="shared" ca="1" si="260"/>
        <v>0</v>
      </c>
      <c r="BV245" s="34">
        <f t="shared" ca="1" si="260"/>
        <v>0</v>
      </c>
      <c r="BW245" s="34">
        <f t="shared" ca="1" si="260"/>
        <v>0</v>
      </c>
      <c r="BX245" s="34">
        <f t="shared" ca="1" si="260"/>
        <v>0</v>
      </c>
      <c r="BY245" s="34">
        <f t="shared" ca="1" si="260"/>
        <v>0</v>
      </c>
      <c r="BZ245" s="34">
        <f t="shared" ca="1" si="260"/>
        <v>0</v>
      </c>
      <c r="CA245" s="34">
        <f t="shared" ca="1" si="260"/>
        <v>0</v>
      </c>
      <c r="CB245" s="34">
        <f t="shared" ca="1" si="260"/>
        <v>0</v>
      </c>
      <c r="CC245" s="34">
        <f t="shared" ca="1" si="260"/>
        <v>0</v>
      </c>
      <c r="CD245" s="34">
        <f t="shared" ca="1" si="260"/>
        <v>0</v>
      </c>
      <c r="CE245" s="34">
        <f t="shared" ca="1" si="260"/>
        <v>0</v>
      </c>
      <c r="CF245" s="34">
        <f t="shared" ca="1" si="260"/>
        <v>0</v>
      </c>
      <c r="CG245" s="34">
        <f t="shared" ca="1" si="260"/>
        <v>0</v>
      </c>
      <c r="CH245" s="34">
        <f t="shared" ca="1" si="261"/>
        <v>0</v>
      </c>
      <c r="CI245" s="34">
        <f t="shared" ca="1" si="261"/>
        <v>0</v>
      </c>
      <c r="CJ245" s="34">
        <f t="shared" ca="1" si="261"/>
        <v>0</v>
      </c>
      <c r="CK245" s="34">
        <f t="shared" ca="1" si="261"/>
        <v>0</v>
      </c>
      <c r="CL245" s="34">
        <f t="shared" ca="1" si="261"/>
        <v>0</v>
      </c>
      <c r="CM245" s="34">
        <f t="shared" ca="1" si="261"/>
        <v>0</v>
      </c>
      <c r="CN245" s="34">
        <f t="shared" ca="1" si="261"/>
        <v>0</v>
      </c>
      <c r="CO245" s="34">
        <f t="shared" ca="1" si="261"/>
        <v>0</v>
      </c>
      <c r="CP245" s="34">
        <f t="shared" ca="1" si="261"/>
        <v>0</v>
      </c>
      <c r="CQ245" s="34">
        <f t="shared" ca="1" si="241"/>
        <v>0</v>
      </c>
      <c r="CR245" s="363">
        <v>0</v>
      </c>
      <c r="CS245" s="34">
        <f t="shared" ca="1" si="242"/>
        <v>0</v>
      </c>
      <c r="CT245" s="233"/>
    </row>
    <row r="246" spans="2:98" x14ac:dyDescent="0.3">
      <c r="B246" s="232"/>
      <c r="C246" s="250">
        <f t="shared" si="243"/>
        <v>2030</v>
      </c>
      <c r="D246" s="263">
        <f t="shared" ca="1" si="221"/>
        <v>0</v>
      </c>
      <c r="E246" s="263">
        <f t="shared" ca="1" si="207"/>
        <v>0</v>
      </c>
      <c r="F246" s="263">
        <f t="shared" ca="1" si="208"/>
        <v>0</v>
      </c>
      <c r="G246" s="263">
        <f t="shared" ca="1" si="222"/>
        <v>0</v>
      </c>
      <c r="H246" s="15"/>
      <c r="I246" s="271">
        <f ca="1">Assumptions!O$68</f>
        <v>4.5</v>
      </c>
      <c r="J246" s="271">
        <f ca="1">Assumptions!P$68</f>
        <v>80</v>
      </c>
      <c r="K246" s="271">
        <f t="shared" ca="1" si="209"/>
        <v>40</v>
      </c>
      <c r="L246" s="15"/>
      <c r="M246" s="35">
        <f t="shared" ca="1" si="223"/>
        <v>4.2299999999999995</v>
      </c>
      <c r="N246" s="35">
        <f t="shared" ca="1" si="210"/>
        <v>74.400000000000006</v>
      </c>
      <c r="O246" s="35">
        <f t="shared" ca="1" si="211"/>
        <v>37.200000000000003</v>
      </c>
      <c r="P246" s="15"/>
      <c r="Q246" s="34">
        <f t="shared" ca="1" si="224"/>
        <v>0</v>
      </c>
      <c r="R246" s="34">
        <f t="shared" ca="1" si="225"/>
        <v>0</v>
      </c>
      <c r="S246" s="34">
        <f t="shared" ca="1" si="226"/>
        <v>0</v>
      </c>
      <c r="T246" s="34">
        <f t="shared" ca="1" si="227"/>
        <v>0</v>
      </c>
      <c r="U246" s="15"/>
      <c r="V246" s="35">
        <f t="shared" si="228"/>
        <v>0.31</v>
      </c>
      <c r="W246" s="34">
        <f t="shared" ca="1" si="229"/>
        <v>0</v>
      </c>
      <c r="X246" s="35">
        <f t="shared" si="230"/>
        <v>0.37</v>
      </c>
      <c r="Y246" s="34">
        <f t="shared" ca="1" si="231"/>
        <v>0</v>
      </c>
      <c r="Z246" s="35">
        <f t="shared" si="232"/>
        <v>0.57999999999999996</v>
      </c>
      <c r="AA246" s="34">
        <f t="shared" ca="1" si="233"/>
        <v>0</v>
      </c>
      <c r="AB246" s="34">
        <f t="shared" ca="1" si="234"/>
        <v>0</v>
      </c>
      <c r="AC246" s="15"/>
      <c r="AD246" s="34">
        <f t="shared" ca="1" si="235"/>
        <v>0</v>
      </c>
      <c r="AE246" s="34">
        <f ca="1"/>
        <v>0</v>
      </c>
      <c r="AF246" s="34">
        <f t="shared" ca="1" si="236"/>
        <v>0</v>
      </c>
      <c r="AG246" s="15"/>
      <c r="AH246" s="272">
        <f t="shared" si="244"/>
        <v>47848</v>
      </c>
      <c r="AI246" s="267">
        <f t="shared" si="212"/>
        <v>16.666666666666668</v>
      </c>
      <c r="AJ246" s="267">
        <f t="shared" si="213"/>
        <v>0.2042311176546581</v>
      </c>
      <c r="AK246" s="34">
        <f t="shared" ca="1" si="245"/>
        <v>0</v>
      </c>
      <c r="AL246" s="233"/>
      <c r="AN246" s="232"/>
      <c r="AO246" s="237">
        <f t="shared" ref="AO246:AO261" si="263">AO196</f>
        <v>17</v>
      </c>
      <c r="AP246" s="34">
        <f t="shared" ref="AP246:AS246" ca="1" si="264">+AP196</f>
        <v>130.37334676969567</v>
      </c>
      <c r="AQ246" s="34">
        <f t="shared" ca="1" si="264"/>
        <v>0.86234763746709031</v>
      </c>
      <c r="AR246" s="34">
        <f t="shared" ca="1" si="264"/>
        <v>0</v>
      </c>
      <c r="AS246" s="34">
        <f t="shared" ca="1" si="264"/>
        <v>135.54743259449822</v>
      </c>
      <c r="AT246" s="15"/>
      <c r="AW246" s="34">
        <f t="shared" ca="1" si="239"/>
        <v>130.37334676969567</v>
      </c>
      <c r="AX246" s="34">
        <f t="shared" ca="1" si="215"/>
        <v>0.86234763746709031</v>
      </c>
      <c r="AY246" s="34">
        <f t="shared" ca="1" si="216"/>
        <v>0</v>
      </c>
      <c r="AZ246" s="34">
        <f t="shared" ca="1" si="217"/>
        <v>135.54743259449822</v>
      </c>
      <c r="BB246" s="34">
        <f t="shared" ref="BB246:BQ261" ca="1" si="265">IF($AO246&lt;BB$228,0,OFFSET($AZ$228,$AO246-BB$228+1,0)*BB$226)</f>
        <v>0</v>
      </c>
      <c r="BC246" s="34">
        <f t="shared" ca="1" si="265"/>
        <v>0</v>
      </c>
      <c r="BD246" s="34">
        <f t="shared" ca="1" si="265"/>
        <v>0</v>
      </c>
      <c r="BE246" s="34">
        <f t="shared" ca="1" si="265"/>
        <v>0</v>
      </c>
      <c r="BF246" s="34">
        <f t="shared" ca="1" si="265"/>
        <v>0</v>
      </c>
      <c r="BG246" s="34">
        <f t="shared" ca="1" si="265"/>
        <v>0</v>
      </c>
      <c r="BH246" s="34">
        <f t="shared" ca="1" si="265"/>
        <v>0</v>
      </c>
      <c r="BI246" s="34">
        <f t="shared" ca="1" si="265"/>
        <v>0</v>
      </c>
      <c r="BJ246" s="34">
        <f t="shared" ca="1" si="265"/>
        <v>0</v>
      </c>
      <c r="BK246" s="34">
        <f t="shared" ca="1" si="265"/>
        <v>0</v>
      </c>
      <c r="BL246" s="34">
        <f t="shared" ca="1" si="265"/>
        <v>0</v>
      </c>
      <c r="BM246" s="34">
        <f t="shared" ca="1" si="265"/>
        <v>0</v>
      </c>
      <c r="BN246" s="34">
        <f t="shared" ca="1" si="265"/>
        <v>0</v>
      </c>
      <c r="BO246" s="34">
        <f t="shared" ca="1" si="265"/>
        <v>0</v>
      </c>
      <c r="BP246" s="34">
        <f t="shared" ca="1" si="265"/>
        <v>0</v>
      </c>
      <c r="BQ246" s="34">
        <f t="shared" ca="1" si="265"/>
        <v>0</v>
      </c>
      <c r="BR246" s="34">
        <f t="shared" ca="1" si="260"/>
        <v>0</v>
      </c>
      <c r="BS246" s="34">
        <f t="shared" ca="1" si="260"/>
        <v>0</v>
      </c>
      <c r="BT246" s="34">
        <f t="shared" ca="1" si="260"/>
        <v>0</v>
      </c>
      <c r="BU246" s="34">
        <f t="shared" ca="1" si="260"/>
        <v>0</v>
      </c>
      <c r="BV246" s="34">
        <f t="shared" ca="1" si="260"/>
        <v>0</v>
      </c>
      <c r="BW246" s="34">
        <f t="shared" ca="1" si="260"/>
        <v>0</v>
      </c>
      <c r="BX246" s="34">
        <f t="shared" ca="1" si="260"/>
        <v>0</v>
      </c>
      <c r="BY246" s="34">
        <f t="shared" ca="1" si="260"/>
        <v>0</v>
      </c>
      <c r="BZ246" s="34">
        <f t="shared" ca="1" si="260"/>
        <v>0</v>
      </c>
      <c r="CA246" s="34">
        <f t="shared" ca="1" si="260"/>
        <v>0</v>
      </c>
      <c r="CB246" s="34">
        <f t="shared" ca="1" si="260"/>
        <v>0</v>
      </c>
      <c r="CC246" s="34">
        <f t="shared" ca="1" si="260"/>
        <v>0</v>
      </c>
      <c r="CD246" s="34">
        <f t="shared" ca="1" si="260"/>
        <v>0</v>
      </c>
      <c r="CE246" s="34">
        <f t="shared" ca="1" si="260"/>
        <v>0</v>
      </c>
      <c r="CF246" s="34">
        <f t="shared" ca="1" si="260"/>
        <v>0</v>
      </c>
      <c r="CG246" s="34">
        <f t="shared" ca="1" si="260"/>
        <v>0</v>
      </c>
      <c r="CH246" s="34">
        <f t="shared" ca="1" si="261"/>
        <v>0</v>
      </c>
      <c r="CI246" s="34">
        <f t="shared" ca="1" si="261"/>
        <v>0</v>
      </c>
      <c r="CJ246" s="34">
        <f t="shared" ca="1" si="261"/>
        <v>0</v>
      </c>
      <c r="CK246" s="34">
        <f t="shared" ca="1" si="261"/>
        <v>0</v>
      </c>
      <c r="CL246" s="34">
        <f t="shared" ca="1" si="261"/>
        <v>0</v>
      </c>
      <c r="CM246" s="34">
        <f t="shared" ca="1" si="261"/>
        <v>0</v>
      </c>
      <c r="CN246" s="34">
        <f t="shared" ca="1" si="261"/>
        <v>0</v>
      </c>
      <c r="CO246" s="34">
        <f t="shared" ca="1" si="261"/>
        <v>0</v>
      </c>
      <c r="CP246" s="34">
        <f t="shared" ca="1" si="261"/>
        <v>0</v>
      </c>
      <c r="CQ246" s="34">
        <f t="shared" ca="1" si="241"/>
        <v>0</v>
      </c>
      <c r="CR246" s="363">
        <v>0</v>
      </c>
      <c r="CS246" s="34">
        <f t="shared" ca="1" si="242"/>
        <v>0</v>
      </c>
      <c r="CT246" s="233"/>
    </row>
    <row r="247" spans="2:98" x14ac:dyDescent="0.3">
      <c r="B247" s="232"/>
      <c r="C247" s="250">
        <f t="shared" si="243"/>
        <v>2031</v>
      </c>
      <c r="D247" s="263">
        <f t="shared" ca="1" si="221"/>
        <v>0</v>
      </c>
      <c r="E247" s="263">
        <f t="shared" ca="1" si="207"/>
        <v>0</v>
      </c>
      <c r="F247" s="263">
        <f t="shared" ca="1" si="208"/>
        <v>0</v>
      </c>
      <c r="G247" s="263">
        <f t="shared" ca="1" si="222"/>
        <v>0</v>
      </c>
      <c r="H247" s="15"/>
      <c r="I247" s="271">
        <f ca="1">Assumptions!O$68</f>
        <v>4.5</v>
      </c>
      <c r="J247" s="271">
        <f ca="1">Assumptions!P$68</f>
        <v>80</v>
      </c>
      <c r="K247" s="271">
        <f t="shared" ca="1" si="209"/>
        <v>40</v>
      </c>
      <c r="L247" s="15"/>
      <c r="M247" s="35">
        <f t="shared" ca="1" si="223"/>
        <v>4.2299999999999995</v>
      </c>
      <c r="N247" s="35">
        <f t="shared" ca="1" si="210"/>
        <v>74.400000000000006</v>
      </c>
      <c r="O247" s="35">
        <f t="shared" ca="1" si="211"/>
        <v>37.200000000000003</v>
      </c>
      <c r="P247" s="15"/>
      <c r="Q247" s="34">
        <f t="shared" ca="1" si="224"/>
        <v>0</v>
      </c>
      <c r="R247" s="34">
        <f t="shared" ca="1" si="225"/>
        <v>0</v>
      </c>
      <c r="S247" s="34">
        <f t="shared" ca="1" si="226"/>
        <v>0</v>
      </c>
      <c r="T247" s="34">
        <f t="shared" ca="1" si="227"/>
        <v>0</v>
      </c>
      <c r="U247" s="15"/>
      <c r="V247" s="35">
        <f t="shared" si="228"/>
        <v>0.31</v>
      </c>
      <c r="W247" s="34">
        <f t="shared" ca="1" si="229"/>
        <v>0</v>
      </c>
      <c r="X247" s="35">
        <f t="shared" si="230"/>
        <v>0.37</v>
      </c>
      <c r="Y247" s="34">
        <f t="shared" ca="1" si="231"/>
        <v>0</v>
      </c>
      <c r="Z247" s="35">
        <f t="shared" si="232"/>
        <v>0.57999999999999996</v>
      </c>
      <c r="AA247" s="34">
        <f t="shared" ca="1" si="233"/>
        <v>0</v>
      </c>
      <c r="AB247" s="34">
        <f t="shared" ca="1" si="234"/>
        <v>0</v>
      </c>
      <c r="AC247" s="15"/>
      <c r="AD247" s="34">
        <f t="shared" ca="1" si="235"/>
        <v>0</v>
      </c>
      <c r="AE247" s="34">
        <f ca="1"/>
        <v>0</v>
      </c>
      <c r="AF247" s="34">
        <f t="shared" ca="1" si="236"/>
        <v>0</v>
      </c>
      <c r="AG247" s="15"/>
      <c r="AH247" s="272">
        <f t="shared" si="244"/>
        <v>48213</v>
      </c>
      <c r="AI247" s="267">
        <f t="shared" si="212"/>
        <v>17.666666666666668</v>
      </c>
      <c r="AJ247" s="267">
        <f t="shared" si="213"/>
        <v>0.1856646524133255</v>
      </c>
      <c r="AK247" s="34">
        <f t="shared" ca="1" si="245"/>
        <v>0</v>
      </c>
      <c r="AL247" s="233"/>
      <c r="AN247" s="232"/>
      <c r="AO247" s="237">
        <f t="shared" si="263"/>
        <v>18</v>
      </c>
      <c r="AP247" s="34">
        <f t="shared" ref="AP247:AS247" ca="1" si="266">+AP197</f>
        <v>125.29968012712044</v>
      </c>
      <c r="AQ247" s="34">
        <f t="shared" ca="1" si="266"/>
        <v>0.82878813661106598</v>
      </c>
      <c r="AR247" s="34">
        <f t="shared" ca="1" si="266"/>
        <v>0</v>
      </c>
      <c r="AS247" s="34">
        <f t="shared" ca="1" si="266"/>
        <v>130.27240894678684</v>
      </c>
      <c r="AT247" s="15"/>
      <c r="AW247" s="34">
        <f t="shared" ca="1" si="239"/>
        <v>125.29968012712044</v>
      </c>
      <c r="AX247" s="34">
        <f t="shared" ca="1" si="215"/>
        <v>0.82878813661106598</v>
      </c>
      <c r="AY247" s="34">
        <f t="shared" ca="1" si="216"/>
        <v>0</v>
      </c>
      <c r="AZ247" s="34">
        <f t="shared" ca="1" si="217"/>
        <v>130.27240894678684</v>
      </c>
      <c r="BB247" s="34">
        <f t="shared" ca="1" si="265"/>
        <v>0</v>
      </c>
      <c r="BC247" s="34">
        <f t="shared" ca="1" si="265"/>
        <v>0</v>
      </c>
      <c r="BD247" s="34">
        <f t="shared" ca="1" si="265"/>
        <v>0</v>
      </c>
      <c r="BE247" s="34">
        <f t="shared" ca="1" si="265"/>
        <v>0</v>
      </c>
      <c r="BF247" s="34">
        <f t="shared" ca="1" si="265"/>
        <v>0</v>
      </c>
      <c r="BG247" s="34">
        <f t="shared" ca="1" si="265"/>
        <v>0</v>
      </c>
      <c r="BH247" s="34">
        <f t="shared" ca="1" si="265"/>
        <v>0</v>
      </c>
      <c r="BI247" s="34">
        <f t="shared" ca="1" si="265"/>
        <v>0</v>
      </c>
      <c r="BJ247" s="34">
        <f t="shared" ca="1" si="265"/>
        <v>0</v>
      </c>
      <c r="BK247" s="34">
        <f t="shared" ca="1" si="265"/>
        <v>0</v>
      </c>
      <c r="BL247" s="34">
        <f t="shared" ca="1" si="265"/>
        <v>0</v>
      </c>
      <c r="BM247" s="34">
        <f t="shared" ca="1" si="265"/>
        <v>0</v>
      </c>
      <c r="BN247" s="34">
        <f t="shared" ca="1" si="265"/>
        <v>0</v>
      </c>
      <c r="BO247" s="34">
        <f t="shared" ca="1" si="265"/>
        <v>0</v>
      </c>
      <c r="BP247" s="34">
        <f t="shared" ca="1" si="265"/>
        <v>0</v>
      </c>
      <c r="BQ247" s="34">
        <f t="shared" ca="1" si="265"/>
        <v>0</v>
      </c>
      <c r="BR247" s="34">
        <f t="shared" ca="1" si="260"/>
        <v>0</v>
      </c>
      <c r="BS247" s="34">
        <f t="shared" ca="1" si="260"/>
        <v>0</v>
      </c>
      <c r="BT247" s="34">
        <f t="shared" ca="1" si="260"/>
        <v>0</v>
      </c>
      <c r="BU247" s="34">
        <f t="shared" ca="1" si="260"/>
        <v>0</v>
      </c>
      <c r="BV247" s="34">
        <f t="shared" ca="1" si="260"/>
        <v>0</v>
      </c>
      <c r="BW247" s="34">
        <f t="shared" ca="1" si="260"/>
        <v>0</v>
      </c>
      <c r="BX247" s="34">
        <f t="shared" ca="1" si="260"/>
        <v>0</v>
      </c>
      <c r="BY247" s="34">
        <f t="shared" ca="1" si="260"/>
        <v>0</v>
      </c>
      <c r="BZ247" s="34">
        <f t="shared" ca="1" si="260"/>
        <v>0</v>
      </c>
      <c r="CA247" s="34">
        <f t="shared" ca="1" si="260"/>
        <v>0</v>
      </c>
      <c r="CB247" s="34">
        <f t="shared" ca="1" si="260"/>
        <v>0</v>
      </c>
      <c r="CC247" s="34">
        <f t="shared" ca="1" si="260"/>
        <v>0</v>
      </c>
      <c r="CD247" s="34">
        <f t="shared" ca="1" si="260"/>
        <v>0</v>
      </c>
      <c r="CE247" s="34">
        <f t="shared" ca="1" si="260"/>
        <v>0</v>
      </c>
      <c r="CF247" s="34">
        <f t="shared" ca="1" si="260"/>
        <v>0</v>
      </c>
      <c r="CG247" s="34">
        <f t="shared" ca="1" si="260"/>
        <v>0</v>
      </c>
      <c r="CH247" s="34">
        <f t="shared" ca="1" si="261"/>
        <v>0</v>
      </c>
      <c r="CI247" s="34">
        <f t="shared" ca="1" si="261"/>
        <v>0</v>
      </c>
      <c r="CJ247" s="34">
        <f t="shared" ca="1" si="261"/>
        <v>0</v>
      </c>
      <c r="CK247" s="34">
        <f t="shared" ca="1" si="261"/>
        <v>0</v>
      </c>
      <c r="CL247" s="34">
        <f t="shared" ca="1" si="261"/>
        <v>0</v>
      </c>
      <c r="CM247" s="34">
        <f t="shared" ca="1" si="261"/>
        <v>0</v>
      </c>
      <c r="CN247" s="34">
        <f t="shared" ca="1" si="261"/>
        <v>0</v>
      </c>
      <c r="CO247" s="34">
        <f t="shared" ca="1" si="261"/>
        <v>0</v>
      </c>
      <c r="CP247" s="34">
        <f t="shared" ca="1" si="261"/>
        <v>0</v>
      </c>
      <c r="CQ247" s="34">
        <f t="shared" ca="1" si="241"/>
        <v>0</v>
      </c>
      <c r="CR247" s="363">
        <v>0</v>
      </c>
      <c r="CS247" s="34">
        <f t="shared" ca="1" si="242"/>
        <v>0</v>
      </c>
      <c r="CT247" s="233"/>
    </row>
    <row r="248" spans="2:98" x14ac:dyDescent="0.3">
      <c r="B248" s="232"/>
      <c r="C248" s="250">
        <f t="shared" si="243"/>
        <v>2032</v>
      </c>
      <c r="D248" s="263">
        <f t="shared" ca="1" si="221"/>
        <v>0</v>
      </c>
      <c r="E248" s="263">
        <f t="shared" ca="1" si="207"/>
        <v>0</v>
      </c>
      <c r="F248" s="263">
        <f t="shared" ca="1" si="208"/>
        <v>0</v>
      </c>
      <c r="G248" s="263">
        <f t="shared" ca="1" si="222"/>
        <v>0</v>
      </c>
      <c r="H248" s="15"/>
      <c r="I248" s="271">
        <f ca="1">Assumptions!O$68</f>
        <v>4.5</v>
      </c>
      <c r="J248" s="271">
        <f ca="1">Assumptions!P$68</f>
        <v>80</v>
      </c>
      <c r="K248" s="271">
        <f t="shared" ca="1" si="209"/>
        <v>40</v>
      </c>
      <c r="L248" s="15"/>
      <c r="M248" s="35">
        <f t="shared" ca="1" si="223"/>
        <v>4.2299999999999995</v>
      </c>
      <c r="N248" s="35">
        <f t="shared" ca="1" si="210"/>
        <v>74.400000000000006</v>
      </c>
      <c r="O248" s="35">
        <f t="shared" ca="1" si="211"/>
        <v>37.200000000000003</v>
      </c>
      <c r="P248" s="15"/>
      <c r="Q248" s="34">
        <f t="shared" ca="1" si="224"/>
        <v>0</v>
      </c>
      <c r="R248" s="34">
        <f t="shared" ca="1" si="225"/>
        <v>0</v>
      </c>
      <c r="S248" s="34">
        <f t="shared" ca="1" si="226"/>
        <v>0</v>
      </c>
      <c r="T248" s="34">
        <f t="shared" ca="1" si="227"/>
        <v>0</v>
      </c>
      <c r="U248" s="15"/>
      <c r="V248" s="35">
        <f t="shared" si="228"/>
        <v>0.31</v>
      </c>
      <c r="W248" s="34">
        <f t="shared" ca="1" si="229"/>
        <v>0</v>
      </c>
      <c r="X248" s="35">
        <f t="shared" si="230"/>
        <v>0.37</v>
      </c>
      <c r="Y248" s="34">
        <f t="shared" ca="1" si="231"/>
        <v>0</v>
      </c>
      <c r="Z248" s="35">
        <f t="shared" si="232"/>
        <v>0.57999999999999996</v>
      </c>
      <c r="AA248" s="34">
        <f t="shared" ca="1" si="233"/>
        <v>0</v>
      </c>
      <c r="AB248" s="34">
        <f t="shared" ca="1" si="234"/>
        <v>0</v>
      </c>
      <c r="AC248" s="15"/>
      <c r="AD248" s="34">
        <f t="shared" ca="1" si="235"/>
        <v>0</v>
      </c>
      <c r="AE248" s="34">
        <f ca="1"/>
        <v>0</v>
      </c>
      <c r="AF248" s="34">
        <f t="shared" ca="1" si="236"/>
        <v>0</v>
      </c>
      <c r="AG248" s="15"/>
      <c r="AH248" s="272">
        <f t="shared" si="244"/>
        <v>48579</v>
      </c>
      <c r="AI248" s="267">
        <f t="shared" si="212"/>
        <v>18.666666666666668</v>
      </c>
      <c r="AJ248" s="267">
        <f t="shared" si="213"/>
        <v>0.16878604764847771</v>
      </c>
      <c r="AK248" s="34">
        <f t="shared" ca="1" si="245"/>
        <v>0</v>
      </c>
      <c r="AL248" s="233"/>
      <c r="AN248" s="232"/>
      <c r="AO248" s="237">
        <f t="shared" si="263"/>
        <v>19</v>
      </c>
      <c r="AP248" s="34">
        <f t="shared" ref="AP248:AS248" ca="1" si="267">+AP198</f>
        <v>120.42345965851247</v>
      </c>
      <c r="AQ248" s="34">
        <f t="shared" ca="1" si="267"/>
        <v>0.79653463307632233</v>
      </c>
      <c r="AR248" s="34">
        <f t="shared" ca="1" si="267"/>
        <v>0</v>
      </c>
      <c r="AS248" s="34">
        <f t="shared" ca="1" si="267"/>
        <v>125.2026674569704</v>
      </c>
      <c r="AT248" s="15"/>
      <c r="AW248" s="34">
        <f t="shared" ca="1" si="239"/>
        <v>120.42345965851247</v>
      </c>
      <c r="AX248" s="34">
        <f t="shared" ca="1" si="215"/>
        <v>0.79653463307632233</v>
      </c>
      <c r="AY248" s="34">
        <f t="shared" ca="1" si="216"/>
        <v>0</v>
      </c>
      <c r="AZ248" s="34">
        <f t="shared" ca="1" si="217"/>
        <v>125.2026674569704</v>
      </c>
      <c r="BB248" s="34">
        <f t="shared" ca="1" si="265"/>
        <v>0</v>
      </c>
      <c r="BC248" s="34">
        <f t="shared" ca="1" si="265"/>
        <v>0</v>
      </c>
      <c r="BD248" s="34">
        <f t="shared" ca="1" si="265"/>
        <v>0</v>
      </c>
      <c r="BE248" s="34">
        <f t="shared" ca="1" si="265"/>
        <v>0</v>
      </c>
      <c r="BF248" s="34">
        <f t="shared" ca="1" si="265"/>
        <v>0</v>
      </c>
      <c r="BG248" s="34">
        <f t="shared" ca="1" si="265"/>
        <v>0</v>
      </c>
      <c r="BH248" s="34">
        <f t="shared" ca="1" si="265"/>
        <v>0</v>
      </c>
      <c r="BI248" s="34">
        <f t="shared" ca="1" si="265"/>
        <v>0</v>
      </c>
      <c r="BJ248" s="34">
        <f t="shared" ca="1" si="265"/>
        <v>0</v>
      </c>
      <c r="BK248" s="34">
        <f t="shared" ca="1" si="265"/>
        <v>0</v>
      </c>
      <c r="BL248" s="34">
        <f t="shared" ca="1" si="265"/>
        <v>0</v>
      </c>
      <c r="BM248" s="34">
        <f t="shared" ca="1" si="265"/>
        <v>0</v>
      </c>
      <c r="BN248" s="34">
        <f t="shared" ca="1" si="265"/>
        <v>0</v>
      </c>
      <c r="BO248" s="34">
        <f t="shared" ca="1" si="265"/>
        <v>0</v>
      </c>
      <c r="BP248" s="34">
        <f t="shared" ca="1" si="265"/>
        <v>0</v>
      </c>
      <c r="BQ248" s="34">
        <f t="shared" ca="1" si="265"/>
        <v>0</v>
      </c>
      <c r="BR248" s="34">
        <f t="shared" ca="1" si="260"/>
        <v>0</v>
      </c>
      <c r="BS248" s="34">
        <f t="shared" ca="1" si="260"/>
        <v>0</v>
      </c>
      <c r="BT248" s="34">
        <f t="shared" ca="1" si="260"/>
        <v>0</v>
      </c>
      <c r="BU248" s="34">
        <f t="shared" ca="1" si="260"/>
        <v>0</v>
      </c>
      <c r="BV248" s="34">
        <f t="shared" ca="1" si="260"/>
        <v>0</v>
      </c>
      <c r="BW248" s="34">
        <f t="shared" ca="1" si="260"/>
        <v>0</v>
      </c>
      <c r="BX248" s="34">
        <f t="shared" ca="1" si="260"/>
        <v>0</v>
      </c>
      <c r="BY248" s="34">
        <f t="shared" ca="1" si="260"/>
        <v>0</v>
      </c>
      <c r="BZ248" s="34">
        <f t="shared" ca="1" si="260"/>
        <v>0</v>
      </c>
      <c r="CA248" s="34">
        <f t="shared" ca="1" si="260"/>
        <v>0</v>
      </c>
      <c r="CB248" s="34">
        <f t="shared" ca="1" si="260"/>
        <v>0</v>
      </c>
      <c r="CC248" s="34">
        <f t="shared" ca="1" si="260"/>
        <v>0</v>
      </c>
      <c r="CD248" s="34">
        <f t="shared" ca="1" si="260"/>
        <v>0</v>
      </c>
      <c r="CE248" s="34">
        <f t="shared" ca="1" si="260"/>
        <v>0</v>
      </c>
      <c r="CF248" s="34">
        <f t="shared" ca="1" si="260"/>
        <v>0</v>
      </c>
      <c r="CG248" s="34">
        <f t="shared" ca="1" si="260"/>
        <v>0</v>
      </c>
      <c r="CH248" s="34">
        <f t="shared" ca="1" si="261"/>
        <v>0</v>
      </c>
      <c r="CI248" s="34">
        <f t="shared" ca="1" si="261"/>
        <v>0</v>
      </c>
      <c r="CJ248" s="34">
        <f t="shared" ca="1" si="261"/>
        <v>0</v>
      </c>
      <c r="CK248" s="34">
        <f t="shared" ca="1" si="261"/>
        <v>0</v>
      </c>
      <c r="CL248" s="34">
        <f t="shared" ca="1" si="261"/>
        <v>0</v>
      </c>
      <c r="CM248" s="34">
        <f t="shared" ca="1" si="261"/>
        <v>0</v>
      </c>
      <c r="CN248" s="34">
        <f t="shared" ca="1" si="261"/>
        <v>0</v>
      </c>
      <c r="CO248" s="34">
        <f t="shared" ca="1" si="261"/>
        <v>0</v>
      </c>
      <c r="CP248" s="34">
        <f t="shared" ca="1" si="261"/>
        <v>0</v>
      </c>
      <c r="CQ248" s="34">
        <f t="shared" ca="1" si="241"/>
        <v>0</v>
      </c>
      <c r="CR248" s="363">
        <v>0</v>
      </c>
      <c r="CS248" s="34">
        <f t="shared" ca="1" si="242"/>
        <v>0</v>
      </c>
      <c r="CT248" s="233"/>
    </row>
    <row r="249" spans="2:98" x14ac:dyDescent="0.3">
      <c r="B249" s="232"/>
      <c r="C249" s="250">
        <f t="shared" si="243"/>
        <v>2033</v>
      </c>
      <c r="D249" s="263">
        <f t="shared" ca="1" si="221"/>
        <v>0</v>
      </c>
      <c r="E249" s="263">
        <f t="shared" ca="1" si="207"/>
        <v>0</v>
      </c>
      <c r="F249" s="263">
        <f t="shared" ca="1" si="208"/>
        <v>0</v>
      </c>
      <c r="G249" s="263">
        <f t="shared" ca="1" si="222"/>
        <v>0</v>
      </c>
      <c r="H249" s="15"/>
      <c r="I249" s="271">
        <f ca="1">Assumptions!O$68</f>
        <v>4.5</v>
      </c>
      <c r="J249" s="271">
        <f ca="1">Assumptions!P$68</f>
        <v>80</v>
      </c>
      <c r="K249" s="271">
        <f t="shared" ca="1" si="209"/>
        <v>40</v>
      </c>
      <c r="L249" s="15"/>
      <c r="M249" s="35">
        <f t="shared" ca="1" si="223"/>
        <v>4.2299999999999995</v>
      </c>
      <c r="N249" s="35">
        <f t="shared" ca="1" si="210"/>
        <v>74.400000000000006</v>
      </c>
      <c r="O249" s="35">
        <f t="shared" ca="1" si="211"/>
        <v>37.200000000000003</v>
      </c>
      <c r="P249" s="15"/>
      <c r="Q249" s="34">
        <f t="shared" ca="1" si="224"/>
        <v>0</v>
      </c>
      <c r="R249" s="34">
        <f t="shared" ca="1" si="225"/>
        <v>0</v>
      </c>
      <c r="S249" s="34">
        <f t="shared" ca="1" si="226"/>
        <v>0</v>
      </c>
      <c r="T249" s="34">
        <f t="shared" ca="1" si="227"/>
        <v>0</v>
      </c>
      <c r="U249" s="15"/>
      <c r="V249" s="35">
        <f t="shared" si="228"/>
        <v>0.31</v>
      </c>
      <c r="W249" s="34">
        <f t="shared" ca="1" si="229"/>
        <v>0</v>
      </c>
      <c r="X249" s="35">
        <f t="shared" si="230"/>
        <v>0.37</v>
      </c>
      <c r="Y249" s="34">
        <f t="shared" ca="1" si="231"/>
        <v>0</v>
      </c>
      <c r="Z249" s="35">
        <f t="shared" si="232"/>
        <v>0.57999999999999996</v>
      </c>
      <c r="AA249" s="34">
        <f t="shared" ca="1" si="233"/>
        <v>0</v>
      </c>
      <c r="AB249" s="34">
        <f t="shared" ca="1" si="234"/>
        <v>0</v>
      </c>
      <c r="AC249" s="15"/>
      <c r="AD249" s="34">
        <f t="shared" ca="1" si="235"/>
        <v>0</v>
      </c>
      <c r="AE249" s="34">
        <f ca="1"/>
        <v>0</v>
      </c>
      <c r="AF249" s="34">
        <f t="shared" ca="1" si="236"/>
        <v>0</v>
      </c>
      <c r="AG249" s="15"/>
      <c r="AH249" s="272">
        <f t="shared" si="244"/>
        <v>48944</v>
      </c>
      <c r="AI249" s="267">
        <f t="shared" si="212"/>
        <v>19.666666666666668</v>
      </c>
      <c r="AJ249" s="267">
        <f t="shared" si="213"/>
        <v>0.15344186149861608</v>
      </c>
      <c r="AK249" s="34">
        <f t="shared" ca="1" si="245"/>
        <v>0</v>
      </c>
      <c r="AL249" s="233"/>
      <c r="AN249" s="232"/>
      <c r="AO249" s="237">
        <f t="shared" si="263"/>
        <v>20</v>
      </c>
      <c r="AP249" s="34">
        <f t="shared" ref="AP249:AS249" ca="1" si="268">+AP199</f>
        <v>115.73700947552931</v>
      </c>
      <c r="AQ249" s="34">
        <f t="shared" ca="1" si="268"/>
        <v>0.76553635510358775</v>
      </c>
      <c r="AR249" s="34">
        <f t="shared" ca="1" si="268"/>
        <v>0</v>
      </c>
      <c r="AS249" s="34">
        <f t="shared" ca="1" si="268"/>
        <v>120.33022760615083</v>
      </c>
      <c r="AT249" s="15"/>
      <c r="AW249" s="34">
        <f t="shared" ca="1" si="239"/>
        <v>115.73700947552931</v>
      </c>
      <c r="AX249" s="34">
        <f t="shared" ca="1" si="215"/>
        <v>0.76553635510358775</v>
      </c>
      <c r="AY249" s="34">
        <f t="shared" ca="1" si="216"/>
        <v>0</v>
      </c>
      <c r="AZ249" s="34">
        <f t="shared" ca="1" si="217"/>
        <v>120.33022760615083</v>
      </c>
      <c r="BB249" s="34">
        <f t="shared" ca="1" si="265"/>
        <v>0</v>
      </c>
      <c r="BC249" s="34">
        <f t="shared" ca="1" si="265"/>
        <v>0</v>
      </c>
      <c r="BD249" s="34">
        <f t="shared" ca="1" si="265"/>
        <v>0</v>
      </c>
      <c r="BE249" s="34">
        <f t="shared" ca="1" si="265"/>
        <v>0</v>
      </c>
      <c r="BF249" s="34">
        <f t="shared" ca="1" si="265"/>
        <v>0</v>
      </c>
      <c r="BG249" s="34">
        <f t="shared" ca="1" si="265"/>
        <v>0</v>
      </c>
      <c r="BH249" s="34">
        <f t="shared" ca="1" si="265"/>
        <v>0</v>
      </c>
      <c r="BI249" s="34">
        <f t="shared" ca="1" si="265"/>
        <v>0</v>
      </c>
      <c r="BJ249" s="34">
        <f t="shared" ca="1" si="265"/>
        <v>0</v>
      </c>
      <c r="BK249" s="34">
        <f t="shared" ca="1" si="265"/>
        <v>0</v>
      </c>
      <c r="BL249" s="34">
        <f t="shared" ca="1" si="265"/>
        <v>0</v>
      </c>
      <c r="BM249" s="34">
        <f t="shared" ca="1" si="265"/>
        <v>0</v>
      </c>
      <c r="BN249" s="34">
        <f t="shared" ca="1" si="265"/>
        <v>0</v>
      </c>
      <c r="BO249" s="34">
        <f t="shared" ca="1" si="265"/>
        <v>0</v>
      </c>
      <c r="BP249" s="34">
        <f t="shared" ca="1" si="265"/>
        <v>0</v>
      </c>
      <c r="BQ249" s="34">
        <f t="shared" ca="1" si="265"/>
        <v>0</v>
      </c>
      <c r="BR249" s="34">
        <f t="shared" ca="1" si="260"/>
        <v>0</v>
      </c>
      <c r="BS249" s="34">
        <f t="shared" ca="1" si="260"/>
        <v>0</v>
      </c>
      <c r="BT249" s="34">
        <f t="shared" ca="1" si="260"/>
        <v>0</v>
      </c>
      <c r="BU249" s="34">
        <f t="shared" ca="1" si="260"/>
        <v>0</v>
      </c>
      <c r="BV249" s="34">
        <f t="shared" ca="1" si="260"/>
        <v>0</v>
      </c>
      <c r="BW249" s="34">
        <f t="shared" ca="1" si="260"/>
        <v>0</v>
      </c>
      <c r="BX249" s="34">
        <f t="shared" ca="1" si="260"/>
        <v>0</v>
      </c>
      <c r="BY249" s="34">
        <f t="shared" ca="1" si="260"/>
        <v>0</v>
      </c>
      <c r="BZ249" s="34">
        <f t="shared" ca="1" si="260"/>
        <v>0</v>
      </c>
      <c r="CA249" s="34">
        <f t="shared" ca="1" si="260"/>
        <v>0</v>
      </c>
      <c r="CB249" s="34">
        <f t="shared" ca="1" si="260"/>
        <v>0</v>
      </c>
      <c r="CC249" s="34">
        <f t="shared" ca="1" si="260"/>
        <v>0</v>
      </c>
      <c r="CD249" s="34">
        <f t="shared" ca="1" si="260"/>
        <v>0</v>
      </c>
      <c r="CE249" s="34">
        <f t="shared" ca="1" si="260"/>
        <v>0</v>
      </c>
      <c r="CF249" s="34">
        <f t="shared" ca="1" si="260"/>
        <v>0</v>
      </c>
      <c r="CG249" s="34">
        <f t="shared" ca="1" si="260"/>
        <v>0</v>
      </c>
      <c r="CH249" s="34">
        <f t="shared" ca="1" si="261"/>
        <v>0</v>
      </c>
      <c r="CI249" s="34">
        <f t="shared" ca="1" si="261"/>
        <v>0</v>
      </c>
      <c r="CJ249" s="34">
        <f t="shared" ca="1" si="261"/>
        <v>0</v>
      </c>
      <c r="CK249" s="34">
        <f t="shared" ca="1" si="261"/>
        <v>0</v>
      </c>
      <c r="CL249" s="34">
        <f t="shared" ca="1" si="261"/>
        <v>0</v>
      </c>
      <c r="CM249" s="34">
        <f t="shared" ca="1" si="261"/>
        <v>0</v>
      </c>
      <c r="CN249" s="34">
        <f t="shared" ca="1" si="261"/>
        <v>0</v>
      </c>
      <c r="CO249" s="34">
        <f t="shared" ca="1" si="261"/>
        <v>0</v>
      </c>
      <c r="CP249" s="34">
        <f t="shared" ca="1" si="261"/>
        <v>0</v>
      </c>
      <c r="CQ249" s="34">
        <f t="shared" ca="1" si="241"/>
        <v>0</v>
      </c>
      <c r="CR249" s="363">
        <v>0</v>
      </c>
      <c r="CS249" s="34">
        <f t="shared" ca="1" si="242"/>
        <v>0</v>
      </c>
      <c r="CT249" s="233"/>
    </row>
    <row r="250" spans="2:98" x14ac:dyDescent="0.3">
      <c r="B250" s="232"/>
      <c r="C250" s="250">
        <f t="shared" si="243"/>
        <v>2034</v>
      </c>
      <c r="D250" s="263">
        <f t="shared" ca="1" si="221"/>
        <v>0</v>
      </c>
      <c r="E250" s="263">
        <f t="shared" ca="1" si="207"/>
        <v>0</v>
      </c>
      <c r="F250" s="263">
        <f t="shared" ca="1" si="208"/>
        <v>0</v>
      </c>
      <c r="G250" s="263">
        <f t="shared" ca="1" si="222"/>
        <v>0</v>
      </c>
      <c r="H250" s="15"/>
      <c r="I250" s="271">
        <f ca="1">Assumptions!O$68</f>
        <v>4.5</v>
      </c>
      <c r="J250" s="271">
        <f ca="1">Assumptions!P$68</f>
        <v>80</v>
      </c>
      <c r="K250" s="271">
        <f t="shared" ca="1" si="209"/>
        <v>40</v>
      </c>
      <c r="L250" s="15"/>
      <c r="M250" s="35">
        <f t="shared" ca="1" si="223"/>
        <v>4.2299999999999995</v>
      </c>
      <c r="N250" s="35">
        <f t="shared" ca="1" si="210"/>
        <v>74.400000000000006</v>
      </c>
      <c r="O250" s="35">
        <f t="shared" ca="1" si="211"/>
        <v>37.200000000000003</v>
      </c>
      <c r="P250" s="15"/>
      <c r="Q250" s="34">
        <f t="shared" ca="1" si="224"/>
        <v>0</v>
      </c>
      <c r="R250" s="34">
        <f t="shared" ca="1" si="225"/>
        <v>0</v>
      </c>
      <c r="S250" s="34">
        <f t="shared" ca="1" si="226"/>
        <v>0</v>
      </c>
      <c r="T250" s="34">
        <f t="shared" ca="1" si="227"/>
        <v>0</v>
      </c>
      <c r="U250" s="15"/>
      <c r="V250" s="35">
        <f t="shared" si="228"/>
        <v>0.31</v>
      </c>
      <c r="W250" s="34">
        <f t="shared" ca="1" si="229"/>
        <v>0</v>
      </c>
      <c r="X250" s="35">
        <f t="shared" si="230"/>
        <v>0.37</v>
      </c>
      <c r="Y250" s="34">
        <f t="shared" ca="1" si="231"/>
        <v>0</v>
      </c>
      <c r="Z250" s="35">
        <f t="shared" si="232"/>
        <v>0.57999999999999996</v>
      </c>
      <c r="AA250" s="34">
        <f t="shared" ca="1" si="233"/>
        <v>0</v>
      </c>
      <c r="AB250" s="34">
        <f t="shared" ca="1" si="234"/>
        <v>0</v>
      </c>
      <c r="AC250" s="15"/>
      <c r="AD250" s="34">
        <f t="shared" ca="1" si="235"/>
        <v>0</v>
      </c>
      <c r="AE250" s="34">
        <f ca="1"/>
        <v>0</v>
      </c>
      <c r="AF250" s="34">
        <f t="shared" ca="1" si="236"/>
        <v>0</v>
      </c>
      <c r="AG250" s="15"/>
      <c r="AH250" s="272">
        <f t="shared" si="244"/>
        <v>49309</v>
      </c>
      <c r="AI250" s="267">
        <f t="shared" si="212"/>
        <v>20.666666666666668</v>
      </c>
      <c r="AJ250" s="267">
        <f t="shared" si="213"/>
        <v>0.13949260136237826</v>
      </c>
      <c r="AK250" s="34">
        <f t="shared" ca="1" si="245"/>
        <v>0</v>
      </c>
      <c r="AL250" s="233"/>
      <c r="AN250" s="232"/>
      <c r="AO250" s="237">
        <f t="shared" si="263"/>
        <v>21</v>
      </c>
      <c r="AP250" s="34">
        <f t="shared" ref="AP250:AS250" ca="1" si="269">+AP200</f>
        <v>111.23294897425454</v>
      </c>
      <c r="AQ250" s="34">
        <f t="shared" ca="1" si="269"/>
        <v>0.73574448407687909</v>
      </c>
      <c r="AR250" s="34">
        <f t="shared" ca="1" si="269"/>
        <v>0</v>
      </c>
      <c r="AS250" s="34">
        <f t="shared" ca="1" si="269"/>
        <v>115.64741587871582</v>
      </c>
      <c r="AT250" s="15"/>
      <c r="AW250" s="34">
        <f t="shared" ca="1" si="239"/>
        <v>111.23294897425454</v>
      </c>
      <c r="AX250" s="34">
        <f t="shared" ca="1" si="215"/>
        <v>0.73574448407687909</v>
      </c>
      <c r="AY250" s="34">
        <f t="shared" ca="1" si="216"/>
        <v>0</v>
      </c>
      <c r="AZ250" s="34">
        <f t="shared" ca="1" si="217"/>
        <v>115.64741587871582</v>
      </c>
      <c r="BB250" s="34">
        <f t="shared" ca="1" si="265"/>
        <v>0</v>
      </c>
      <c r="BC250" s="34">
        <f t="shared" ca="1" si="265"/>
        <v>0</v>
      </c>
      <c r="BD250" s="34">
        <f t="shared" ca="1" si="265"/>
        <v>0</v>
      </c>
      <c r="BE250" s="34">
        <f t="shared" ca="1" si="265"/>
        <v>0</v>
      </c>
      <c r="BF250" s="34">
        <f t="shared" ca="1" si="265"/>
        <v>0</v>
      </c>
      <c r="BG250" s="34">
        <f t="shared" ca="1" si="265"/>
        <v>0</v>
      </c>
      <c r="BH250" s="34">
        <f t="shared" ca="1" si="265"/>
        <v>0</v>
      </c>
      <c r="BI250" s="34">
        <f t="shared" ca="1" si="265"/>
        <v>0</v>
      </c>
      <c r="BJ250" s="34">
        <f t="shared" ca="1" si="265"/>
        <v>0</v>
      </c>
      <c r="BK250" s="34">
        <f t="shared" ca="1" si="265"/>
        <v>0</v>
      </c>
      <c r="BL250" s="34">
        <f t="shared" ca="1" si="265"/>
        <v>0</v>
      </c>
      <c r="BM250" s="34">
        <f t="shared" ca="1" si="265"/>
        <v>0</v>
      </c>
      <c r="BN250" s="34">
        <f t="shared" ca="1" si="265"/>
        <v>0</v>
      </c>
      <c r="BO250" s="34">
        <f t="shared" ca="1" si="265"/>
        <v>0</v>
      </c>
      <c r="BP250" s="34">
        <f t="shared" ca="1" si="265"/>
        <v>0</v>
      </c>
      <c r="BQ250" s="34">
        <f t="shared" ca="1" si="265"/>
        <v>0</v>
      </c>
      <c r="BR250" s="34">
        <f t="shared" ca="1" si="260"/>
        <v>0</v>
      </c>
      <c r="BS250" s="34">
        <f t="shared" ca="1" si="260"/>
        <v>0</v>
      </c>
      <c r="BT250" s="34">
        <f t="shared" ca="1" si="260"/>
        <v>0</v>
      </c>
      <c r="BU250" s="34">
        <f t="shared" ca="1" si="260"/>
        <v>0</v>
      </c>
      <c r="BV250" s="34">
        <f t="shared" ca="1" si="260"/>
        <v>0</v>
      </c>
      <c r="BW250" s="34">
        <f t="shared" ca="1" si="260"/>
        <v>0</v>
      </c>
      <c r="BX250" s="34">
        <f t="shared" ca="1" si="260"/>
        <v>0</v>
      </c>
      <c r="BY250" s="34">
        <f t="shared" ca="1" si="260"/>
        <v>0</v>
      </c>
      <c r="BZ250" s="34">
        <f t="shared" ca="1" si="260"/>
        <v>0</v>
      </c>
      <c r="CA250" s="34">
        <f t="shared" ca="1" si="260"/>
        <v>0</v>
      </c>
      <c r="CB250" s="34">
        <f t="shared" ca="1" si="260"/>
        <v>0</v>
      </c>
      <c r="CC250" s="34">
        <f t="shared" ca="1" si="260"/>
        <v>0</v>
      </c>
      <c r="CD250" s="34">
        <f t="shared" ca="1" si="260"/>
        <v>0</v>
      </c>
      <c r="CE250" s="34">
        <f t="shared" ca="1" si="260"/>
        <v>0</v>
      </c>
      <c r="CF250" s="34">
        <f t="shared" ca="1" si="260"/>
        <v>0</v>
      </c>
      <c r="CG250" s="34">
        <f t="shared" ca="1" si="260"/>
        <v>0</v>
      </c>
      <c r="CH250" s="34">
        <f t="shared" ca="1" si="261"/>
        <v>0</v>
      </c>
      <c r="CI250" s="34">
        <f t="shared" ca="1" si="261"/>
        <v>0</v>
      </c>
      <c r="CJ250" s="34">
        <f t="shared" ca="1" si="261"/>
        <v>0</v>
      </c>
      <c r="CK250" s="34">
        <f t="shared" ca="1" si="261"/>
        <v>0</v>
      </c>
      <c r="CL250" s="34">
        <f t="shared" ca="1" si="261"/>
        <v>0</v>
      </c>
      <c r="CM250" s="34">
        <f t="shared" ca="1" si="261"/>
        <v>0</v>
      </c>
      <c r="CN250" s="34">
        <f t="shared" ca="1" si="261"/>
        <v>0</v>
      </c>
      <c r="CO250" s="34">
        <f t="shared" ca="1" si="261"/>
        <v>0</v>
      </c>
      <c r="CP250" s="34">
        <f t="shared" ca="1" si="261"/>
        <v>0</v>
      </c>
      <c r="CQ250" s="34">
        <f t="shared" ca="1" si="241"/>
        <v>0</v>
      </c>
      <c r="CR250" s="363">
        <v>0</v>
      </c>
      <c r="CS250" s="34">
        <f t="shared" ca="1" si="242"/>
        <v>0</v>
      </c>
      <c r="CT250" s="233"/>
    </row>
    <row r="251" spans="2:98" x14ac:dyDescent="0.3">
      <c r="B251" s="232"/>
      <c r="C251" s="250">
        <f t="shared" si="243"/>
        <v>2035</v>
      </c>
      <c r="D251" s="263">
        <f t="shared" ca="1" si="221"/>
        <v>3082.438086868096</v>
      </c>
      <c r="E251" s="263">
        <f t="shared" ca="1" si="207"/>
        <v>20.388624421407762</v>
      </c>
      <c r="F251" s="263">
        <f t="shared" ca="1" si="208"/>
        <v>0</v>
      </c>
      <c r="G251" s="263">
        <f t="shared" ca="1" si="222"/>
        <v>3204.7698333965427</v>
      </c>
      <c r="H251" s="15"/>
      <c r="I251" s="271">
        <f ca="1">Assumptions!O$68</f>
        <v>4.5</v>
      </c>
      <c r="J251" s="271">
        <f ca="1">Assumptions!P$68</f>
        <v>80</v>
      </c>
      <c r="K251" s="271">
        <f t="shared" ca="1" si="209"/>
        <v>40</v>
      </c>
      <c r="L251" s="15"/>
      <c r="M251" s="35">
        <f t="shared" ca="1" si="223"/>
        <v>4.2299999999999995</v>
      </c>
      <c r="N251" s="35">
        <f t="shared" ca="1" si="210"/>
        <v>74.400000000000006</v>
      </c>
      <c r="O251" s="35">
        <f t="shared" ca="1" si="211"/>
        <v>37.200000000000003</v>
      </c>
      <c r="P251" s="15"/>
      <c r="Q251" s="34">
        <f t="shared" ca="1" si="224"/>
        <v>13038.713107452044</v>
      </c>
      <c r="R251" s="34">
        <f t="shared" ca="1" si="225"/>
        <v>1516.9136569527377</v>
      </c>
      <c r="S251" s="34">
        <f t="shared" ca="1" si="226"/>
        <v>0</v>
      </c>
      <c r="T251" s="34">
        <f t="shared" ca="1" si="227"/>
        <v>14555.626764404782</v>
      </c>
      <c r="U251" s="15"/>
      <c r="V251" s="35">
        <f t="shared" si="228"/>
        <v>0.31</v>
      </c>
      <c r="W251" s="34">
        <f t="shared" ca="1" si="229"/>
        <v>993.47864835292819</v>
      </c>
      <c r="X251" s="35">
        <f t="shared" si="230"/>
        <v>0.37</v>
      </c>
      <c r="Y251" s="34">
        <f t="shared" ca="1" si="231"/>
        <v>1185.7648383567207</v>
      </c>
      <c r="Z251" s="35">
        <f t="shared" si="232"/>
        <v>0.57999999999999996</v>
      </c>
      <c r="AA251" s="34">
        <f t="shared" ca="1" si="233"/>
        <v>1858.7665033699946</v>
      </c>
      <c r="AB251" s="34">
        <f t="shared" ca="1" si="234"/>
        <v>4038.0099900796436</v>
      </c>
      <c r="AC251" s="15"/>
      <c r="AD251" s="34">
        <f t="shared" ca="1" si="235"/>
        <v>10517.616774325139</v>
      </c>
      <c r="AE251" s="34">
        <f ca="1"/>
        <v>16005.557101723603</v>
      </c>
      <c r="AF251" s="34">
        <f t="shared" ca="1" si="236"/>
        <v>-5487.9403273984644</v>
      </c>
      <c r="AG251" s="15"/>
      <c r="AH251" s="272">
        <f t="shared" si="244"/>
        <v>49674</v>
      </c>
      <c r="AI251" s="267">
        <f t="shared" si="212"/>
        <v>21.666666666666668</v>
      </c>
      <c r="AJ251" s="267">
        <f t="shared" si="213"/>
        <v>0.12681145578398023</v>
      </c>
      <c r="AK251" s="34">
        <f t="shared" ca="1" si="245"/>
        <v>-695.93370217301242</v>
      </c>
      <c r="AL251" s="233"/>
      <c r="AN251" s="232"/>
      <c r="AO251" s="237">
        <f t="shared" si="263"/>
        <v>22</v>
      </c>
      <c r="AP251" s="34">
        <f t="shared" ref="AP251:AS251" ca="1" si="270">+AP201</f>
        <v>106.90416160781429</v>
      </c>
      <c r="AQ251" s="34">
        <f t="shared" ca="1" si="270"/>
        <v>0.70711194797161714</v>
      </c>
      <c r="AR251" s="34">
        <f t="shared" ca="1" si="270"/>
        <v>0</v>
      </c>
      <c r="AS251" s="34">
        <f t="shared" ca="1" si="270"/>
        <v>111.14683329564399</v>
      </c>
      <c r="AT251" s="15"/>
      <c r="AW251" s="34">
        <f t="shared" ca="1" si="239"/>
        <v>106.90416160781429</v>
      </c>
      <c r="AX251" s="34">
        <f t="shared" ca="1" si="215"/>
        <v>0.70711194797161714</v>
      </c>
      <c r="AY251" s="34">
        <f t="shared" ca="1" si="216"/>
        <v>0</v>
      </c>
      <c r="AZ251" s="34">
        <f t="shared" ca="1" si="217"/>
        <v>111.14683329564399</v>
      </c>
      <c r="BB251" s="34">
        <f t="shared" ca="1" si="265"/>
        <v>0</v>
      </c>
      <c r="BC251" s="34">
        <f t="shared" ca="1" si="265"/>
        <v>0</v>
      </c>
      <c r="BD251" s="34">
        <f t="shared" ca="1" si="265"/>
        <v>0</v>
      </c>
      <c r="BE251" s="34">
        <f t="shared" ca="1" si="265"/>
        <v>0</v>
      </c>
      <c r="BF251" s="34">
        <f t="shared" ca="1" si="265"/>
        <v>0</v>
      </c>
      <c r="BG251" s="34">
        <f t="shared" ca="1" si="265"/>
        <v>0</v>
      </c>
      <c r="BH251" s="34">
        <f t="shared" ca="1" si="265"/>
        <v>0</v>
      </c>
      <c r="BI251" s="34">
        <f t="shared" ca="1" si="265"/>
        <v>0</v>
      </c>
      <c r="BJ251" s="34">
        <f t="shared" ca="1" si="265"/>
        <v>0</v>
      </c>
      <c r="BK251" s="34">
        <f t="shared" ca="1" si="265"/>
        <v>0</v>
      </c>
      <c r="BL251" s="34">
        <f t="shared" ca="1" si="265"/>
        <v>0</v>
      </c>
      <c r="BM251" s="34">
        <f t="shared" ca="1" si="265"/>
        <v>0</v>
      </c>
      <c r="BN251" s="34">
        <f t="shared" ca="1" si="265"/>
        <v>0</v>
      </c>
      <c r="BO251" s="34">
        <f t="shared" ca="1" si="265"/>
        <v>0</v>
      </c>
      <c r="BP251" s="34">
        <f t="shared" ca="1" si="265"/>
        <v>0</v>
      </c>
      <c r="BQ251" s="34">
        <f t="shared" ca="1" si="265"/>
        <v>0</v>
      </c>
      <c r="BR251" s="34">
        <f t="shared" ca="1" si="260"/>
        <v>0</v>
      </c>
      <c r="BS251" s="34">
        <f t="shared" ca="1" si="260"/>
        <v>0</v>
      </c>
      <c r="BT251" s="34">
        <f t="shared" ca="1" si="260"/>
        <v>0</v>
      </c>
      <c r="BU251" s="34">
        <f t="shared" ca="1" si="260"/>
        <v>0</v>
      </c>
      <c r="BV251" s="34">
        <f t="shared" ca="1" si="260"/>
        <v>0</v>
      </c>
      <c r="BW251" s="34">
        <f t="shared" ca="1" si="260"/>
        <v>0</v>
      </c>
      <c r="BX251" s="34">
        <f t="shared" ca="1" si="260"/>
        <v>32047.698333965425</v>
      </c>
      <c r="BY251" s="34">
        <f t="shared" ca="1" si="260"/>
        <v>0</v>
      </c>
      <c r="BZ251" s="34">
        <f t="shared" ca="1" si="260"/>
        <v>0</v>
      </c>
      <c r="CA251" s="34">
        <f t="shared" ca="1" si="260"/>
        <v>0</v>
      </c>
      <c r="CB251" s="34">
        <f t="shared" ca="1" si="260"/>
        <v>0</v>
      </c>
      <c r="CC251" s="34">
        <f t="shared" ca="1" si="260"/>
        <v>0</v>
      </c>
      <c r="CD251" s="34">
        <f t="shared" ca="1" si="260"/>
        <v>0</v>
      </c>
      <c r="CE251" s="34">
        <f t="shared" ca="1" si="260"/>
        <v>0</v>
      </c>
      <c r="CF251" s="34">
        <f t="shared" ca="1" si="260"/>
        <v>0</v>
      </c>
      <c r="CG251" s="34">
        <f t="shared" ca="1" si="260"/>
        <v>0</v>
      </c>
      <c r="CH251" s="34">
        <f t="shared" ca="1" si="261"/>
        <v>0</v>
      </c>
      <c r="CI251" s="34">
        <f t="shared" ca="1" si="261"/>
        <v>0</v>
      </c>
      <c r="CJ251" s="34">
        <f t="shared" ca="1" si="261"/>
        <v>0</v>
      </c>
      <c r="CK251" s="34">
        <f t="shared" ca="1" si="261"/>
        <v>0</v>
      </c>
      <c r="CL251" s="34">
        <f t="shared" ca="1" si="261"/>
        <v>0</v>
      </c>
      <c r="CM251" s="34">
        <f t="shared" ca="1" si="261"/>
        <v>0</v>
      </c>
      <c r="CN251" s="34">
        <f t="shared" ca="1" si="261"/>
        <v>0</v>
      </c>
      <c r="CO251" s="34">
        <f t="shared" ca="1" si="261"/>
        <v>0</v>
      </c>
      <c r="CP251" s="34">
        <f t="shared" ca="1" si="261"/>
        <v>0</v>
      </c>
      <c r="CQ251" s="34">
        <f t="shared" ca="1" si="241"/>
        <v>32047.698333965425</v>
      </c>
      <c r="CR251" s="363">
        <v>0</v>
      </c>
      <c r="CS251" s="34">
        <f t="shared" ca="1" si="242"/>
        <v>32047.698333965425</v>
      </c>
      <c r="CT251" s="233"/>
    </row>
    <row r="252" spans="2:98" x14ac:dyDescent="0.3">
      <c r="B252" s="232"/>
      <c r="C252" s="250">
        <f t="shared" si="243"/>
        <v>2036</v>
      </c>
      <c r="D252" s="263">
        <f t="shared" ca="1" si="221"/>
        <v>8288.6029218954263</v>
      </c>
      <c r="E252" s="263">
        <f t="shared" ca="1" si="207"/>
        <v>54.824527594782609</v>
      </c>
      <c r="F252" s="263">
        <f t="shared" ca="1" si="208"/>
        <v>0</v>
      </c>
      <c r="G252" s="263">
        <f t="shared" ca="1" si="222"/>
        <v>8617.550087464122</v>
      </c>
      <c r="H252" s="15"/>
      <c r="I252" s="271">
        <f ca="1">Assumptions!O$68</f>
        <v>4.5</v>
      </c>
      <c r="J252" s="271">
        <f ca="1">Assumptions!P$68</f>
        <v>80</v>
      </c>
      <c r="K252" s="271">
        <f t="shared" ca="1" si="209"/>
        <v>40</v>
      </c>
      <c r="L252" s="15"/>
      <c r="M252" s="35">
        <f t="shared" ca="1" si="223"/>
        <v>4.2299999999999995</v>
      </c>
      <c r="N252" s="35">
        <f t="shared" ca="1" si="210"/>
        <v>74.400000000000006</v>
      </c>
      <c r="O252" s="35">
        <f t="shared" ca="1" si="211"/>
        <v>37.200000000000003</v>
      </c>
      <c r="P252" s="15"/>
      <c r="Q252" s="34">
        <f t="shared" ca="1" si="224"/>
        <v>35060.790359617647</v>
      </c>
      <c r="R252" s="34">
        <f t="shared" ca="1" si="225"/>
        <v>4078.9448530518266</v>
      </c>
      <c r="S252" s="34">
        <f t="shared" ca="1" si="226"/>
        <v>0</v>
      </c>
      <c r="T252" s="34">
        <f t="shared" ca="1" si="227"/>
        <v>39139.735212669475</v>
      </c>
      <c r="U252" s="15"/>
      <c r="V252" s="35">
        <f t="shared" si="228"/>
        <v>0.31</v>
      </c>
      <c r="W252" s="34">
        <f t="shared" ca="1" si="229"/>
        <v>2671.440527113878</v>
      </c>
      <c r="X252" s="35">
        <f t="shared" si="230"/>
        <v>0.37</v>
      </c>
      <c r="Y252" s="34">
        <f t="shared" ca="1" si="231"/>
        <v>3188.4935323617251</v>
      </c>
      <c r="Z252" s="35">
        <f t="shared" si="232"/>
        <v>0.57999999999999996</v>
      </c>
      <c r="AA252" s="34">
        <f t="shared" ca="1" si="233"/>
        <v>4998.1790507291907</v>
      </c>
      <c r="AB252" s="34">
        <f t="shared" ca="1" si="234"/>
        <v>10858.113110204795</v>
      </c>
      <c r="AC252" s="15"/>
      <c r="AD252" s="34">
        <f t="shared" ca="1" si="235"/>
        <v>28281.62210246468</v>
      </c>
      <c r="AE252" s="34">
        <f ca="1"/>
        <v>35628.742514970065</v>
      </c>
      <c r="AF252" s="34">
        <f t="shared" ca="1" si="236"/>
        <v>-7347.1204125053846</v>
      </c>
      <c r="AG252" s="15"/>
      <c r="AH252" s="272">
        <f t="shared" si="244"/>
        <v>50040</v>
      </c>
      <c r="AI252" s="267">
        <f t="shared" si="212"/>
        <v>22.666666666666668</v>
      </c>
      <c r="AJ252" s="267">
        <f t="shared" si="213"/>
        <v>0.11528314162180023</v>
      </c>
      <c r="AK252" s="34">
        <f t="shared" ca="1" si="245"/>
        <v>-846.99912302727762</v>
      </c>
      <c r="AL252" s="233"/>
      <c r="AN252" s="232"/>
      <c r="AO252" s="237">
        <f t="shared" si="263"/>
        <v>23</v>
      </c>
      <c r="AP252" s="34">
        <f t="shared" ref="AP252:AS252" ca="1" si="271">+AP202</f>
        <v>102.74384340120095</v>
      </c>
      <c r="AQ252" s="34">
        <f t="shared" ca="1" si="271"/>
        <v>0.6795937422533741</v>
      </c>
      <c r="AR252" s="34">
        <f t="shared" ca="1" si="271"/>
        <v>0</v>
      </c>
      <c r="AS252" s="34">
        <f t="shared" ca="1" si="271"/>
        <v>106.82140585472119</v>
      </c>
      <c r="AT252" s="15"/>
      <c r="AW252" s="34">
        <f t="shared" ca="1" si="239"/>
        <v>102.74384340120095</v>
      </c>
      <c r="AX252" s="34">
        <f t="shared" ca="1" si="215"/>
        <v>0.6795937422533741</v>
      </c>
      <c r="AY252" s="34">
        <f t="shared" ca="1" si="216"/>
        <v>0</v>
      </c>
      <c r="AZ252" s="34">
        <f t="shared" ca="1" si="217"/>
        <v>106.82140585472119</v>
      </c>
      <c r="BB252" s="34">
        <f t="shared" ca="1" si="265"/>
        <v>0</v>
      </c>
      <c r="BC252" s="34">
        <f t="shared" ca="1" si="265"/>
        <v>0</v>
      </c>
      <c r="BD252" s="34">
        <f t="shared" ca="1" si="265"/>
        <v>0</v>
      </c>
      <c r="BE252" s="34">
        <f t="shared" ca="1" si="265"/>
        <v>0</v>
      </c>
      <c r="BF252" s="34">
        <f t="shared" ca="1" si="265"/>
        <v>0</v>
      </c>
      <c r="BG252" s="34">
        <f t="shared" ca="1" si="265"/>
        <v>0</v>
      </c>
      <c r="BH252" s="34">
        <f t="shared" ca="1" si="265"/>
        <v>0</v>
      </c>
      <c r="BI252" s="34">
        <f t="shared" ca="1" si="265"/>
        <v>0</v>
      </c>
      <c r="BJ252" s="34">
        <f t="shared" ca="1" si="265"/>
        <v>0</v>
      </c>
      <c r="BK252" s="34">
        <f t="shared" ca="1" si="265"/>
        <v>0</v>
      </c>
      <c r="BL252" s="34">
        <f t="shared" ca="1" si="265"/>
        <v>0</v>
      </c>
      <c r="BM252" s="34">
        <f t="shared" ca="1" si="265"/>
        <v>0</v>
      </c>
      <c r="BN252" s="34">
        <f t="shared" ca="1" si="265"/>
        <v>0</v>
      </c>
      <c r="BO252" s="34">
        <f t="shared" ca="1" si="265"/>
        <v>0</v>
      </c>
      <c r="BP252" s="34">
        <f t="shared" ca="1" si="265"/>
        <v>0</v>
      </c>
      <c r="BQ252" s="34">
        <f t="shared" ca="1" si="265"/>
        <v>0</v>
      </c>
      <c r="BR252" s="34">
        <f t="shared" ca="1" si="260"/>
        <v>0</v>
      </c>
      <c r="BS252" s="34">
        <f t="shared" ca="1" si="260"/>
        <v>0</v>
      </c>
      <c r="BT252" s="34">
        <f t="shared" ca="1" si="260"/>
        <v>0</v>
      </c>
      <c r="BU252" s="34">
        <f t="shared" ca="1" si="260"/>
        <v>0</v>
      </c>
      <c r="BV252" s="34">
        <f t="shared" ca="1" si="260"/>
        <v>0</v>
      </c>
      <c r="BW252" s="34">
        <f t="shared" ca="1" si="260"/>
        <v>0</v>
      </c>
      <c r="BX252" s="34">
        <f t="shared" ca="1" si="260"/>
        <v>14836.578718952605</v>
      </c>
      <c r="BY252" s="34">
        <f t="shared" ca="1" si="260"/>
        <v>71338.922155688619</v>
      </c>
      <c r="BZ252" s="34">
        <f t="shared" ca="1" si="260"/>
        <v>0</v>
      </c>
      <c r="CA252" s="34">
        <f t="shared" ca="1" si="260"/>
        <v>0</v>
      </c>
      <c r="CB252" s="34">
        <f t="shared" ca="1" si="260"/>
        <v>0</v>
      </c>
      <c r="CC252" s="34">
        <f t="shared" ca="1" si="260"/>
        <v>0</v>
      </c>
      <c r="CD252" s="34">
        <f t="shared" ca="1" si="260"/>
        <v>0</v>
      </c>
      <c r="CE252" s="34">
        <f t="shared" ca="1" si="260"/>
        <v>0</v>
      </c>
      <c r="CF252" s="34">
        <f t="shared" ca="1" si="260"/>
        <v>0</v>
      </c>
      <c r="CG252" s="34">
        <f t="shared" ca="1" si="260"/>
        <v>0</v>
      </c>
      <c r="CH252" s="34">
        <f t="shared" ca="1" si="261"/>
        <v>0</v>
      </c>
      <c r="CI252" s="34">
        <f t="shared" ca="1" si="261"/>
        <v>0</v>
      </c>
      <c r="CJ252" s="34">
        <f t="shared" ca="1" si="261"/>
        <v>0</v>
      </c>
      <c r="CK252" s="34">
        <f t="shared" ca="1" si="261"/>
        <v>0</v>
      </c>
      <c r="CL252" s="34">
        <f t="shared" ca="1" si="261"/>
        <v>0</v>
      </c>
      <c r="CM252" s="34">
        <f t="shared" ca="1" si="261"/>
        <v>0</v>
      </c>
      <c r="CN252" s="34">
        <f t="shared" ca="1" si="261"/>
        <v>0</v>
      </c>
      <c r="CO252" s="34">
        <f t="shared" ca="1" si="261"/>
        <v>0</v>
      </c>
      <c r="CP252" s="34">
        <f t="shared" ca="1" si="261"/>
        <v>0</v>
      </c>
      <c r="CQ252" s="34">
        <f t="shared" ca="1" si="241"/>
        <v>86175.50087464122</v>
      </c>
      <c r="CR252" s="363">
        <v>0</v>
      </c>
      <c r="CS252" s="34">
        <f t="shared" ca="1" si="242"/>
        <v>86175.50087464122</v>
      </c>
      <c r="CT252" s="233"/>
    </row>
    <row r="253" spans="2:98" x14ac:dyDescent="0.3">
      <c r="B253" s="232"/>
      <c r="C253" s="250">
        <f t="shared" si="243"/>
        <v>2037</v>
      </c>
      <c r="D253" s="263">
        <f t="shared" ca="1" si="221"/>
        <v>11072.09547602203</v>
      </c>
      <c r="E253" s="263">
        <f t="shared" ca="1" si="207"/>
        <v>73.235792530693985</v>
      </c>
      <c r="F253" s="263">
        <f t="shared" ca="1" si="208"/>
        <v>0</v>
      </c>
      <c r="G253" s="263">
        <f t="shared" ca="1" si="222"/>
        <v>11511.510231206194</v>
      </c>
      <c r="H253" s="15"/>
      <c r="I253" s="271">
        <f ca="1">Assumptions!O$68</f>
        <v>4.5</v>
      </c>
      <c r="J253" s="271">
        <f ca="1">Assumptions!P$68</f>
        <v>80</v>
      </c>
      <c r="K253" s="271">
        <f t="shared" ca="1" si="209"/>
        <v>40</v>
      </c>
      <c r="L253" s="15"/>
      <c r="M253" s="35">
        <f t="shared" ca="1" si="223"/>
        <v>4.2299999999999995</v>
      </c>
      <c r="N253" s="35">
        <f t="shared" ca="1" si="210"/>
        <v>74.400000000000006</v>
      </c>
      <c r="O253" s="35">
        <f t="shared" ca="1" si="211"/>
        <v>37.200000000000003</v>
      </c>
      <c r="P253" s="15"/>
      <c r="Q253" s="34">
        <f t="shared" ca="1" si="224"/>
        <v>46834.963863573183</v>
      </c>
      <c r="R253" s="34">
        <f t="shared" ca="1" si="225"/>
        <v>5448.7429642836332</v>
      </c>
      <c r="S253" s="34">
        <f t="shared" ca="1" si="226"/>
        <v>0</v>
      </c>
      <c r="T253" s="34">
        <f t="shared" ca="1" si="227"/>
        <v>52283.706827856819</v>
      </c>
      <c r="U253" s="15"/>
      <c r="V253" s="35">
        <f t="shared" si="228"/>
        <v>0.31</v>
      </c>
      <c r="W253" s="34">
        <f t="shared" ca="1" si="229"/>
        <v>3568.56817167392</v>
      </c>
      <c r="X253" s="35">
        <f t="shared" si="230"/>
        <v>0.37</v>
      </c>
      <c r="Y253" s="34">
        <f t="shared" ca="1" si="231"/>
        <v>4259.2587855462916</v>
      </c>
      <c r="Z253" s="35">
        <f t="shared" si="232"/>
        <v>0.57999999999999996</v>
      </c>
      <c r="AA253" s="34">
        <f t="shared" ca="1" si="233"/>
        <v>6676.6759340995914</v>
      </c>
      <c r="AB253" s="34">
        <f t="shared" ca="1" si="234"/>
        <v>14504.502891319804</v>
      </c>
      <c r="AC253" s="15"/>
      <c r="AD253" s="34">
        <f t="shared" ca="1" si="235"/>
        <v>37779.203936537015</v>
      </c>
      <c r="AE253" s="34">
        <f ca="1"/>
        <v>35628.742514970065</v>
      </c>
      <c r="AF253" s="34">
        <f t="shared" ca="1" si="236"/>
        <v>2150.4614215669499</v>
      </c>
      <c r="AG253" s="15"/>
      <c r="AH253" s="272">
        <f t="shared" si="244"/>
        <v>50405</v>
      </c>
      <c r="AI253" s="267">
        <f t="shared" si="212"/>
        <v>23.666666666666668</v>
      </c>
      <c r="AJ253" s="267">
        <f t="shared" si="213"/>
        <v>0.10480285601981834</v>
      </c>
      <c r="AK253" s="34">
        <f t="shared" ca="1" si="245"/>
        <v>225.37449874065493</v>
      </c>
      <c r="AL253" s="233"/>
      <c r="AN253" s="232"/>
      <c r="AO253" s="237">
        <f t="shared" si="263"/>
        <v>24</v>
      </c>
      <c r="AP253" s="34">
        <f t="shared" ref="AP253:AS253" ca="1" si="272">+AP203</f>
        <v>98.745436725937381</v>
      </c>
      <c r="AQ253" s="34">
        <f t="shared" ca="1" si="272"/>
        <v>0.65314649183387619</v>
      </c>
      <c r="AR253" s="34">
        <f t="shared" ca="1" si="272"/>
        <v>0</v>
      </c>
      <c r="AS253" s="34">
        <f t="shared" ca="1" si="272"/>
        <v>102.66431567694063</v>
      </c>
      <c r="AT253" s="15"/>
      <c r="AW253" s="34">
        <f t="shared" ca="1" si="239"/>
        <v>98.745436725937381</v>
      </c>
      <c r="AX253" s="34">
        <f t="shared" ca="1" si="215"/>
        <v>0.65314649183387619</v>
      </c>
      <c r="AY253" s="34">
        <f t="shared" ca="1" si="216"/>
        <v>0</v>
      </c>
      <c r="AZ253" s="34">
        <f t="shared" ca="1" si="217"/>
        <v>102.66431567694063</v>
      </c>
      <c r="BB253" s="34">
        <f t="shared" ca="1" si="265"/>
        <v>0</v>
      </c>
      <c r="BC253" s="34">
        <f t="shared" ca="1" si="265"/>
        <v>0</v>
      </c>
      <c r="BD253" s="34">
        <f t="shared" ca="1" si="265"/>
        <v>0</v>
      </c>
      <c r="BE253" s="34">
        <f t="shared" ca="1" si="265"/>
        <v>0</v>
      </c>
      <c r="BF253" s="34">
        <f t="shared" ca="1" si="265"/>
        <v>0</v>
      </c>
      <c r="BG253" s="34">
        <f t="shared" ca="1" si="265"/>
        <v>0</v>
      </c>
      <c r="BH253" s="34">
        <f t="shared" ca="1" si="265"/>
        <v>0</v>
      </c>
      <c r="BI253" s="34">
        <f t="shared" ca="1" si="265"/>
        <v>0</v>
      </c>
      <c r="BJ253" s="34">
        <f t="shared" ca="1" si="265"/>
        <v>0</v>
      </c>
      <c r="BK253" s="34">
        <f t="shared" ca="1" si="265"/>
        <v>0</v>
      </c>
      <c r="BL253" s="34">
        <f t="shared" ca="1" si="265"/>
        <v>0</v>
      </c>
      <c r="BM253" s="34">
        <f t="shared" ca="1" si="265"/>
        <v>0</v>
      </c>
      <c r="BN253" s="34">
        <f t="shared" ca="1" si="265"/>
        <v>0</v>
      </c>
      <c r="BO253" s="34">
        <f t="shared" ca="1" si="265"/>
        <v>0</v>
      </c>
      <c r="BP253" s="34">
        <f t="shared" ca="1" si="265"/>
        <v>0</v>
      </c>
      <c r="BQ253" s="34">
        <f t="shared" ca="1" si="265"/>
        <v>0</v>
      </c>
      <c r="BR253" s="34">
        <f t="shared" ca="1" si="260"/>
        <v>0</v>
      </c>
      <c r="BS253" s="34">
        <f t="shared" ca="1" si="260"/>
        <v>0</v>
      </c>
      <c r="BT253" s="34">
        <f t="shared" ca="1" si="260"/>
        <v>0</v>
      </c>
      <c r="BU253" s="34">
        <f t="shared" ca="1" si="260"/>
        <v>0</v>
      </c>
      <c r="BV253" s="34">
        <f t="shared" ca="1" si="260"/>
        <v>0</v>
      </c>
      <c r="BW253" s="34">
        <f t="shared" ca="1" si="260"/>
        <v>0</v>
      </c>
      <c r="BX253" s="34">
        <f t="shared" ca="1" si="260"/>
        <v>10749.610720453937</v>
      </c>
      <c r="BY253" s="34">
        <f t="shared" ca="1" si="260"/>
        <v>33026.569435919366</v>
      </c>
      <c r="BZ253" s="34">
        <f t="shared" ca="1" si="260"/>
        <v>71338.922155688619</v>
      </c>
      <c r="CA253" s="34">
        <f t="shared" ca="1" si="260"/>
        <v>0</v>
      </c>
      <c r="CB253" s="34">
        <f t="shared" ca="1" si="260"/>
        <v>0</v>
      </c>
      <c r="CC253" s="34">
        <f t="shared" ca="1" si="260"/>
        <v>0</v>
      </c>
      <c r="CD253" s="34">
        <f t="shared" ca="1" si="260"/>
        <v>0</v>
      </c>
      <c r="CE253" s="34">
        <f t="shared" ca="1" si="260"/>
        <v>0</v>
      </c>
      <c r="CF253" s="34">
        <f t="shared" ca="1" si="260"/>
        <v>0</v>
      </c>
      <c r="CG253" s="34">
        <f t="shared" ca="1" si="260"/>
        <v>0</v>
      </c>
      <c r="CH253" s="34">
        <f t="shared" ca="1" si="261"/>
        <v>0</v>
      </c>
      <c r="CI253" s="34">
        <f t="shared" ca="1" si="261"/>
        <v>0</v>
      </c>
      <c r="CJ253" s="34">
        <f t="shared" ca="1" si="261"/>
        <v>0</v>
      </c>
      <c r="CK253" s="34">
        <f t="shared" ca="1" si="261"/>
        <v>0</v>
      </c>
      <c r="CL253" s="34">
        <f t="shared" ca="1" si="261"/>
        <v>0</v>
      </c>
      <c r="CM253" s="34">
        <f t="shared" ca="1" si="261"/>
        <v>0</v>
      </c>
      <c r="CN253" s="34">
        <f t="shared" ca="1" si="261"/>
        <v>0</v>
      </c>
      <c r="CO253" s="34">
        <f t="shared" ca="1" si="261"/>
        <v>0</v>
      </c>
      <c r="CP253" s="34">
        <f t="shared" ca="1" si="261"/>
        <v>0</v>
      </c>
      <c r="CQ253" s="34">
        <f t="shared" ca="1" si="241"/>
        <v>115115.10231206192</v>
      </c>
      <c r="CR253" s="363">
        <v>0</v>
      </c>
      <c r="CS253" s="34">
        <f t="shared" ca="1" si="242"/>
        <v>115115.10231206192</v>
      </c>
      <c r="CT253" s="233"/>
    </row>
    <row r="254" spans="2:98" x14ac:dyDescent="0.3">
      <c r="B254" s="232"/>
      <c r="C254" s="250">
        <f t="shared" si="243"/>
        <v>2038</v>
      </c>
      <c r="D254" s="263">
        <f t="shared" ca="1" si="221"/>
        <v>13175.654299384214</v>
      </c>
      <c r="E254" s="263">
        <f t="shared" ca="1" si="207"/>
        <v>87.149671606022608</v>
      </c>
      <c r="F254" s="263">
        <f t="shared" ca="1" si="208"/>
        <v>0</v>
      </c>
      <c r="G254" s="263">
        <f t="shared" ca="1" si="222"/>
        <v>13698.552329020349</v>
      </c>
      <c r="H254" s="15"/>
      <c r="I254" s="271">
        <f ca="1">Assumptions!O$68</f>
        <v>4.5</v>
      </c>
      <c r="J254" s="271">
        <f ca="1">Assumptions!P$68</f>
        <v>80</v>
      </c>
      <c r="K254" s="271">
        <f t="shared" ca="1" si="209"/>
        <v>40</v>
      </c>
      <c r="L254" s="15"/>
      <c r="M254" s="35">
        <f t="shared" ca="1" si="223"/>
        <v>4.2299999999999995</v>
      </c>
      <c r="N254" s="35">
        <f t="shared" ca="1" si="210"/>
        <v>74.400000000000006</v>
      </c>
      <c r="O254" s="35">
        <f t="shared" ca="1" si="211"/>
        <v>37.200000000000003</v>
      </c>
      <c r="P254" s="15"/>
      <c r="Q254" s="34">
        <f t="shared" ca="1" si="224"/>
        <v>55733.017686395222</v>
      </c>
      <c r="R254" s="34">
        <f t="shared" ca="1" si="225"/>
        <v>6483.9355674880826</v>
      </c>
      <c r="S254" s="34">
        <f t="shared" ca="1" si="226"/>
        <v>0</v>
      </c>
      <c r="T254" s="34">
        <f t="shared" ca="1" si="227"/>
        <v>62216.953253883301</v>
      </c>
      <c r="U254" s="15"/>
      <c r="V254" s="35">
        <f t="shared" si="228"/>
        <v>0.31</v>
      </c>
      <c r="W254" s="34">
        <f t="shared" ca="1" si="229"/>
        <v>4246.5512219963084</v>
      </c>
      <c r="X254" s="35">
        <f t="shared" si="230"/>
        <v>0.37</v>
      </c>
      <c r="Y254" s="34">
        <f t="shared" ca="1" si="231"/>
        <v>5068.4643617375295</v>
      </c>
      <c r="Z254" s="35">
        <f t="shared" si="232"/>
        <v>0.57999999999999996</v>
      </c>
      <c r="AA254" s="34">
        <f t="shared" ca="1" si="233"/>
        <v>7945.1603508318021</v>
      </c>
      <c r="AB254" s="34">
        <f t="shared" ca="1" si="234"/>
        <v>17260.175934565639</v>
      </c>
      <c r="AC254" s="15"/>
      <c r="AD254" s="34">
        <f t="shared" ca="1" si="235"/>
        <v>44956.777319317662</v>
      </c>
      <c r="AE254" s="34">
        <f ca="1"/>
        <v>35628.742514970065</v>
      </c>
      <c r="AF254" s="34">
        <f t="shared" ca="1" si="236"/>
        <v>9328.0348043475969</v>
      </c>
      <c r="AG254" s="15"/>
      <c r="AH254" s="272">
        <f t="shared" si="244"/>
        <v>50770</v>
      </c>
      <c r="AI254" s="267">
        <f t="shared" si="212"/>
        <v>24.666666666666668</v>
      </c>
      <c r="AJ254" s="267">
        <f t="shared" si="213"/>
        <v>9.5275323654380323E-2</v>
      </c>
      <c r="AK254" s="34">
        <f t="shared" ca="1" si="245"/>
        <v>888.7315350435415</v>
      </c>
      <c r="AL254" s="233"/>
      <c r="AN254" s="232"/>
      <c r="AO254" s="237">
        <f t="shared" si="263"/>
        <v>25</v>
      </c>
      <c r="AP254" s="34">
        <f t="shared" ref="AP254:AS254" ca="1" si="273">+AP204</f>
        <v>94.902617717381801</v>
      </c>
      <c r="AQ254" s="34">
        <f t="shared" ca="1" si="273"/>
        <v>0.62772836784343022</v>
      </c>
      <c r="AR254" s="34">
        <f t="shared" ca="1" si="273"/>
        <v>0</v>
      </c>
      <c r="AS254" s="34">
        <f t="shared" ca="1" si="273"/>
        <v>98.668987924442376</v>
      </c>
      <c r="AT254" s="15"/>
      <c r="AW254" s="34">
        <f t="shared" ca="1" si="239"/>
        <v>94.902617717381801</v>
      </c>
      <c r="AX254" s="34">
        <f t="shared" ca="1" si="215"/>
        <v>0.62772836784343022</v>
      </c>
      <c r="AY254" s="34">
        <f t="shared" ca="1" si="216"/>
        <v>0</v>
      </c>
      <c r="AZ254" s="34">
        <f t="shared" ca="1" si="217"/>
        <v>98.668987924442376</v>
      </c>
      <c r="BB254" s="34">
        <f t="shared" ca="1" si="265"/>
        <v>0</v>
      </c>
      <c r="BC254" s="34">
        <f t="shared" ca="1" si="265"/>
        <v>0</v>
      </c>
      <c r="BD254" s="34">
        <f t="shared" ca="1" si="265"/>
        <v>0</v>
      </c>
      <c r="BE254" s="34">
        <f t="shared" ca="1" si="265"/>
        <v>0</v>
      </c>
      <c r="BF254" s="34">
        <f t="shared" ca="1" si="265"/>
        <v>0</v>
      </c>
      <c r="BG254" s="34">
        <f t="shared" ca="1" si="265"/>
        <v>0</v>
      </c>
      <c r="BH254" s="34">
        <f t="shared" ca="1" si="265"/>
        <v>0</v>
      </c>
      <c r="BI254" s="34">
        <f t="shared" ca="1" si="265"/>
        <v>0</v>
      </c>
      <c r="BJ254" s="34">
        <f t="shared" ca="1" si="265"/>
        <v>0</v>
      </c>
      <c r="BK254" s="34">
        <f t="shared" ca="1" si="265"/>
        <v>0</v>
      </c>
      <c r="BL254" s="34">
        <f t="shared" ca="1" si="265"/>
        <v>0</v>
      </c>
      <c r="BM254" s="34">
        <f t="shared" ca="1" si="265"/>
        <v>0</v>
      </c>
      <c r="BN254" s="34">
        <f t="shared" ca="1" si="265"/>
        <v>0</v>
      </c>
      <c r="BO254" s="34">
        <f t="shared" ca="1" si="265"/>
        <v>0</v>
      </c>
      <c r="BP254" s="34">
        <f t="shared" ca="1" si="265"/>
        <v>0</v>
      </c>
      <c r="BQ254" s="34">
        <f t="shared" ca="1" si="265"/>
        <v>0</v>
      </c>
      <c r="BR254" s="34">
        <f t="shared" ca="1" si="260"/>
        <v>0</v>
      </c>
      <c r="BS254" s="34">
        <f t="shared" ca="1" si="260"/>
        <v>0</v>
      </c>
      <c r="BT254" s="34">
        <f t="shared" ca="1" si="260"/>
        <v>0</v>
      </c>
      <c r="BU254" s="34">
        <f t="shared" ca="1" si="260"/>
        <v>0</v>
      </c>
      <c r="BV254" s="34">
        <f t="shared" ca="1" si="260"/>
        <v>0</v>
      </c>
      <c r="BW254" s="34">
        <f t="shared" ca="1" si="260"/>
        <v>0</v>
      </c>
      <c r="BX254" s="34">
        <f t="shared" ca="1" si="260"/>
        <v>8691.148120155658</v>
      </c>
      <c r="BY254" s="34">
        <f t="shared" ca="1" si="260"/>
        <v>23928.883578439847</v>
      </c>
      <c r="BZ254" s="34">
        <f t="shared" ca="1" si="260"/>
        <v>33026.569435919366</v>
      </c>
      <c r="CA254" s="34">
        <f t="shared" ca="1" si="260"/>
        <v>71338.922155688619</v>
      </c>
      <c r="CB254" s="34">
        <f t="shared" ca="1" si="260"/>
        <v>0</v>
      </c>
      <c r="CC254" s="34">
        <f t="shared" ca="1" si="260"/>
        <v>0</v>
      </c>
      <c r="CD254" s="34">
        <f t="shared" ca="1" si="260"/>
        <v>0</v>
      </c>
      <c r="CE254" s="34">
        <f t="shared" ca="1" si="260"/>
        <v>0</v>
      </c>
      <c r="CF254" s="34">
        <f t="shared" ca="1" si="260"/>
        <v>0</v>
      </c>
      <c r="CG254" s="34">
        <f t="shared" ca="1" si="260"/>
        <v>0</v>
      </c>
      <c r="CH254" s="34">
        <f t="shared" ca="1" si="261"/>
        <v>0</v>
      </c>
      <c r="CI254" s="34">
        <f t="shared" ca="1" si="261"/>
        <v>0</v>
      </c>
      <c r="CJ254" s="34">
        <f t="shared" ca="1" si="261"/>
        <v>0</v>
      </c>
      <c r="CK254" s="34">
        <f t="shared" ca="1" si="261"/>
        <v>0</v>
      </c>
      <c r="CL254" s="34">
        <f t="shared" ca="1" si="261"/>
        <v>0</v>
      </c>
      <c r="CM254" s="34">
        <f t="shared" ca="1" si="261"/>
        <v>0</v>
      </c>
      <c r="CN254" s="34">
        <f t="shared" ca="1" si="261"/>
        <v>0</v>
      </c>
      <c r="CO254" s="34">
        <f t="shared" ca="1" si="261"/>
        <v>0</v>
      </c>
      <c r="CP254" s="34">
        <f t="shared" ca="1" si="261"/>
        <v>0</v>
      </c>
      <c r="CQ254" s="34">
        <f t="shared" ca="1" si="241"/>
        <v>136985.52329020348</v>
      </c>
      <c r="CR254" s="363">
        <v>0</v>
      </c>
      <c r="CS254" s="34">
        <f t="shared" ca="1" si="242"/>
        <v>136985.52329020348</v>
      </c>
      <c r="CT254" s="233"/>
    </row>
    <row r="255" spans="2:98" x14ac:dyDescent="0.3">
      <c r="B255" s="232"/>
      <c r="C255" s="250">
        <f t="shared" si="243"/>
        <v>2039</v>
      </c>
      <c r="D255" s="263">
        <f t="shared" ca="1" si="221"/>
        <v>14913.321412946678</v>
      </c>
      <c r="E255" s="263">
        <f t="shared" ca="1" si="207"/>
        <v>98.643379232719496</v>
      </c>
      <c r="F255" s="263">
        <f t="shared" ca="1" si="208"/>
        <v>0</v>
      </c>
      <c r="G255" s="263">
        <f t="shared" ca="1" si="222"/>
        <v>15505.181688342995</v>
      </c>
      <c r="H255" s="15"/>
      <c r="I255" s="271">
        <f ca="1">Assumptions!O$68</f>
        <v>4.5</v>
      </c>
      <c r="J255" s="271">
        <f ca="1">Assumptions!P$68</f>
        <v>80</v>
      </c>
      <c r="K255" s="271">
        <f t="shared" ca="1" si="209"/>
        <v>40</v>
      </c>
      <c r="L255" s="15"/>
      <c r="M255" s="35">
        <f t="shared" ca="1" si="223"/>
        <v>4.2299999999999995</v>
      </c>
      <c r="N255" s="35">
        <f t="shared" ca="1" si="210"/>
        <v>74.400000000000006</v>
      </c>
      <c r="O255" s="35">
        <f t="shared" ca="1" si="211"/>
        <v>37.200000000000003</v>
      </c>
      <c r="P255" s="15"/>
      <c r="Q255" s="34">
        <f t="shared" ca="1" si="224"/>
        <v>63083.349576764442</v>
      </c>
      <c r="R255" s="34">
        <f t="shared" ca="1" si="225"/>
        <v>7339.0674149143315</v>
      </c>
      <c r="S255" s="34">
        <f t="shared" ca="1" si="226"/>
        <v>0</v>
      </c>
      <c r="T255" s="34">
        <f t="shared" ca="1" si="227"/>
        <v>70422.41699167878</v>
      </c>
      <c r="U255" s="15"/>
      <c r="V255" s="35">
        <f t="shared" si="228"/>
        <v>0.31</v>
      </c>
      <c r="W255" s="34">
        <f t="shared" ca="1" si="229"/>
        <v>4806.6063233863288</v>
      </c>
      <c r="X255" s="35">
        <f t="shared" si="230"/>
        <v>0.37</v>
      </c>
      <c r="Y255" s="34">
        <f t="shared" ca="1" si="231"/>
        <v>5736.9172246869084</v>
      </c>
      <c r="Z255" s="35">
        <f t="shared" si="232"/>
        <v>0.57999999999999996</v>
      </c>
      <c r="AA255" s="34">
        <f t="shared" ca="1" si="233"/>
        <v>8993.0053792389372</v>
      </c>
      <c r="AB255" s="34">
        <f t="shared" ca="1" si="234"/>
        <v>19536.528927312174</v>
      </c>
      <c r="AC255" s="15"/>
      <c r="AD255" s="34">
        <f t="shared" ca="1" si="235"/>
        <v>50885.888064366605</v>
      </c>
      <c r="AE255" s="34">
        <f ca="1"/>
        <v>35628.742514970065</v>
      </c>
      <c r="AF255" s="34">
        <f t="shared" ca="1" si="236"/>
        <v>15257.14554939654</v>
      </c>
      <c r="AG255" s="15"/>
      <c r="AH255" s="272">
        <f t="shared" si="244"/>
        <v>51135</v>
      </c>
      <c r="AI255" s="267">
        <f t="shared" si="212"/>
        <v>25.666666666666668</v>
      </c>
      <c r="AJ255" s="267">
        <f t="shared" si="213"/>
        <v>8.661393059489117E-2</v>
      </c>
      <c r="AK255" s="34">
        <f t="shared" ca="1" si="245"/>
        <v>1321.4813456915847</v>
      </c>
      <c r="AL255" s="233"/>
      <c r="AN255" s="232"/>
      <c r="AO255" s="237">
        <f t="shared" si="263"/>
        <v>26</v>
      </c>
      <c r="AP255" s="34">
        <f t="shared" ref="AP255:AS255" ca="1" si="274">+AP205</f>
        <v>91.209357618175318</v>
      </c>
      <c r="AQ255" s="34">
        <f t="shared" ca="1" si="274"/>
        <v>0.60329949338392697</v>
      </c>
      <c r="AR255" s="34">
        <f t="shared" ca="1" si="274"/>
        <v>0</v>
      </c>
      <c r="AS255" s="34">
        <f t="shared" ca="1" si="274"/>
        <v>94.829154578478878</v>
      </c>
      <c r="AT255" s="15"/>
      <c r="AW255" s="34">
        <f t="shared" ca="1" si="239"/>
        <v>91.209357618175318</v>
      </c>
      <c r="AX255" s="34">
        <f t="shared" ca="1" si="215"/>
        <v>0.60329949338392697</v>
      </c>
      <c r="AY255" s="34">
        <f t="shared" ca="1" si="216"/>
        <v>0</v>
      </c>
      <c r="AZ255" s="34">
        <f t="shared" ca="1" si="217"/>
        <v>94.829154578478878</v>
      </c>
      <c r="BB255" s="34">
        <f t="shared" ca="1" si="265"/>
        <v>0</v>
      </c>
      <c r="BC255" s="34">
        <f t="shared" ca="1" si="265"/>
        <v>0</v>
      </c>
      <c r="BD255" s="34">
        <f t="shared" ca="1" si="265"/>
        <v>0</v>
      </c>
      <c r="BE255" s="34">
        <f t="shared" ca="1" si="265"/>
        <v>0</v>
      </c>
      <c r="BF255" s="34">
        <f t="shared" ca="1" si="265"/>
        <v>0</v>
      </c>
      <c r="BG255" s="34">
        <f t="shared" ca="1" si="265"/>
        <v>0</v>
      </c>
      <c r="BH255" s="34">
        <f t="shared" ca="1" si="265"/>
        <v>0</v>
      </c>
      <c r="BI255" s="34">
        <f t="shared" ca="1" si="265"/>
        <v>0</v>
      </c>
      <c r="BJ255" s="34">
        <f t="shared" ca="1" si="265"/>
        <v>0</v>
      </c>
      <c r="BK255" s="34">
        <f t="shared" ca="1" si="265"/>
        <v>0</v>
      </c>
      <c r="BL255" s="34">
        <f t="shared" ca="1" si="265"/>
        <v>0</v>
      </c>
      <c r="BM255" s="34">
        <f t="shared" ca="1" si="265"/>
        <v>0</v>
      </c>
      <c r="BN255" s="34">
        <f t="shared" ca="1" si="265"/>
        <v>0</v>
      </c>
      <c r="BO255" s="34">
        <f t="shared" ca="1" si="265"/>
        <v>0</v>
      </c>
      <c r="BP255" s="34">
        <f t="shared" ca="1" si="265"/>
        <v>0</v>
      </c>
      <c r="BQ255" s="34">
        <f t="shared" ca="1" si="265"/>
        <v>0</v>
      </c>
      <c r="BR255" s="34">
        <f t="shared" ca="1" si="260"/>
        <v>0</v>
      </c>
      <c r="BS255" s="34">
        <f t="shared" ca="1" si="260"/>
        <v>0</v>
      </c>
      <c r="BT255" s="34">
        <f t="shared" ca="1" si="260"/>
        <v>0</v>
      </c>
      <c r="BU255" s="34">
        <f t="shared" ca="1" si="260"/>
        <v>0</v>
      </c>
      <c r="BV255" s="34">
        <f t="shared" ca="1" si="260"/>
        <v>0</v>
      </c>
      <c r="BW255" s="34">
        <f t="shared" ca="1" si="260"/>
        <v>0</v>
      </c>
      <c r="BX255" s="34">
        <f t="shared" ca="1" si="260"/>
        <v>7410.7437781289846</v>
      </c>
      <c r="BY255" s="34">
        <f t="shared" ca="1" si="260"/>
        <v>19346.697935253127</v>
      </c>
      <c r="BZ255" s="34">
        <f t="shared" ca="1" si="260"/>
        <v>23928.883578439847</v>
      </c>
      <c r="CA255" s="34">
        <f t="shared" ca="1" si="260"/>
        <v>33026.569435919366</v>
      </c>
      <c r="CB255" s="34">
        <f t="shared" ca="1" si="260"/>
        <v>71338.922155688619</v>
      </c>
      <c r="CC255" s="34">
        <f t="shared" ca="1" si="260"/>
        <v>0</v>
      </c>
      <c r="CD255" s="34">
        <f t="shared" ca="1" si="260"/>
        <v>0</v>
      </c>
      <c r="CE255" s="34">
        <f t="shared" ca="1" si="260"/>
        <v>0</v>
      </c>
      <c r="CF255" s="34">
        <f t="shared" ca="1" si="260"/>
        <v>0</v>
      </c>
      <c r="CG255" s="34">
        <f t="shared" ca="1" si="260"/>
        <v>0</v>
      </c>
      <c r="CH255" s="34">
        <f t="shared" ca="1" si="261"/>
        <v>0</v>
      </c>
      <c r="CI255" s="34">
        <f t="shared" ca="1" si="261"/>
        <v>0</v>
      </c>
      <c r="CJ255" s="34">
        <f t="shared" ca="1" si="261"/>
        <v>0</v>
      </c>
      <c r="CK255" s="34">
        <f t="shared" ca="1" si="261"/>
        <v>0</v>
      </c>
      <c r="CL255" s="34">
        <f t="shared" ca="1" si="261"/>
        <v>0</v>
      </c>
      <c r="CM255" s="34">
        <f t="shared" ca="1" si="261"/>
        <v>0</v>
      </c>
      <c r="CN255" s="34">
        <f t="shared" ca="1" si="261"/>
        <v>0</v>
      </c>
      <c r="CO255" s="34">
        <f t="shared" ca="1" si="261"/>
        <v>0</v>
      </c>
      <c r="CP255" s="34">
        <f t="shared" ca="1" si="261"/>
        <v>0</v>
      </c>
      <c r="CQ255" s="34">
        <f t="shared" ca="1" si="241"/>
        <v>155051.81688342994</v>
      </c>
      <c r="CR255" s="363">
        <v>0</v>
      </c>
      <c r="CS255" s="34">
        <f t="shared" ca="1" si="242"/>
        <v>155051.81688342994</v>
      </c>
      <c r="CT255" s="233"/>
    </row>
    <row r="256" spans="2:98" x14ac:dyDescent="0.3">
      <c r="B256" s="232"/>
      <c r="C256" s="250">
        <f t="shared" si="243"/>
        <v>2040</v>
      </c>
      <c r="D256" s="263">
        <f t="shared" ca="1" si="221"/>
        <v>9552.9934843292667</v>
      </c>
      <c r="E256" s="263">
        <f t="shared" ca="1" si="207"/>
        <v>63.187772394170928</v>
      </c>
      <c r="F256" s="263">
        <f t="shared" ca="1" si="208"/>
        <v>0</v>
      </c>
      <c r="G256" s="263">
        <f t="shared" ca="1" si="222"/>
        <v>9932.1201186942926</v>
      </c>
      <c r="H256" s="15"/>
      <c r="I256" s="271">
        <f ca="1">Assumptions!O$68</f>
        <v>4.5</v>
      </c>
      <c r="J256" s="271">
        <f ca="1">Assumptions!P$68</f>
        <v>80</v>
      </c>
      <c r="K256" s="271">
        <f t="shared" ca="1" si="209"/>
        <v>40</v>
      </c>
      <c r="L256" s="15"/>
      <c r="M256" s="35">
        <f t="shared" ca="1" si="223"/>
        <v>4.2299999999999995</v>
      </c>
      <c r="N256" s="35">
        <f t="shared" ca="1" si="210"/>
        <v>74.400000000000006</v>
      </c>
      <c r="O256" s="35">
        <f t="shared" ca="1" si="211"/>
        <v>37.200000000000003</v>
      </c>
      <c r="P256" s="15"/>
      <c r="Q256" s="34">
        <f t="shared" ca="1" si="224"/>
        <v>40409.162438712796</v>
      </c>
      <c r="R256" s="34">
        <f t="shared" ca="1" si="225"/>
        <v>4701.1702661263171</v>
      </c>
      <c r="S256" s="34">
        <f t="shared" ca="1" si="226"/>
        <v>0</v>
      </c>
      <c r="T256" s="34">
        <f t="shared" ca="1" si="227"/>
        <v>45110.332704839115</v>
      </c>
      <c r="U256" s="15"/>
      <c r="V256" s="35">
        <f t="shared" si="228"/>
        <v>0.31</v>
      </c>
      <c r="W256" s="34">
        <f t="shared" ca="1" si="229"/>
        <v>3078.9572367952305</v>
      </c>
      <c r="X256" s="35">
        <f t="shared" si="230"/>
        <v>0.37</v>
      </c>
      <c r="Y256" s="34">
        <f t="shared" ca="1" si="231"/>
        <v>3674.8844439168884</v>
      </c>
      <c r="Z256" s="35">
        <f t="shared" si="232"/>
        <v>0.57999999999999996</v>
      </c>
      <c r="AA256" s="34">
        <f t="shared" ca="1" si="233"/>
        <v>5760.6296688426892</v>
      </c>
      <c r="AB256" s="34">
        <f t="shared" ca="1" si="234"/>
        <v>12514.471349554809</v>
      </c>
      <c r="AC256" s="15"/>
      <c r="AD256" s="34">
        <f t="shared" ca="1" si="235"/>
        <v>32595.861355284305</v>
      </c>
      <c r="AE256" s="34">
        <f ca="1"/>
        <v>0</v>
      </c>
      <c r="AF256" s="34">
        <f t="shared" ca="1" si="236"/>
        <v>32595.861355284305</v>
      </c>
      <c r="AG256" s="15"/>
      <c r="AH256" s="272">
        <f t="shared" si="244"/>
        <v>51501</v>
      </c>
      <c r="AI256" s="267">
        <f t="shared" si="212"/>
        <v>26.666666666666668</v>
      </c>
      <c r="AJ256" s="267">
        <f t="shared" si="213"/>
        <v>7.8739936904446528E-2</v>
      </c>
      <c r="AK256" s="34">
        <f t="shared" ca="1" si="245"/>
        <v>2566.596066461173</v>
      </c>
      <c r="AL256" s="233"/>
      <c r="AN256" s="232"/>
      <c r="AO256" s="237">
        <f t="shared" si="263"/>
        <v>27</v>
      </c>
      <c r="AP256" s="34">
        <f t="shared" ref="AP256:AS256" ca="1" si="275">+AP206</f>
        <v>87.659826061591374</v>
      </c>
      <c r="AQ256" s="34">
        <f t="shared" ca="1" si="275"/>
        <v>0.57982130380164854</v>
      </c>
      <c r="AR256" s="34">
        <f t="shared" ca="1" si="275"/>
        <v>0</v>
      </c>
      <c r="AS256" s="34">
        <f t="shared" ca="1" si="275"/>
        <v>91.138753884401268</v>
      </c>
      <c r="AT256" s="15"/>
      <c r="AW256" s="34">
        <f t="shared" ca="1" si="239"/>
        <v>87.659826061591374</v>
      </c>
      <c r="AX256" s="34">
        <f t="shared" ca="1" si="215"/>
        <v>0.57982130380164854</v>
      </c>
      <c r="AY256" s="34">
        <f t="shared" ca="1" si="216"/>
        <v>0</v>
      </c>
      <c r="AZ256" s="34">
        <f t="shared" ca="1" si="217"/>
        <v>91.138753884401268</v>
      </c>
      <c r="BB256" s="34">
        <f t="shared" ca="1" si="265"/>
        <v>0</v>
      </c>
      <c r="BC256" s="34">
        <f t="shared" ca="1" si="265"/>
        <v>0</v>
      </c>
      <c r="BD256" s="34">
        <f t="shared" ca="1" si="265"/>
        <v>0</v>
      </c>
      <c r="BE256" s="34">
        <f t="shared" ca="1" si="265"/>
        <v>0</v>
      </c>
      <c r="BF256" s="34">
        <f t="shared" ca="1" si="265"/>
        <v>0</v>
      </c>
      <c r="BG256" s="34">
        <f t="shared" ca="1" si="265"/>
        <v>0</v>
      </c>
      <c r="BH256" s="34">
        <f t="shared" ca="1" si="265"/>
        <v>0</v>
      </c>
      <c r="BI256" s="34">
        <f t="shared" ca="1" si="265"/>
        <v>0</v>
      </c>
      <c r="BJ256" s="34">
        <f t="shared" ca="1" si="265"/>
        <v>0</v>
      </c>
      <c r="BK256" s="34">
        <f t="shared" ca="1" si="265"/>
        <v>0</v>
      </c>
      <c r="BL256" s="34">
        <f t="shared" ca="1" si="265"/>
        <v>0</v>
      </c>
      <c r="BM256" s="34">
        <f t="shared" ca="1" si="265"/>
        <v>0</v>
      </c>
      <c r="BN256" s="34">
        <f t="shared" ca="1" si="265"/>
        <v>0</v>
      </c>
      <c r="BO256" s="34">
        <f t="shared" ca="1" si="265"/>
        <v>0</v>
      </c>
      <c r="BP256" s="34">
        <f t="shared" ca="1" si="265"/>
        <v>0</v>
      </c>
      <c r="BQ256" s="34">
        <f t="shared" ca="1" si="265"/>
        <v>0</v>
      </c>
      <c r="BR256" s="34">
        <f t="shared" ca="1" si="260"/>
        <v>0</v>
      </c>
      <c r="BS256" s="34">
        <f t="shared" ca="1" si="260"/>
        <v>0</v>
      </c>
      <c r="BT256" s="34">
        <f t="shared" ca="1" si="260"/>
        <v>0</v>
      </c>
      <c r="BU256" s="34">
        <f t="shared" ca="1" si="260"/>
        <v>0</v>
      </c>
      <c r="BV256" s="34">
        <f t="shared" ca="1" si="260"/>
        <v>0</v>
      </c>
      <c r="BW256" s="34">
        <f t="shared" ca="1" si="260"/>
        <v>0</v>
      </c>
      <c r="BX256" s="34">
        <f t="shared" ca="1" si="260"/>
        <v>6522.5621590155415</v>
      </c>
      <c r="BY256" s="34">
        <f t="shared" ca="1" si="260"/>
        <v>16496.488078315044</v>
      </c>
      <c r="BZ256" s="34">
        <f t="shared" ca="1" si="260"/>
        <v>19346.697935253127</v>
      </c>
      <c r="CA256" s="34">
        <f t="shared" ca="1" si="260"/>
        <v>23928.883578439847</v>
      </c>
      <c r="CB256" s="34">
        <f t="shared" ca="1" si="260"/>
        <v>33026.569435919366</v>
      </c>
      <c r="CC256" s="34">
        <f t="shared" ca="1" si="260"/>
        <v>0</v>
      </c>
      <c r="CD256" s="34">
        <f t="shared" ca="1" si="260"/>
        <v>0</v>
      </c>
      <c r="CE256" s="34">
        <f t="shared" ca="1" si="260"/>
        <v>0</v>
      </c>
      <c r="CF256" s="34">
        <f t="shared" ca="1" si="260"/>
        <v>0</v>
      </c>
      <c r="CG256" s="34">
        <f t="shared" ca="1" si="260"/>
        <v>0</v>
      </c>
      <c r="CH256" s="34">
        <f t="shared" ca="1" si="261"/>
        <v>0</v>
      </c>
      <c r="CI256" s="34">
        <f t="shared" ca="1" si="261"/>
        <v>0</v>
      </c>
      <c r="CJ256" s="34">
        <f t="shared" ca="1" si="261"/>
        <v>0</v>
      </c>
      <c r="CK256" s="34">
        <f t="shared" ca="1" si="261"/>
        <v>0</v>
      </c>
      <c r="CL256" s="34">
        <f t="shared" ca="1" si="261"/>
        <v>0</v>
      </c>
      <c r="CM256" s="34">
        <f t="shared" ca="1" si="261"/>
        <v>0</v>
      </c>
      <c r="CN256" s="34">
        <f t="shared" ca="1" si="261"/>
        <v>0</v>
      </c>
      <c r="CO256" s="34">
        <f t="shared" ca="1" si="261"/>
        <v>0</v>
      </c>
      <c r="CP256" s="34">
        <f t="shared" ca="1" si="261"/>
        <v>0</v>
      </c>
      <c r="CQ256" s="34">
        <f t="shared" ca="1" si="241"/>
        <v>99321.201186942926</v>
      </c>
      <c r="CR256" s="363">
        <v>0</v>
      </c>
      <c r="CS256" s="34">
        <f t="shared" ca="1" si="242"/>
        <v>99321.201186942926</v>
      </c>
      <c r="CT256" s="233"/>
    </row>
    <row r="257" spans="2:98" x14ac:dyDescent="0.3">
      <c r="B257" s="232"/>
      <c r="C257" s="250">
        <f t="shared" si="243"/>
        <v>2041</v>
      </c>
      <c r="D257" s="263">
        <f t="shared" ca="1" si="221"/>
        <v>7709.5169285790362</v>
      </c>
      <c r="E257" s="263">
        <f t="shared" ca="1" si="207"/>
        <v>50.994193783464446</v>
      </c>
      <c r="F257" s="263">
        <f t="shared" ca="1" si="208"/>
        <v>0</v>
      </c>
      <c r="G257" s="263">
        <f t="shared" ca="1" si="222"/>
        <v>8015.4820912798232</v>
      </c>
      <c r="H257" s="15"/>
      <c r="I257" s="271">
        <f ca="1">Assumptions!O$68</f>
        <v>4.5</v>
      </c>
      <c r="J257" s="271">
        <f ca="1">Assumptions!P$68</f>
        <v>80</v>
      </c>
      <c r="K257" s="271">
        <f t="shared" ca="1" si="209"/>
        <v>40</v>
      </c>
      <c r="L257" s="15"/>
      <c r="M257" s="35">
        <f t="shared" ca="1" si="223"/>
        <v>4.2299999999999995</v>
      </c>
      <c r="N257" s="35">
        <f t="shared" ca="1" si="210"/>
        <v>74.400000000000006</v>
      </c>
      <c r="O257" s="35">
        <f t="shared" ca="1" si="211"/>
        <v>37.200000000000003</v>
      </c>
      <c r="P257" s="15"/>
      <c r="Q257" s="34">
        <f t="shared" ca="1" si="224"/>
        <v>32611.256607889318</v>
      </c>
      <c r="R257" s="34">
        <f t="shared" ca="1" si="225"/>
        <v>3793.9680174897553</v>
      </c>
      <c r="S257" s="34">
        <f t="shared" ca="1" si="226"/>
        <v>0</v>
      </c>
      <c r="T257" s="34">
        <f t="shared" ca="1" si="227"/>
        <v>36405.224625379073</v>
      </c>
      <c r="U257" s="15"/>
      <c r="V257" s="35">
        <f t="shared" si="228"/>
        <v>0.31</v>
      </c>
      <c r="W257" s="34">
        <f t="shared" ca="1" si="229"/>
        <v>2484.7994482967451</v>
      </c>
      <c r="X257" s="35">
        <f t="shared" si="230"/>
        <v>0.37</v>
      </c>
      <c r="Y257" s="34">
        <f t="shared" ca="1" si="231"/>
        <v>2965.7283737735347</v>
      </c>
      <c r="Z257" s="35">
        <f t="shared" si="232"/>
        <v>0.57999999999999996</v>
      </c>
      <c r="AA257" s="34">
        <f t="shared" ca="1" si="233"/>
        <v>4648.9796129422975</v>
      </c>
      <c r="AB257" s="34">
        <f t="shared" ca="1" si="234"/>
        <v>10099.507435012578</v>
      </c>
      <c r="AC257" s="15"/>
      <c r="AD257" s="34">
        <f t="shared" ca="1" si="235"/>
        <v>26305.717190366493</v>
      </c>
      <c r="AE257" s="34">
        <f ca="1"/>
        <v>0</v>
      </c>
      <c r="AF257" s="34">
        <f t="shared" ca="1" si="236"/>
        <v>26305.717190366493</v>
      </c>
      <c r="AG257" s="15"/>
      <c r="AH257" s="272">
        <f t="shared" si="244"/>
        <v>51866</v>
      </c>
      <c r="AI257" s="267">
        <f t="shared" si="212"/>
        <v>27.666666666666668</v>
      </c>
      <c r="AJ257" s="267">
        <f t="shared" si="213"/>
        <v>7.1581760822224116E-2</v>
      </c>
      <c r="AK257" s="34">
        <f t="shared" ca="1" si="245"/>
        <v>1883.0095561778837</v>
      </c>
      <c r="AL257" s="233"/>
      <c r="AN257" s="232"/>
      <c r="AO257" s="237">
        <f t="shared" si="263"/>
        <v>28</v>
      </c>
      <c r="AP257" s="34">
        <f t="shared" ref="AP257:AS257" ca="1" si="276">+AP207</f>
        <v>84.248424672272805</v>
      </c>
      <c r="AQ257" s="34">
        <f t="shared" ca="1" si="276"/>
        <v>0.55725676893757448</v>
      </c>
      <c r="AR257" s="34">
        <f t="shared" ca="1" si="276"/>
        <v>0</v>
      </c>
      <c r="AS257" s="34">
        <f t="shared" ca="1" si="276"/>
        <v>87.591965285898254</v>
      </c>
      <c r="AT257" s="15"/>
      <c r="AW257" s="34">
        <f t="shared" ca="1" si="239"/>
        <v>84.248424672272805</v>
      </c>
      <c r="AX257" s="34">
        <f t="shared" ca="1" si="215"/>
        <v>0.55725676893757448</v>
      </c>
      <c r="AY257" s="34">
        <f t="shared" ca="1" si="216"/>
        <v>0</v>
      </c>
      <c r="AZ257" s="34">
        <f t="shared" ca="1" si="217"/>
        <v>87.591965285898254</v>
      </c>
      <c r="BB257" s="34">
        <f t="shared" ca="1" si="265"/>
        <v>0</v>
      </c>
      <c r="BC257" s="34">
        <f t="shared" ca="1" si="265"/>
        <v>0</v>
      </c>
      <c r="BD257" s="34">
        <f t="shared" ca="1" si="265"/>
        <v>0</v>
      </c>
      <c r="BE257" s="34">
        <f t="shared" ca="1" si="265"/>
        <v>0</v>
      </c>
      <c r="BF257" s="34">
        <f t="shared" ca="1" si="265"/>
        <v>0</v>
      </c>
      <c r="BG257" s="34">
        <f t="shared" ca="1" si="265"/>
        <v>0</v>
      </c>
      <c r="BH257" s="34">
        <f t="shared" ca="1" si="265"/>
        <v>0</v>
      </c>
      <c r="BI257" s="34">
        <f t="shared" ca="1" si="265"/>
        <v>0</v>
      </c>
      <c r="BJ257" s="34">
        <f t="shared" ca="1" si="265"/>
        <v>0</v>
      </c>
      <c r="BK257" s="34">
        <f t="shared" ca="1" si="265"/>
        <v>0</v>
      </c>
      <c r="BL257" s="34">
        <f t="shared" ca="1" si="265"/>
        <v>0</v>
      </c>
      <c r="BM257" s="34">
        <f t="shared" ca="1" si="265"/>
        <v>0</v>
      </c>
      <c r="BN257" s="34">
        <f t="shared" ca="1" si="265"/>
        <v>0</v>
      </c>
      <c r="BO257" s="34">
        <f t="shared" ca="1" si="265"/>
        <v>0</v>
      </c>
      <c r="BP257" s="34">
        <f t="shared" ca="1" si="265"/>
        <v>0</v>
      </c>
      <c r="BQ257" s="34">
        <f t="shared" ca="1" si="265"/>
        <v>0</v>
      </c>
      <c r="BR257" s="34">
        <f t="shared" ca="1" si="260"/>
        <v>0</v>
      </c>
      <c r="BS257" s="34">
        <f t="shared" ca="1" si="260"/>
        <v>0</v>
      </c>
      <c r="BT257" s="34">
        <f t="shared" ca="1" si="260"/>
        <v>0</v>
      </c>
      <c r="BU257" s="34">
        <f t="shared" ca="1" si="260"/>
        <v>0</v>
      </c>
      <c r="BV257" s="34">
        <f t="shared" ca="1" si="260"/>
        <v>0</v>
      </c>
      <c r="BW257" s="34">
        <f t="shared" ca="1" si="260"/>
        <v>0</v>
      </c>
      <c r="BX257" s="34">
        <f t="shared" ca="1" si="260"/>
        <v>5863.3761922339891</v>
      </c>
      <c r="BY257" s="34">
        <f t="shared" ca="1" si="260"/>
        <v>14519.375128556216</v>
      </c>
      <c r="BZ257" s="34">
        <f t="shared" ca="1" si="260"/>
        <v>16496.488078315044</v>
      </c>
      <c r="CA257" s="34">
        <f t="shared" ca="1" si="260"/>
        <v>19346.697935253127</v>
      </c>
      <c r="CB257" s="34">
        <f t="shared" ca="1" si="260"/>
        <v>23928.883578439847</v>
      </c>
      <c r="CC257" s="34">
        <f t="shared" ca="1" si="260"/>
        <v>0</v>
      </c>
      <c r="CD257" s="34">
        <f t="shared" ca="1" si="260"/>
        <v>0</v>
      </c>
      <c r="CE257" s="34">
        <f t="shared" ca="1" si="260"/>
        <v>0</v>
      </c>
      <c r="CF257" s="34">
        <f t="shared" ca="1" si="260"/>
        <v>0</v>
      </c>
      <c r="CG257" s="34">
        <f t="shared" ca="1" si="260"/>
        <v>0</v>
      </c>
      <c r="CH257" s="34">
        <f t="shared" ca="1" si="261"/>
        <v>0</v>
      </c>
      <c r="CI257" s="34">
        <f t="shared" ca="1" si="261"/>
        <v>0</v>
      </c>
      <c r="CJ257" s="34">
        <f t="shared" ca="1" si="261"/>
        <v>0</v>
      </c>
      <c r="CK257" s="34">
        <f t="shared" ca="1" si="261"/>
        <v>0</v>
      </c>
      <c r="CL257" s="34">
        <f t="shared" ca="1" si="261"/>
        <v>0</v>
      </c>
      <c r="CM257" s="34">
        <f t="shared" ca="1" si="261"/>
        <v>0</v>
      </c>
      <c r="CN257" s="34">
        <f t="shared" ca="1" si="261"/>
        <v>0</v>
      </c>
      <c r="CO257" s="34">
        <f t="shared" ca="1" si="261"/>
        <v>0</v>
      </c>
      <c r="CP257" s="34">
        <f t="shared" ca="1" si="261"/>
        <v>0</v>
      </c>
      <c r="CQ257" s="34">
        <f t="shared" ca="1" si="241"/>
        <v>80154.820912798226</v>
      </c>
      <c r="CR257" s="363">
        <v>0</v>
      </c>
      <c r="CS257" s="34">
        <f t="shared" ca="1" si="242"/>
        <v>80154.820912798226</v>
      </c>
      <c r="CT257" s="233"/>
    </row>
    <row r="258" spans="2:98" x14ac:dyDescent="0.3">
      <c r="B258" s="232"/>
      <c r="C258" s="250">
        <f t="shared" si="243"/>
        <v>2042</v>
      </c>
      <c r="D258" s="263">
        <f t="shared" ca="1" si="221"/>
        <v>6614.0662112251048</v>
      </c>
      <c r="E258" s="263">
        <f t="shared" ca="1" si="207"/>
        <v>43.748392693917118</v>
      </c>
      <c r="F258" s="263">
        <f t="shared" ca="1" si="208"/>
        <v>0</v>
      </c>
      <c r="G258" s="263">
        <f t="shared" ca="1" si="222"/>
        <v>6876.5565673886076</v>
      </c>
      <c r="H258" s="15"/>
      <c r="I258" s="271">
        <f ca="1">Assumptions!O$68</f>
        <v>4.5</v>
      </c>
      <c r="J258" s="271">
        <f ca="1">Assumptions!P$68</f>
        <v>80</v>
      </c>
      <c r="K258" s="271">
        <f t="shared" ca="1" si="209"/>
        <v>40</v>
      </c>
      <c r="L258" s="15"/>
      <c r="M258" s="35">
        <f t="shared" ca="1" si="223"/>
        <v>4.2299999999999995</v>
      </c>
      <c r="N258" s="35">
        <f t="shared" ca="1" si="210"/>
        <v>74.400000000000006</v>
      </c>
      <c r="O258" s="35">
        <f t="shared" ca="1" si="211"/>
        <v>37.200000000000003</v>
      </c>
      <c r="P258" s="15"/>
      <c r="Q258" s="34">
        <f t="shared" ca="1" si="224"/>
        <v>27977.500073482192</v>
      </c>
      <c r="R258" s="34">
        <f t="shared" ca="1" si="225"/>
        <v>3254.8804164274338</v>
      </c>
      <c r="S258" s="34">
        <f t="shared" ca="1" si="226"/>
        <v>0</v>
      </c>
      <c r="T258" s="34">
        <f t="shared" ca="1" si="227"/>
        <v>31232.380489909625</v>
      </c>
      <c r="U258" s="15"/>
      <c r="V258" s="35">
        <f t="shared" si="228"/>
        <v>0.31</v>
      </c>
      <c r="W258" s="34">
        <f t="shared" ca="1" si="229"/>
        <v>2131.7325358904682</v>
      </c>
      <c r="X258" s="35">
        <f t="shared" si="230"/>
        <v>0.37</v>
      </c>
      <c r="Y258" s="34">
        <f t="shared" ca="1" si="231"/>
        <v>2544.3259299337847</v>
      </c>
      <c r="Z258" s="35">
        <f t="shared" si="232"/>
        <v>0.57999999999999996</v>
      </c>
      <c r="AA258" s="34">
        <f t="shared" ca="1" si="233"/>
        <v>3988.4028090853922</v>
      </c>
      <c r="AB258" s="34">
        <f t="shared" ca="1" si="234"/>
        <v>8664.461274909645</v>
      </c>
      <c r="AC258" s="15"/>
      <c r="AD258" s="34">
        <f t="shared" ca="1" si="235"/>
        <v>22567.91921499998</v>
      </c>
      <c r="AE258" s="34">
        <f ca="1"/>
        <v>0</v>
      </c>
      <c r="AF258" s="34">
        <f t="shared" ca="1" si="236"/>
        <v>22567.91921499998</v>
      </c>
      <c r="AG258" s="15"/>
      <c r="AH258" s="272">
        <f t="shared" si="244"/>
        <v>52231</v>
      </c>
      <c r="AI258" s="267">
        <f t="shared" si="212"/>
        <v>28.666666666666668</v>
      </c>
      <c r="AJ258" s="267">
        <f t="shared" si="213"/>
        <v>6.5074328020203728E-2</v>
      </c>
      <c r="AK258" s="34">
        <f t="shared" ca="1" si="245"/>
        <v>1468.5921777303672</v>
      </c>
      <c r="AL258" s="233"/>
      <c r="AN258" s="232"/>
      <c r="AO258" s="237">
        <f t="shared" si="263"/>
        <v>29</v>
      </c>
      <c r="AP258" s="34">
        <f t="shared" ref="AP258:AS258" ca="1" si="277">+AP208</f>
        <v>80.969778849266106</v>
      </c>
      <c r="AQ258" s="34">
        <f t="shared" ca="1" si="277"/>
        <v>0.53557033877669458</v>
      </c>
      <c r="AR258" s="34">
        <f t="shared" ca="1" si="277"/>
        <v>0</v>
      </c>
      <c r="AS258" s="34">
        <f t="shared" ca="1" si="277"/>
        <v>84.183200881926268</v>
      </c>
      <c r="AT258" s="15"/>
      <c r="AW258" s="34">
        <f t="shared" ca="1" si="239"/>
        <v>80.969778849266106</v>
      </c>
      <c r="AX258" s="34">
        <f t="shared" ca="1" si="215"/>
        <v>0.53557033877669458</v>
      </c>
      <c r="AY258" s="34">
        <f t="shared" ca="1" si="216"/>
        <v>0</v>
      </c>
      <c r="AZ258" s="34">
        <f t="shared" ca="1" si="217"/>
        <v>84.183200881926268</v>
      </c>
      <c r="BB258" s="34">
        <f t="shared" ca="1" si="265"/>
        <v>0</v>
      </c>
      <c r="BC258" s="34">
        <f t="shared" ca="1" si="265"/>
        <v>0</v>
      </c>
      <c r="BD258" s="34">
        <f t="shared" ca="1" si="265"/>
        <v>0</v>
      </c>
      <c r="BE258" s="34">
        <f t="shared" ca="1" si="265"/>
        <v>0</v>
      </c>
      <c r="BF258" s="34">
        <f t="shared" ca="1" si="265"/>
        <v>0</v>
      </c>
      <c r="BG258" s="34">
        <f t="shared" ca="1" si="265"/>
        <v>0</v>
      </c>
      <c r="BH258" s="34">
        <f t="shared" ca="1" si="265"/>
        <v>0</v>
      </c>
      <c r="BI258" s="34">
        <f t="shared" ca="1" si="265"/>
        <v>0</v>
      </c>
      <c r="BJ258" s="34">
        <f t="shared" ca="1" si="265"/>
        <v>0</v>
      </c>
      <c r="BK258" s="34">
        <f t="shared" ca="1" si="265"/>
        <v>0</v>
      </c>
      <c r="BL258" s="34">
        <f t="shared" ca="1" si="265"/>
        <v>0</v>
      </c>
      <c r="BM258" s="34">
        <f t="shared" ca="1" si="265"/>
        <v>0</v>
      </c>
      <c r="BN258" s="34">
        <f t="shared" ca="1" si="265"/>
        <v>0</v>
      </c>
      <c r="BO258" s="34">
        <f t="shared" ca="1" si="265"/>
        <v>0</v>
      </c>
      <c r="BP258" s="34">
        <f t="shared" ca="1" si="265"/>
        <v>0</v>
      </c>
      <c r="BQ258" s="34">
        <f t="shared" ca="1" si="265"/>
        <v>0</v>
      </c>
      <c r="BR258" s="34">
        <f t="shared" ca="1" si="260"/>
        <v>0</v>
      </c>
      <c r="BS258" s="34">
        <f t="shared" ca="1" si="260"/>
        <v>0</v>
      </c>
      <c r="BT258" s="34">
        <f t="shared" ca="1" si="260"/>
        <v>0</v>
      </c>
      <c r="BU258" s="34">
        <f t="shared" ca="1" si="260"/>
        <v>0</v>
      </c>
      <c r="BV258" s="34">
        <f t="shared" ca="1" si="260"/>
        <v>0</v>
      </c>
      <c r="BW258" s="34">
        <f t="shared" ca="1" si="260"/>
        <v>0</v>
      </c>
      <c r="BX258" s="34">
        <f t="shared" ca="1" si="260"/>
        <v>5350.9927027567355</v>
      </c>
      <c r="BY258" s="34">
        <f t="shared" ca="1" si="260"/>
        <v>13052.011829004938</v>
      </c>
      <c r="BZ258" s="34">
        <f t="shared" ca="1" si="260"/>
        <v>14519.375128556216</v>
      </c>
      <c r="CA258" s="34">
        <f t="shared" ca="1" si="260"/>
        <v>16496.488078315044</v>
      </c>
      <c r="CB258" s="34">
        <f t="shared" ca="1" si="260"/>
        <v>19346.697935253127</v>
      </c>
      <c r="CC258" s="34">
        <f t="shared" ca="1" si="260"/>
        <v>0</v>
      </c>
      <c r="CD258" s="34">
        <f t="shared" ca="1" si="260"/>
        <v>0</v>
      </c>
      <c r="CE258" s="34">
        <f t="shared" ca="1" si="260"/>
        <v>0</v>
      </c>
      <c r="CF258" s="34">
        <f t="shared" ca="1" si="260"/>
        <v>0</v>
      </c>
      <c r="CG258" s="34">
        <f t="shared" ca="1" si="260"/>
        <v>0</v>
      </c>
      <c r="CH258" s="34">
        <f t="shared" ca="1" si="261"/>
        <v>0</v>
      </c>
      <c r="CI258" s="34">
        <f t="shared" ca="1" si="261"/>
        <v>0</v>
      </c>
      <c r="CJ258" s="34">
        <f t="shared" ca="1" si="261"/>
        <v>0</v>
      </c>
      <c r="CK258" s="34">
        <f t="shared" ca="1" si="261"/>
        <v>0</v>
      </c>
      <c r="CL258" s="34">
        <f t="shared" ca="1" si="261"/>
        <v>0</v>
      </c>
      <c r="CM258" s="34">
        <f t="shared" ca="1" si="261"/>
        <v>0</v>
      </c>
      <c r="CN258" s="34">
        <f t="shared" ca="1" si="261"/>
        <v>0</v>
      </c>
      <c r="CO258" s="34">
        <f t="shared" ca="1" si="261"/>
        <v>0</v>
      </c>
      <c r="CP258" s="34">
        <f t="shared" ca="1" si="261"/>
        <v>0</v>
      </c>
      <c r="CQ258" s="34">
        <f t="shared" ca="1" si="241"/>
        <v>68765.565673886071</v>
      </c>
      <c r="CR258" s="363">
        <v>0</v>
      </c>
      <c r="CS258" s="34">
        <f t="shared" ca="1" si="242"/>
        <v>68765.565673886071</v>
      </c>
      <c r="CT258" s="233"/>
    </row>
    <row r="259" spans="2:98" x14ac:dyDescent="0.3">
      <c r="B259" s="232"/>
      <c r="C259" s="250">
        <f t="shared" si="243"/>
        <v>2043</v>
      </c>
      <c r="D259" s="263">
        <f t="shared" ca="1" si="221"/>
        <v>5859.3011757734221</v>
      </c>
      <c r="E259" s="263">
        <f t="shared" ca="1" si="207"/>
        <v>38.756039108684057</v>
      </c>
      <c r="F259" s="263">
        <f t="shared" ca="1" si="208"/>
        <v>0</v>
      </c>
      <c r="G259" s="263">
        <f t="shared" ca="1" si="222"/>
        <v>6091.8374104255263</v>
      </c>
      <c r="H259" s="15"/>
      <c r="I259" s="271">
        <f ca="1">Assumptions!O$68</f>
        <v>4.5</v>
      </c>
      <c r="J259" s="271">
        <f ca="1">Assumptions!P$68</f>
        <v>80</v>
      </c>
      <c r="K259" s="271">
        <f t="shared" ca="1" si="209"/>
        <v>40</v>
      </c>
      <c r="L259" s="15"/>
      <c r="M259" s="35">
        <f t="shared" ca="1" si="223"/>
        <v>4.2299999999999995</v>
      </c>
      <c r="N259" s="35">
        <f t="shared" ca="1" si="210"/>
        <v>74.400000000000006</v>
      </c>
      <c r="O259" s="35">
        <f t="shared" ca="1" si="211"/>
        <v>37.200000000000003</v>
      </c>
      <c r="P259" s="15"/>
      <c r="Q259" s="34">
        <f t="shared" ca="1" si="224"/>
        <v>24784.843973521572</v>
      </c>
      <c r="R259" s="34">
        <f t="shared" ca="1" si="225"/>
        <v>2883.4493096860942</v>
      </c>
      <c r="S259" s="34">
        <f t="shared" ca="1" si="226"/>
        <v>0</v>
      </c>
      <c r="T259" s="34">
        <f t="shared" ca="1" si="227"/>
        <v>27668.293283207666</v>
      </c>
      <c r="U259" s="15"/>
      <c r="V259" s="35">
        <f t="shared" si="228"/>
        <v>0.31</v>
      </c>
      <c r="W259" s="34">
        <f t="shared" ca="1" si="229"/>
        <v>1888.4695972319132</v>
      </c>
      <c r="X259" s="35">
        <f t="shared" si="230"/>
        <v>0.37</v>
      </c>
      <c r="Y259" s="34">
        <f t="shared" ca="1" si="231"/>
        <v>2253.9798418574446</v>
      </c>
      <c r="Z259" s="35">
        <f t="shared" si="232"/>
        <v>0.57999999999999996</v>
      </c>
      <c r="AA259" s="34">
        <f t="shared" ca="1" si="233"/>
        <v>3533.265698046805</v>
      </c>
      <c r="AB259" s="34">
        <f t="shared" ca="1" si="234"/>
        <v>7675.7151371361633</v>
      </c>
      <c r="AC259" s="15"/>
      <c r="AD259" s="34">
        <f t="shared" ca="1" si="235"/>
        <v>19992.578146071501</v>
      </c>
      <c r="AE259" s="34">
        <f ca="1"/>
        <v>0</v>
      </c>
      <c r="AF259" s="34">
        <f t="shared" ca="1" si="236"/>
        <v>19992.578146071501</v>
      </c>
      <c r="AG259" s="15"/>
      <c r="AH259" s="272">
        <f t="shared" si="244"/>
        <v>52596</v>
      </c>
      <c r="AI259" s="267">
        <f t="shared" si="212"/>
        <v>29.666666666666668</v>
      </c>
      <c r="AJ259" s="267">
        <f t="shared" si="213"/>
        <v>5.915848001836703E-2</v>
      </c>
      <c r="AK259" s="34">
        <f t="shared" ca="1" si="245"/>
        <v>1182.7305347700121</v>
      </c>
      <c r="AL259" s="233"/>
      <c r="AN259" s="232"/>
      <c r="AO259" s="237">
        <f t="shared" si="263"/>
        <v>30</v>
      </c>
      <c r="AP259" s="34">
        <f t="shared" ref="AP259:AS259" ca="1" si="278">+AP209</f>
        <v>77.818717129063771</v>
      </c>
      <c r="AQ259" s="34">
        <f t="shared" ca="1" si="278"/>
        <v>0.51472780694593945</v>
      </c>
      <c r="AR259" s="34">
        <f t="shared" ca="1" si="278"/>
        <v>0</v>
      </c>
      <c r="AS259" s="34">
        <f t="shared" ca="1" si="278"/>
        <v>80.907083970739407</v>
      </c>
      <c r="AT259" s="15"/>
      <c r="AW259" s="34">
        <f t="shared" ca="1" si="239"/>
        <v>77.818717129063771</v>
      </c>
      <c r="AX259" s="34">
        <f t="shared" ca="1" si="215"/>
        <v>0.51472780694593945</v>
      </c>
      <c r="AY259" s="34">
        <f t="shared" ca="1" si="216"/>
        <v>0</v>
      </c>
      <c r="AZ259" s="34">
        <f t="shared" ca="1" si="217"/>
        <v>80.907083970739407</v>
      </c>
      <c r="BB259" s="34">
        <f t="shared" ca="1" si="265"/>
        <v>0</v>
      </c>
      <c r="BC259" s="34">
        <f t="shared" ca="1" si="265"/>
        <v>0</v>
      </c>
      <c r="BD259" s="34">
        <f t="shared" ca="1" si="265"/>
        <v>0</v>
      </c>
      <c r="BE259" s="34">
        <f t="shared" ca="1" si="265"/>
        <v>0</v>
      </c>
      <c r="BF259" s="34">
        <f t="shared" ca="1" si="265"/>
        <v>0</v>
      </c>
      <c r="BG259" s="34">
        <f t="shared" ca="1" si="265"/>
        <v>0</v>
      </c>
      <c r="BH259" s="34">
        <f t="shared" ca="1" si="265"/>
        <v>0</v>
      </c>
      <c r="BI259" s="34">
        <f t="shared" ca="1" si="265"/>
        <v>0</v>
      </c>
      <c r="BJ259" s="34">
        <f t="shared" ca="1" si="265"/>
        <v>0</v>
      </c>
      <c r="BK259" s="34">
        <f t="shared" ca="1" si="265"/>
        <v>0</v>
      </c>
      <c r="BL259" s="34">
        <f t="shared" ca="1" si="265"/>
        <v>0</v>
      </c>
      <c r="BM259" s="34">
        <f t="shared" ca="1" si="265"/>
        <v>0</v>
      </c>
      <c r="BN259" s="34">
        <f t="shared" ca="1" si="265"/>
        <v>0</v>
      </c>
      <c r="BO259" s="34">
        <f t="shared" ca="1" si="265"/>
        <v>0</v>
      </c>
      <c r="BP259" s="34">
        <f t="shared" ca="1" si="265"/>
        <v>0</v>
      </c>
      <c r="BQ259" s="34">
        <f t="shared" ca="1" si="265"/>
        <v>0</v>
      </c>
      <c r="BR259" s="34">
        <f t="shared" ca="1" si="260"/>
        <v>0</v>
      </c>
      <c r="BS259" s="34">
        <f t="shared" ca="1" si="260"/>
        <v>0</v>
      </c>
      <c r="BT259" s="34">
        <f t="shared" ca="1" si="260"/>
        <v>0</v>
      </c>
      <c r="BU259" s="34">
        <f t="shared" ca="1" si="260"/>
        <v>0</v>
      </c>
      <c r="BV259" s="34">
        <f t="shared" ca="1" si="260"/>
        <v>0</v>
      </c>
      <c r="BW259" s="34">
        <f t="shared" ca="1" si="260"/>
        <v>0</v>
      </c>
      <c r="BX259" s="34">
        <f t="shared" ca="1" si="260"/>
        <v>4939.0648087447671</v>
      </c>
      <c r="BY259" s="34">
        <f t="shared" ca="1" si="260"/>
        <v>11911.434259634292</v>
      </c>
      <c r="BZ259" s="34">
        <f t="shared" ca="1" si="260"/>
        <v>13052.011829004938</v>
      </c>
      <c r="CA259" s="34">
        <f t="shared" ca="1" si="260"/>
        <v>14519.375128556216</v>
      </c>
      <c r="CB259" s="34">
        <f t="shared" ca="1" si="260"/>
        <v>16496.488078315044</v>
      </c>
      <c r="CC259" s="34">
        <f t="shared" ca="1" si="260"/>
        <v>0</v>
      </c>
      <c r="CD259" s="34">
        <f t="shared" ca="1" si="260"/>
        <v>0</v>
      </c>
      <c r="CE259" s="34">
        <f t="shared" ca="1" si="260"/>
        <v>0</v>
      </c>
      <c r="CF259" s="34">
        <f t="shared" ca="1" si="260"/>
        <v>0</v>
      </c>
      <c r="CG259" s="34">
        <f t="shared" ca="1" si="260"/>
        <v>0</v>
      </c>
      <c r="CH259" s="34">
        <f t="shared" ca="1" si="261"/>
        <v>0</v>
      </c>
      <c r="CI259" s="34">
        <f t="shared" ca="1" si="261"/>
        <v>0</v>
      </c>
      <c r="CJ259" s="34">
        <f t="shared" ca="1" si="261"/>
        <v>0</v>
      </c>
      <c r="CK259" s="34">
        <f t="shared" ca="1" si="261"/>
        <v>0</v>
      </c>
      <c r="CL259" s="34">
        <f t="shared" ca="1" si="261"/>
        <v>0</v>
      </c>
      <c r="CM259" s="34">
        <f t="shared" ca="1" si="261"/>
        <v>0</v>
      </c>
      <c r="CN259" s="34">
        <f t="shared" ca="1" si="261"/>
        <v>0</v>
      </c>
      <c r="CO259" s="34">
        <f t="shared" ca="1" si="261"/>
        <v>0</v>
      </c>
      <c r="CP259" s="34">
        <f t="shared" ca="1" si="261"/>
        <v>0</v>
      </c>
      <c r="CQ259" s="34">
        <f t="shared" ca="1" si="241"/>
        <v>60918.374104255257</v>
      </c>
      <c r="CR259" s="363">
        <v>0</v>
      </c>
      <c r="CS259" s="34">
        <f t="shared" ca="1" si="242"/>
        <v>60918.374104255257</v>
      </c>
      <c r="CT259" s="233"/>
    </row>
    <row r="260" spans="2:98" x14ac:dyDescent="0.3">
      <c r="B260" s="232"/>
      <c r="C260" s="250">
        <f t="shared" si="243"/>
        <v>2044</v>
      </c>
      <c r="D260" s="263">
        <f t="shared" ca="1" si="221"/>
        <v>5297.420229021307</v>
      </c>
      <c r="E260" s="263">
        <f t="shared" ca="1" si="207"/>
        <v>35.039507171942482</v>
      </c>
      <c r="F260" s="263">
        <f t="shared" ca="1" si="208"/>
        <v>0</v>
      </c>
      <c r="G260" s="263">
        <f t="shared" ca="1" si="222"/>
        <v>5507.6572720529621</v>
      </c>
      <c r="H260" s="15"/>
      <c r="I260" s="271">
        <f ca="1">Assumptions!O$68</f>
        <v>4.5</v>
      </c>
      <c r="J260" s="271">
        <f ca="1">Assumptions!P$68</f>
        <v>80</v>
      </c>
      <c r="K260" s="271">
        <f t="shared" ca="1" si="209"/>
        <v>40</v>
      </c>
      <c r="L260" s="15"/>
      <c r="M260" s="35">
        <f t="shared" ca="1" si="223"/>
        <v>4.2299999999999995</v>
      </c>
      <c r="N260" s="35">
        <f t="shared" ca="1" si="210"/>
        <v>74.400000000000006</v>
      </c>
      <c r="O260" s="35">
        <f t="shared" ca="1" si="211"/>
        <v>37.200000000000003</v>
      </c>
      <c r="P260" s="15"/>
      <c r="Q260" s="34">
        <f t="shared" ca="1" si="224"/>
        <v>22408.087568760126</v>
      </c>
      <c r="R260" s="34">
        <f t="shared" ca="1" si="225"/>
        <v>2606.9393335925211</v>
      </c>
      <c r="S260" s="34">
        <f t="shared" ca="1" si="226"/>
        <v>0</v>
      </c>
      <c r="T260" s="34">
        <f t="shared" ca="1" si="227"/>
        <v>25015.026902352645</v>
      </c>
      <c r="U260" s="15"/>
      <c r="V260" s="35">
        <f t="shared" si="228"/>
        <v>0.31</v>
      </c>
      <c r="W260" s="34">
        <f t="shared" ca="1" si="229"/>
        <v>1707.3737543364182</v>
      </c>
      <c r="X260" s="35">
        <f t="shared" si="230"/>
        <v>0.37</v>
      </c>
      <c r="Y260" s="34">
        <f t="shared" ca="1" si="231"/>
        <v>2037.8331906595959</v>
      </c>
      <c r="Z260" s="35">
        <f t="shared" si="232"/>
        <v>0.57999999999999996</v>
      </c>
      <c r="AA260" s="34">
        <f t="shared" ca="1" si="233"/>
        <v>3194.4412177907179</v>
      </c>
      <c r="AB260" s="34">
        <f t="shared" ca="1" si="234"/>
        <v>6939.6481627867324</v>
      </c>
      <c r="AC260" s="15"/>
      <c r="AD260" s="34">
        <f t="shared" ca="1" si="235"/>
        <v>18075.378739565913</v>
      </c>
      <c r="AE260" s="34">
        <f ca="1"/>
        <v>0</v>
      </c>
      <c r="AF260" s="34">
        <f t="shared" ca="1" si="236"/>
        <v>18075.378739565913</v>
      </c>
      <c r="AG260" s="15"/>
      <c r="AH260" s="272">
        <f t="shared" si="244"/>
        <v>52962</v>
      </c>
      <c r="AI260" s="267">
        <f t="shared" si="212"/>
        <v>30.666666666666668</v>
      </c>
      <c r="AJ260" s="267">
        <f t="shared" si="213"/>
        <v>5.3780436380333668E-2</v>
      </c>
      <c r="AK260" s="34">
        <f t="shared" ca="1" si="245"/>
        <v>972.10175635366033</v>
      </c>
      <c r="AL260" s="233"/>
      <c r="AN260" s="232"/>
      <c r="AO260" s="237">
        <f t="shared" si="263"/>
        <v>31</v>
      </c>
      <c r="AP260" s="34">
        <f t="shared" ref="AP260:AS260" ca="1" si="279">+AP210</f>
        <v>74.790289888059661</v>
      </c>
      <c r="AQ260" s="34">
        <f t="shared" ca="1" si="279"/>
        <v>0.49469643442058581</v>
      </c>
      <c r="AR260" s="34">
        <f t="shared" ca="1" si="279"/>
        <v>0</v>
      </c>
      <c r="AS260" s="34">
        <f t="shared" ca="1" si="279"/>
        <v>77.75846849458317</v>
      </c>
      <c r="AT260" s="15"/>
      <c r="AW260" s="34">
        <f t="shared" ca="1" si="239"/>
        <v>74.790289888059661</v>
      </c>
      <c r="AX260" s="34">
        <f t="shared" ca="1" si="215"/>
        <v>0.49469643442058581</v>
      </c>
      <c r="AY260" s="34">
        <f t="shared" ca="1" si="216"/>
        <v>0</v>
      </c>
      <c r="AZ260" s="34">
        <f t="shared" ca="1" si="217"/>
        <v>77.75846849458317</v>
      </c>
      <c r="BB260" s="34">
        <f t="shared" ca="1" si="265"/>
        <v>0</v>
      </c>
      <c r="BC260" s="34">
        <f t="shared" ca="1" si="265"/>
        <v>0</v>
      </c>
      <c r="BD260" s="34">
        <f t="shared" ca="1" si="265"/>
        <v>0</v>
      </c>
      <c r="BE260" s="34">
        <f t="shared" ca="1" si="265"/>
        <v>0</v>
      </c>
      <c r="BF260" s="34">
        <f t="shared" ca="1" si="265"/>
        <v>0</v>
      </c>
      <c r="BG260" s="34">
        <f t="shared" ca="1" si="265"/>
        <v>0</v>
      </c>
      <c r="BH260" s="34">
        <f t="shared" ca="1" si="265"/>
        <v>0</v>
      </c>
      <c r="BI260" s="34">
        <f t="shared" ca="1" si="265"/>
        <v>0</v>
      </c>
      <c r="BJ260" s="34">
        <f t="shared" ca="1" si="265"/>
        <v>0</v>
      </c>
      <c r="BK260" s="34">
        <f t="shared" ca="1" si="265"/>
        <v>0</v>
      </c>
      <c r="BL260" s="34">
        <f t="shared" ca="1" si="265"/>
        <v>0</v>
      </c>
      <c r="BM260" s="34">
        <f t="shared" ca="1" si="265"/>
        <v>0</v>
      </c>
      <c r="BN260" s="34">
        <f t="shared" ca="1" si="265"/>
        <v>0</v>
      </c>
      <c r="BO260" s="34">
        <f t="shared" ca="1" si="265"/>
        <v>0</v>
      </c>
      <c r="BP260" s="34">
        <f t="shared" ca="1" si="265"/>
        <v>0</v>
      </c>
      <c r="BQ260" s="34">
        <f t="shared" ca="1" si="265"/>
        <v>0</v>
      </c>
      <c r="BR260" s="34">
        <f t="shared" ref="BR260:CG269" ca="1" si="280">IF($AO260&lt;BR$228,0,OFFSET($AZ$228,$AO260-BR$228+1,0)*BR$226)</f>
        <v>0</v>
      </c>
      <c r="BS260" s="34">
        <f t="shared" ca="1" si="280"/>
        <v>0</v>
      </c>
      <c r="BT260" s="34">
        <f t="shared" ca="1" si="280"/>
        <v>0</v>
      </c>
      <c r="BU260" s="34">
        <f t="shared" ca="1" si="280"/>
        <v>0</v>
      </c>
      <c r="BV260" s="34">
        <f t="shared" ca="1" si="280"/>
        <v>0</v>
      </c>
      <c r="BW260" s="34">
        <f t="shared" ca="1" si="280"/>
        <v>0</v>
      </c>
      <c r="BX260" s="34">
        <f t="shared" ca="1" si="280"/>
        <v>4599.2783202315886</v>
      </c>
      <c r="BY260" s="34">
        <f t="shared" ca="1" si="280"/>
        <v>10994.473183102578</v>
      </c>
      <c r="BZ260" s="34">
        <f t="shared" ca="1" si="280"/>
        <v>11911.434259634292</v>
      </c>
      <c r="CA260" s="34">
        <f t="shared" ca="1" si="280"/>
        <v>13052.011829004938</v>
      </c>
      <c r="CB260" s="34">
        <f t="shared" ca="1" si="280"/>
        <v>14519.375128556216</v>
      </c>
      <c r="CC260" s="34">
        <f t="shared" ca="1" si="280"/>
        <v>0</v>
      </c>
      <c r="CD260" s="34">
        <f t="shared" ca="1" si="280"/>
        <v>0</v>
      </c>
      <c r="CE260" s="34">
        <f t="shared" ca="1" si="280"/>
        <v>0</v>
      </c>
      <c r="CF260" s="34">
        <f t="shared" ca="1" si="280"/>
        <v>0</v>
      </c>
      <c r="CG260" s="34">
        <f t="shared" ca="1" si="280"/>
        <v>0</v>
      </c>
      <c r="CH260" s="34">
        <f t="shared" ref="CH260:CP269" ca="1" si="281">IF($AO260&lt;CH$228,0,OFFSET($AZ$228,$AO260-CH$228+1,0)*CH$226)</f>
        <v>0</v>
      </c>
      <c r="CI260" s="34">
        <f t="shared" ca="1" si="281"/>
        <v>0</v>
      </c>
      <c r="CJ260" s="34">
        <f t="shared" ca="1" si="281"/>
        <v>0</v>
      </c>
      <c r="CK260" s="34">
        <f t="shared" ca="1" si="281"/>
        <v>0</v>
      </c>
      <c r="CL260" s="34">
        <f t="shared" ca="1" si="281"/>
        <v>0</v>
      </c>
      <c r="CM260" s="34">
        <f t="shared" ca="1" si="281"/>
        <v>0</v>
      </c>
      <c r="CN260" s="34">
        <f t="shared" ca="1" si="281"/>
        <v>0</v>
      </c>
      <c r="CO260" s="34">
        <f t="shared" ca="1" si="281"/>
        <v>0</v>
      </c>
      <c r="CP260" s="34">
        <f t="shared" ca="1" si="281"/>
        <v>0</v>
      </c>
      <c r="CQ260" s="34">
        <f t="shared" ca="1" si="241"/>
        <v>55076.572720529613</v>
      </c>
      <c r="CR260" s="363">
        <v>0</v>
      </c>
      <c r="CS260" s="34">
        <f t="shared" ca="1" si="242"/>
        <v>55076.572720529613</v>
      </c>
      <c r="CT260" s="233"/>
    </row>
    <row r="261" spans="2:98" x14ac:dyDescent="0.3">
      <c r="B261" s="232"/>
      <c r="C261" s="250">
        <f t="shared" si="243"/>
        <v>2045</v>
      </c>
      <c r="D261" s="263">
        <f t="shared" ca="1" si="221"/>
        <v>4858.125659537649</v>
      </c>
      <c r="E261" s="263">
        <f t="shared" ca="1" si="207"/>
        <v>32.133816372920897</v>
      </c>
      <c r="F261" s="263">
        <f t="shared" ca="1" si="208"/>
        <v>0</v>
      </c>
      <c r="G261" s="263">
        <f t="shared" ca="1" si="222"/>
        <v>5050.9285577751743</v>
      </c>
      <c r="H261" s="15"/>
      <c r="I261" s="271">
        <f ca="1">Assumptions!O$68</f>
        <v>4.5</v>
      </c>
      <c r="J261" s="271">
        <f ca="1">Assumptions!P$68</f>
        <v>80</v>
      </c>
      <c r="K261" s="271">
        <f t="shared" ca="1" si="209"/>
        <v>40</v>
      </c>
      <c r="L261" s="15"/>
      <c r="M261" s="35">
        <f t="shared" ca="1" si="223"/>
        <v>4.2299999999999995</v>
      </c>
      <c r="N261" s="35">
        <f t="shared" ca="1" si="210"/>
        <v>74.400000000000006</v>
      </c>
      <c r="O261" s="35">
        <f t="shared" ca="1" si="211"/>
        <v>37.200000000000003</v>
      </c>
      <c r="P261" s="15"/>
      <c r="Q261" s="34">
        <f t="shared" ca="1" si="224"/>
        <v>20549.871539844255</v>
      </c>
      <c r="R261" s="34">
        <f t="shared" ca="1" si="225"/>
        <v>2390.7559381453148</v>
      </c>
      <c r="S261" s="34">
        <f t="shared" ca="1" si="226"/>
        <v>0</v>
      </c>
      <c r="T261" s="34">
        <f t="shared" ca="1" si="227"/>
        <v>22940.627477989568</v>
      </c>
      <c r="U261" s="15"/>
      <c r="V261" s="35">
        <f t="shared" si="228"/>
        <v>0.31</v>
      </c>
      <c r="W261" s="34">
        <f t="shared" ca="1" si="229"/>
        <v>1565.7878529103041</v>
      </c>
      <c r="X261" s="35">
        <f t="shared" si="230"/>
        <v>0.37</v>
      </c>
      <c r="Y261" s="34">
        <f t="shared" ca="1" si="231"/>
        <v>1868.8435663768146</v>
      </c>
      <c r="Z261" s="35">
        <f t="shared" si="232"/>
        <v>0.57999999999999996</v>
      </c>
      <c r="AA261" s="34">
        <f t="shared" ca="1" si="233"/>
        <v>2929.5385635096009</v>
      </c>
      <c r="AB261" s="34">
        <f t="shared" ca="1" si="234"/>
        <v>6364.1699827967195</v>
      </c>
      <c r="AC261" s="15"/>
      <c r="AD261" s="34">
        <f t="shared" ca="1" si="235"/>
        <v>16576.457495192848</v>
      </c>
      <c r="AE261" s="34">
        <f ca="1"/>
        <v>0</v>
      </c>
      <c r="AF261" s="34">
        <f t="shared" ca="1" si="236"/>
        <v>16576.457495192848</v>
      </c>
      <c r="AG261" s="15"/>
      <c r="AH261" s="272">
        <f t="shared" si="244"/>
        <v>53327</v>
      </c>
      <c r="AI261" s="267">
        <f t="shared" si="212"/>
        <v>31.666666666666664</v>
      </c>
      <c r="AJ261" s="267">
        <f t="shared" si="213"/>
        <v>4.889130580030334E-2</v>
      </c>
      <c r="AK261" s="34">
        <f t="shared" ca="1" si="245"/>
        <v>810.44465248320387</v>
      </c>
      <c r="AL261" s="233"/>
      <c r="AN261" s="232"/>
      <c r="AO261" s="237">
        <f t="shared" si="263"/>
        <v>32</v>
      </c>
      <c r="AP261" s="34">
        <f t="shared" ref="AP261:AS261" ca="1" si="282">+AP211</f>
        <v>71.879725312558421</v>
      </c>
      <c r="AQ261" s="34">
        <f t="shared" ca="1" si="282"/>
        <v>0.47544465829020344</v>
      </c>
      <c r="AR261" s="34">
        <f t="shared" ca="1" si="282"/>
        <v>0</v>
      </c>
      <c r="AS261" s="34">
        <f t="shared" ca="1" si="282"/>
        <v>74.732393262299638</v>
      </c>
      <c r="AT261" s="15"/>
      <c r="AW261" s="34">
        <f t="shared" ca="1" si="239"/>
        <v>71.879725312558421</v>
      </c>
      <c r="AX261" s="34">
        <f t="shared" ca="1" si="215"/>
        <v>0.47544465829020344</v>
      </c>
      <c r="AY261" s="34">
        <f t="shared" ca="1" si="216"/>
        <v>0</v>
      </c>
      <c r="AZ261" s="34">
        <f t="shared" ca="1" si="217"/>
        <v>74.732393262299638</v>
      </c>
      <c r="BB261" s="34">
        <f t="shared" ca="1" si="265"/>
        <v>0</v>
      </c>
      <c r="BC261" s="34">
        <f t="shared" ca="1" si="265"/>
        <v>0</v>
      </c>
      <c r="BD261" s="34">
        <f t="shared" ca="1" si="265"/>
        <v>0</v>
      </c>
      <c r="BE261" s="34">
        <f t="shared" ca="1" si="265"/>
        <v>0</v>
      </c>
      <c r="BF261" s="34">
        <f t="shared" ca="1" si="265"/>
        <v>0</v>
      </c>
      <c r="BG261" s="34">
        <f t="shared" ca="1" si="265"/>
        <v>0</v>
      </c>
      <c r="BH261" s="34">
        <f t="shared" ca="1" si="265"/>
        <v>0</v>
      </c>
      <c r="BI261" s="34">
        <f t="shared" ca="1" si="265"/>
        <v>0</v>
      </c>
      <c r="BJ261" s="34">
        <f t="shared" ca="1" si="265"/>
        <v>0</v>
      </c>
      <c r="BK261" s="34">
        <f t="shared" ca="1" si="265"/>
        <v>0</v>
      </c>
      <c r="BL261" s="34">
        <f t="shared" ca="1" si="265"/>
        <v>0</v>
      </c>
      <c r="BM261" s="34">
        <f t="shared" ca="1" si="265"/>
        <v>0</v>
      </c>
      <c r="BN261" s="34">
        <f t="shared" ca="1" si="265"/>
        <v>0</v>
      </c>
      <c r="BO261" s="34">
        <f t="shared" ca="1" si="265"/>
        <v>0</v>
      </c>
      <c r="BP261" s="34">
        <f t="shared" ca="1" si="265"/>
        <v>0</v>
      </c>
      <c r="BQ261" s="34">
        <f t="shared" ref="BQ261:BQ269" ca="1" si="283">IF($AO261&lt;BQ$228,0,OFFSET($AZ$228,$AO261-BQ$228+1,0)*BQ$226)</f>
        <v>0</v>
      </c>
      <c r="BR261" s="34">
        <f t="shared" ca="1" si="280"/>
        <v>0</v>
      </c>
      <c r="BS261" s="34">
        <f t="shared" ca="1" si="280"/>
        <v>0</v>
      </c>
      <c r="BT261" s="34">
        <f t="shared" ca="1" si="280"/>
        <v>0</v>
      </c>
      <c r="BU261" s="34">
        <f t="shared" ca="1" si="280"/>
        <v>0</v>
      </c>
      <c r="BV261" s="34">
        <f t="shared" ca="1" si="280"/>
        <v>0</v>
      </c>
      <c r="BW261" s="34">
        <f t="shared" ca="1" si="280"/>
        <v>0</v>
      </c>
      <c r="BX261" s="34">
        <f t="shared" ca="1" si="280"/>
        <v>4313.2657522610843</v>
      </c>
      <c r="BY261" s="34">
        <f t="shared" ca="1" si="280"/>
        <v>10238.100553748853</v>
      </c>
      <c r="BZ261" s="34">
        <f t="shared" ca="1" si="280"/>
        <v>10994.473183102578</v>
      </c>
      <c r="CA261" s="34">
        <f t="shared" ca="1" si="280"/>
        <v>11911.434259634292</v>
      </c>
      <c r="CB261" s="34">
        <f t="shared" ca="1" si="280"/>
        <v>13052.011829004938</v>
      </c>
      <c r="CC261" s="34">
        <f t="shared" ca="1" si="280"/>
        <v>0</v>
      </c>
      <c r="CD261" s="34">
        <f t="shared" ca="1" si="280"/>
        <v>0</v>
      </c>
      <c r="CE261" s="34">
        <f t="shared" ca="1" si="280"/>
        <v>0</v>
      </c>
      <c r="CF261" s="34">
        <f t="shared" ca="1" si="280"/>
        <v>0</v>
      </c>
      <c r="CG261" s="34">
        <f t="shared" ca="1" si="280"/>
        <v>0</v>
      </c>
      <c r="CH261" s="34">
        <f t="shared" ca="1" si="281"/>
        <v>0</v>
      </c>
      <c r="CI261" s="34">
        <f t="shared" ca="1" si="281"/>
        <v>0</v>
      </c>
      <c r="CJ261" s="34">
        <f t="shared" ca="1" si="281"/>
        <v>0</v>
      </c>
      <c r="CK261" s="34">
        <f t="shared" ca="1" si="281"/>
        <v>0</v>
      </c>
      <c r="CL261" s="34">
        <f t="shared" ca="1" si="281"/>
        <v>0</v>
      </c>
      <c r="CM261" s="34">
        <f t="shared" ca="1" si="281"/>
        <v>0</v>
      </c>
      <c r="CN261" s="34">
        <f t="shared" ca="1" si="281"/>
        <v>0</v>
      </c>
      <c r="CO261" s="34">
        <f t="shared" ca="1" si="281"/>
        <v>0</v>
      </c>
      <c r="CP261" s="34">
        <f t="shared" ca="1" si="281"/>
        <v>0</v>
      </c>
      <c r="CQ261" s="34">
        <f t="shared" ca="1" si="241"/>
        <v>50509.28557775174</v>
      </c>
      <c r="CR261" s="363">
        <v>0</v>
      </c>
      <c r="CS261" s="34">
        <f t="shared" ca="1" si="242"/>
        <v>50509.28557775174</v>
      </c>
      <c r="CT261" s="233"/>
    </row>
    <row r="262" spans="2:98" x14ac:dyDescent="0.3">
      <c r="B262" s="232"/>
      <c r="C262" s="250">
        <f t="shared" si="243"/>
        <v>2046</v>
      </c>
      <c r="D262" s="263">
        <f t="shared" ca="1" si="221"/>
        <v>4502.7006882992273</v>
      </c>
      <c r="E262" s="263">
        <f t="shared" ca="1" si="207"/>
        <v>29.782876615382168</v>
      </c>
      <c r="F262" s="263">
        <f t="shared" ca="1" si="208"/>
        <v>0</v>
      </c>
      <c r="G262" s="263">
        <f t="shared" ca="1" si="222"/>
        <v>4681.3979479915206</v>
      </c>
      <c r="H262" s="15"/>
      <c r="I262" s="271">
        <f ca="1">Assumptions!O$68</f>
        <v>4.5</v>
      </c>
      <c r="J262" s="271">
        <f ca="1">Assumptions!P$68</f>
        <v>80</v>
      </c>
      <c r="K262" s="271">
        <f t="shared" ca="1" si="209"/>
        <v>40</v>
      </c>
      <c r="L262" s="15"/>
      <c r="M262" s="35">
        <f t="shared" ca="1" si="223"/>
        <v>4.2299999999999995</v>
      </c>
      <c r="N262" s="35">
        <f t="shared" ca="1" si="210"/>
        <v>74.400000000000006</v>
      </c>
      <c r="O262" s="35">
        <f t="shared" ca="1" si="211"/>
        <v>37.200000000000003</v>
      </c>
      <c r="P262" s="15"/>
      <c r="Q262" s="34">
        <f t="shared" ca="1" si="224"/>
        <v>19046.423911505728</v>
      </c>
      <c r="R262" s="34">
        <f t="shared" ca="1" si="225"/>
        <v>2215.8460201844337</v>
      </c>
      <c r="S262" s="34">
        <f t="shared" ca="1" si="226"/>
        <v>0</v>
      </c>
      <c r="T262" s="34">
        <f t="shared" ca="1" si="227"/>
        <v>21262.269931690164</v>
      </c>
      <c r="U262" s="15"/>
      <c r="V262" s="35">
        <f t="shared" si="228"/>
        <v>0.31</v>
      </c>
      <c r="W262" s="34">
        <f t="shared" ca="1" si="229"/>
        <v>1451.2333638773714</v>
      </c>
      <c r="X262" s="35">
        <f t="shared" si="230"/>
        <v>0.37</v>
      </c>
      <c r="Y262" s="34">
        <f t="shared" ca="1" si="231"/>
        <v>1732.1172407568627</v>
      </c>
      <c r="Z262" s="35">
        <f t="shared" si="232"/>
        <v>0.57999999999999996</v>
      </c>
      <c r="AA262" s="34">
        <f t="shared" ca="1" si="233"/>
        <v>2715.2108098350818</v>
      </c>
      <c r="AB262" s="34">
        <f t="shared" ca="1" si="234"/>
        <v>5898.5614144693154</v>
      </c>
      <c r="AC262" s="15"/>
      <c r="AD262" s="34">
        <f t="shared" ca="1" si="235"/>
        <v>15363.708517220848</v>
      </c>
      <c r="AE262" s="34">
        <f ca="1"/>
        <v>0</v>
      </c>
      <c r="AF262" s="34">
        <f t="shared" ca="1" si="236"/>
        <v>15363.708517220848</v>
      </c>
      <c r="AG262" s="15"/>
      <c r="AH262" s="272">
        <f t="shared" si="244"/>
        <v>53692</v>
      </c>
      <c r="AI262" s="267">
        <f t="shared" si="212"/>
        <v>32.666666666666664</v>
      </c>
      <c r="AJ262" s="267">
        <f t="shared" si="213"/>
        <v>4.4446641636639403E-2</v>
      </c>
      <c r="AK262" s="34">
        <f t="shared" ca="1" si="245"/>
        <v>682.86524667469962</v>
      </c>
      <c r="AL262" s="233"/>
      <c r="AN262" s="232"/>
      <c r="AO262" s="237">
        <f t="shared" ref="AO262:AO269" si="284">AO212</f>
        <v>33</v>
      </c>
      <c r="AP262" s="34">
        <f t="shared" ref="AP262:AS262" ca="1" si="285">+AP212</f>
        <v>69.082423394055567</v>
      </c>
      <c r="AQ262" s="34">
        <f t="shared" ca="1" si="285"/>
        <v>0.45694205204075028</v>
      </c>
      <c r="AR262" s="34">
        <f t="shared" ca="1" si="285"/>
        <v>0</v>
      </c>
      <c r="AS262" s="34">
        <f t="shared" ca="1" si="285"/>
        <v>71.824075706300064</v>
      </c>
      <c r="AT262" s="15"/>
      <c r="AW262" s="34">
        <f t="shared" ca="1" si="239"/>
        <v>69.082423394055567</v>
      </c>
      <c r="AX262" s="34">
        <f t="shared" ca="1" si="215"/>
        <v>0.45694205204075028</v>
      </c>
      <c r="AY262" s="34">
        <f t="shared" ca="1" si="216"/>
        <v>0</v>
      </c>
      <c r="AZ262" s="34">
        <f t="shared" ca="1" si="217"/>
        <v>71.824075706300064</v>
      </c>
      <c r="BB262" s="34">
        <f t="shared" ref="BB262:BP269" ca="1" si="286">IF($AO262&lt;BB$228,0,OFFSET($AZ$228,$AO262-BB$228+1,0)*BB$226)</f>
        <v>0</v>
      </c>
      <c r="BC262" s="34">
        <f t="shared" ca="1" si="286"/>
        <v>0</v>
      </c>
      <c r="BD262" s="34">
        <f t="shared" ca="1" si="286"/>
        <v>0</v>
      </c>
      <c r="BE262" s="34">
        <f t="shared" ca="1" si="286"/>
        <v>0</v>
      </c>
      <c r="BF262" s="34">
        <f t="shared" ca="1" si="286"/>
        <v>0</v>
      </c>
      <c r="BG262" s="34">
        <f t="shared" ca="1" si="286"/>
        <v>0</v>
      </c>
      <c r="BH262" s="34">
        <f t="shared" ca="1" si="286"/>
        <v>0</v>
      </c>
      <c r="BI262" s="34">
        <f t="shared" ca="1" si="286"/>
        <v>0</v>
      </c>
      <c r="BJ262" s="34">
        <f t="shared" ca="1" si="286"/>
        <v>0</v>
      </c>
      <c r="BK262" s="34">
        <f t="shared" ca="1" si="286"/>
        <v>0</v>
      </c>
      <c r="BL262" s="34">
        <f t="shared" ca="1" si="286"/>
        <v>0</v>
      </c>
      <c r="BM262" s="34">
        <f t="shared" ca="1" si="286"/>
        <v>0</v>
      </c>
      <c r="BN262" s="34">
        <f t="shared" ca="1" si="286"/>
        <v>0</v>
      </c>
      <c r="BO262" s="34">
        <f t="shared" ca="1" si="286"/>
        <v>0</v>
      </c>
      <c r="BP262" s="34">
        <f t="shared" ca="1" si="286"/>
        <v>0</v>
      </c>
      <c r="BQ262" s="34">
        <f t="shared" ca="1" si="283"/>
        <v>0</v>
      </c>
      <c r="BR262" s="34">
        <f t="shared" ca="1" si="280"/>
        <v>0</v>
      </c>
      <c r="BS262" s="34">
        <f t="shared" ca="1" si="280"/>
        <v>0</v>
      </c>
      <c r="BT262" s="34">
        <f t="shared" ca="1" si="280"/>
        <v>0</v>
      </c>
      <c r="BU262" s="34">
        <f t="shared" ca="1" si="280"/>
        <v>0</v>
      </c>
      <c r="BV262" s="34">
        <f t="shared" ca="1" si="280"/>
        <v>0</v>
      </c>
      <c r="BW262" s="34">
        <f t="shared" ca="1" si="280"/>
        <v>0</v>
      </c>
      <c r="BX262" s="34">
        <f t="shared" ca="1" si="280"/>
        <v>4068.5415607309596</v>
      </c>
      <c r="BY262" s="34">
        <f t="shared" ca="1" si="280"/>
        <v>9601.429922698524</v>
      </c>
      <c r="BZ262" s="34">
        <f t="shared" ca="1" si="280"/>
        <v>10238.100553748853</v>
      </c>
      <c r="CA262" s="34">
        <f t="shared" ca="1" si="280"/>
        <v>10994.473183102578</v>
      </c>
      <c r="CB262" s="34">
        <f t="shared" ca="1" si="280"/>
        <v>11911.434259634292</v>
      </c>
      <c r="CC262" s="34">
        <f t="shared" ca="1" si="280"/>
        <v>0</v>
      </c>
      <c r="CD262" s="34">
        <f t="shared" ca="1" si="280"/>
        <v>0</v>
      </c>
      <c r="CE262" s="34">
        <f t="shared" ca="1" si="280"/>
        <v>0</v>
      </c>
      <c r="CF262" s="34">
        <f t="shared" ca="1" si="280"/>
        <v>0</v>
      </c>
      <c r="CG262" s="34">
        <f t="shared" ca="1" si="280"/>
        <v>0</v>
      </c>
      <c r="CH262" s="34">
        <f t="shared" ca="1" si="281"/>
        <v>0</v>
      </c>
      <c r="CI262" s="34">
        <f t="shared" ca="1" si="281"/>
        <v>0</v>
      </c>
      <c r="CJ262" s="34">
        <f t="shared" ca="1" si="281"/>
        <v>0</v>
      </c>
      <c r="CK262" s="34">
        <f t="shared" ca="1" si="281"/>
        <v>0</v>
      </c>
      <c r="CL262" s="34">
        <f t="shared" ca="1" si="281"/>
        <v>0</v>
      </c>
      <c r="CM262" s="34">
        <f t="shared" ca="1" si="281"/>
        <v>0</v>
      </c>
      <c r="CN262" s="34">
        <f t="shared" ca="1" si="281"/>
        <v>0</v>
      </c>
      <c r="CO262" s="34">
        <f t="shared" ca="1" si="281"/>
        <v>0</v>
      </c>
      <c r="CP262" s="34">
        <f t="shared" ca="1" si="281"/>
        <v>0</v>
      </c>
      <c r="CQ262" s="34">
        <f t="shared" ca="1" si="241"/>
        <v>46813.9794799152</v>
      </c>
      <c r="CR262" s="363">
        <v>0</v>
      </c>
      <c r="CS262" s="34">
        <f t="shared" ca="1" si="242"/>
        <v>46813.9794799152</v>
      </c>
      <c r="CT262" s="233"/>
    </row>
    <row r="263" spans="2:98" x14ac:dyDescent="0.3">
      <c r="B263" s="232"/>
      <c r="C263" s="250">
        <f t="shared" si="243"/>
        <v>2047</v>
      </c>
      <c r="D263" s="263">
        <f t="shared" ca="1" si="221"/>
        <v>4207.7067260683571</v>
      </c>
      <c r="E263" s="263">
        <f t="shared" ca="1" si="207"/>
        <v>27.8316545849604</v>
      </c>
      <c r="F263" s="263">
        <f t="shared" ca="1" si="208"/>
        <v>0</v>
      </c>
      <c r="G263" s="263">
        <f t="shared" ca="1" si="222"/>
        <v>4374.6966535781194</v>
      </c>
      <c r="H263" s="15"/>
      <c r="I263" s="271">
        <f ca="1">Assumptions!O$68</f>
        <v>4.5</v>
      </c>
      <c r="J263" s="271">
        <f ca="1">Assumptions!P$68</f>
        <v>80</v>
      </c>
      <c r="K263" s="271">
        <f t="shared" ca="1" si="209"/>
        <v>40</v>
      </c>
      <c r="L263" s="15"/>
      <c r="M263" s="35">
        <f t="shared" ca="1" si="223"/>
        <v>4.2299999999999995</v>
      </c>
      <c r="N263" s="35">
        <f t="shared" ca="1" si="210"/>
        <v>74.400000000000006</v>
      </c>
      <c r="O263" s="35">
        <f t="shared" ca="1" si="211"/>
        <v>37.200000000000003</v>
      </c>
      <c r="P263" s="15"/>
      <c r="Q263" s="34">
        <f t="shared" ca="1" si="224"/>
        <v>17798.599451269147</v>
      </c>
      <c r="R263" s="34">
        <f t="shared" ca="1" si="225"/>
        <v>2070.675101121054</v>
      </c>
      <c r="S263" s="34">
        <f t="shared" ca="1" si="226"/>
        <v>0</v>
      </c>
      <c r="T263" s="34">
        <f t="shared" ca="1" si="227"/>
        <v>19869.274552390201</v>
      </c>
      <c r="U263" s="15"/>
      <c r="V263" s="35">
        <f t="shared" si="228"/>
        <v>0.31</v>
      </c>
      <c r="W263" s="34">
        <f t="shared" ca="1" si="229"/>
        <v>1356.1559626092169</v>
      </c>
      <c r="X263" s="35">
        <f t="shared" si="230"/>
        <v>0.37</v>
      </c>
      <c r="Y263" s="34">
        <f t="shared" ca="1" si="231"/>
        <v>1618.6377618239042</v>
      </c>
      <c r="Z263" s="35">
        <f t="shared" si="232"/>
        <v>0.57999999999999996</v>
      </c>
      <c r="AA263" s="34">
        <f t="shared" ca="1" si="233"/>
        <v>2537.3240590753089</v>
      </c>
      <c r="AB263" s="34">
        <f t="shared" ca="1" si="234"/>
        <v>5512.11778350843</v>
      </c>
      <c r="AC263" s="15"/>
      <c r="AD263" s="34">
        <f t="shared" ca="1" si="235"/>
        <v>14357.15676888177</v>
      </c>
      <c r="AE263" s="34">
        <f ca="1"/>
        <v>0</v>
      </c>
      <c r="AF263" s="34">
        <f t="shared" ca="1" si="236"/>
        <v>14357.15676888177</v>
      </c>
      <c r="AG263" s="15"/>
      <c r="AH263" s="272">
        <f t="shared" si="244"/>
        <v>54057</v>
      </c>
      <c r="AI263" s="267">
        <f t="shared" si="212"/>
        <v>33.666666666666664</v>
      </c>
      <c r="AJ263" s="267">
        <f t="shared" si="213"/>
        <v>4.0406037851490349E-2</v>
      </c>
      <c r="AK263" s="34">
        <f t="shared" ca="1" si="245"/>
        <v>580.11581984321765</v>
      </c>
      <c r="AL263" s="233"/>
      <c r="AN263" s="232"/>
      <c r="AO263" s="237">
        <f t="shared" si="284"/>
        <v>34</v>
      </c>
      <c r="AP263" s="34">
        <f t="shared" ref="AP263:AS263" ca="1" si="287">+AP213</f>
        <v>66.393985773888829</v>
      </c>
      <c r="AQ263" s="34">
        <f t="shared" ca="1" si="287"/>
        <v>0.43915952296044808</v>
      </c>
      <c r="AR263" s="34">
        <f t="shared" ca="1" si="287"/>
        <v>0</v>
      </c>
      <c r="AS263" s="34">
        <f t="shared" ca="1" si="287"/>
        <v>69.028942911651512</v>
      </c>
      <c r="AT263" s="15"/>
      <c r="AW263" s="34">
        <f t="shared" ca="1" si="239"/>
        <v>66.393985773888829</v>
      </c>
      <c r="AX263" s="34">
        <f t="shared" ca="1" si="215"/>
        <v>0.43915952296044808</v>
      </c>
      <c r="AY263" s="34">
        <f t="shared" ca="1" si="216"/>
        <v>0</v>
      </c>
      <c r="AZ263" s="34">
        <f t="shared" ca="1" si="217"/>
        <v>69.028942911651512</v>
      </c>
      <c r="BB263" s="34">
        <f t="shared" ca="1" si="286"/>
        <v>0</v>
      </c>
      <c r="BC263" s="34">
        <f t="shared" ca="1" si="286"/>
        <v>0</v>
      </c>
      <c r="BD263" s="34">
        <f t="shared" ca="1" si="286"/>
        <v>0</v>
      </c>
      <c r="BE263" s="34">
        <f t="shared" ca="1" si="286"/>
        <v>0</v>
      </c>
      <c r="BF263" s="34">
        <f t="shared" ca="1" si="286"/>
        <v>0</v>
      </c>
      <c r="BG263" s="34">
        <f t="shared" ca="1" si="286"/>
        <v>0</v>
      </c>
      <c r="BH263" s="34">
        <f t="shared" ca="1" si="286"/>
        <v>0</v>
      </c>
      <c r="BI263" s="34">
        <f t="shared" ca="1" si="286"/>
        <v>0</v>
      </c>
      <c r="BJ263" s="34">
        <f t="shared" ca="1" si="286"/>
        <v>0</v>
      </c>
      <c r="BK263" s="34">
        <f t="shared" ca="1" si="286"/>
        <v>0</v>
      </c>
      <c r="BL263" s="34">
        <f t="shared" ca="1" si="286"/>
        <v>0</v>
      </c>
      <c r="BM263" s="34">
        <f t="shared" ca="1" si="286"/>
        <v>0</v>
      </c>
      <c r="BN263" s="34">
        <f t="shared" ca="1" si="286"/>
        <v>0</v>
      </c>
      <c r="BO263" s="34">
        <f t="shared" ca="1" si="286"/>
        <v>0</v>
      </c>
      <c r="BP263" s="34">
        <f t="shared" ca="1" si="286"/>
        <v>0</v>
      </c>
      <c r="BQ263" s="34">
        <f t="shared" ca="1" si="283"/>
        <v>0</v>
      </c>
      <c r="BR263" s="34">
        <f t="shared" ca="1" si="280"/>
        <v>0</v>
      </c>
      <c r="BS263" s="34">
        <f t="shared" ca="1" si="280"/>
        <v>0</v>
      </c>
      <c r="BT263" s="34">
        <f t="shared" ca="1" si="280"/>
        <v>0</v>
      </c>
      <c r="BU263" s="34">
        <f t="shared" ca="1" si="280"/>
        <v>0</v>
      </c>
      <c r="BV263" s="34">
        <f t="shared" ca="1" si="280"/>
        <v>0</v>
      </c>
      <c r="BW263" s="34">
        <f t="shared" ca="1" si="280"/>
        <v>0</v>
      </c>
      <c r="BX263" s="34">
        <f t="shared" ca="1" si="280"/>
        <v>3856.2946979565927</v>
      </c>
      <c r="BY263" s="34">
        <f t="shared" ca="1" si="280"/>
        <v>9056.6681782746382</v>
      </c>
      <c r="BZ263" s="34">
        <f t="shared" ca="1" si="280"/>
        <v>9601.429922698524</v>
      </c>
      <c r="CA263" s="34">
        <f t="shared" ca="1" si="280"/>
        <v>10238.100553748853</v>
      </c>
      <c r="CB263" s="34">
        <f t="shared" ca="1" si="280"/>
        <v>10994.473183102578</v>
      </c>
      <c r="CC263" s="34">
        <f t="shared" ca="1" si="280"/>
        <v>0</v>
      </c>
      <c r="CD263" s="34">
        <f t="shared" ca="1" si="280"/>
        <v>0</v>
      </c>
      <c r="CE263" s="34">
        <f t="shared" ca="1" si="280"/>
        <v>0</v>
      </c>
      <c r="CF263" s="34">
        <f t="shared" ca="1" si="280"/>
        <v>0</v>
      </c>
      <c r="CG263" s="34">
        <f t="shared" ca="1" si="280"/>
        <v>0</v>
      </c>
      <c r="CH263" s="34">
        <f t="shared" ca="1" si="281"/>
        <v>0</v>
      </c>
      <c r="CI263" s="34">
        <f t="shared" ca="1" si="281"/>
        <v>0</v>
      </c>
      <c r="CJ263" s="34">
        <f t="shared" ca="1" si="281"/>
        <v>0</v>
      </c>
      <c r="CK263" s="34">
        <f t="shared" ca="1" si="281"/>
        <v>0</v>
      </c>
      <c r="CL263" s="34">
        <f t="shared" ca="1" si="281"/>
        <v>0</v>
      </c>
      <c r="CM263" s="34">
        <f t="shared" ca="1" si="281"/>
        <v>0</v>
      </c>
      <c r="CN263" s="34">
        <f t="shared" ca="1" si="281"/>
        <v>0</v>
      </c>
      <c r="CO263" s="34">
        <f t="shared" ca="1" si="281"/>
        <v>0</v>
      </c>
      <c r="CP263" s="34">
        <f t="shared" ca="1" si="281"/>
        <v>0</v>
      </c>
      <c r="CQ263" s="34">
        <f t="shared" ca="1" si="241"/>
        <v>43746.96653578119</v>
      </c>
      <c r="CR263" s="363">
        <v>0</v>
      </c>
      <c r="CS263" s="34">
        <f t="shared" ca="1" si="242"/>
        <v>43746.96653578119</v>
      </c>
      <c r="CT263" s="233"/>
    </row>
    <row r="264" spans="2:98" x14ac:dyDescent="0.3">
      <c r="B264" s="232"/>
      <c r="C264" s="250">
        <f t="shared" si="243"/>
        <v>2048</v>
      </c>
      <c r="D264" s="263">
        <f t="shared" ca="1" si="221"/>
        <v>3957.9724860917845</v>
      </c>
      <c r="E264" s="263">
        <f t="shared" ca="1" si="207"/>
        <v>26.179800604262443</v>
      </c>
      <c r="F264" s="263">
        <f t="shared" ca="1" si="208"/>
        <v>0</v>
      </c>
      <c r="G264" s="263">
        <f t="shared" ca="1" si="222"/>
        <v>4115.0512897173594</v>
      </c>
      <c r="H264" s="15"/>
      <c r="I264" s="271">
        <f ca="1">Assumptions!O$68</f>
        <v>4.5</v>
      </c>
      <c r="J264" s="271">
        <f ca="1">Assumptions!P$68</f>
        <v>80</v>
      </c>
      <c r="K264" s="271">
        <f t="shared" ca="1" si="209"/>
        <v>40</v>
      </c>
      <c r="L264" s="15"/>
      <c r="M264" s="35">
        <f t="shared" ca="1" si="223"/>
        <v>4.2299999999999995</v>
      </c>
      <c r="N264" s="35">
        <f t="shared" ca="1" si="210"/>
        <v>74.400000000000006</v>
      </c>
      <c r="O264" s="35">
        <f t="shared" ca="1" si="211"/>
        <v>37.200000000000003</v>
      </c>
      <c r="P264" s="15"/>
      <c r="Q264" s="34">
        <f t="shared" ca="1" si="224"/>
        <v>16742.223616168245</v>
      </c>
      <c r="R264" s="34">
        <f t="shared" ca="1" si="225"/>
        <v>1947.7771649571259</v>
      </c>
      <c r="S264" s="34">
        <f t="shared" ca="1" si="226"/>
        <v>0</v>
      </c>
      <c r="T264" s="34">
        <f t="shared" ca="1" si="227"/>
        <v>18690.000781125371</v>
      </c>
      <c r="U264" s="15"/>
      <c r="V264" s="35">
        <f t="shared" si="228"/>
        <v>0.31</v>
      </c>
      <c r="W264" s="34">
        <f t="shared" ca="1" si="229"/>
        <v>1275.6658998123814</v>
      </c>
      <c r="X264" s="35">
        <f t="shared" si="230"/>
        <v>0.37</v>
      </c>
      <c r="Y264" s="34">
        <f t="shared" ca="1" si="231"/>
        <v>1522.568977195423</v>
      </c>
      <c r="Z264" s="35">
        <f t="shared" si="232"/>
        <v>0.57999999999999996</v>
      </c>
      <c r="AA264" s="34">
        <f t="shared" ca="1" si="233"/>
        <v>2386.7297480360685</v>
      </c>
      <c r="AB264" s="34">
        <f t="shared" ca="1" si="234"/>
        <v>5184.9646250438727</v>
      </c>
      <c r="AC264" s="15"/>
      <c r="AD264" s="34">
        <f t="shared" ca="1" si="235"/>
        <v>13505.036156081498</v>
      </c>
      <c r="AE264" s="34">
        <f ca="1"/>
        <v>0</v>
      </c>
      <c r="AF264" s="34">
        <f t="shared" ca="1" si="236"/>
        <v>13505.036156081498</v>
      </c>
      <c r="AG264" s="15"/>
      <c r="AH264" s="272">
        <f t="shared" si="244"/>
        <v>54423</v>
      </c>
      <c r="AI264" s="267">
        <f t="shared" si="212"/>
        <v>34.666666666666664</v>
      </c>
      <c r="AJ264" s="267">
        <f t="shared" si="213"/>
        <v>3.6732761683173049E-2</v>
      </c>
      <c r="AK264" s="34">
        <f t="shared" ca="1" si="245"/>
        <v>496.07727464397709</v>
      </c>
      <c r="AL264" s="233"/>
      <c r="AN264" s="232"/>
      <c r="AO264" s="237">
        <f t="shared" si="284"/>
        <v>35</v>
      </c>
      <c r="AP264" s="34">
        <f t="shared" ref="AP264:AS264" ca="1" si="288">+AP214</f>
        <v>63.810170082055421</v>
      </c>
      <c r="AQ264" s="34">
        <f t="shared" ca="1" si="288"/>
        <v>0.42206901011629333</v>
      </c>
      <c r="AR264" s="34">
        <f t="shared" ca="1" si="288"/>
        <v>0</v>
      </c>
      <c r="AS264" s="34">
        <f t="shared" ca="1" si="288"/>
        <v>66.342584142753182</v>
      </c>
      <c r="AT264" s="15"/>
      <c r="AW264" s="34">
        <f t="shared" ca="1" si="239"/>
        <v>63.810170082055421</v>
      </c>
      <c r="AX264" s="34">
        <f t="shared" ca="1" si="215"/>
        <v>0.42206901011629333</v>
      </c>
      <c r="AY264" s="34">
        <f t="shared" ca="1" si="216"/>
        <v>0</v>
      </c>
      <c r="AZ264" s="34">
        <f t="shared" ca="1" si="217"/>
        <v>66.342584142753182</v>
      </c>
      <c r="BB264" s="34">
        <f t="shared" ca="1" si="286"/>
        <v>0</v>
      </c>
      <c r="BC264" s="34">
        <f t="shared" ca="1" si="286"/>
        <v>0</v>
      </c>
      <c r="BD264" s="34">
        <f t="shared" ca="1" si="286"/>
        <v>0</v>
      </c>
      <c r="BE264" s="34">
        <f t="shared" ca="1" si="286"/>
        <v>0</v>
      </c>
      <c r="BF264" s="34">
        <f t="shared" ca="1" si="286"/>
        <v>0</v>
      </c>
      <c r="BG264" s="34">
        <f t="shared" ca="1" si="286"/>
        <v>0</v>
      </c>
      <c r="BH264" s="34">
        <f t="shared" ca="1" si="286"/>
        <v>0</v>
      </c>
      <c r="BI264" s="34">
        <f t="shared" ca="1" si="286"/>
        <v>0</v>
      </c>
      <c r="BJ264" s="34">
        <f t="shared" ca="1" si="286"/>
        <v>0</v>
      </c>
      <c r="BK264" s="34">
        <f t="shared" ca="1" si="286"/>
        <v>0</v>
      </c>
      <c r="BL264" s="34">
        <f t="shared" ca="1" si="286"/>
        <v>0</v>
      </c>
      <c r="BM264" s="34">
        <f t="shared" ca="1" si="286"/>
        <v>0</v>
      </c>
      <c r="BN264" s="34">
        <f t="shared" ca="1" si="286"/>
        <v>0</v>
      </c>
      <c r="BO264" s="34">
        <f t="shared" ca="1" si="286"/>
        <v>0</v>
      </c>
      <c r="BP264" s="34">
        <f t="shared" ca="1" si="286"/>
        <v>0</v>
      </c>
      <c r="BQ264" s="34">
        <f t="shared" ca="1" si="283"/>
        <v>0</v>
      </c>
      <c r="BR264" s="34">
        <f t="shared" ca="1" si="280"/>
        <v>0</v>
      </c>
      <c r="BS264" s="34">
        <f t="shared" ca="1" si="280"/>
        <v>0</v>
      </c>
      <c r="BT264" s="34">
        <f t="shared" ca="1" si="280"/>
        <v>0</v>
      </c>
      <c r="BU264" s="34">
        <f t="shared" ca="1" si="280"/>
        <v>0</v>
      </c>
      <c r="BV264" s="34">
        <f t="shared" ca="1" si="280"/>
        <v>0</v>
      </c>
      <c r="BW264" s="34">
        <f t="shared" ca="1" si="280"/>
        <v>0</v>
      </c>
      <c r="BX264" s="34">
        <f t="shared" ca="1" si="280"/>
        <v>3670.1125191298715</v>
      </c>
      <c r="BY264" s="34">
        <f t="shared" ca="1" si="280"/>
        <v>8584.2017233217048</v>
      </c>
      <c r="BZ264" s="34">
        <f t="shared" ca="1" si="280"/>
        <v>9056.6681782746382</v>
      </c>
      <c r="CA264" s="34">
        <f t="shared" ca="1" si="280"/>
        <v>9601.429922698524</v>
      </c>
      <c r="CB264" s="34">
        <f t="shared" ca="1" si="280"/>
        <v>10238.100553748853</v>
      </c>
      <c r="CC264" s="34">
        <f t="shared" ca="1" si="280"/>
        <v>0</v>
      </c>
      <c r="CD264" s="34">
        <f t="shared" ca="1" si="280"/>
        <v>0</v>
      </c>
      <c r="CE264" s="34">
        <f t="shared" ca="1" si="280"/>
        <v>0</v>
      </c>
      <c r="CF264" s="34">
        <f t="shared" ca="1" si="280"/>
        <v>0</v>
      </c>
      <c r="CG264" s="34">
        <f t="shared" ca="1" si="280"/>
        <v>0</v>
      </c>
      <c r="CH264" s="34">
        <f t="shared" ca="1" si="281"/>
        <v>0</v>
      </c>
      <c r="CI264" s="34">
        <f t="shared" ca="1" si="281"/>
        <v>0</v>
      </c>
      <c r="CJ264" s="34">
        <f t="shared" ca="1" si="281"/>
        <v>0</v>
      </c>
      <c r="CK264" s="34">
        <f t="shared" ca="1" si="281"/>
        <v>0</v>
      </c>
      <c r="CL264" s="34">
        <f t="shared" ca="1" si="281"/>
        <v>0</v>
      </c>
      <c r="CM264" s="34">
        <f t="shared" ca="1" si="281"/>
        <v>0</v>
      </c>
      <c r="CN264" s="34">
        <f t="shared" ca="1" si="281"/>
        <v>0</v>
      </c>
      <c r="CO264" s="34">
        <f t="shared" ca="1" si="281"/>
        <v>0</v>
      </c>
      <c r="CP264" s="34">
        <f t="shared" ca="1" si="281"/>
        <v>0</v>
      </c>
      <c r="CQ264" s="34">
        <f t="shared" ca="1" si="241"/>
        <v>41150.51289717359</v>
      </c>
      <c r="CR264" s="363">
        <v>0</v>
      </c>
      <c r="CS264" s="34">
        <f t="shared" ca="1" si="242"/>
        <v>41150.51289717359</v>
      </c>
      <c r="CT264" s="233"/>
    </row>
    <row r="265" spans="2:98" x14ac:dyDescent="0.3">
      <c r="B265" s="232"/>
      <c r="C265" s="250">
        <f t="shared" si="243"/>
        <v>2049</v>
      </c>
      <c r="D265" s="263">
        <f t="shared" ca="1" si="221"/>
        <v>3743.1721412450875</v>
      </c>
      <c r="E265" s="263">
        <f t="shared" ca="1" si="207"/>
        <v>24.759015033474892</v>
      </c>
      <c r="F265" s="263">
        <f t="shared" ca="1" si="208"/>
        <v>0</v>
      </c>
      <c r="G265" s="263">
        <f t="shared" ca="1" si="222"/>
        <v>3891.7262314459367</v>
      </c>
      <c r="H265" s="15"/>
      <c r="I265" s="271">
        <f ca="1">Assumptions!O$68</f>
        <v>4.5</v>
      </c>
      <c r="J265" s="271">
        <f ca="1">Assumptions!P$68</f>
        <v>80</v>
      </c>
      <c r="K265" s="271">
        <f t="shared" ca="1" si="209"/>
        <v>40</v>
      </c>
      <c r="L265" s="15"/>
      <c r="M265" s="35">
        <f t="shared" ca="1" si="223"/>
        <v>4.2299999999999995</v>
      </c>
      <c r="N265" s="35">
        <f t="shared" ca="1" si="210"/>
        <v>74.400000000000006</v>
      </c>
      <c r="O265" s="35">
        <f t="shared" ca="1" si="211"/>
        <v>37.200000000000003</v>
      </c>
      <c r="P265" s="15"/>
      <c r="Q265" s="34">
        <f t="shared" ca="1" si="224"/>
        <v>15833.618157466719</v>
      </c>
      <c r="R265" s="34">
        <f t="shared" ca="1" si="225"/>
        <v>1842.070718490532</v>
      </c>
      <c r="S265" s="34">
        <f t="shared" ca="1" si="226"/>
        <v>0</v>
      </c>
      <c r="T265" s="34">
        <f t="shared" ca="1" si="227"/>
        <v>17675.68887595725</v>
      </c>
      <c r="U265" s="15"/>
      <c r="V265" s="35">
        <f t="shared" si="228"/>
        <v>0.31</v>
      </c>
      <c r="W265" s="34">
        <f t="shared" ca="1" si="229"/>
        <v>1206.4351317482403</v>
      </c>
      <c r="X265" s="35">
        <f t="shared" si="230"/>
        <v>0.37</v>
      </c>
      <c r="Y265" s="34">
        <f t="shared" ca="1" si="231"/>
        <v>1439.9387056349965</v>
      </c>
      <c r="Z265" s="35">
        <f t="shared" si="232"/>
        <v>0.57999999999999996</v>
      </c>
      <c r="AA265" s="34">
        <f t="shared" ca="1" si="233"/>
        <v>2257.2012142386429</v>
      </c>
      <c r="AB265" s="34">
        <f t="shared" ca="1" si="234"/>
        <v>4903.5750516218795</v>
      </c>
      <c r="AC265" s="15"/>
      <c r="AD265" s="34">
        <f t="shared" ca="1" si="235"/>
        <v>12772.113824335371</v>
      </c>
      <c r="AE265" s="34">
        <f ca="1"/>
        <v>0</v>
      </c>
      <c r="AF265" s="34">
        <f t="shared" ca="1" si="236"/>
        <v>12772.113824335371</v>
      </c>
      <c r="AG265" s="15"/>
      <c r="AH265" s="272">
        <f t="shared" si="244"/>
        <v>54788</v>
      </c>
      <c r="AI265" s="267">
        <f t="shared" si="212"/>
        <v>35.666666666666664</v>
      </c>
      <c r="AJ265" s="267">
        <f t="shared" si="213"/>
        <v>3.3393419711975486E-2</v>
      </c>
      <c r="AK265" s="34">
        <f t="shared" ca="1" si="245"/>
        <v>426.50455754515536</v>
      </c>
      <c r="AL265" s="233"/>
      <c r="AN265" s="232"/>
      <c r="AO265" s="237">
        <f t="shared" si="284"/>
        <v>36</v>
      </c>
      <c r="AP265" s="34">
        <f t="shared" ref="AP265:AS265" ca="1" si="289">+AP215</f>
        <v>61.326912212116746</v>
      </c>
      <c r="AQ265" s="34">
        <f t="shared" ca="1" si="289"/>
        <v>0.40564363169024115</v>
      </c>
      <c r="AR265" s="34">
        <f t="shared" ca="1" si="289"/>
        <v>0</v>
      </c>
      <c r="AS265" s="34">
        <f t="shared" ca="1" si="289"/>
        <v>63.760774002258195</v>
      </c>
      <c r="AT265" s="15"/>
      <c r="AW265" s="34">
        <f t="shared" ca="1" si="239"/>
        <v>61.326912212116746</v>
      </c>
      <c r="AX265" s="34">
        <f t="shared" ca="1" si="215"/>
        <v>0.40564363169024115</v>
      </c>
      <c r="AY265" s="34">
        <f t="shared" ca="1" si="216"/>
        <v>0</v>
      </c>
      <c r="AZ265" s="34">
        <f t="shared" ca="1" si="217"/>
        <v>63.760774002258195</v>
      </c>
      <c r="BB265" s="34">
        <f t="shared" ca="1" si="286"/>
        <v>0</v>
      </c>
      <c r="BC265" s="34">
        <f t="shared" ca="1" si="286"/>
        <v>0</v>
      </c>
      <c r="BD265" s="34">
        <f t="shared" ca="1" si="286"/>
        <v>0</v>
      </c>
      <c r="BE265" s="34">
        <f t="shared" ca="1" si="286"/>
        <v>0</v>
      </c>
      <c r="BF265" s="34">
        <f t="shared" ca="1" si="286"/>
        <v>0</v>
      </c>
      <c r="BG265" s="34">
        <f t="shared" ca="1" si="286"/>
        <v>0</v>
      </c>
      <c r="BH265" s="34">
        <f t="shared" ca="1" si="286"/>
        <v>0</v>
      </c>
      <c r="BI265" s="34">
        <f t="shared" ca="1" si="286"/>
        <v>0</v>
      </c>
      <c r="BJ265" s="34">
        <f t="shared" ca="1" si="286"/>
        <v>0</v>
      </c>
      <c r="BK265" s="34">
        <f t="shared" ca="1" si="286"/>
        <v>0</v>
      </c>
      <c r="BL265" s="34">
        <f t="shared" ca="1" si="286"/>
        <v>0</v>
      </c>
      <c r="BM265" s="34">
        <f t="shared" ca="1" si="286"/>
        <v>0</v>
      </c>
      <c r="BN265" s="34">
        <f t="shared" ca="1" si="286"/>
        <v>0</v>
      </c>
      <c r="BO265" s="34">
        <f t="shared" ca="1" si="286"/>
        <v>0</v>
      </c>
      <c r="BP265" s="34">
        <f t="shared" ca="1" si="286"/>
        <v>0</v>
      </c>
      <c r="BQ265" s="34">
        <f t="shared" ca="1" si="283"/>
        <v>0</v>
      </c>
      <c r="BR265" s="34">
        <f t="shared" ca="1" si="280"/>
        <v>0</v>
      </c>
      <c r="BS265" s="34">
        <f t="shared" ca="1" si="280"/>
        <v>0</v>
      </c>
      <c r="BT265" s="34">
        <f t="shared" ca="1" si="280"/>
        <v>0</v>
      </c>
      <c r="BU265" s="34">
        <f t="shared" ca="1" si="280"/>
        <v>0</v>
      </c>
      <c r="BV265" s="34">
        <f t="shared" ca="1" si="280"/>
        <v>0</v>
      </c>
      <c r="BW265" s="34">
        <f t="shared" ca="1" si="280"/>
        <v>0</v>
      </c>
      <c r="BX265" s="34">
        <f t="shared" ca="1" si="280"/>
        <v>3505.2066288727419</v>
      </c>
      <c r="BY265" s="34">
        <f t="shared" ca="1" si="280"/>
        <v>8169.7558612917592</v>
      </c>
      <c r="BZ265" s="34">
        <f t="shared" ca="1" si="280"/>
        <v>8584.2017233217048</v>
      </c>
      <c r="CA265" s="34">
        <f t="shared" ca="1" si="280"/>
        <v>9056.6681782746382</v>
      </c>
      <c r="CB265" s="34">
        <f t="shared" ca="1" si="280"/>
        <v>9601.429922698524</v>
      </c>
      <c r="CC265" s="34">
        <f t="shared" ca="1" si="280"/>
        <v>0</v>
      </c>
      <c r="CD265" s="34">
        <f t="shared" ca="1" si="280"/>
        <v>0</v>
      </c>
      <c r="CE265" s="34">
        <f t="shared" ca="1" si="280"/>
        <v>0</v>
      </c>
      <c r="CF265" s="34">
        <f t="shared" ca="1" si="280"/>
        <v>0</v>
      </c>
      <c r="CG265" s="34">
        <f t="shared" ca="1" si="280"/>
        <v>0</v>
      </c>
      <c r="CH265" s="34">
        <f t="shared" ca="1" si="281"/>
        <v>0</v>
      </c>
      <c r="CI265" s="34">
        <f t="shared" ca="1" si="281"/>
        <v>0</v>
      </c>
      <c r="CJ265" s="34">
        <f t="shared" ca="1" si="281"/>
        <v>0</v>
      </c>
      <c r="CK265" s="34">
        <f t="shared" ca="1" si="281"/>
        <v>0</v>
      </c>
      <c r="CL265" s="34">
        <f t="shared" ca="1" si="281"/>
        <v>0</v>
      </c>
      <c r="CM265" s="34">
        <f t="shared" ca="1" si="281"/>
        <v>0</v>
      </c>
      <c r="CN265" s="34">
        <f t="shared" ca="1" si="281"/>
        <v>0</v>
      </c>
      <c r="CO265" s="34">
        <f t="shared" ca="1" si="281"/>
        <v>0</v>
      </c>
      <c r="CP265" s="34">
        <f t="shared" ca="1" si="281"/>
        <v>0</v>
      </c>
      <c r="CQ265" s="34">
        <f t="shared" ca="1" si="241"/>
        <v>38917.262314459367</v>
      </c>
      <c r="CR265" s="363">
        <v>0</v>
      </c>
      <c r="CS265" s="34">
        <f t="shared" ca="1" si="242"/>
        <v>38917.262314459367</v>
      </c>
      <c r="CT265" s="233"/>
    </row>
    <row r="266" spans="2:98" x14ac:dyDescent="0.3">
      <c r="B266" s="232"/>
      <c r="C266" s="250">
        <f t="shared" si="243"/>
        <v>2050</v>
      </c>
      <c r="D266" s="263">
        <f t="shared" ca="1" si="221"/>
        <v>3555.9962609631716</v>
      </c>
      <c r="E266" s="263">
        <f t="shared" ca="1" si="207"/>
        <v>23.520950028999209</v>
      </c>
      <c r="F266" s="263">
        <f t="shared" ca="1" si="208"/>
        <v>0</v>
      </c>
      <c r="G266" s="263">
        <f t="shared" ca="1" si="222"/>
        <v>3697.1219611371666</v>
      </c>
      <c r="H266" s="15"/>
      <c r="I266" s="271">
        <f ca="1">Assumptions!O$68</f>
        <v>4.5</v>
      </c>
      <c r="J266" s="271">
        <f ca="1">Assumptions!P$68</f>
        <v>80</v>
      </c>
      <c r="K266" s="271">
        <f t="shared" ca="1" si="209"/>
        <v>40</v>
      </c>
      <c r="L266" s="15"/>
      <c r="M266" s="35">
        <f t="shared" ca="1" si="223"/>
        <v>4.2299999999999995</v>
      </c>
      <c r="N266" s="35">
        <f t="shared" ca="1" si="210"/>
        <v>74.400000000000006</v>
      </c>
      <c r="O266" s="35">
        <f t="shared" ca="1" si="211"/>
        <v>37.200000000000003</v>
      </c>
      <c r="P266" s="15"/>
      <c r="Q266" s="34">
        <f t="shared" ca="1" si="224"/>
        <v>15041.864183874215</v>
      </c>
      <c r="R266" s="34">
        <f t="shared" ca="1" si="225"/>
        <v>1749.9586821575413</v>
      </c>
      <c r="S266" s="34">
        <f t="shared" ca="1" si="226"/>
        <v>0</v>
      </c>
      <c r="T266" s="34">
        <f t="shared" ca="1" si="227"/>
        <v>16791.822866031755</v>
      </c>
      <c r="U266" s="15"/>
      <c r="V266" s="35">
        <f t="shared" si="228"/>
        <v>0.31</v>
      </c>
      <c r="W266" s="34">
        <f t="shared" ca="1" si="229"/>
        <v>1146.1078079525216</v>
      </c>
      <c r="X266" s="35">
        <f t="shared" si="230"/>
        <v>0.37</v>
      </c>
      <c r="Y266" s="34">
        <f t="shared" ca="1" si="231"/>
        <v>1367.9351256207517</v>
      </c>
      <c r="Z266" s="35">
        <f t="shared" si="232"/>
        <v>0.57999999999999996</v>
      </c>
      <c r="AA266" s="34">
        <f t="shared" ca="1" si="233"/>
        <v>2144.3307374595565</v>
      </c>
      <c r="AB266" s="34">
        <f t="shared" ca="1" si="234"/>
        <v>4658.3736710328303</v>
      </c>
      <c r="AC266" s="15"/>
      <c r="AD266" s="34">
        <f t="shared" ca="1" si="235"/>
        <v>12133.449194998924</v>
      </c>
      <c r="AE266" s="34">
        <f ca="1"/>
        <v>0</v>
      </c>
      <c r="AF266" s="34">
        <f t="shared" ca="1" si="236"/>
        <v>12133.449194998924</v>
      </c>
      <c r="AG266" s="15"/>
      <c r="AH266" s="272">
        <f t="shared" si="244"/>
        <v>55153</v>
      </c>
      <c r="AI266" s="267">
        <f t="shared" si="212"/>
        <v>36.666666666666664</v>
      </c>
      <c r="AJ266" s="267">
        <f t="shared" si="213"/>
        <v>3.0357654283614078E-2</v>
      </c>
      <c r="AK266" s="34">
        <f t="shared" ca="1" si="245"/>
        <v>368.34305592957287</v>
      </c>
      <c r="AL266" s="233"/>
      <c r="AN266" s="232"/>
      <c r="AO266" s="237">
        <f t="shared" si="284"/>
        <v>37</v>
      </c>
      <c r="AP266" s="34">
        <f t="shared" ref="AP266:AS266" ca="1" si="290">+AP216</f>
        <v>58.940288849935833</v>
      </c>
      <c r="AQ266" s="34">
        <f t="shared" ca="1" si="290"/>
        <v>0.38985743712751275</v>
      </c>
      <c r="AR266" s="34">
        <f t="shared" ca="1" si="290"/>
        <v>0</v>
      </c>
      <c r="AS266" s="34">
        <f t="shared" ca="1" si="290"/>
        <v>61.279433472700909</v>
      </c>
      <c r="AT266" s="15"/>
      <c r="AW266" s="34">
        <f t="shared" ca="1" si="239"/>
        <v>58.940288849935833</v>
      </c>
      <c r="AX266" s="34">
        <f t="shared" ca="1" si="215"/>
        <v>0.38985743712751275</v>
      </c>
      <c r="AY266" s="34">
        <f t="shared" ca="1" si="216"/>
        <v>0</v>
      </c>
      <c r="AZ266" s="34">
        <f t="shared" ca="1" si="217"/>
        <v>61.279433472700909</v>
      </c>
      <c r="BB266" s="34">
        <f t="shared" ca="1" si="286"/>
        <v>0</v>
      </c>
      <c r="BC266" s="34">
        <f t="shared" ca="1" si="286"/>
        <v>0</v>
      </c>
      <c r="BD266" s="34">
        <f t="shared" ca="1" si="286"/>
        <v>0</v>
      </c>
      <c r="BE266" s="34">
        <f t="shared" ca="1" si="286"/>
        <v>0</v>
      </c>
      <c r="BF266" s="34">
        <f t="shared" ca="1" si="286"/>
        <v>0</v>
      </c>
      <c r="BG266" s="34">
        <f t="shared" ca="1" si="286"/>
        <v>0</v>
      </c>
      <c r="BH266" s="34">
        <f t="shared" ca="1" si="286"/>
        <v>0</v>
      </c>
      <c r="BI266" s="34">
        <f t="shared" ca="1" si="286"/>
        <v>0</v>
      </c>
      <c r="BJ266" s="34">
        <f t="shared" ca="1" si="286"/>
        <v>0</v>
      </c>
      <c r="BK266" s="34">
        <f t="shared" ca="1" si="286"/>
        <v>0</v>
      </c>
      <c r="BL266" s="34">
        <f t="shared" ca="1" si="286"/>
        <v>0</v>
      </c>
      <c r="BM266" s="34">
        <f t="shared" ca="1" si="286"/>
        <v>0</v>
      </c>
      <c r="BN266" s="34">
        <f t="shared" ca="1" si="286"/>
        <v>0</v>
      </c>
      <c r="BO266" s="34">
        <f t="shared" ca="1" si="286"/>
        <v>0</v>
      </c>
      <c r="BP266" s="34">
        <f t="shared" ca="1" si="286"/>
        <v>0</v>
      </c>
      <c r="BQ266" s="34">
        <f t="shared" ca="1" si="283"/>
        <v>0</v>
      </c>
      <c r="BR266" s="34">
        <f t="shared" ca="1" si="280"/>
        <v>0</v>
      </c>
      <c r="BS266" s="34">
        <f t="shared" ca="1" si="280"/>
        <v>0</v>
      </c>
      <c r="BT266" s="34">
        <f t="shared" ca="1" si="280"/>
        <v>0</v>
      </c>
      <c r="BU266" s="34">
        <f t="shared" ca="1" si="280"/>
        <v>0</v>
      </c>
      <c r="BV266" s="34">
        <f t="shared" ca="1" si="280"/>
        <v>0</v>
      </c>
      <c r="BW266" s="34">
        <f t="shared" ca="1" si="280"/>
        <v>0</v>
      </c>
      <c r="BX266" s="34">
        <f t="shared" ca="1" si="280"/>
        <v>3357.9223358234685</v>
      </c>
      <c r="BY266" s="34">
        <f t="shared" ca="1" si="280"/>
        <v>7802.6715126600911</v>
      </c>
      <c r="BZ266" s="34">
        <f t="shared" ca="1" si="280"/>
        <v>8169.7558612917592</v>
      </c>
      <c r="CA266" s="34">
        <f t="shared" ca="1" si="280"/>
        <v>8584.2017233217048</v>
      </c>
      <c r="CB266" s="34">
        <f t="shared" ca="1" si="280"/>
        <v>9056.6681782746382</v>
      </c>
      <c r="CC266" s="34">
        <f t="shared" ca="1" si="280"/>
        <v>0</v>
      </c>
      <c r="CD266" s="34">
        <f t="shared" ca="1" si="280"/>
        <v>0</v>
      </c>
      <c r="CE266" s="34">
        <f t="shared" ca="1" si="280"/>
        <v>0</v>
      </c>
      <c r="CF266" s="34">
        <f t="shared" ca="1" si="280"/>
        <v>0</v>
      </c>
      <c r="CG266" s="34">
        <f t="shared" ca="1" si="280"/>
        <v>0</v>
      </c>
      <c r="CH266" s="34">
        <f t="shared" ca="1" si="281"/>
        <v>0</v>
      </c>
      <c r="CI266" s="34">
        <f t="shared" ca="1" si="281"/>
        <v>0</v>
      </c>
      <c r="CJ266" s="34">
        <f t="shared" ca="1" si="281"/>
        <v>0</v>
      </c>
      <c r="CK266" s="34">
        <f t="shared" ca="1" si="281"/>
        <v>0</v>
      </c>
      <c r="CL266" s="34">
        <f t="shared" ca="1" si="281"/>
        <v>0</v>
      </c>
      <c r="CM266" s="34">
        <f t="shared" ca="1" si="281"/>
        <v>0</v>
      </c>
      <c r="CN266" s="34">
        <f t="shared" ca="1" si="281"/>
        <v>0</v>
      </c>
      <c r="CO266" s="34">
        <f t="shared" ca="1" si="281"/>
        <v>0</v>
      </c>
      <c r="CP266" s="34">
        <f t="shared" ca="1" si="281"/>
        <v>0</v>
      </c>
      <c r="CQ266" s="34">
        <f t="shared" ca="1" si="241"/>
        <v>36971.219611371664</v>
      </c>
      <c r="CR266" s="363">
        <v>0</v>
      </c>
      <c r="CS266" s="34">
        <f t="shared" ca="1" si="242"/>
        <v>36971.219611371664</v>
      </c>
      <c r="CT266" s="233"/>
    </row>
    <row r="267" spans="2:98" x14ac:dyDescent="0.3">
      <c r="B267" s="232"/>
      <c r="C267" s="250">
        <f t="shared" si="243"/>
        <v>2051</v>
      </c>
      <c r="D267" s="263">
        <f t="shared" ca="1" si="221"/>
        <v>3391.046220852199</v>
      </c>
      <c r="E267" s="263">
        <f t="shared" ca="1" si="207"/>
        <v>22.429896674044127</v>
      </c>
      <c r="F267" s="263">
        <f t="shared" ca="1" si="208"/>
        <v>0</v>
      </c>
      <c r="G267" s="263">
        <f t="shared" ca="1" si="222"/>
        <v>3525.6256008964638</v>
      </c>
      <c r="H267" s="15"/>
      <c r="I267" s="271">
        <f ca="1">Assumptions!O$68</f>
        <v>4.5</v>
      </c>
      <c r="J267" s="271">
        <f ca="1">Assumptions!P$68</f>
        <v>80</v>
      </c>
      <c r="K267" s="271">
        <f t="shared" ca="1" si="209"/>
        <v>40</v>
      </c>
      <c r="L267" s="15"/>
      <c r="M267" s="35">
        <f t="shared" ca="1" si="223"/>
        <v>4.2299999999999995</v>
      </c>
      <c r="N267" s="35">
        <f t="shared" ca="1" si="210"/>
        <v>74.400000000000006</v>
      </c>
      <c r="O267" s="35">
        <f t="shared" ca="1" si="211"/>
        <v>37.200000000000003</v>
      </c>
      <c r="P267" s="15"/>
      <c r="Q267" s="34">
        <f t="shared" ca="1" si="224"/>
        <v>14344.125514204799</v>
      </c>
      <c r="R267" s="34">
        <f t="shared" ca="1" si="225"/>
        <v>1668.7843125488832</v>
      </c>
      <c r="S267" s="34">
        <f t="shared" ca="1" si="226"/>
        <v>0</v>
      </c>
      <c r="T267" s="34">
        <f t="shared" ca="1" si="227"/>
        <v>16012.909826753683</v>
      </c>
      <c r="U267" s="15"/>
      <c r="V267" s="35">
        <f t="shared" si="228"/>
        <v>0.31</v>
      </c>
      <c r="W267" s="34">
        <f t="shared" ca="1" si="229"/>
        <v>1092.9439362779037</v>
      </c>
      <c r="X267" s="35">
        <f t="shared" si="230"/>
        <v>0.37</v>
      </c>
      <c r="Y267" s="34">
        <f t="shared" ca="1" si="231"/>
        <v>1304.4814723316915</v>
      </c>
      <c r="Z267" s="35">
        <f t="shared" si="232"/>
        <v>0.57999999999999996</v>
      </c>
      <c r="AA267" s="34">
        <f t="shared" ca="1" si="233"/>
        <v>2044.8628485199488</v>
      </c>
      <c r="AB267" s="34">
        <f t="shared" ca="1" si="234"/>
        <v>4442.288257129544</v>
      </c>
      <c r="AC267" s="15"/>
      <c r="AD267" s="34">
        <f t="shared" ca="1" si="235"/>
        <v>11570.621569624138</v>
      </c>
      <c r="AE267" s="34">
        <f ca="1"/>
        <v>0</v>
      </c>
      <c r="AF267" s="34">
        <f t="shared" ca="1" si="236"/>
        <v>11570.621569624138</v>
      </c>
      <c r="AG267" s="15"/>
      <c r="AH267" s="272">
        <f t="shared" si="244"/>
        <v>55518</v>
      </c>
      <c r="AI267" s="267">
        <f t="shared" si="212"/>
        <v>37.666666666666664</v>
      </c>
      <c r="AJ267" s="267">
        <f t="shared" si="213"/>
        <v>2.7597867530558259E-2</v>
      </c>
      <c r="AK267" s="34">
        <f t="shared" ca="1" si="245"/>
        <v>319.32448132470705</v>
      </c>
      <c r="AL267" s="233"/>
      <c r="AN267" s="232"/>
      <c r="AO267" s="250">
        <f t="shared" si="284"/>
        <v>38</v>
      </c>
      <c r="AP267" s="34">
        <f t="shared" ref="AP267:AS267" ca="1" si="291">+AP217</f>
        <v>56.64654597927278</v>
      </c>
      <c r="AQ267" s="34">
        <f t="shared" ca="1" si="291"/>
        <v>0.37468559568535503</v>
      </c>
      <c r="AR267" s="34">
        <f t="shared" ca="1" si="291"/>
        <v>0</v>
      </c>
      <c r="AS267" s="34">
        <f t="shared" ca="1" si="291"/>
        <v>58.894659553384912</v>
      </c>
      <c r="AT267" s="15"/>
      <c r="AW267" s="34">
        <f t="shared" ca="1" si="239"/>
        <v>56.64654597927278</v>
      </c>
      <c r="AX267" s="34">
        <f t="shared" ca="1" si="215"/>
        <v>0.37468559568535503</v>
      </c>
      <c r="AY267" s="34">
        <f t="shared" ca="1" si="216"/>
        <v>0</v>
      </c>
      <c r="AZ267" s="34">
        <f t="shared" ca="1" si="217"/>
        <v>58.894659553384912</v>
      </c>
      <c r="BB267" s="34">
        <f t="shared" ca="1" si="286"/>
        <v>0</v>
      </c>
      <c r="BC267" s="34">
        <f t="shared" ca="1" si="286"/>
        <v>0</v>
      </c>
      <c r="BD267" s="34">
        <f t="shared" ca="1" si="286"/>
        <v>0</v>
      </c>
      <c r="BE267" s="34">
        <f t="shared" ca="1" si="286"/>
        <v>0</v>
      </c>
      <c r="BF267" s="34">
        <f t="shared" ca="1" si="286"/>
        <v>0</v>
      </c>
      <c r="BG267" s="34">
        <f t="shared" ca="1" si="286"/>
        <v>0</v>
      </c>
      <c r="BH267" s="34">
        <f t="shared" ca="1" si="286"/>
        <v>0</v>
      </c>
      <c r="BI267" s="34">
        <f t="shared" ca="1" si="286"/>
        <v>0</v>
      </c>
      <c r="BJ267" s="34">
        <f t="shared" ca="1" si="286"/>
        <v>0</v>
      </c>
      <c r="BK267" s="34">
        <f t="shared" ca="1" si="286"/>
        <v>0</v>
      </c>
      <c r="BL267" s="34">
        <f t="shared" ca="1" si="286"/>
        <v>0</v>
      </c>
      <c r="BM267" s="34">
        <f t="shared" ca="1" si="286"/>
        <v>0</v>
      </c>
      <c r="BN267" s="34">
        <f t="shared" ca="1" si="286"/>
        <v>0</v>
      </c>
      <c r="BO267" s="34">
        <f t="shared" ca="1" si="286"/>
        <v>0</v>
      </c>
      <c r="BP267" s="34">
        <f t="shared" ca="1" si="286"/>
        <v>0</v>
      </c>
      <c r="BQ267" s="34">
        <f t="shared" ca="1" si="283"/>
        <v>0</v>
      </c>
      <c r="BR267" s="34">
        <f t="shared" ca="1" si="280"/>
        <v>0</v>
      </c>
      <c r="BS267" s="34">
        <f t="shared" ca="1" si="280"/>
        <v>0</v>
      </c>
      <c r="BT267" s="34">
        <f t="shared" ca="1" si="280"/>
        <v>0</v>
      </c>
      <c r="BU267" s="34">
        <f t="shared" ca="1" si="280"/>
        <v>0</v>
      </c>
      <c r="BV267" s="34">
        <f t="shared" ca="1" si="280"/>
        <v>0</v>
      </c>
      <c r="BW267" s="34">
        <f t="shared" ca="1" si="280"/>
        <v>0</v>
      </c>
      <c r="BX267" s="34">
        <f t="shared" ca="1" si="280"/>
        <v>3224.8136622705015</v>
      </c>
      <c r="BY267" s="34">
        <f t="shared" ca="1" si="280"/>
        <v>7474.8132494205784</v>
      </c>
      <c r="BZ267" s="34">
        <f t="shared" ca="1" si="280"/>
        <v>7802.6715126600911</v>
      </c>
      <c r="CA267" s="34">
        <f t="shared" ca="1" si="280"/>
        <v>8169.7558612917592</v>
      </c>
      <c r="CB267" s="34">
        <f t="shared" ca="1" si="280"/>
        <v>8584.2017233217048</v>
      </c>
      <c r="CC267" s="34">
        <f t="shared" ca="1" si="280"/>
        <v>0</v>
      </c>
      <c r="CD267" s="34">
        <f t="shared" ca="1" si="280"/>
        <v>0</v>
      </c>
      <c r="CE267" s="34">
        <f t="shared" ca="1" si="280"/>
        <v>0</v>
      </c>
      <c r="CF267" s="34">
        <f t="shared" ca="1" si="280"/>
        <v>0</v>
      </c>
      <c r="CG267" s="34">
        <f t="shared" ca="1" si="280"/>
        <v>0</v>
      </c>
      <c r="CH267" s="34">
        <f t="shared" ca="1" si="281"/>
        <v>0</v>
      </c>
      <c r="CI267" s="34">
        <f t="shared" ca="1" si="281"/>
        <v>0</v>
      </c>
      <c r="CJ267" s="34">
        <f t="shared" ca="1" si="281"/>
        <v>0</v>
      </c>
      <c r="CK267" s="34">
        <f t="shared" ca="1" si="281"/>
        <v>0</v>
      </c>
      <c r="CL267" s="34">
        <f t="shared" ca="1" si="281"/>
        <v>0</v>
      </c>
      <c r="CM267" s="34">
        <f t="shared" ca="1" si="281"/>
        <v>0</v>
      </c>
      <c r="CN267" s="34">
        <f t="shared" ca="1" si="281"/>
        <v>0</v>
      </c>
      <c r="CO267" s="34">
        <f t="shared" ca="1" si="281"/>
        <v>0</v>
      </c>
      <c r="CP267" s="34">
        <f t="shared" ca="1" si="281"/>
        <v>0</v>
      </c>
      <c r="CQ267" s="34">
        <f t="shared" ca="1" si="241"/>
        <v>35256.256008964636</v>
      </c>
      <c r="CR267" s="363">
        <v>0</v>
      </c>
      <c r="CS267" s="34">
        <f t="shared" ca="1" si="242"/>
        <v>35256.256008964636</v>
      </c>
      <c r="CT267" s="233"/>
    </row>
    <row r="268" spans="2:98" x14ac:dyDescent="0.3">
      <c r="B268" s="232"/>
      <c r="C268" s="250">
        <f t="shared" si="243"/>
        <v>2052</v>
      </c>
      <c r="D268" s="263">
        <f t="shared" ca="1" si="221"/>
        <v>3243.7708867890333</v>
      </c>
      <c r="E268" s="263">
        <f t="shared" ca="1" si="207"/>
        <v>21.455751731589768</v>
      </c>
      <c r="F268" s="263">
        <f t="shared" ca="1" si="208"/>
        <v>0</v>
      </c>
      <c r="G268" s="263">
        <f t="shared" ca="1" si="222"/>
        <v>3372.5053971785719</v>
      </c>
      <c r="H268" s="15"/>
      <c r="I268" s="271">
        <f ca="1">Assumptions!O$68</f>
        <v>4.5</v>
      </c>
      <c r="J268" s="271">
        <f ca="1">Assumptions!P$68</f>
        <v>80</v>
      </c>
      <c r="K268" s="271">
        <f t="shared" ca="1" si="209"/>
        <v>40</v>
      </c>
      <c r="L268" s="15"/>
      <c r="M268" s="35">
        <f t="shared" ca="1" si="223"/>
        <v>4.2299999999999995</v>
      </c>
      <c r="N268" s="35">
        <f t="shared" ca="1" si="210"/>
        <v>74.400000000000006</v>
      </c>
      <c r="O268" s="35">
        <f t="shared" ca="1" si="211"/>
        <v>37.200000000000003</v>
      </c>
      <c r="P268" s="15"/>
      <c r="Q268" s="34">
        <f t="shared" ca="1" si="224"/>
        <v>13721.150851117609</v>
      </c>
      <c r="R268" s="34">
        <f t="shared" ca="1" si="225"/>
        <v>1596.3079288302788</v>
      </c>
      <c r="S268" s="34">
        <f t="shared" ca="1" si="226"/>
        <v>0</v>
      </c>
      <c r="T268" s="34">
        <f t="shared" ca="1" si="227"/>
        <v>15317.458779947887</v>
      </c>
      <c r="U268" s="15"/>
      <c r="V268" s="35">
        <f t="shared" si="228"/>
        <v>0.31</v>
      </c>
      <c r="W268" s="34">
        <f ca="1">V268*$G268/(1-$M$6)</f>
        <v>1045.4766731253574</v>
      </c>
      <c r="X268" s="35">
        <f t="shared" si="230"/>
        <v>0.37</v>
      </c>
      <c r="Y268" s="34">
        <f t="shared" ca="1" si="231"/>
        <v>1247.8269969560715</v>
      </c>
      <c r="Z268" s="35">
        <f t="shared" si="232"/>
        <v>0.57999999999999996</v>
      </c>
      <c r="AA268" s="34">
        <f t="shared" ca="1" si="233"/>
        <v>1956.0531303635717</v>
      </c>
      <c r="AB268" s="34">
        <f t="shared" ca="1" si="234"/>
        <v>4249.3568004450008</v>
      </c>
      <c r="AC268" s="15"/>
      <c r="AD268" s="34">
        <f t="shared" ca="1" si="235"/>
        <v>11068.101979502886</v>
      </c>
      <c r="AE268" s="34">
        <f ca="1"/>
        <v>0</v>
      </c>
      <c r="AF268" s="34">
        <f t="shared" ca="1" si="236"/>
        <v>11068.101979502886</v>
      </c>
      <c r="AG268" s="15"/>
      <c r="AH268" s="272">
        <f t="shared" si="244"/>
        <v>55884</v>
      </c>
      <c r="AI268" s="267">
        <f t="shared" si="212"/>
        <v>38.666666666666664</v>
      </c>
      <c r="AJ268" s="267">
        <f t="shared" si="213"/>
        <v>2.5088970482325681E-2</v>
      </c>
      <c r="AK268" s="34">
        <f t="shared" ca="1" si="245"/>
        <v>277.68728385911834</v>
      </c>
      <c r="AL268" s="233"/>
      <c r="AN268" s="232"/>
      <c r="AO268" s="250">
        <f t="shared" si="284"/>
        <v>39</v>
      </c>
      <c r="AP268" s="34">
        <f t="shared" ref="AP268:AS268" ca="1" si="292">+AP218</f>
        <v>54.442064486001506</v>
      </c>
      <c r="AQ268" s="34">
        <f t="shared" ca="1" si="292"/>
        <v>0.3601041689239437</v>
      </c>
      <c r="AR268" s="34">
        <f t="shared" ca="1" si="292"/>
        <v>0</v>
      </c>
      <c r="AS268" s="34">
        <f t="shared" ca="1" si="292"/>
        <v>56.602689499545171</v>
      </c>
      <c r="AT268" s="15"/>
      <c r="AW268" s="34">
        <f t="shared" ca="1" si="239"/>
        <v>54.442064486001506</v>
      </c>
      <c r="AX268" s="34">
        <f t="shared" ca="1" si="215"/>
        <v>0.3601041689239437</v>
      </c>
      <c r="AY268" s="34">
        <f t="shared" ca="1" si="216"/>
        <v>0</v>
      </c>
      <c r="AZ268" s="34">
        <f t="shared" ca="1" si="217"/>
        <v>56.602689499545171</v>
      </c>
      <c r="BB268" s="34">
        <f t="shared" ca="1" si="286"/>
        <v>0</v>
      </c>
      <c r="BC268" s="34">
        <f t="shared" ca="1" si="286"/>
        <v>0</v>
      </c>
      <c r="BD268" s="34">
        <f t="shared" ca="1" si="286"/>
        <v>0</v>
      </c>
      <c r="BE268" s="34">
        <f t="shared" ca="1" si="286"/>
        <v>0</v>
      </c>
      <c r="BF268" s="34">
        <f t="shared" ca="1" si="286"/>
        <v>0</v>
      </c>
      <c r="BG268" s="34">
        <f t="shared" ca="1" si="286"/>
        <v>0</v>
      </c>
      <c r="BH268" s="34">
        <f t="shared" ca="1" si="286"/>
        <v>0</v>
      </c>
      <c r="BI268" s="34">
        <f t="shared" ca="1" si="286"/>
        <v>0</v>
      </c>
      <c r="BJ268" s="34">
        <f t="shared" ca="1" si="286"/>
        <v>0</v>
      </c>
      <c r="BK268" s="34">
        <f t="shared" ca="1" si="286"/>
        <v>0</v>
      </c>
      <c r="BL268" s="34">
        <f t="shared" ca="1" si="286"/>
        <v>0</v>
      </c>
      <c r="BM268" s="34">
        <f t="shared" ca="1" si="286"/>
        <v>0</v>
      </c>
      <c r="BN268" s="34">
        <f t="shared" ca="1" si="286"/>
        <v>0</v>
      </c>
      <c r="BO268" s="34">
        <f t="shared" ca="1" si="286"/>
        <v>0</v>
      </c>
      <c r="BP268" s="34">
        <f t="shared" ca="1" si="286"/>
        <v>0</v>
      </c>
      <c r="BQ268" s="34">
        <f t="shared" ca="1" si="283"/>
        <v>0</v>
      </c>
      <c r="BR268" s="34">
        <f t="shared" ca="1" si="280"/>
        <v>0</v>
      </c>
      <c r="BS268" s="34">
        <f t="shared" ca="1" si="280"/>
        <v>0</v>
      </c>
      <c r="BT268" s="34">
        <f t="shared" ca="1" si="280"/>
        <v>0</v>
      </c>
      <c r="BU268" s="34">
        <f t="shared" ca="1" si="280"/>
        <v>0</v>
      </c>
      <c r="BV268" s="34">
        <f t="shared" ca="1" si="280"/>
        <v>0</v>
      </c>
      <c r="BW268" s="34">
        <f t="shared" ca="1" si="280"/>
        <v>0</v>
      </c>
      <c r="BX268" s="34">
        <f t="shared" ca="1" si="280"/>
        <v>3099.3031034046744</v>
      </c>
      <c r="BY268" s="34">
        <f t="shared" ca="1" si="280"/>
        <v>7178.5102450086188</v>
      </c>
      <c r="BZ268" s="34">
        <f t="shared" ca="1" si="280"/>
        <v>7474.8132494205784</v>
      </c>
      <c r="CA268" s="34">
        <f t="shared" ca="1" si="280"/>
        <v>7802.6715126600911</v>
      </c>
      <c r="CB268" s="34">
        <f t="shared" ca="1" si="280"/>
        <v>8169.7558612917592</v>
      </c>
      <c r="CC268" s="34">
        <f t="shared" ca="1" si="280"/>
        <v>0</v>
      </c>
      <c r="CD268" s="34">
        <f t="shared" ca="1" si="280"/>
        <v>0</v>
      </c>
      <c r="CE268" s="34">
        <f t="shared" ca="1" si="280"/>
        <v>0</v>
      </c>
      <c r="CF268" s="34">
        <f t="shared" ca="1" si="280"/>
        <v>0</v>
      </c>
      <c r="CG268" s="34">
        <f t="shared" ca="1" si="280"/>
        <v>0</v>
      </c>
      <c r="CH268" s="34">
        <f t="shared" ca="1" si="281"/>
        <v>0</v>
      </c>
      <c r="CI268" s="34">
        <f t="shared" ca="1" si="281"/>
        <v>0</v>
      </c>
      <c r="CJ268" s="34">
        <f t="shared" ca="1" si="281"/>
        <v>0</v>
      </c>
      <c r="CK268" s="34">
        <f t="shared" ca="1" si="281"/>
        <v>0</v>
      </c>
      <c r="CL268" s="34">
        <f t="shared" ca="1" si="281"/>
        <v>0</v>
      </c>
      <c r="CM268" s="34">
        <f t="shared" ca="1" si="281"/>
        <v>0</v>
      </c>
      <c r="CN268" s="34">
        <f t="shared" ca="1" si="281"/>
        <v>0</v>
      </c>
      <c r="CO268" s="34">
        <f t="shared" ca="1" si="281"/>
        <v>0</v>
      </c>
      <c r="CP268" s="34">
        <f t="shared" ca="1" si="281"/>
        <v>0</v>
      </c>
      <c r="CQ268" s="34">
        <f t="shared" ca="1" si="241"/>
        <v>33725.053971785717</v>
      </c>
      <c r="CR268" s="363">
        <v>0</v>
      </c>
      <c r="CS268" s="34">
        <f t="shared" ca="1" si="242"/>
        <v>33725.053971785717</v>
      </c>
      <c r="CT268" s="233"/>
    </row>
    <row r="269" spans="2:98" x14ac:dyDescent="0.3">
      <c r="B269" s="232"/>
      <c r="C269" s="250">
        <f t="shared" si="243"/>
        <v>2053</v>
      </c>
      <c r="D269" s="263">
        <f t="shared" ca="1" si="221"/>
        <v>3109.9566417924129</v>
      </c>
      <c r="E269" s="263">
        <f t="shared" ca="1" si="207"/>
        <v>20.570644453979398</v>
      </c>
      <c r="F269" s="263">
        <f t="shared" ca="1" si="208"/>
        <v>0</v>
      </c>
      <c r="G269" s="263">
        <f t="shared" ca="1" si="222"/>
        <v>3233.3805085162894</v>
      </c>
      <c r="H269" s="15"/>
      <c r="I269" s="271">
        <f ca="1">Assumptions!O$68</f>
        <v>4.5</v>
      </c>
      <c r="J269" s="271">
        <f ca="1">Assumptions!P$68</f>
        <v>80</v>
      </c>
      <c r="K269" s="271">
        <f t="shared" ca="1" si="209"/>
        <v>40</v>
      </c>
      <c r="L269" s="15"/>
      <c r="M269" s="35">
        <f t="shared" ca="1" si="223"/>
        <v>4.2299999999999995</v>
      </c>
      <c r="N269" s="35">
        <f t="shared" ca="1" si="210"/>
        <v>74.400000000000006</v>
      </c>
      <c r="O269" s="35">
        <f t="shared" ca="1" si="211"/>
        <v>37.200000000000003</v>
      </c>
      <c r="P269" s="15"/>
      <c r="Q269" s="34">
        <f t="shared" ca="1" si="224"/>
        <v>13155.116594781904</v>
      </c>
      <c r="R269" s="34">
        <f t="shared" ca="1" si="225"/>
        <v>1530.4559473760673</v>
      </c>
      <c r="S269" s="34">
        <f t="shared" ca="1" si="226"/>
        <v>0</v>
      </c>
      <c r="T269" s="34">
        <f t="shared" ca="1" si="227"/>
        <v>14685.572542157972</v>
      </c>
      <c r="U269" s="15"/>
      <c r="V269" s="35">
        <f t="shared" si="228"/>
        <v>0.31</v>
      </c>
      <c r="W269" s="34">
        <f t="shared" ref="W269" ca="1" si="293">V269*$G269/(1-$M$6)</f>
        <v>1002.3479576400497</v>
      </c>
      <c r="X269" s="35">
        <f t="shared" si="230"/>
        <v>0.37</v>
      </c>
      <c r="Y269" s="34">
        <f t="shared" ca="1" si="231"/>
        <v>1196.350788151027</v>
      </c>
      <c r="Z269" s="35">
        <f t="shared" si="232"/>
        <v>0.57999999999999996</v>
      </c>
      <c r="AA269" s="34">
        <f t="shared" ca="1" si="233"/>
        <v>1875.3606949394477</v>
      </c>
      <c r="AB269" s="34">
        <f t="shared" ca="1" si="234"/>
        <v>4074.0594407305243</v>
      </c>
      <c r="AC269" s="15"/>
      <c r="AD269" s="34">
        <f t="shared" ca="1" si="235"/>
        <v>10611.513101427448</v>
      </c>
      <c r="AE269" s="34">
        <f ca="1"/>
        <v>0</v>
      </c>
      <c r="AF269" s="34">
        <f t="shared" ca="1" si="236"/>
        <v>10611.513101427448</v>
      </c>
      <c r="AG269" s="15"/>
      <c r="AH269" s="272">
        <f t="shared" si="244"/>
        <v>56249</v>
      </c>
      <c r="AI269" s="267">
        <f t="shared" si="212"/>
        <v>39.666666666666664</v>
      </c>
      <c r="AJ269" s="267">
        <f t="shared" si="213"/>
        <v>2.280815498393244E-2</v>
      </c>
      <c r="AK269" s="34">
        <f t="shared" ca="1" si="245"/>
        <v>242.02903543138683</v>
      </c>
      <c r="AL269" s="233"/>
      <c r="AN269" s="232"/>
      <c r="AO269" s="250">
        <f t="shared" si="284"/>
        <v>40</v>
      </c>
      <c r="AP269" s="34">
        <f t="shared" ref="AP269:AS269" ca="1" si="294">+AP219</f>
        <v>52.323373548361886</v>
      </c>
      <c r="AQ269" s="34">
        <f t="shared" ca="1" si="294"/>
        <v>0.34609019927550055</v>
      </c>
      <c r="AR269" s="34">
        <f t="shared" ca="1" si="294"/>
        <v>0</v>
      </c>
      <c r="AS269" s="34">
        <f t="shared" ca="1" si="294"/>
        <v>54.399914744014886</v>
      </c>
      <c r="AT269" s="15"/>
      <c r="AW269" s="34">
        <f t="shared" ca="1" si="239"/>
        <v>52.323373548361886</v>
      </c>
      <c r="AX269" s="34">
        <f t="shared" ca="1" si="215"/>
        <v>0.34609019927550055</v>
      </c>
      <c r="AY269" s="34">
        <f t="shared" ca="1" si="216"/>
        <v>0</v>
      </c>
      <c r="AZ269" s="34">
        <f t="shared" ca="1" si="217"/>
        <v>54.399914744014886</v>
      </c>
      <c r="BB269" s="34">
        <f t="shared" ca="1" si="286"/>
        <v>0</v>
      </c>
      <c r="BC269" s="34">
        <f t="shared" ca="1" si="286"/>
        <v>0</v>
      </c>
      <c r="BD269" s="34">
        <f t="shared" ca="1" si="286"/>
        <v>0</v>
      </c>
      <c r="BE269" s="34">
        <f t="shared" ca="1" si="286"/>
        <v>0</v>
      </c>
      <c r="BF269" s="34">
        <f t="shared" ca="1" si="286"/>
        <v>0</v>
      </c>
      <c r="BG269" s="34">
        <f t="shared" ca="1" si="286"/>
        <v>0</v>
      </c>
      <c r="BH269" s="34">
        <f t="shared" ca="1" si="286"/>
        <v>0</v>
      </c>
      <c r="BI269" s="34">
        <f t="shared" ca="1" si="286"/>
        <v>0</v>
      </c>
      <c r="BJ269" s="34">
        <f t="shared" ca="1" si="286"/>
        <v>0</v>
      </c>
      <c r="BK269" s="34">
        <f t="shared" ca="1" si="286"/>
        <v>0</v>
      </c>
      <c r="BL269" s="34">
        <f t="shared" ca="1" si="286"/>
        <v>0</v>
      </c>
      <c r="BM269" s="34">
        <f t="shared" ca="1" si="286"/>
        <v>0</v>
      </c>
      <c r="BN269" s="34">
        <f t="shared" ca="1" si="286"/>
        <v>0</v>
      </c>
      <c r="BO269" s="34">
        <f t="shared" ca="1" si="286"/>
        <v>0</v>
      </c>
      <c r="BP269" s="34">
        <f t="shared" ca="1" si="286"/>
        <v>0</v>
      </c>
      <c r="BQ269" s="34">
        <f t="shared" ca="1" si="283"/>
        <v>0</v>
      </c>
      <c r="BR269" s="34">
        <f t="shared" ca="1" si="280"/>
        <v>0</v>
      </c>
      <c r="BS269" s="34">
        <f t="shared" ca="1" si="280"/>
        <v>0</v>
      </c>
      <c r="BT269" s="34">
        <f t="shared" ca="1" si="280"/>
        <v>0</v>
      </c>
      <c r="BU269" s="34">
        <f t="shared" ca="1" si="280"/>
        <v>0</v>
      </c>
      <c r="BV269" s="34">
        <f t="shared" ca="1" si="280"/>
        <v>0</v>
      </c>
      <c r="BW269" s="34">
        <f t="shared" ca="1" si="280"/>
        <v>0</v>
      </c>
      <c r="BX269" s="34">
        <f t="shared" ca="1" si="280"/>
        <v>2978.6892573955502</v>
      </c>
      <c r="BY269" s="34">
        <f t="shared" ca="1" si="280"/>
        <v>6899.1208206780539</v>
      </c>
      <c r="BZ269" s="34">
        <f t="shared" ca="1" si="280"/>
        <v>7178.5102450086188</v>
      </c>
      <c r="CA269" s="34">
        <f t="shared" ca="1" si="280"/>
        <v>7474.8132494205784</v>
      </c>
      <c r="CB269" s="34">
        <f t="shared" ca="1" si="280"/>
        <v>7802.6715126600911</v>
      </c>
      <c r="CC269" s="34">
        <f t="shared" ca="1" si="280"/>
        <v>0</v>
      </c>
      <c r="CD269" s="34">
        <f t="shared" ca="1" si="280"/>
        <v>0</v>
      </c>
      <c r="CE269" s="34">
        <f t="shared" ca="1" si="280"/>
        <v>0</v>
      </c>
      <c r="CF269" s="34">
        <f t="shared" ca="1" si="280"/>
        <v>0</v>
      </c>
      <c r="CG269" s="34">
        <f t="shared" ca="1" si="280"/>
        <v>0</v>
      </c>
      <c r="CH269" s="34">
        <f t="shared" ca="1" si="281"/>
        <v>0</v>
      </c>
      <c r="CI269" s="34">
        <f t="shared" ca="1" si="281"/>
        <v>0</v>
      </c>
      <c r="CJ269" s="34">
        <f t="shared" ca="1" si="281"/>
        <v>0</v>
      </c>
      <c r="CK269" s="34">
        <f t="shared" ca="1" si="281"/>
        <v>0</v>
      </c>
      <c r="CL269" s="34">
        <f t="shared" ca="1" si="281"/>
        <v>0</v>
      </c>
      <c r="CM269" s="34">
        <f t="shared" ca="1" si="281"/>
        <v>0</v>
      </c>
      <c r="CN269" s="34">
        <f t="shared" ca="1" si="281"/>
        <v>0</v>
      </c>
      <c r="CO269" s="34">
        <f t="shared" ca="1" si="281"/>
        <v>0</v>
      </c>
      <c r="CP269" s="34">
        <f t="shared" ca="1" si="281"/>
        <v>0</v>
      </c>
      <c r="CQ269" s="34">
        <f t="shared" ca="1" si="241"/>
        <v>32333.80508516289</v>
      </c>
      <c r="CR269" s="363">
        <v>0</v>
      </c>
      <c r="CS269" s="34">
        <f t="shared" ca="1" si="242"/>
        <v>32333.80508516289</v>
      </c>
      <c r="CT269" s="233"/>
    </row>
    <row r="270" spans="2:98" x14ac:dyDescent="0.3">
      <c r="B270" s="232"/>
      <c r="C270" s="274" t="s">
        <v>302</v>
      </c>
      <c r="D270" s="39">
        <f ca="1">SUM(D229:D269)</f>
        <v>120135.85793768347</v>
      </c>
      <c r="E270" s="39">
        <f t="shared" ref="E270:F270" ca="1" si="295">SUM(E229:E269)</f>
        <v>794.63230663741876</v>
      </c>
      <c r="F270" s="39">
        <f t="shared" ca="1" si="295"/>
        <v>0</v>
      </c>
      <c r="G270" s="39">
        <f ca="1">SUM(G229:G269)</f>
        <v>124903.651777508</v>
      </c>
      <c r="H270" s="15"/>
      <c r="I270" s="15"/>
      <c r="J270" s="15"/>
      <c r="K270" s="15"/>
      <c r="L270" s="15"/>
      <c r="M270" s="35"/>
      <c r="N270" s="35"/>
      <c r="O270" s="35"/>
      <c r="P270" s="15"/>
      <c r="Q270" s="8">
        <f ca="1">SUM(Q229:Q269)</f>
        <v>508174.67907640117</v>
      </c>
      <c r="R270" s="8">
        <f ca="1">SUM(R229:R269)</f>
        <v>59120.643613823966</v>
      </c>
      <c r="S270" s="8">
        <f ca="1">SUM(S229:S269)</f>
        <v>0</v>
      </c>
      <c r="T270" s="8">
        <f t="shared" ca="1" si="227"/>
        <v>567295.32269022509</v>
      </c>
      <c r="U270" s="15"/>
      <c r="V270" s="275"/>
      <c r="W270" s="276">
        <f ca="1">SUM(W229:W269)</f>
        <v>38720.132051027482</v>
      </c>
      <c r="X270" s="275"/>
      <c r="Y270" s="276">
        <f ca="1">SUM(Y229:Y269)</f>
        <v>46214.351157677971</v>
      </c>
      <c r="Z270" s="275"/>
      <c r="AA270" s="276">
        <f ca="1">SUM(AA229:AA269)</f>
        <v>72444.118030954618</v>
      </c>
      <c r="AB270" s="276">
        <f ca="1">SUM(AB229:AB269)</f>
        <v>157378.60123966011</v>
      </c>
      <c r="AC270" s="15"/>
      <c r="AD270" s="276">
        <f ca="1">SUM(AD229:AD269)</f>
        <v>409916.72145056503</v>
      </c>
      <c r="AE270" s="276">
        <f ca="1">SUM(AE229:AE269)</f>
        <v>158520.52716160388</v>
      </c>
      <c r="AF270" s="276">
        <f ca="1">SUM(AF229:AF269)</f>
        <v>251396.19428896115</v>
      </c>
      <c r="AG270" s="15"/>
      <c r="AH270" s="277"/>
      <c r="AI270" s="278"/>
      <c r="AJ270" s="278"/>
      <c r="AK270" s="279">
        <f ca="1">SUM(AK229:AK269)</f>
        <v>13169.076053503628</v>
      </c>
      <c r="AL270" s="233"/>
      <c r="AN270" s="232"/>
      <c r="AO270" s="274" t="s">
        <v>302</v>
      </c>
      <c r="AP270" s="8">
        <f ca="1">SUM(AP229:AP269)</f>
        <v>7400.5103261742852</v>
      </c>
      <c r="AQ270" s="8">
        <f t="shared" ref="AQ270" ca="1" si="296">SUM(AQ229:AQ269)</f>
        <v>48.950285882440866</v>
      </c>
      <c r="AR270" s="8">
        <f t="shared" ref="AR270" ca="1" si="297">SUM(AR229:AR269)</f>
        <v>0</v>
      </c>
      <c r="AS270" s="8">
        <f t="shared" ref="AS270" ca="1" si="298">SUM(AS229:AS269)</f>
        <v>7694.2120414689316</v>
      </c>
      <c r="AT270" s="15"/>
      <c r="AW270" s="8">
        <f ca="1">SUM(AW229:AW269)</f>
        <v>7400.5103261742852</v>
      </c>
      <c r="AX270" s="8">
        <f ca="1">SUM(AX229:AX269)</f>
        <v>48.950285882440866</v>
      </c>
      <c r="AY270" s="8">
        <f ca="1">SUM(AY229:AY269)</f>
        <v>0</v>
      </c>
      <c r="AZ270" s="8">
        <f ca="1">SUM(AZ229:AZ269)</f>
        <v>7694.2120414689316</v>
      </c>
      <c r="BB270" s="8">
        <f ca="1">SUM(BB229:BB269)</f>
        <v>0</v>
      </c>
      <c r="BC270" s="8">
        <f t="shared" ref="BC270:CS270" ca="1" si="299">SUM(BC229:BC269)</f>
        <v>0</v>
      </c>
      <c r="BD270" s="8">
        <f t="shared" ca="1" si="299"/>
        <v>0</v>
      </c>
      <c r="BE270" s="8">
        <f t="shared" ca="1" si="299"/>
        <v>0</v>
      </c>
      <c r="BF270" s="8">
        <f t="shared" ca="1" si="299"/>
        <v>0</v>
      </c>
      <c r="BG270" s="8">
        <f t="shared" ca="1" si="299"/>
        <v>0</v>
      </c>
      <c r="BH270" s="8">
        <f t="shared" ca="1" si="299"/>
        <v>0</v>
      </c>
      <c r="BI270" s="8">
        <f t="shared" ca="1" si="299"/>
        <v>0</v>
      </c>
      <c r="BJ270" s="8">
        <f t="shared" ca="1" si="299"/>
        <v>0</v>
      </c>
      <c r="BK270" s="8">
        <f t="shared" ca="1" si="299"/>
        <v>0</v>
      </c>
      <c r="BL270" s="8">
        <f t="shared" ca="1" si="299"/>
        <v>0</v>
      </c>
      <c r="BM270" s="8">
        <f t="shared" ca="1" si="299"/>
        <v>0</v>
      </c>
      <c r="BN270" s="8">
        <f t="shared" ca="1" si="299"/>
        <v>0</v>
      </c>
      <c r="BO270" s="8">
        <f t="shared" ca="1" si="299"/>
        <v>0</v>
      </c>
      <c r="BP270" s="8">
        <f t="shared" ca="1" si="299"/>
        <v>0</v>
      </c>
      <c r="BQ270" s="8">
        <f t="shared" ca="1" si="299"/>
        <v>0</v>
      </c>
      <c r="BR270" s="8">
        <f t="shared" ca="1" si="299"/>
        <v>0</v>
      </c>
      <c r="BS270" s="8">
        <f t="shared" ca="1" si="299"/>
        <v>0</v>
      </c>
      <c r="BT270" s="8">
        <f t="shared" ca="1" si="299"/>
        <v>0</v>
      </c>
      <c r="BU270" s="8">
        <f t="shared" ca="1" si="299"/>
        <v>0</v>
      </c>
      <c r="BV270" s="8">
        <f t="shared" ca="1" si="299"/>
        <v>0</v>
      </c>
      <c r="BW270" s="8">
        <f t="shared" ca="1" si="299"/>
        <v>0</v>
      </c>
      <c r="BX270" s="8">
        <f t="shared" ca="1" si="299"/>
        <v>133085.20337248466</v>
      </c>
      <c r="BY270" s="8">
        <f t="shared" ca="1" si="299"/>
        <v>289620.12765101681</v>
      </c>
      <c r="BZ270" s="8">
        <f t="shared" ca="1" si="299"/>
        <v>282721.00683033874</v>
      </c>
      <c r="CA270" s="8">
        <f t="shared" ca="1" si="299"/>
        <v>275542.49658533011</v>
      </c>
      <c r="CB270" s="8">
        <f t="shared" ca="1" si="299"/>
        <v>268067.68333590956</v>
      </c>
      <c r="CC270" s="8">
        <f t="shared" ca="1" si="299"/>
        <v>0</v>
      </c>
      <c r="CD270" s="8">
        <f t="shared" ca="1" si="299"/>
        <v>0</v>
      </c>
      <c r="CE270" s="8">
        <f t="shared" ca="1" si="299"/>
        <v>0</v>
      </c>
      <c r="CF270" s="8">
        <f t="shared" ca="1" si="299"/>
        <v>0</v>
      </c>
      <c r="CG270" s="8">
        <f t="shared" ca="1" si="299"/>
        <v>0</v>
      </c>
      <c r="CH270" s="8">
        <f t="shared" ca="1" si="299"/>
        <v>0</v>
      </c>
      <c r="CI270" s="8">
        <f t="shared" ca="1" si="299"/>
        <v>0</v>
      </c>
      <c r="CJ270" s="8">
        <f t="shared" ca="1" si="299"/>
        <v>0</v>
      </c>
      <c r="CK270" s="8">
        <f t="shared" ca="1" si="299"/>
        <v>0</v>
      </c>
      <c r="CL270" s="8">
        <f t="shared" ca="1" si="299"/>
        <v>0</v>
      </c>
      <c r="CM270" s="8">
        <f t="shared" ca="1" si="299"/>
        <v>0</v>
      </c>
      <c r="CN270" s="8">
        <f t="shared" ca="1" si="299"/>
        <v>0</v>
      </c>
      <c r="CO270" s="8">
        <f t="shared" ca="1" si="299"/>
        <v>0</v>
      </c>
      <c r="CP270" s="8">
        <f t="shared" ca="1" si="299"/>
        <v>0</v>
      </c>
      <c r="CQ270" s="8">
        <f t="shared" ca="1" si="299"/>
        <v>1249036.5177750799</v>
      </c>
      <c r="CR270" s="8">
        <f t="shared" si="299"/>
        <v>0</v>
      </c>
      <c r="CS270" s="8">
        <f t="shared" ca="1" si="299"/>
        <v>1249036.5177750799</v>
      </c>
      <c r="CT270" s="233"/>
    </row>
    <row r="271" spans="2:98" x14ac:dyDescent="0.3">
      <c r="B271" s="232"/>
      <c r="C271" s="283" t="s">
        <v>303</v>
      </c>
      <c r="D271" s="263">
        <f t="shared" ref="D271:F271" ca="1" si="300">D272-D270</f>
        <v>368002.99807387393</v>
      </c>
      <c r="E271" s="263">
        <f t="shared" ca="1" si="300"/>
        <v>2434.1364537523418</v>
      </c>
      <c r="F271" s="263">
        <f t="shared" ca="1" si="300"/>
        <v>0</v>
      </c>
      <c r="G271" s="263">
        <f ca="1">G272-G270</f>
        <v>382607.81679638801</v>
      </c>
      <c r="H271" s="15"/>
      <c r="I271" s="15"/>
      <c r="J271" s="15"/>
      <c r="K271" s="15"/>
      <c r="L271" s="15"/>
      <c r="M271" s="35">
        <f ca="1">M269</f>
        <v>4.2299999999999995</v>
      </c>
      <c r="N271" s="35">
        <f t="shared" ref="N271:O271" ca="1" si="301">N269</f>
        <v>74.400000000000006</v>
      </c>
      <c r="O271" s="35">
        <f t="shared" ca="1" si="301"/>
        <v>37.200000000000003</v>
      </c>
      <c r="P271" s="15"/>
      <c r="Q271" s="34">
        <f t="shared" ref="Q271" ca="1" si="302">D271*M271</f>
        <v>1556652.6818524865</v>
      </c>
      <c r="R271" s="34">
        <f t="shared" ref="R271" ca="1" si="303">E271*N271</f>
        <v>181099.75215917424</v>
      </c>
      <c r="S271" s="34">
        <f t="shared" ref="S271" ca="1" si="304">F271*O271</f>
        <v>0</v>
      </c>
      <c r="T271" s="34">
        <f t="shared" ref="T271" ca="1" si="305">SUM(Q271:S271)</f>
        <v>1737752.4340116607</v>
      </c>
      <c r="U271" s="15"/>
      <c r="V271" s="35">
        <f>V269</f>
        <v>0.31</v>
      </c>
      <c r="W271" s="34">
        <f ca="1">V271*$G271/(1-$M$6)</f>
        <v>118608.42320688028</v>
      </c>
      <c r="X271" s="35">
        <f>X269</f>
        <v>0.37</v>
      </c>
      <c r="Y271" s="34">
        <f ca="1">X271*$G271/(1-$M$6)</f>
        <v>141564.89221466356</v>
      </c>
      <c r="Z271" s="35">
        <f>Z269</f>
        <v>0.57999999999999996</v>
      </c>
      <c r="AA271" s="34">
        <f ca="1">Z271*$G271/(1-$M$6)</f>
        <v>221912.53374190503</v>
      </c>
      <c r="AB271" s="34">
        <f ca="1">W271+Y271+AA271</f>
        <v>482085.8491634489</v>
      </c>
      <c r="AC271" s="15"/>
      <c r="AD271" s="34">
        <f ca="1">T271-AB271</f>
        <v>1255666.5848482118</v>
      </c>
      <c r="AE271" s="62">
        <f ca="1">CR226*$M$9*$AQ$11*Units</f>
        <v>303200.59880239522</v>
      </c>
      <c r="AF271" s="34">
        <f ca="1">AD271-AE271</f>
        <v>952465.98604581668</v>
      </c>
      <c r="AG271" s="15"/>
      <c r="AH271" s="266">
        <f>Remainder_Date</f>
        <v>56249</v>
      </c>
      <c r="AI271" s="267">
        <f t="shared" ref="AI271" si="306">DAYS360(Valuation_Date,AH271)/360-MIN(0.5,0.5*DAYS360(Valuation_Date,AH271)/360)</f>
        <v>39.666666666666664</v>
      </c>
      <c r="AJ271" s="267">
        <f t="shared" ref="AJ271" si="307">1/((1+Discount_Rate)^AI271)</f>
        <v>2.280815498393244E-2</v>
      </c>
      <c r="AK271" s="34">
        <f t="shared" ref="AK271" ca="1" si="308">AJ271*AF271</f>
        <v>21723.99182665702</v>
      </c>
      <c r="AL271" s="233"/>
      <c r="AN271" s="232"/>
      <c r="AO271" s="352" t="s">
        <v>303</v>
      </c>
      <c r="AP271" s="34">
        <f ca="1">AP272-AP270</f>
        <v>6.8377874413272366E-5</v>
      </c>
      <c r="AQ271" s="34">
        <f t="shared" ref="AQ271" ca="1" si="309">AQ272-AQ270</f>
        <v>4.5228183864765015E-7</v>
      </c>
      <c r="AR271" s="34">
        <f t="shared" ref="AR271" ca="1" si="310">AR272-AR270</f>
        <v>0</v>
      </c>
      <c r="AS271" s="34">
        <f t="shared" ref="AS271" ca="1" si="311">AS272-AS270</f>
        <v>7.109156376827741E-5</v>
      </c>
      <c r="AT271" s="15"/>
      <c r="AW271" s="34">
        <f ca="1">AW272-AW270</f>
        <v>6.8377874413272366E-5</v>
      </c>
      <c r="AX271" s="34">
        <f t="shared" ref="AX271:AZ271" ca="1" si="312">AX272-AX270</f>
        <v>4.5228183864765015E-7</v>
      </c>
      <c r="AY271" s="34">
        <f t="shared" ca="1" si="312"/>
        <v>0</v>
      </c>
      <c r="AZ271" s="34">
        <f t="shared" ca="1" si="312"/>
        <v>7.109156376827741E-5</v>
      </c>
      <c r="BB271" s="180">
        <f ca="1">BB272-BB270</f>
        <v>0</v>
      </c>
      <c r="BC271" s="180">
        <f t="shared" ref="BC271:CP271" ca="1" si="313">BC272-BC270</f>
        <v>0</v>
      </c>
      <c r="BD271" s="180">
        <f t="shared" ca="1" si="313"/>
        <v>0</v>
      </c>
      <c r="BE271" s="180">
        <f t="shared" ca="1" si="313"/>
        <v>0</v>
      </c>
      <c r="BF271" s="180">
        <f t="shared" ca="1" si="313"/>
        <v>0</v>
      </c>
      <c r="BG271" s="180">
        <f t="shared" ca="1" si="313"/>
        <v>0</v>
      </c>
      <c r="BH271" s="180">
        <f t="shared" ca="1" si="313"/>
        <v>0</v>
      </c>
      <c r="BI271" s="180">
        <f t="shared" ca="1" si="313"/>
        <v>0</v>
      </c>
      <c r="BJ271" s="180">
        <f t="shared" ca="1" si="313"/>
        <v>0</v>
      </c>
      <c r="BK271" s="180">
        <f t="shared" ca="1" si="313"/>
        <v>0</v>
      </c>
      <c r="BL271" s="180">
        <f t="shared" ca="1" si="313"/>
        <v>0</v>
      </c>
      <c r="BM271" s="180">
        <f t="shared" ca="1" si="313"/>
        <v>0</v>
      </c>
      <c r="BN271" s="180">
        <f t="shared" ca="1" si="313"/>
        <v>0</v>
      </c>
      <c r="BO271" s="180">
        <f t="shared" ca="1" si="313"/>
        <v>0</v>
      </c>
      <c r="BP271" s="180">
        <f t="shared" ca="1" si="313"/>
        <v>0</v>
      </c>
      <c r="BQ271" s="180">
        <f t="shared" ca="1" si="313"/>
        <v>0</v>
      </c>
      <c r="BR271" s="180">
        <f t="shared" ca="1" si="313"/>
        <v>0</v>
      </c>
      <c r="BS271" s="180">
        <f t="shared" ca="1" si="313"/>
        <v>0</v>
      </c>
      <c r="BT271" s="180">
        <f t="shared" ca="1" si="313"/>
        <v>0</v>
      </c>
      <c r="BU271" s="180">
        <f t="shared" ca="1" si="313"/>
        <v>0</v>
      </c>
      <c r="BV271" s="180">
        <f t="shared" ca="1" si="313"/>
        <v>0</v>
      </c>
      <c r="BW271" s="180">
        <f t="shared" ca="1" si="313"/>
        <v>0</v>
      </c>
      <c r="BX271" s="180">
        <f t="shared" ca="1" si="313"/>
        <v>42843.584228030173</v>
      </c>
      <c r="BY271" s="180">
        <f t="shared" ca="1" si="313"/>
        <v>102001.44694038568</v>
      </c>
      <c r="BZ271" s="180">
        <f t="shared" ca="1" si="313"/>
        <v>108900.56776106375</v>
      </c>
      <c r="CA271" s="180">
        <f t="shared" ca="1" si="313"/>
        <v>116079.07800607238</v>
      </c>
      <c r="CB271" s="180">
        <f t="shared" ca="1" si="313"/>
        <v>123553.89125549293</v>
      </c>
      <c r="CC271" s="180">
        <f t="shared" ca="1" si="313"/>
        <v>0</v>
      </c>
      <c r="CD271" s="180">
        <f t="shared" ca="1" si="313"/>
        <v>0</v>
      </c>
      <c r="CE271" s="180">
        <f t="shared" ca="1" si="313"/>
        <v>0</v>
      </c>
      <c r="CF271" s="180">
        <f t="shared" ca="1" si="313"/>
        <v>0</v>
      </c>
      <c r="CG271" s="180">
        <f t="shared" ca="1" si="313"/>
        <v>0</v>
      </c>
      <c r="CH271" s="180">
        <f t="shared" ca="1" si="313"/>
        <v>0</v>
      </c>
      <c r="CI271" s="180">
        <f t="shared" ca="1" si="313"/>
        <v>0</v>
      </c>
      <c r="CJ271" s="180">
        <f t="shared" ca="1" si="313"/>
        <v>0</v>
      </c>
      <c r="CK271" s="180">
        <f t="shared" ca="1" si="313"/>
        <v>0</v>
      </c>
      <c r="CL271" s="180">
        <f t="shared" ca="1" si="313"/>
        <v>0</v>
      </c>
      <c r="CM271" s="180">
        <f t="shared" ca="1" si="313"/>
        <v>0</v>
      </c>
      <c r="CN271" s="180">
        <f t="shared" ca="1" si="313"/>
        <v>0</v>
      </c>
      <c r="CO271" s="180">
        <f t="shared" ca="1" si="313"/>
        <v>0</v>
      </c>
      <c r="CP271" s="180">
        <f t="shared" ca="1" si="313"/>
        <v>0</v>
      </c>
      <c r="CQ271" s="180">
        <f ca="1">CQ272-CQ270</f>
        <v>493378.56819104473</v>
      </c>
      <c r="CR271" s="180">
        <f t="shared" ref="CR271:CS271" ca="1" si="314">CR272-CR270</f>
        <v>3332699.5997728352</v>
      </c>
      <c r="CS271" s="180">
        <f t="shared" ca="1" si="314"/>
        <v>3826078.1679638792</v>
      </c>
      <c r="CT271" s="233"/>
    </row>
    <row r="272" spans="2:98" x14ac:dyDescent="0.3">
      <c r="B272" s="232"/>
      <c r="C272" s="60" t="s">
        <v>26</v>
      </c>
      <c r="D272" s="39">
        <f t="shared" ca="1" si="221"/>
        <v>488138.85601155739</v>
      </c>
      <c r="E272" s="39">
        <f ca="1">$G272*$M$14/Bbl_to_Mcfe</f>
        <v>3228.7687603897607</v>
      </c>
      <c r="F272" s="39">
        <f ca="1">$G272*$M$13/Bbl_to_Mcfe</f>
        <v>0</v>
      </c>
      <c r="G272" s="39">
        <f ca="1">CS272*$AQ$11</f>
        <v>507511.46857389598</v>
      </c>
      <c r="H272" s="15"/>
      <c r="I272" s="15"/>
      <c r="J272" s="15"/>
      <c r="K272" s="15"/>
      <c r="L272" s="15"/>
      <c r="M272" s="15"/>
      <c r="N272" s="15"/>
      <c r="O272" s="15"/>
      <c r="P272" s="15"/>
      <c r="Q272" s="8">
        <f ca="1">Q271+Q270</f>
        <v>2064827.3609288875</v>
      </c>
      <c r="R272" s="8">
        <f t="shared" ref="R272:T272" ca="1" si="315">R271+R270</f>
        <v>240220.39577299822</v>
      </c>
      <c r="S272" s="8">
        <f t="shared" ca="1" si="315"/>
        <v>0</v>
      </c>
      <c r="T272" s="8">
        <f t="shared" ca="1" si="315"/>
        <v>2305047.7567018857</v>
      </c>
      <c r="U272" s="15"/>
      <c r="V272" s="9"/>
      <c r="W272" s="8">
        <f ca="1">W271+W270</f>
        <v>157328.55525790778</v>
      </c>
      <c r="X272" s="9"/>
      <c r="Y272" s="8">
        <f ca="1">Y271+Y270</f>
        <v>187779.24337234153</v>
      </c>
      <c r="Z272" s="9"/>
      <c r="AA272" s="8">
        <f ca="1">AA271+AA270</f>
        <v>294356.65177285962</v>
      </c>
      <c r="AB272" s="8">
        <f ca="1">AB271+AB270</f>
        <v>639464.45040310896</v>
      </c>
      <c r="AC272" s="15"/>
      <c r="AD272" s="8">
        <f ca="1">AD271+AD270</f>
        <v>1665583.306298777</v>
      </c>
      <c r="AE272" s="8">
        <f ca="1">AE271+AE270</f>
        <v>461721.12596399907</v>
      </c>
      <c r="AF272" s="8">
        <f ca="1">AF271+AF270</f>
        <v>1203862.1803347778</v>
      </c>
      <c r="AG272" s="15"/>
      <c r="AH272" s="9"/>
      <c r="AI272" s="9"/>
      <c r="AJ272" s="9"/>
      <c r="AK272" s="65">
        <f ca="1">SUM(AK270:AK271)</f>
        <v>34893.067880160648</v>
      </c>
      <c r="AL272" s="233"/>
      <c r="AN272" s="232"/>
      <c r="AO272" s="249" t="s">
        <v>26</v>
      </c>
      <c r="AP272" s="8">
        <f ca="1">+AP222</f>
        <v>7400.5103945521596</v>
      </c>
      <c r="AQ272" s="8">
        <f t="shared" ref="AQ272:AS272" ca="1" si="316">+AQ222</f>
        <v>48.950286334722705</v>
      </c>
      <c r="AR272" s="8">
        <f t="shared" ca="1" si="316"/>
        <v>0</v>
      </c>
      <c r="AS272" s="8">
        <f t="shared" ca="1" si="316"/>
        <v>7694.2121125604954</v>
      </c>
      <c r="AT272" s="15"/>
      <c r="AW272" s="8">
        <f t="shared" ref="AW272" ca="1" si="317">AP272*(1-$M$6)</f>
        <v>7400.5103945521596</v>
      </c>
      <c r="AX272" s="8">
        <f t="shared" ref="AX272" ca="1" si="318">AQ272*(1-$M$6)</f>
        <v>48.950286334722705</v>
      </c>
      <c r="AY272" s="8">
        <f t="shared" ref="AY272" ca="1" si="319">AR272*(1-$M$6)</f>
        <v>0</v>
      </c>
      <c r="AZ272" s="8">
        <f t="shared" ref="AZ272" ca="1" si="320">AS272*(1-$M$6)</f>
        <v>7694.2121125604954</v>
      </c>
      <c r="BB272" s="364">
        <f ca="1">$AS272*BB226</f>
        <v>0</v>
      </c>
      <c r="BC272" s="364">
        <f t="shared" ref="BC272:CS272" ca="1" si="321">$AS272*BC226</f>
        <v>0</v>
      </c>
      <c r="BD272" s="364">
        <f t="shared" ca="1" si="321"/>
        <v>0</v>
      </c>
      <c r="BE272" s="364">
        <f t="shared" ca="1" si="321"/>
        <v>0</v>
      </c>
      <c r="BF272" s="364">
        <f t="shared" ca="1" si="321"/>
        <v>0</v>
      </c>
      <c r="BG272" s="364">
        <f t="shared" ca="1" si="321"/>
        <v>0</v>
      </c>
      <c r="BH272" s="364">
        <f t="shared" ca="1" si="321"/>
        <v>0</v>
      </c>
      <c r="BI272" s="364">
        <f t="shared" ca="1" si="321"/>
        <v>0</v>
      </c>
      <c r="BJ272" s="364">
        <f t="shared" ca="1" si="321"/>
        <v>0</v>
      </c>
      <c r="BK272" s="364">
        <f t="shared" ca="1" si="321"/>
        <v>0</v>
      </c>
      <c r="BL272" s="364">
        <f t="shared" ca="1" si="321"/>
        <v>0</v>
      </c>
      <c r="BM272" s="364">
        <f t="shared" ca="1" si="321"/>
        <v>0</v>
      </c>
      <c r="BN272" s="364">
        <f t="shared" ca="1" si="321"/>
        <v>0</v>
      </c>
      <c r="BO272" s="364">
        <f t="shared" ca="1" si="321"/>
        <v>0</v>
      </c>
      <c r="BP272" s="364">
        <f t="shared" ca="1" si="321"/>
        <v>0</v>
      </c>
      <c r="BQ272" s="364">
        <f t="shared" ca="1" si="321"/>
        <v>0</v>
      </c>
      <c r="BR272" s="364">
        <f t="shared" ca="1" si="321"/>
        <v>0</v>
      </c>
      <c r="BS272" s="364">
        <f t="shared" ca="1" si="321"/>
        <v>0</v>
      </c>
      <c r="BT272" s="364">
        <f t="shared" ca="1" si="321"/>
        <v>0</v>
      </c>
      <c r="BU272" s="364">
        <f t="shared" ca="1" si="321"/>
        <v>0</v>
      </c>
      <c r="BV272" s="364">
        <f t="shared" ca="1" si="321"/>
        <v>0</v>
      </c>
      <c r="BW272" s="364">
        <f t="shared" ca="1" si="321"/>
        <v>0</v>
      </c>
      <c r="BX272" s="364">
        <f t="shared" ca="1" si="321"/>
        <v>175928.78760051483</v>
      </c>
      <c r="BY272" s="364">
        <f t="shared" ca="1" si="321"/>
        <v>391621.57459140249</v>
      </c>
      <c r="BZ272" s="364">
        <f t="shared" ca="1" si="321"/>
        <v>391621.57459140249</v>
      </c>
      <c r="CA272" s="364">
        <f t="shared" ca="1" si="321"/>
        <v>391621.57459140249</v>
      </c>
      <c r="CB272" s="364">
        <f t="shared" ca="1" si="321"/>
        <v>391621.57459140249</v>
      </c>
      <c r="CC272" s="364">
        <f t="shared" ca="1" si="321"/>
        <v>0</v>
      </c>
      <c r="CD272" s="364">
        <f t="shared" ca="1" si="321"/>
        <v>0</v>
      </c>
      <c r="CE272" s="364">
        <f t="shared" ca="1" si="321"/>
        <v>0</v>
      </c>
      <c r="CF272" s="364">
        <f t="shared" ca="1" si="321"/>
        <v>0</v>
      </c>
      <c r="CG272" s="364">
        <f t="shared" ca="1" si="321"/>
        <v>0</v>
      </c>
      <c r="CH272" s="364">
        <f t="shared" ca="1" si="321"/>
        <v>0</v>
      </c>
      <c r="CI272" s="364">
        <f t="shared" ca="1" si="321"/>
        <v>0</v>
      </c>
      <c r="CJ272" s="364">
        <f t="shared" ca="1" si="321"/>
        <v>0</v>
      </c>
      <c r="CK272" s="364">
        <f t="shared" ca="1" si="321"/>
        <v>0</v>
      </c>
      <c r="CL272" s="364">
        <f t="shared" ca="1" si="321"/>
        <v>0</v>
      </c>
      <c r="CM272" s="364">
        <f t="shared" ca="1" si="321"/>
        <v>0</v>
      </c>
      <c r="CN272" s="364">
        <f t="shared" ca="1" si="321"/>
        <v>0</v>
      </c>
      <c r="CO272" s="364">
        <f t="shared" ca="1" si="321"/>
        <v>0</v>
      </c>
      <c r="CP272" s="364">
        <f t="shared" ca="1" si="321"/>
        <v>0</v>
      </c>
      <c r="CQ272" s="364">
        <f t="shared" ca="1" si="321"/>
        <v>1742415.0859661247</v>
      </c>
      <c r="CR272" s="364">
        <f t="shared" ca="1" si="321"/>
        <v>3332699.5997728352</v>
      </c>
      <c r="CS272" s="364">
        <f t="shared" ca="1" si="321"/>
        <v>5075114.6857389593</v>
      </c>
      <c r="CT272" s="233"/>
    </row>
    <row r="273" spans="2:98" x14ac:dyDescent="0.3">
      <c r="B273" s="232"/>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233"/>
      <c r="AN273" s="232"/>
      <c r="AO273" s="15"/>
      <c r="AP273" s="15"/>
      <c r="AQ273" s="15"/>
      <c r="AR273" s="15"/>
      <c r="AS273" s="15"/>
      <c r="AT273" s="15"/>
      <c r="AV273" s="15"/>
      <c r="AW273" s="15"/>
      <c r="AX273" s="15"/>
      <c r="AY273" s="15"/>
      <c r="AZ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233"/>
    </row>
    <row r="274" spans="2:98" x14ac:dyDescent="0.3">
      <c r="B274" s="285" t="s">
        <v>306</v>
      </c>
      <c r="C274" s="286"/>
      <c r="D274" s="287"/>
      <c r="E274" s="287"/>
      <c r="F274" s="287"/>
      <c r="G274" s="287"/>
      <c r="H274" s="287"/>
      <c r="I274" s="287"/>
      <c r="J274" s="287"/>
      <c r="K274" s="287"/>
      <c r="L274" s="287"/>
      <c r="M274" s="287"/>
      <c r="N274" s="287"/>
      <c r="O274" s="287"/>
      <c r="P274" s="287"/>
      <c r="Q274" s="286" t="str">
        <f>B274</f>
        <v>TOTAL</v>
      </c>
      <c r="R274" s="287"/>
      <c r="S274" s="287"/>
      <c r="T274" s="287"/>
      <c r="U274" s="287"/>
      <c r="V274" s="287"/>
      <c r="W274" s="287"/>
      <c r="X274" s="287"/>
      <c r="Y274" s="287"/>
      <c r="Z274" s="287"/>
      <c r="AA274" s="287"/>
      <c r="AB274" s="287"/>
      <c r="AC274" s="287"/>
      <c r="AD274" s="286" t="str">
        <f>Q274</f>
        <v>TOTAL</v>
      </c>
      <c r="AE274" s="287"/>
      <c r="AF274" s="287"/>
      <c r="AG274" s="287"/>
      <c r="AH274" s="287"/>
      <c r="AI274" s="287"/>
      <c r="AJ274" s="287"/>
      <c r="AK274" s="287"/>
      <c r="AL274" s="288"/>
      <c r="AN274" s="256"/>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258"/>
    </row>
    <row r="275" spans="2:98" x14ac:dyDescent="0.3">
      <c r="B275" s="232"/>
      <c r="C275" s="292"/>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233"/>
    </row>
    <row r="276" spans="2:98" x14ac:dyDescent="0.3">
      <c r="B276" s="232"/>
      <c r="C276" s="37" t="s">
        <v>277</v>
      </c>
      <c r="D276" s="23"/>
      <c r="E276" s="23"/>
      <c r="F276" s="23"/>
      <c r="G276" s="23"/>
      <c r="H276" s="261"/>
      <c r="I276" s="37" t="s">
        <v>15</v>
      </c>
      <c r="J276" s="23"/>
      <c r="K276" s="23"/>
      <c r="L276" s="15"/>
      <c r="M276" s="37" t="s">
        <v>278</v>
      </c>
      <c r="N276" s="23"/>
      <c r="O276" s="23"/>
      <c r="P276" s="15"/>
      <c r="Q276" s="37" t="s">
        <v>279</v>
      </c>
      <c r="R276" s="23"/>
      <c r="S276" s="23"/>
      <c r="T276" s="23"/>
      <c r="U276" s="15"/>
      <c r="V276" s="37" t="s">
        <v>280</v>
      </c>
      <c r="W276" s="23"/>
      <c r="X276" s="23"/>
      <c r="Y276" s="23"/>
      <c r="Z276" s="23"/>
      <c r="AA276" s="23"/>
      <c r="AB276" s="4"/>
      <c r="AC276" s="15"/>
      <c r="AD276" s="37" t="s">
        <v>281</v>
      </c>
      <c r="AE276" s="23"/>
      <c r="AF276" s="23"/>
      <c r="AG276" s="15"/>
      <c r="AH276" s="37" t="s">
        <v>282</v>
      </c>
      <c r="AI276" s="23"/>
      <c r="AJ276" s="23"/>
      <c r="AK276" s="23"/>
      <c r="AL276" s="233"/>
    </row>
    <row r="277" spans="2:98" x14ac:dyDescent="0.3">
      <c r="B277" s="232"/>
      <c r="C277" s="250"/>
      <c r="D277" s="250" t="s">
        <v>10</v>
      </c>
      <c r="E277" s="250" t="s">
        <v>11</v>
      </c>
      <c r="F277" s="250" t="s">
        <v>245</v>
      </c>
      <c r="G277" s="250" t="s">
        <v>12</v>
      </c>
      <c r="H277" s="261"/>
      <c r="I277" s="262" t="s">
        <v>10</v>
      </c>
      <c r="J277" s="262" t="s">
        <v>11</v>
      </c>
      <c r="K277" s="262" t="s">
        <v>245</v>
      </c>
      <c r="L277" s="15"/>
      <c r="M277" s="262" t="s">
        <v>10</v>
      </c>
      <c r="N277" s="262" t="s">
        <v>11</v>
      </c>
      <c r="O277" s="262" t="s">
        <v>245</v>
      </c>
      <c r="P277" s="15"/>
      <c r="Q277" s="262" t="s">
        <v>10</v>
      </c>
      <c r="R277" s="262" t="s">
        <v>11</v>
      </c>
      <c r="S277" s="262" t="s">
        <v>245</v>
      </c>
      <c r="T277" s="262" t="s">
        <v>12</v>
      </c>
      <c r="U277" s="15"/>
      <c r="V277" s="262" t="s">
        <v>283</v>
      </c>
      <c r="W277" s="262" t="s">
        <v>283</v>
      </c>
      <c r="X277" s="262" t="s">
        <v>284</v>
      </c>
      <c r="Y277" s="262" t="s">
        <v>284</v>
      </c>
      <c r="Z277" s="262" t="s">
        <v>285</v>
      </c>
      <c r="AA277" s="262" t="s">
        <v>285</v>
      </c>
      <c r="AB277" s="262" t="s">
        <v>12</v>
      </c>
      <c r="AC277" s="15"/>
      <c r="AD277" s="262" t="s">
        <v>286</v>
      </c>
      <c r="AE277" s="262" t="s">
        <v>287</v>
      </c>
      <c r="AF277" s="262" t="s">
        <v>281</v>
      </c>
      <c r="AG277" s="15"/>
      <c r="AH277" s="262"/>
      <c r="AI277" s="262" t="s">
        <v>288</v>
      </c>
      <c r="AJ277" s="262" t="s">
        <v>288</v>
      </c>
      <c r="AK277" s="262" t="s">
        <v>289</v>
      </c>
      <c r="AL277" s="233"/>
    </row>
    <row r="278" spans="2:98" x14ac:dyDescent="0.3">
      <c r="B278" s="232"/>
      <c r="C278" s="13" t="s">
        <v>9</v>
      </c>
      <c r="D278" s="13" t="s">
        <v>307</v>
      </c>
      <c r="E278" s="13" t="s">
        <v>308</v>
      </c>
      <c r="F278" s="13" t="s">
        <v>308</v>
      </c>
      <c r="G278" s="13" t="s">
        <v>248</v>
      </c>
      <c r="H278" s="4"/>
      <c r="I278" s="13" t="s">
        <v>24</v>
      </c>
      <c r="J278" s="13" t="s">
        <v>25</v>
      </c>
      <c r="K278" s="13" t="s">
        <v>25</v>
      </c>
      <c r="L278" s="4"/>
      <c r="M278" s="13" t="s">
        <v>24</v>
      </c>
      <c r="N278" s="13" t="s">
        <v>25</v>
      </c>
      <c r="O278" s="13" t="s">
        <v>25</v>
      </c>
      <c r="P278" s="4"/>
      <c r="Q278" s="13" t="s">
        <v>293</v>
      </c>
      <c r="R278" s="13" t="s">
        <v>293</v>
      </c>
      <c r="S278" s="13" t="s">
        <v>293</v>
      </c>
      <c r="T278" s="13" t="s">
        <v>293</v>
      </c>
      <c r="U278" s="4"/>
      <c r="V278" s="13" t="s">
        <v>294</v>
      </c>
      <c r="W278" s="13" t="s">
        <v>293</v>
      </c>
      <c r="X278" s="13" t="s">
        <v>294</v>
      </c>
      <c r="Y278" s="13" t="s">
        <v>293</v>
      </c>
      <c r="Z278" s="13" t="s">
        <v>294</v>
      </c>
      <c r="AA278" s="13" t="s">
        <v>293</v>
      </c>
      <c r="AB278" s="13" t="s">
        <v>293</v>
      </c>
      <c r="AC278" s="4"/>
      <c r="AD278" s="13" t="s">
        <v>293</v>
      </c>
      <c r="AE278" s="13" t="s">
        <v>293</v>
      </c>
      <c r="AF278" s="13" t="s">
        <v>293</v>
      </c>
      <c r="AG278" s="4"/>
      <c r="AH278" s="13" t="s">
        <v>295</v>
      </c>
      <c r="AI278" s="13" t="s">
        <v>296</v>
      </c>
      <c r="AJ278" s="13" t="s">
        <v>297</v>
      </c>
      <c r="AK278" s="13" t="s">
        <v>293</v>
      </c>
      <c r="AL278" s="233"/>
    </row>
    <row r="279" spans="2:98" x14ac:dyDescent="0.3">
      <c r="B279" s="232"/>
      <c r="C279" s="250">
        <f>YEAR(FY_Date)</f>
        <v>2013</v>
      </c>
      <c r="D279" s="263">
        <f ca="1">+D29+D79+D129+D179+D229</f>
        <v>16467.789363513053</v>
      </c>
      <c r="E279" s="263">
        <f t="shared" ref="E279:G279" ca="1" si="322">+E29+E79+E129+E179+E229</f>
        <v>108.92532564203583</v>
      </c>
      <c r="F279" s="263">
        <f t="shared" ca="1" si="322"/>
        <v>0</v>
      </c>
      <c r="G279" s="263">
        <f t="shared" ca="1" si="322"/>
        <v>17121.34131736527</v>
      </c>
      <c r="H279" s="15"/>
      <c r="I279" s="51">
        <f ca="1">I229</f>
        <v>3.7</v>
      </c>
      <c r="J279" s="51">
        <f t="shared" ref="J279:K279" ca="1" si="323">J229</f>
        <v>101</v>
      </c>
      <c r="K279" s="51">
        <f t="shared" ca="1" si="323"/>
        <v>50.5</v>
      </c>
      <c r="L279" s="15"/>
      <c r="M279" s="51">
        <f ca="1">M229</f>
        <v>3.4779999999999998</v>
      </c>
      <c r="N279" s="51">
        <f t="shared" ref="N279:O279" ca="1" si="324">N229</f>
        <v>93.93</v>
      </c>
      <c r="O279" s="51">
        <f t="shared" ca="1" si="324"/>
        <v>46.965000000000003</v>
      </c>
      <c r="P279" s="15"/>
      <c r="Q279" s="265">
        <f ca="1">+Q29+Q79+Q129+Q179+Q229</f>
        <v>57274.971406298391</v>
      </c>
      <c r="R279" s="265">
        <f t="shared" ref="R279:T279" ca="1" si="325">+R29+R79+R129+R179+R229</f>
        <v>10231.355837556426</v>
      </c>
      <c r="S279" s="265">
        <f t="shared" ca="1" si="325"/>
        <v>0</v>
      </c>
      <c r="T279" s="265">
        <f t="shared" ca="1" si="325"/>
        <v>67506.327243854816</v>
      </c>
      <c r="U279" s="15"/>
      <c r="V279" s="51">
        <f>V229</f>
        <v>0.31</v>
      </c>
      <c r="W279" s="265">
        <f t="shared" ref="W279:Y294" ca="1" si="326">+W29+W79+W129+W179+W229</f>
        <v>5307.6158083832333</v>
      </c>
      <c r="X279" s="51">
        <f>X229</f>
        <v>0.37</v>
      </c>
      <c r="Y279" s="265">
        <f t="shared" ca="1" si="326"/>
        <v>6334.8962874251501</v>
      </c>
      <c r="Z279" s="51">
        <f>Z229</f>
        <v>0.57999999999999996</v>
      </c>
      <c r="AA279" s="265">
        <f t="shared" ref="AA279:AB294" ca="1" si="327">+AA29+AA79+AA129+AA179+AA229</f>
        <v>9930.3779640718567</v>
      </c>
      <c r="AB279" s="265">
        <f t="shared" ca="1" si="327"/>
        <v>21572.890059880239</v>
      </c>
      <c r="AC279" s="15"/>
      <c r="AD279" s="265">
        <f t="shared" ref="AD279:AF294" ca="1" si="328">+AD29+AD79+AD129+AD179+AD229</f>
        <v>45933.437183974573</v>
      </c>
      <c r="AE279" s="265">
        <f t="shared" ca="1" si="328"/>
        <v>85508.982035928158</v>
      </c>
      <c r="AF279" s="265">
        <f t="shared" ca="1" si="328"/>
        <v>-39575.544851953586</v>
      </c>
      <c r="AG279" s="15"/>
      <c r="AH279" s="266"/>
      <c r="AI279" s="267"/>
      <c r="AJ279" s="267"/>
      <c r="AK279" s="265">
        <f t="shared" ref="AK279:AK319" ca="1" si="329">+AK29+AK79+AK129+AK179+AK229</f>
        <v>-9815.6151196284081</v>
      </c>
      <c r="AL279" s="233"/>
    </row>
    <row r="280" spans="2:98" x14ac:dyDescent="0.3">
      <c r="B280" s="232"/>
      <c r="C280" s="270">
        <f>C279+1</f>
        <v>2014</v>
      </c>
      <c r="D280" s="263">
        <f t="shared" ref="D280:G288" ca="1" si="330">+D30+D80+D130+D180+D230</f>
        <v>35070.128419892528</v>
      </c>
      <c r="E280" s="263">
        <f t="shared" ca="1" si="330"/>
        <v>231.96951783392785</v>
      </c>
      <c r="F280" s="263">
        <f t="shared" ca="1" si="330"/>
        <v>0</v>
      </c>
      <c r="G280" s="263">
        <f t="shared" ca="1" si="330"/>
        <v>36461.945526896096</v>
      </c>
      <c r="H280" s="15"/>
      <c r="I280" s="35">
        <f t="shared" ref="I280:K295" ca="1" si="331">I230</f>
        <v>3.8</v>
      </c>
      <c r="J280" s="35">
        <f t="shared" ca="1" si="331"/>
        <v>92</v>
      </c>
      <c r="K280" s="35">
        <f t="shared" ca="1" si="331"/>
        <v>46</v>
      </c>
      <c r="L280" s="15"/>
      <c r="M280" s="35">
        <f t="shared" ref="M280:O295" ca="1" si="332">M230</f>
        <v>3.5719999999999996</v>
      </c>
      <c r="N280" s="35">
        <f t="shared" ca="1" si="332"/>
        <v>85.56</v>
      </c>
      <c r="O280" s="35">
        <f t="shared" ca="1" si="332"/>
        <v>42.78</v>
      </c>
      <c r="P280" s="15"/>
      <c r="Q280" s="34">
        <f t="shared" ref="Q280:T295" ca="1" si="333">+Q30+Q80+Q130+Q180+Q230</f>
        <v>125270.4987158561</v>
      </c>
      <c r="R280" s="34">
        <f t="shared" ca="1" si="333"/>
        <v>19847.311945870868</v>
      </c>
      <c r="S280" s="34">
        <f t="shared" ca="1" si="333"/>
        <v>0</v>
      </c>
      <c r="T280" s="34">
        <f t="shared" ca="1" si="333"/>
        <v>145117.81066172698</v>
      </c>
      <c r="U280" s="15"/>
      <c r="V280" s="35">
        <f t="shared" ref="V280:X295" si="334">V230</f>
        <v>0.31</v>
      </c>
      <c r="W280" s="34">
        <f t="shared" ca="1" si="326"/>
        <v>11303.20311333779</v>
      </c>
      <c r="X280" s="35">
        <f t="shared" si="334"/>
        <v>0.37</v>
      </c>
      <c r="Y280" s="34">
        <f t="shared" ca="1" si="326"/>
        <v>13490.919844951555</v>
      </c>
      <c r="Z280" s="35">
        <f t="shared" ref="Z280:Z319" si="335">Z230</f>
        <v>0.57999999999999996</v>
      </c>
      <c r="AA280" s="34">
        <f t="shared" ca="1" si="327"/>
        <v>21147.928405599734</v>
      </c>
      <c r="AB280" s="34">
        <f t="shared" ca="1" si="327"/>
        <v>45942.051363889077</v>
      </c>
      <c r="AC280" s="15"/>
      <c r="AD280" s="34">
        <f t="shared" ca="1" si="328"/>
        <v>99175.759297837911</v>
      </c>
      <c r="AE280" s="34">
        <f t="shared" ca="1" si="328"/>
        <v>142514.97005988023</v>
      </c>
      <c r="AF280" s="34">
        <f t="shared" ca="1" si="328"/>
        <v>-43339.210762042319</v>
      </c>
      <c r="AG280" s="15"/>
      <c r="AH280" s="272"/>
      <c r="AI280" s="267"/>
      <c r="AJ280" s="267"/>
      <c r="AK280" s="34">
        <f t="shared" ca="1" si="329"/>
        <v>-40671.095899298976</v>
      </c>
      <c r="AL280" s="233"/>
    </row>
    <row r="281" spans="2:98" x14ac:dyDescent="0.3">
      <c r="B281" s="232"/>
      <c r="C281" s="250">
        <f t="shared" ref="C281:C319" si="336">C280+1</f>
        <v>2015</v>
      </c>
      <c r="D281" s="263">
        <f t="shared" ca="1" si="330"/>
        <v>59399.542258890717</v>
      </c>
      <c r="E281" s="263">
        <f t="shared" ca="1" si="330"/>
        <v>392.89514461929434</v>
      </c>
      <c r="F281" s="263">
        <f t="shared" ca="1" si="330"/>
        <v>0</v>
      </c>
      <c r="G281" s="263">
        <f t="shared" ca="1" si="330"/>
        <v>61756.91312660648</v>
      </c>
      <c r="H281" s="15"/>
      <c r="I281" s="35">
        <f t="shared" ca="1" si="331"/>
        <v>4</v>
      </c>
      <c r="J281" s="35">
        <f t="shared" ca="1" si="331"/>
        <v>88</v>
      </c>
      <c r="K281" s="35">
        <f t="shared" ca="1" si="331"/>
        <v>44</v>
      </c>
      <c r="L281" s="15"/>
      <c r="M281" s="35">
        <f t="shared" ca="1" si="332"/>
        <v>3.76</v>
      </c>
      <c r="N281" s="35">
        <f t="shared" ca="1" si="332"/>
        <v>81.84</v>
      </c>
      <c r="O281" s="35">
        <f t="shared" ca="1" si="332"/>
        <v>40.92</v>
      </c>
      <c r="P281" s="15"/>
      <c r="Q281" s="34">
        <f t="shared" ca="1" si="333"/>
        <v>223342.27889342909</v>
      </c>
      <c r="R281" s="34">
        <f t="shared" ca="1" si="333"/>
        <v>32154.53863564305</v>
      </c>
      <c r="S281" s="34">
        <f t="shared" ca="1" si="333"/>
        <v>0</v>
      </c>
      <c r="T281" s="34">
        <f t="shared" ca="1" si="333"/>
        <v>255496.81752907214</v>
      </c>
      <c r="U281" s="15"/>
      <c r="V281" s="35">
        <f t="shared" si="334"/>
        <v>0.31</v>
      </c>
      <c r="W281" s="34">
        <f t="shared" ca="1" si="326"/>
        <v>19144.64306924801</v>
      </c>
      <c r="X281" s="35">
        <f t="shared" si="334"/>
        <v>0.37</v>
      </c>
      <c r="Y281" s="34">
        <f t="shared" ca="1" si="326"/>
        <v>22850.057856844396</v>
      </c>
      <c r="Z281" s="35">
        <f t="shared" si="335"/>
        <v>0.57999999999999996</v>
      </c>
      <c r="AA281" s="34">
        <f t="shared" ca="1" si="327"/>
        <v>35819.009613431757</v>
      </c>
      <c r="AB281" s="34">
        <f t="shared" ca="1" si="327"/>
        <v>77813.710539524167</v>
      </c>
      <c r="AC281" s="15"/>
      <c r="AD281" s="34">
        <f t="shared" ca="1" si="328"/>
        <v>177683.10698954796</v>
      </c>
      <c r="AE281" s="34">
        <f t="shared" ca="1" si="328"/>
        <v>213772.45508982037</v>
      </c>
      <c r="AF281" s="34">
        <f t="shared" ca="1" si="328"/>
        <v>-36089.348100272415</v>
      </c>
      <c r="AG281" s="15"/>
      <c r="AH281" s="273"/>
      <c r="AI281" s="267"/>
      <c r="AJ281" s="267"/>
      <c r="AK281" s="34">
        <f t="shared" ca="1" si="329"/>
        <v>-30788.691259251431</v>
      </c>
      <c r="AL281" s="233"/>
    </row>
    <row r="282" spans="2:98" x14ac:dyDescent="0.3">
      <c r="B282" s="232"/>
      <c r="C282" s="250">
        <f t="shared" si="336"/>
        <v>2016</v>
      </c>
      <c r="D282" s="263">
        <f t="shared" ca="1" si="330"/>
        <v>84193.532104523547</v>
      </c>
      <c r="E282" s="263">
        <f t="shared" ca="1" si="330"/>
        <v>556.89368493853669</v>
      </c>
      <c r="F282" s="263">
        <f t="shared" ca="1" si="330"/>
        <v>0</v>
      </c>
      <c r="G282" s="263">
        <f t="shared" ca="1" si="330"/>
        <v>87534.894214154774</v>
      </c>
      <c r="H282" s="15"/>
      <c r="I282" s="35">
        <f t="shared" ca="1" si="331"/>
        <v>4.0999999999999996</v>
      </c>
      <c r="J282" s="35">
        <f t="shared" ca="1" si="331"/>
        <v>84</v>
      </c>
      <c r="K282" s="35">
        <f t="shared" ca="1" si="331"/>
        <v>42</v>
      </c>
      <c r="L282" s="15"/>
      <c r="M282" s="35">
        <f t="shared" ca="1" si="332"/>
        <v>3.8539999999999996</v>
      </c>
      <c r="N282" s="35">
        <f t="shared" ca="1" si="332"/>
        <v>78.12</v>
      </c>
      <c r="O282" s="35">
        <f t="shared" ca="1" si="332"/>
        <v>39.06</v>
      </c>
      <c r="P282" s="15"/>
      <c r="Q282" s="34">
        <f t="shared" ca="1" si="333"/>
        <v>324481.87273083371</v>
      </c>
      <c r="R282" s="34">
        <f t="shared" ca="1" si="333"/>
        <v>43504.53466739849</v>
      </c>
      <c r="S282" s="34">
        <f t="shared" ca="1" si="333"/>
        <v>0</v>
      </c>
      <c r="T282" s="34">
        <f t="shared" ca="1" si="333"/>
        <v>367986.4073982322</v>
      </c>
      <c r="U282" s="15"/>
      <c r="V282" s="35">
        <f t="shared" si="334"/>
        <v>0.31</v>
      </c>
      <c r="W282" s="34">
        <f t="shared" ca="1" si="326"/>
        <v>27135.817206387979</v>
      </c>
      <c r="X282" s="35">
        <f t="shared" si="334"/>
        <v>0.37</v>
      </c>
      <c r="Y282" s="34">
        <f t="shared" ca="1" si="326"/>
        <v>32387.910859237265</v>
      </c>
      <c r="Z282" s="35">
        <f t="shared" si="335"/>
        <v>0.57999999999999996</v>
      </c>
      <c r="AA282" s="34">
        <f t="shared" ca="1" si="327"/>
        <v>50770.238644209763</v>
      </c>
      <c r="AB282" s="34">
        <f t="shared" ca="1" si="327"/>
        <v>110293.966709835</v>
      </c>
      <c r="AC282" s="15"/>
      <c r="AD282" s="34">
        <f t="shared" ca="1" si="328"/>
        <v>257692.44068839721</v>
      </c>
      <c r="AE282" s="34">
        <f t="shared" ca="1" si="328"/>
        <v>267215.56886227545</v>
      </c>
      <c r="AF282" s="34">
        <f t="shared" ca="1" si="328"/>
        <v>-9523.1281738782418</v>
      </c>
      <c r="AG282" s="15"/>
      <c r="AH282" s="273"/>
      <c r="AI282" s="267"/>
      <c r="AJ282" s="267"/>
      <c r="AK282" s="34">
        <f t="shared" ca="1" si="329"/>
        <v>-7385.8270855272822</v>
      </c>
      <c r="AL282" s="233"/>
    </row>
    <row r="283" spans="2:98" x14ac:dyDescent="0.3">
      <c r="B283" s="232"/>
      <c r="C283" s="250">
        <f t="shared" si="336"/>
        <v>2017</v>
      </c>
      <c r="D283" s="263">
        <f t="shared" ca="1" si="330"/>
        <v>102152.30235801406</v>
      </c>
      <c r="E283" s="263">
        <f t="shared" ca="1" si="330"/>
        <v>675.6810251705017</v>
      </c>
      <c r="F283" s="263">
        <f t="shared" ca="1" si="330"/>
        <v>0</v>
      </c>
      <c r="G283" s="263">
        <f t="shared" ca="1" si="330"/>
        <v>106206.38850903706</v>
      </c>
      <c r="H283" s="15"/>
      <c r="I283" s="35">
        <f t="shared" ca="1" si="331"/>
        <v>4.2</v>
      </c>
      <c r="J283" s="35">
        <f t="shared" ca="1" si="331"/>
        <v>82</v>
      </c>
      <c r="K283" s="35">
        <f t="shared" ca="1" si="331"/>
        <v>41</v>
      </c>
      <c r="L283" s="15"/>
      <c r="M283" s="35">
        <f t="shared" ca="1" si="332"/>
        <v>3.948</v>
      </c>
      <c r="N283" s="35">
        <f t="shared" ca="1" si="332"/>
        <v>76.260000000000005</v>
      </c>
      <c r="O283" s="35">
        <f t="shared" ca="1" si="332"/>
        <v>38.130000000000003</v>
      </c>
      <c r="P283" s="15"/>
      <c r="Q283" s="34">
        <f t="shared" ca="1" si="333"/>
        <v>403297.2897094395</v>
      </c>
      <c r="R283" s="34">
        <f t="shared" ca="1" si="333"/>
        <v>51527.434979502461</v>
      </c>
      <c r="S283" s="34">
        <f t="shared" ca="1" si="333"/>
        <v>0</v>
      </c>
      <c r="T283" s="34">
        <f t="shared" ca="1" si="333"/>
        <v>454824.72468894196</v>
      </c>
      <c r="U283" s="15"/>
      <c r="V283" s="35">
        <f t="shared" si="334"/>
        <v>0.31</v>
      </c>
      <c r="W283" s="34">
        <f t="shared" ca="1" si="326"/>
        <v>32923.980437801489</v>
      </c>
      <c r="X283" s="35">
        <f t="shared" si="334"/>
        <v>0.37</v>
      </c>
      <c r="Y283" s="34">
        <f t="shared" ca="1" si="326"/>
        <v>39296.363748343712</v>
      </c>
      <c r="Z283" s="35">
        <f t="shared" si="335"/>
        <v>0.57999999999999996</v>
      </c>
      <c r="AA283" s="34">
        <f t="shared" ca="1" si="327"/>
        <v>61599.705335241495</v>
      </c>
      <c r="AB283" s="34">
        <f t="shared" ca="1" si="327"/>
        <v>133820.04952138668</v>
      </c>
      <c r="AC283" s="15"/>
      <c r="AD283" s="34">
        <f t="shared" ca="1" si="328"/>
        <v>321004.67516755534</v>
      </c>
      <c r="AE283" s="34">
        <f t="shared" ca="1" si="328"/>
        <v>276590.37157887942</v>
      </c>
      <c r="AF283" s="34">
        <f t="shared" ca="1" si="328"/>
        <v>44414.303588675859</v>
      </c>
      <c r="AG283" s="15"/>
      <c r="AH283" s="273"/>
      <c r="AI283" s="267"/>
      <c r="AJ283" s="267"/>
      <c r="AK283" s="34">
        <f t="shared" ca="1" si="329"/>
        <v>31314.802565693903</v>
      </c>
      <c r="AL283" s="233"/>
    </row>
    <row r="284" spans="2:98" x14ac:dyDescent="0.3">
      <c r="B284" s="232"/>
      <c r="C284" s="250">
        <f t="shared" si="336"/>
        <v>2018</v>
      </c>
      <c r="D284" s="263">
        <f t="shared" ca="1" si="330"/>
        <v>97093.025307566568</v>
      </c>
      <c r="E284" s="263">
        <f t="shared" ca="1" si="330"/>
        <v>642.21670351393004</v>
      </c>
      <c r="F284" s="263">
        <f t="shared" ca="1" si="330"/>
        <v>0</v>
      </c>
      <c r="G284" s="263">
        <f t="shared" ca="1" si="330"/>
        <v>100946.32552865015</v>
      </c>
      <c r="H284" s="15"/>
      <c r="I284" s="35">
        <f t="shared" ca="1" si="331"/>
        <v>4.5</v>
      </c>
      <c r="J284" s="35">
        <f t="shared" ca="1" si="331"/>
        <v>80</v>
      </c>
      <c r="K284" s="35">
        <f t="shared" ca="1" si="331"/>
        <v>40</v>
      </c>
      <c r="L284" s="15"/>
      <c r="M284" s="35">
        <f t="shared" ca="1" si="332"/>
        <v>4.2299999999999995</v>
      </c>
      <c r="N284" s="35">
        <f t="shared" ca="1" si="332"/>
        <v>74.400000000000006</v>
      </c>
      <c r="O284" s="35">
        <f t="shared" ca="1" si="332"/>
        <v>37.200000000000003</v>
      </c>
      <c r="P284" s="15"/>
      <c r="Q284" s="34">
        <f t="shared" ca="1" si="333"/>
        <v>410703.49705100653</v>
      </c>
      <c r="R284" s="34">
        <f t="shared" ca="1" si="333"/>
        <v>47780.9227414364</v>
      </c>
      <c r="S284" s="34">
        <f t="shared" ca="1" si="333"/>
        <v>0</v>
      </c>
      <c r="T284" s="34">
        <f t="shared" ca="1" si="333"/>
        <v>458484.41979244293</v>
      </c>
      <c r="U284" s="15"/>
      <c r="V284" s="35">
        <f t="shared" si="334"/>
        <v>0.31</v>
      </c>
      <c r="W284" s="34">
        <f t="shared" ca="1" si="326"/>
        <v>31293.360913881548</v>
      </c>
      <c r="X284" s="35">
        <f t="shared" si="334"/>
        <v>0.37</v>
      </c>
      <c r="Y284" s="34">
        <f t="shared" ca="1" si="326"/>
        <v>37350.140445600555</v>
      </c>
      <c r="Z284" s="35">
        <f t="shared" si="335"/>
        <v>0.57999999999999996</v>
      </c>
      <c r="AA284" s="34">
        <f t="shared" ca="1" si="327"/>
        <v>58548.868806617087</v>
      </c>
      <c r="AB284" s="34">
        <f t="shared" ca="1" si="327"/>
        <v>127192.37016609919</v>
      </c>
      <c r="AC284" s="15"/>
      <c r="AD284" s="34">
        <f t="shared" ca="1" si="328"/>
        <v>331292.04962634377</v>
      </c>
      <c r="AE284" s="34">
        <f t="shared" ca="1" si="328"/>
        <v>178143.71257485033</v>
      </c>
      <c r="AF284" s="34">
        <f t="shared" ca="1" si="328"/>
        <v>153148.33705149344</v>
      </c>
      <c r="AG284" s="15"/>
      <c r="AH284" s="273"/>
      <c r="AI284" s="267"/>
      <c r="AJ284" s="267"/>
      <c r="AK284" s="34">
        <f t="shared" ca="1" si="329"/>
        <v>98162.683282603786</v>
      </c>
      <c r="AL284" s="233"/>
    </row>
    <row r="285" spans="2:98" x14ac:dyDescent="0.3">
      <c r="B285" s="232"/>
      <c r="C285" s="250">
        <f t="shared" si="336"/>
        <v>2019</v>
      </c>
      <c r="D285" s="263">
        <f t="shared" ca="1" si="330"/>
        <v>100133.22987608679</v>
      </c>
      <c r="E285" s="263">
        <f t="shared" ca="1" si="330"/>
        <v>662.32597655200971</v>
      </c>
      <c r="F285" s="263">
        <f t="shared" ca="1" si="330"/>
        <v>0</v>
      </c>
      <c r="G285" s="263">
        <f t="shared" ca="1" si="330"/>
        <v>104107.18573539883</v>
      </c>
      <c r="H285" s="15"/>
      <c r="I285" s="35">
        <f t="shared" ca="1" si="331"/>
        <v>4.5</v>
      </c>
      <c r="J285" s="35">
        <f t="shared" ca="1" si="331"/>
        <v>80</v>
      </c>
      <c r="K285" s="35">
        <f t="shared" ca="1" si="331"/>
        <v>40</v>
      </c>
      <c r="L285" s="15"/>
      <c r="M285" s="35">
        <f t="shared" ca="1" si="332"/>
        <v>4.2299999999999995</v>
      </c>
      <c r="N285" s="35">
        <f t="shared" ca="1" si="332"/>
        <v>74.400000000000006</v>
      </c>
      <c r="O285" s="35">
        <f t="shared" ca="1" si="332"/>
        <v>37.200000000000003</v>
      </c>
      <c r="P285" s="15"/>
      <c r="Q285" s="34">
        <f t="shared" ca="1" si="333"/>
        <v>423563.56237584702</v>
      </c>
      <c r="R285" s="34">
        <f t="shared" ca="1" si="333"/>
        <v>49277.052655469524</v>
      </c>
      <c r="S285" s="34">
        <f t="shared" ca="1" si="333"/>
        <v>0</v>
      </c>
      <c r="T285" s="34">
        <f t="shared" ca="1" si="333"/>
        <v>472840.61503131653</v>
      </c>
      <c r="U285" s="15"/>
      <c r="V285" s="35">
        <f t="shared" si="334"/>
        <v>0.31</v>
      </c>
      <c r="W285" s="34">
        <f t="shared" ca="1" si="326"/>
        <v>32273.227577973637</v>
      </c>
      <c r="X285" s="35">
        <f t="shared" si="334"/>
        <v>0.37</v>
      </c>
      <c r="Y285" s="34">
        <f t="shared" ca="1" si="326"/>
        <v>38519.658722097563</v>
      </c>
      <c r="Z285" s="35">
        <f t="shared" si="335"/>
        <v>0.57999999999999996</v>
      </c>
      <c r="AA285" s="34">
        <f t="shared" ca="1" si="327"/>
        <v>60382.167726531319</v>
      </c>
      <c r="AB285" s="34">
        <f t="shared" ca="1" si="327"/>
        <v>131175.05402660253</v>
      </c>
      <c r="AC285" s="15"/>
      <c r="AD285" s="34">
        <f t="shared" ca="1" si="328"/>
        <v>341665.56100471399</v>
      </c>
      <c r="AE285" s="34">
        <f t="shared" ca="1" si="328"/>
        <v>178143.71257485033</v>
      </c>
      <c r="AF285" s="34">
        <f t="shared" ca="1" si="328"/>
        <v>163521.84842986369</v>
      </c>
      <c r="AG285" s="15"/>
      <c r="AH285" s="273"/>
      <c r="AI285" s="267"/>
      <c r="AJ285" s="267"/>
      <c r="AK285" s="34">
        <f t="shared" ca="1" si="329"/>
        <v>95283.398413499846</v>
      </c>
      <c r="AL285" s="233"/>
    </row>
    <row r="286" spans="2:98" x14ac:dyDescent="0.3">
      <c r="B286" s="232"/>
      <c r="C286" s="250">
        <f t="shared" si="336"/>
        <v>2020</v>
      </c>
      <c r="D286" s="263">
        <f t="shared" ca="1" si="330"/>
        <v>104194.66962845453</v>
      </c>
      <c r="E286" s="263">
        <f t="shared" ca="1" si="330"/>
        <v>689.19015594103917</v>
      </c>
      <c r="F286" s="263">
        <f t="shared" ca="1" si="330"/>
        <v>0</v>
      </c>
      <c r="G286" s="263">
        <f t="shared" ca="1" si="330"/>
        <v>108329.81056410077</v>
      </c>
      <c r="H286" s="15"/>
      <c r="I286" s="35">
        <f t="shared" ca="1" si="331"/>
        <v>4.5</v>
      </c>
      <c r="J286" s="35">
        <f t="shared" ca="1" si="331"/>
        <v>80</v>
      </c>
      <c r="K286" s="35">
        <f t="shared" ca="1" si="331"/>
        <v>40</v>
      </c>
      <c r="L286" s="15"/>
      <c r="M286" s="35">
        <f t="shared" ca="1" si="332"/>
        <v>4.2299999999999995</v>
      </c>
      <c r="N286" s="35">
        <f t="shared" ca="1" si="332"/>
        <v>74.400000000000006</v>
      </c>
      <c r="O286" s="35">
        <f t="shared" ca="1" si="332"/>
        <v>37.200000000000003</v>
      </c>
      <c r="P286" s="15"/>
      <c r="Q286" s="34">
        <f t="shared" ca="1" si="333"/>
        <v>440743.45252836263</v>
      </c>
      <c r="R286" s="34">
        <f t="shared" ca="1" si="333"/>
        <v>51275.747602013318</v>
      </c>
      <c r="S286" s="34">
        <f t="shared" ca="1" si="333"/>
        <v>0</v>
      </c>
      <c r="T286" s="34">
        <f t="shared" ca="1" si="333"/>
        <v>492019.20013037598</v>
      </c>
      <c r="U286" s="15"/>
      <c r="V286" s="35">
        <f t="shared" si="334"/>
        <v>0.31</v>
      </c>
      <c r="W286" s="34">
        <f t="shared" ca="1" si="326"/>
        <v>33582.241274871238</v>
      </c>
      <c r="X286" s="35">
        <f t="shared" si="334"/>
        <v>0.37</v>
      </c>
      <c r="Y286" s="34">
        <f t="shared" ca="1" si="326"/>
        <v>40082.029908717283</v>
      </c>
      <c r="Z286" s="35">
        <f t="shared" si="335"/>
        <v>0.57999999999999996</v>
      </c>
      <c r="AA286" s="34">
        <f t="shared" ca="1" si="327"/>
        <v>62831.29012717845</v>
      </c>
      <c r="AB286" s="34">
        <f t="shared" ca="1" si="327"/>
        <v>136495.56131076696</v>
      </c>
      <c r="AC286" s="15"/>
      <c r="AD286" s="34">
        <f t="shared" ca="1" si="328"/>
        <v>355523.63881960895</v>
      </c>
      <c r="AE286" s="34">
        <f t="shared" ca="1" si="328"/>
        <v>178143.71257485033</v>
      </c>
      <c r="AF286" s="34">
        <f t="shared" ca="1" si="328"/>
        <v>177379.92624475865</v>
      </c>
      <c r="AG286" s="15"/>
      <c r="AH286" s="273"/>
      <c r="AI286" s="267"/>
      <c r="AJ286" s="267"/>
      <c r="AK286" s="34">
        <f t="shared" ca="1" si="329"/>
        <v>93962.212751959363</v>
      </c>
      <c r="AL286" s="233"/>
    </row>
    <row r="287" spans="2:98" x14ac:dyDescent="0.3">
      <c r="B287" s="232"/>
      <c r="C287" s="250">
        <f t="shared" si="336"/>
        <v>2021</v>
      </c>
      <c r="D287" s="263">
        <f t="shared" ca="1" si="330"/>
        <v>108447.04796404579</v>
      </c>
      <c r="E287" s="263">
        <f t="shared" ca="1" si="330"/>
        <v>717.31728853502841</v>
      </c>
      <c r="F287" s="263">
        <f t="shared" ca="1" si="330"/>
        <v>0</v>
      </c>
      <c r="G287" s="263">
        <f t="shared" ca="1" si="330"/>
        <v>112750.95169525596</v>
      </c>
      <c r="H287" s="15"/>
      <c r="I287" s="35">
        <f t="shared" ca="1" si="331"/>
        <v>4.5</v>
      </c>
      <c r="J287" s="35">
        <f t="shared" ca="1" si="331"/>
        <v>80</v>
      </c>
      <c r="K287" s="35">
        <f t="shared" ca="1" si="331"/>
        <v>40</v>
      </c>
      <c r="L287" s="15"/>
      <c r="M287" s="35">
        <f t="shared" ca="1" si="332"/>
        <v>4.2299999999999995</v>
      </c>
      <c r="N287" s="35">
        <f t="shared" ca="1" si="332"/>
        <v>74.400000000000006</v>
      </c>
      <c r="O287" s="35">
        <f t="shared" ca="1" si="332"/>
        <v>37.200000000000003</v>
      </c>
      <c r="P287" s="15"/>
      <c r="Q287" s="34">
        <f t="shared" ca="1" si="333"/>
        <v>458731.01288791362</v>
      </c>
      <c r="R287" s="34">
        <f t="shared" ca="1" si="333"/>
        <v>53368.406267006118</v>
      </c>
      <c r="S287" s="34">
        <f t="shared" ca="1" si="333"/>
        <v>0</v>
      </c>
      <c r="T287" s="34">
        <f t="shared" ca="1" si="333"/>
        <v>512099.41915491974</v>
      </c>
      <c r="U287" s="15"/>
      <c r="V287" s="35">
        <f t="shared" si="334"/>
        <v>0.31</v>
      </c>
      <c r="W287" s="34">
        <f t="shared" ca="1" si="326"/>
        <v>34952.795025529347</v>
      </c>
      <c r="X287" s="35">
        <f t="shared" si="334"/>
        <v>0.37</v>
      </c>
      <c r="Y287" s="34">
        <f t="shared" ca="1" si="326"/>
        <v>41717.852127244703</v>
      </c>
      <c r="Z287" s="35">
        <f t="shared" si="335"/>
        <v>0.57999999999999996</v>
      </c>
      <c r="AA287" s="34">
        <f t="shared" ca="1" si="327"/>
        <v>65395.551983248457</v>
      </c>
      <c r="AB287" s="34">
        <f t="shared" ca="1" si="327"/>
        <v>142066.19913602251</v>
      </c>
      <c r="AC287" s="15"/>
      <c r="AD287" s="34">
        <f t="shared" ca="1" si="328"/>
        <v>370033.22001889721</v>
      </c>
      <c r="AE287" s="34">
        <f t="shared" ca="1" si="328"/>
        <v>178143.71257485033</v>
      </c>
      <c r="AF287" s="34">
        <f t="shared" ca="1" si="328"/>
        <v>191889.5074440469</v>
      </c>
      <c r="AG287" s="15"/>
      <c r="AH287" s="273"/>
      <c r="AI287" s="267"/>
      <c r="AJ287" s="267"/>
      <c r="AK287" s="34">
        <f t="shared" ca="1" si="329"/>
        <v>92407.51863189938</v>
      </c>
      <c r="AL287" s="233"/>
    </row>
    <row r="288" spans="2:98" x14ac:dyDescent="0.3">
      <c r="B288" s="232"/>
      <c r="C288" s="250">
        <f t="shared" si="336"/>
        <v>2022</v>
      </c>
      <c r="D288" s="263">
        <f t="shared" ca="1" si="330"/>
        <v>112660.05154278869</v>
      </c>
      <c r="E288" s="263">
        <f t="shared" ca="1" si="330"/>
        <v>745.18397887310152</v>
      </c>
      <c r="F288" s="263">
        <f t="shared" ca="1" si="330"/>
        <v>0</v>
      </c>
      <c r="G288" s="263">
        <f t="shared" ca="1" si="330"/>
        <v>117131.15541602729</v>
      </c>
      <c r="H288" s="15"/>
      <c r="I288" s="35">
        <f t="shared" ca="1" si="331"/>
        <v>4.5</v>
      </c>
      <c r="J288" s="35">
        <f t="shared" ca="1" si="331"/>
        <v>80</v>
      </c>
      <c r="K288" s="35">
        <f t="shared" ca="1" si="331"/>
        <v>40</v>
      </c>
      <c r="L288" s="15"/>
      <c r="M288" s="35">
        <f t="shared" ca="1" si="332"/>
        <v>4.2299999999999995</v>
      </c>
      <c r="N288" s="35">
        <f t="shared" ca="1" si="332"/>
        <v>74.400000000000006</v>
      </c>
      <c r="O288" s="35">
        <f t="shared" ca="1" si="332"/>
        <v>37.200000000000003</v>
      </c>
      <c r="P288" s="15"/>
      <c r="Q288" s="34">
        <f t="shared" ca="1" si="333"/>
        <v>476552.01802599616</v>
      </c>
      <c r="R288" s="34">
        <f t="shared" ca="1" si="333"/>
        <v>55441.688028158758</v>
      </c>
      <c r="S288" s="34">
        <f t="shared" ca="1" si="333"/>
        <v>0</v>
      </c>
      <c r="T288" s="34">
        <f t="shared" ca="1" si="333"/>
        <v>531993.7060541549</v>
      </c>
      <c r="U288" s="15"/>
      <c r="V288" s="35">
        <f t="shared" si="334"/>
        <v>0.31</v>
      </c>
      <c r="W288" s="34">
        <f t="shared" ca="1" si="326"/>
        <v>36310.658178968464</v>
      </c>
      <c r="X288" s="35">
        <f t="shared" si="334"/>
        <v>0.37</v>
      </c>
      <c r="Y288" s="34">
        <f t="shared" ca="1" si="326"/>
        <v>43338.527503930105</v>
      </c>
      <c r="Z288" s="35">
        <f t="shared" si="335"/>
        <v>0.57999999999999996</v>
      </c>
      <c r="AA288" s="34">
        <f t="shared" ca="1" si="327"/>
        <v>67936.07014129583</v>
      </c>
      <c r="AB288" s="34">
        <f t="shared" ca="1" si="327"/>
        <v>147585.25582419441</v>
      </c>
      <c r="AC288" s="15"/>
      <c r="AD288" s="34">
        <f t="shared" ca="1" si="328"/>
        <v>384408.45022996049</v>
      </c>
      <c r="AE288" s="34">
        <f t="shared" ca="1" si="328"/>
        <v>178143.71257485033</v>
      </c>
      <c r="AF288" s="34">
        <f t="shared" ca="1" si="328"/>
        <v>206264.73765511016</v>
      </c>
      <c r="AG288" s="15"/>
      <c r="AH288" s="273"/>
      <c r="AI288" s="267"/>
      <c r="AJ288" s="267"/>
      <c r="AK288" s="34">
        <f t="shared" ca="1" si="329"/>
        <v>90300.131768781575</v>
      </c>
      <c r="AL288" s="233"/>
    </row>
    <row r="289" spans="2:38" x14ac:dyDescent="0.3">
      <c r="B289" s="232"/>
      <c r="C289" s="250">
        <f t="shared" si="336"/>
        <v>2023</v>
      </c>
      <c r="D289" s="263">
        <f t="shared" ref="D289:G289" ca="1" si="337">+D39+D89+D139+D189+D239</f>
        <v>116757.05054618191</v>
      </c>
      <c r="E289" s="263">
        <f t="shared" ca="1" si="337"/>
        <v>772.28336305568496</v>
      </c>
      <c r="F289" s="263">
        <f t="shared" ca="1" si="337"/>
        <v>0</v>
      </c>
      <c r="G289" s="263">
        <f t="shared" ca="1" si="337"/>
        <v>121390.75072451602</v>
      </c>
      <c r="H289" s="15"/>
      <c r="I289" s="35">
        <f t="shared" ca="1" si="331"/>
        <v>4.5</v>
      </c>
      <c r="J289" s="35">
        <f t="shared" ca="1" si="331"/>
        <v>80</v>
      </c>
      <c r="K289" s="35">
        <f t="shared" ca="1" si="331"/>
        <v>40</v>
      </c>
      <c r="L289" s="15"/>
      <c r="M289" s="35">
        <f t="shared" ca="1" si="332"/>
        <v>4.2299999999999995</v>
      </c>
      <c r="N289" s="35">
        <f t="shared" ca="1" si="332"/>
        <v>74.400000000000006</v>
      </c>
      <c r="O289" s="35">
        <f t="shared" ca="1" si="332"/>
        <v>37.200000000000003</v>
      </c>
      <c r="P289" s="15"/>
      <c r="Q289" s="34">
        <f t="shared" ca="1" si="333"/>
        <v>493882.32381034945</v>
      </c>
      <c r="R289" s="34">
        <f t="shared" ca="1" si="333"/>
        <v>57457.882211342963</v>
      </c>
      <c r="S289" s="34">
        <f t="shared" ca="1" si="333"/>
        <v>0</v>
      </c>
      <c r="T289" s="34">
        <f t="shared" ca="1" si="333"/>
        <v>551340.20602169237</v>
      </c>
      <c r="U289" s="15"/>
      <c r="V289" s="35">
        <f t="shared" si="334"/>
        <v>0.31</v>
      </c>
      <c r="W289" s="34">
        <f t="shared" ca="1" si="326"/>
        <v>37631.132724599964</v>
      </c>
      <c r="X289" s="35">
        <f t="shared" si="334"/>
        <v>0.37</v>
      </c>
      <c r="Y289" s="34">
        <f t="shared" ca="1" si="326"/>
        <v>44914.577768070929</v>
      </c>
      <c r="Z289" s="35">
        <f t="shared" si="335"/>
        <v>0.57999999999999996</v>
      </c>
      <c r="AA289" s="34">
        <f t="shared" ca="1" si="327"/>
        <v>70406.635420219289</v>
      </c>
      <c r="AB289" s="34">
        <f t="shared" ca="1" si="327"/>
        <v>152952.34591289016</v>
      </c>
      <c r="AC289" s="15"/>
      <c r="AD289" s="34">
        <f t="shared" ca="1" si="328"/>
        <v>398387.86010880221</v>
      </c>
      <c r="AE289" s="34">
        <f t="shared" ca="1" si="328"/>
        <v>178143.71257485033</v>
      </c>
      <c r="AF289" s="34">
        <f t="shared" ca="1" si="328"/>
        <v>220244.14753395191</v>
      </c>
      <c r="AG289" s="15"/>
      <c r="AH289" s="273"/>
      <c r="AI289" s="267"/>
      <c r="AJ289" s="267"/>
      <c r="AK289" s="34">
        <f t="shared" ca="1" si="329"/>
        <v>87654.675644308736</v>
      </c>
      <c r="AL289" s="233"/>
    </row>
    <row r="290" spans="2:38" x14ac:dyDescent="0.3">
      <c r="B290" s="232"/>
      <c r="C290" s="250">
        <f t="shared" si="336"/>
        <v>2024</v>
      </c>
      <c r="D290" s="263">
        <f t="shared" ref="D290:G290" ca="1" si="338">+D40+D90+D140+D190+D240</f>
        <v>120713.63278352428</v>
      </c>
      <c r="E290" s="263">
        <f t="shared" ca="1" si="338"/>
        <v>798.45396793279735</v>
      </c>
      <c r="F290" s="263">
        <f t="shared" ca="1" si="338"/>
        <v>0</v>
      </c>
      <c r="G290" s="263">
        <f t="shared" ca="1" si="338"/>
        <v>125504.35659112108</v>
      </c>
      <c r="H290" s="15"/>
      <c r="I290" s="35">
        <f t="shared" ca="1" si="331"/>
        <v>4.5</v>
      </c>
      <c r="J290" s="35">
        <f t="shared" ca="1" si="331"/>
        <v>80</v>
      </c>
      <c r="K290" s="35">
        <f t="shared" ca="1" si="331"/>
        <v>40</v>
      </c>
      <c r="L290" s="15"/>
      <c r="M290" s="35">
        <f t="shared" ca="1" si="332"/>
        <v>4.2299999999999995</v>
      </c>
      <c r="N290" s="35">
        <f t="shared" ca="1" si="332"/>
        <v>74.400000000000006</v>
      </c>
      <c r="O290" s="35">
        <f t="shared" ca="1" si="332"/>
        <v>37.200000000000003</v>
      </c>
      <c r="P290" s="15"/>
      <c r="Q290" s="34">
        <f t="shared" ca="1" si="333"/>
        <v>510618.66667430766</v>
      </c>
      <c r="R290" s="34">
        <f t="shared" ca="1" si="333"/>
        <v>59404.975214200123</v>
      </c>
      <c r="S290" s="34">
        <f t="shared" ca="1" si="333"/>
        <v>0</v>
      </c>
      <c r="T290" s="34">
        <f t="shared" ca="1" si="333"/>
        <v>570023.64188850787</v>
      </c>
      <c r="U290" s="15"/>
      <c r="V290" s="35">
        <f t="shared" si="334"/>
        <v>0.31</v>
      </c>
      <c r="W290" s="34">
        <f t="shared" ca="1" si="326"/>
        <v>38906.350543247529</v>
      </c>
      <c r="X290" s="35">
        <f t="shared" si="334"/>
        <v>0.37</v>
      </c>
      <c r="Y290" s="34">
        <f t="shared" ca="1" si="326"/>
        <v>46436.611938714792</v>
      </c>
      <c r="Z290" s="35">
        <f t="shared" si="335"/>
        <v>0.57999999999999996</v>
      </c>
      <c r="AA290" s="34">
        <f t="shared" ca="1" si="327"/>
        <v>72792.526822850225</v>
      </c>
      <c r="AB290" s="34">
        <f t="shared" ca="1" si="327"/>
        <v>158135.48930481254</v>
      </c>
      <c r="AC290" s="15"/>
      <c r="AD290" s="34">
        <f t="shared" ca="1" si="328"/>
        <v>411888.15258369531</v>
      </c>
      <c r="AE290" s="34">
        <f t="shared" ca="1" si="328"/>
        <v>178143.71257485033</v>
      </c>
      <c r="AF290" s="34">
        <f t="shared" ca="1" si="328"/>
        <v>233744.44000884495</v>
      </c>
      <c r="AG290" s="15"/>
      <c r="AH290" s="273"/>
      <c r="AI290" s="267"/>
      <c r="AJ290" s="267"/>
      <c r="AK290" s="34">
        <f t="shared" ca="1" si="329"/>
        <v>84570.581008091249</v>
      </c>
      <c r="AL290" s="233"/>
    </row>
    <row r="291" spans="2:38" x14ac:dyDescent="0.3">
      <c r="B291" s="232"/>
      <c r="C291" s="250">
        <f t="shared" si="336"/>
        <v>2025</v>
      </c>
      <c r="D291" s="263">
        <f t="shared" ref="D291:G291" ca="1" si="339">+D41+D91+D141+D191+D241</f>
        <v>124525.63727809372</v>
      </c>
      <c r="E291" s="263">
        <f t="shared" ca="1" si="339"/>
        <v>823.66827094300425</v>
      </c>
      <c r="F291" s="263">
        <f t="shared" ca="1" si="339"/>
        <v>0</v>
      </c>
      <c r="G291" s="263">
        <f t="shared" ca="1" si="339"/>
        <v>129467.64690375175</v>
      </c>
      <c r="H291" s="15"/>
      <c r="I291" s="35">
        <f t="shared" ca="1" si="331"/>
        <v>4.5</v>
      </c>
      <c r="J291" s="35">
        <f t="shared" ca="1" si="331"/>
        <v>80</v>
      </c>
      <c r="K291" s="35">
        <f t="shared" ca="1" si="331"/>
        <v>40</v>
      </c>
      <c r="L291" s="15"/>
      <c r="M291" s="35">
        <f t="shared" ca="1" si="332"/>
        <v>4.2299999999999995</v>
      </c>
      <c r="N291" s="35">
        <f t="shared" ca="1" si="332"/>
        <v>74.400000000000006</v>
      </c>
      <c r="O291" s="35">
        <f t="shared" ca="1" si="332"/>
        <v>37.200000000000003</v>
      </c>
      <c r="P291" s="15"/>
      <c r="Q291" s="34">
        <f t="shared" ca="1" si="333"/>
        <v>526743.44568633637</v>
      </c>
      <c r="R291" s="34">
        <f t="shared" ca="1" si="333"/>
        <v>61280.919358159525</v>
      </c>
      <c r="S291" s="34">
        <f t="shared" ca="1" si="333"/>
        <v>0</v>
      </c>
      <c r="T291" s="34">
        <f t="shared" ca="1" si="333"/>
        <v>588024.36504449591</v>
      </c>
      <c r="U291" s="15"/>
      <c r="V291" s="35">
        <f t="shared" si="334"/>
        <v>0.31</v>
      </c>
      <c r="W291" s="34">
        <f t="shared" ca="1" si="326"/>
        <v>40134.970540163042</v>
      </c>
      <c r="X291" s="35">
        <f t="shared" si="334"/>
        <v>0.37</v>
      </c>
      <c r="Y291" s="34">
        <f t="shared" ca="1" si="326"/>
        <v>47903.029354388149</v>
      </c>
      <c r="Z291" s="35">
        <f t="shared" si="335"/>
        <v>0.57999999999999996</v>
      </c>
      <c r="AA291" s="34">
        <f t="shared" ca="1" si="327"/>
        <v>75091.235204176017</v>
      </c>
      <c r="AB291" s="34">
        <f t="shared" ca="1" si="327"/>
        <v>163129.23509872722</v>
      </c>
      <c r="AC291" s="15"/>
      <c r="AD291" s="34">
        <f t="shared" ca="1" si="328"/>
        <v>424895.12994576863</v>
      </c>
      <c r="AE291" s="34">
        <f t="shared" ca="1" si="328"/>
        <v>178143.71257485033</v>
      </c>
      <c r="AF291" s="34">
        <f t="shared" ca="1" si="328"/>
        <v>246751.41737091832</v>
      </c>
      <c r="AG291" s="15"/>
      <c r="AH291" s="273"/>
      <c r="AI291" s="267"/>
      <c r="AJ291" s="267"/>
      <c r="AK291" s="34">
        <f t="shared" ca="1" si="329"/>
        <v>81160.552683633025</v>
      </c>
      <c r="AL291" s="233"/>
    </row>
    <row r="292" spans="2:38" x14ac:dyDescent="0.3">
      <c r="B292" s="232"/>
      <c r="C292" s="250">
        <f t="shared" si="336"/>
        <v>2026</v>
      </c>
      <c r="D292" s="263">
        <f t="shared" ref="D292:G292" ca="1" si="340">+D42+D92+D142+D192+D242</f>
        <v>128197.16788049125</v>
      </c>
      <c r="E292" s="263">
        <f t="shared" ca="1" si="340"/>
        <v>847.95341679002013</v>
      </c>
      <c r="F292" s="263">
        <f t="shared" ca="1" si="340"/>
        <v>0</v>
      </c>
      <c r="G292" s="263">
        <f t="shared" ca="1" si="340"/>
        <v>133284.88838123137</v>
      </c>
      <c r="H292" s="15"/>
      <c r="I292" s="35">
        <f t="shared" ca="1" si="331"/>
        <v>4.5</v>
      </c>
      <c r="J292" s="35">
        <f t="shared" ca="1" si="331"/>
        <v>80</v>
      </c>
      <c r="K292" s="35">
        <f t="shared" ca="1" si="331"/>
        <v>40</v>
      </c>
      <c r="L292" s="15"/>
      <c r="M292" s="35">
        <f t="shared" ca="1" si="332"/>
        <v>4.2299999999999995</v>
      </c>
      <c r="N292" s="35">
        <f t="shared" ca="1" si="332"/>
        <v>74.400000000000006</v>
      </c>
      <c r="O292" s="35">
        <f t="shared" ca="1" si="332"/>
        <v>37.200000000000003</v>
      </c>
      <c r="P292" s="15"/>
      <c r="Q292" s="34">
        <f t="shared" ca="1" si="333"/>
        <v>542274.02013447788</v>
      </c>
      <c r="R292" s="34">
        <f t="shared" ca="1" si="333"/>
        <v>63087.734209177506</v>
      </c>
      <c r="S292" s="34">
        <f t="shared" ca="1" si="333"/>
        <v>0</v>
      </c>
      <c r="T292" s="34">
        <f t="shared" ca="1" si="333"/>
        <v>605361.75434365543</v>
      </c>
      <c r="U292" s="15"/>
      <c r="V292" s="35">
        <f t="shared" si="334"/>
        <v>0.31</v>
      </c>
      <c r="W292" s="34">
        <f t="shared" ca="1" si="326"/>
        <v>41318.315398181723</v>
      </c>
      <c r="X292" s="35">
        <f t="shared" si="334"/>
        <v>0.37</v>
      </c>
      <c r="Y292" s="34">
        <f t="shared" ca="1" si="326"/>
        <v>49315.40870105561</v>
      </c>
      <c r="Z292" s="35">
        <f t="shared" si="335"/>
        <v>0.57999999999999996</v>
      </c>
      <c r="AA292" s="34">
        <f t="shared" ca="1" si="327"/>
        <v>77305.235261114198</v>
      </c>
      <c r="AB292" s="34">
        <f t="shared" ca="1" si="327"/>
        <v>167938.95936035155</v>
      </c>
      <c r="AC292" s="15"/>
      <c r="AD292" s="34">
        <f t="shared" ca="1" si="328"/>
        <v>437422.79498330387</v>
      </c>
      <c r="AE292" s="34">
        <f t="shared" ca="1" si="328"/>
        <v>178143.71257485033</v>
      </c>
      <c r="AF292" s="34">
        <f t="shared" ca="1" si="328"/>
        <v>259279.08240845354</v>
      </c>
      <c r="AG292" s="15"/>
      <c r="AH292" s="273"/>
      <c r="AI292" s="267"/>
      <c r="AJ292" s="267"/>
      <c r="AK292" s="34">
        <f t="shared" ca="1" si="329"/>
        <v>77528.2776185564</v>
      </c>
      <c r="AL292" s="233"/>
    </row>
    <row r="293" spans="2:38" x14ac:dyDescent="0.3">
      <c r="B293" s="232"/>
      <c r="C293" s="250">
        <f t="shared" si="336"/>
        <v>2027</v>
      </c>
      <c r="D293" s="263">
        <f t="shared" ref="D293:G293" ca="1" si="341">+D43+D93+D143+D193+D243</f>
        <v>131735.60423092404</v>
      </c>
      <c r="E293" s="263">
        <f t="shared" ca="1" si="341"/>
        <v>871.35821771542396</v>
      </c>
      <c r="F293" s="263">
        <f t="shared" ca="1" si="341"/>
        <v>0</v>
      </c>
      <c r="G293" s="263">
        <f t="shared" ca="1" si="341"/>
        <v>136963.75353721657</v>
      </c>
      <c r="H293" s="15"/>
      <c r="I293" s="35">
        <f t="shared" ca="1" si="331"/>
        <v>4.5</v>
      </c>
      <c r="J293" s="35">
        <f t="shared" ca="1" si="331"/>
        <v>80</v>
      </c>
      <c r="K293" s="35">
        <f t="shared" ca="1" si="331"/>
        <v>40</v>
      </c>
      <c r="L293" s="15"/>
      <c r="M293" s="35">
        <f t="shared" ca="1" si="332"/>
        <v>4.2299999999999995</v>
      </c>
      <c r="N293" s="35">
        <f t="shared" ca="1" si="332"/>
        <v>74.400000000000006</v>
      </c>
      <c r="O293" s="35">
        <f t="shared" ca="1" si="332"/>
        <v>37.200000000000003</v>
      </c>
      <c r="P293" s="15"/>
      <c r="Q293" s="34">
        <f t="shared" ca="1" si="333"/>
        <v>557241.60589680856</v>
      </c>
      <c r="R293" s="34">
        <f t="shared" ca="1" si="333"/>
        <v>64829.051398027543</v>
      </c>
      <c r="S293" s="34">
        <f t="shared" ca="1" si="333"/>
        <v>0</v>
      </c>
      <c r="T293" s="34">
        <f t="shared" ca="1" si="333"/>
        <v>622070.65729483613</v>
      </c>
      <c r="U293" s="15"/>
      <c r="V293" s="35">
        <f t="shared" si="334"/>
        <v>0.31</v>
      </c>
      <c r="W293" s="34">
        <f t="shared" ca="1" si="326"/>
        <v>42458.763596537137</v>
      </c>
      <c r="X293" s="35">
        <f t="shared" si="334"/>
        <v>0.37</v>
      </c>
      <c r="Y293" s="34">
        <f t="shared" ca="1" si="326"/>
        <v>50676.588808770131</v>
      </c>
      <c r="Z293" s="35">
        <f t="shared" si="335"/>
        <v>0.57999999999999996</v>
      </c>
      <c r="AA293" s="34">
        <f t="shared" ca="1" si="327"/>
        <v>79438.977051585607</v>
      </c>
      <c r="AB293" s="34">
        <f t="shared" ca="1" si="327"/>
        <v>172574.32945689288</v>
      </c>
      <c r="AC293" s="15"/>
      <c r="AD293" s="34">
        <f t="shared" ca="1" si="328"/>
        <v>449496.32783794327</v>
      </c>
      <c r="AE293" s="34">
        <f t="shared" ca="1" si="328"/>
        <v>178143.71257485033</v>
      </c>
      <c r="AF293" s="34">
        <f t="shared" ca="1" si="328"/>
        <v>271352.61526309291</v>
      </c>
      <c r="AG293" s="15"/>
      <c r="AH293" s="273"/>
      <c r="AI293" s="267"/>
      <c r="AJ293" s="267"/>
      <c r="AK293" s="34">
        <f t="shared" ca="1" si="329"/>
        <v>73762.220346509275</v>
      </c>
      <c r="AL293" s="233"/>
    </row>
    <row r="294" spans="2:38" x14ac:dyDescent="0.3">
      <c r="B294" s="232"/>
      <c r="C294" s="250">
        <f t="shared" si="336"/>
        <v>2028</v>
      </c>
      <c r="D294" s="263">
        <f t="shared" ref="D294:G294" ca="1" si="342">+D44+D94+D144+D194+D244</f>
        <v>135149.39474923158</v>
      </c>
      <c r="E294" s="263">
        <f t="shared" ca="1" si="342"/>
        <v>893.93855534739725</v>
      </c>
      <c r="F294" s="263">
        <f t="shared" ca="1" si="342"/>
        <v>0</v>
      </c>
      <c r="G294" s="263">
        <f t="shared" ca="1" si="342"/>
        <v>140513.02608131594</v>
      </c>
      <c r="H294" s="15"/>
      <c r="I294" s="35">
        <f t="shared" ca="1" si="331"/>
        <v>4.5</v>
      </c>
      <c r="J294" s="35">
        <f t="shared" ca="1" si="331"/>
        <v>80</v>
      </c>
      <c r="K294" s="35">
        <f t="shared" ca="1" si="331"/>
        <v>40</v>
      </c>
      <c r="L294" s="15"/>
      <c r="M294" s="35">
        <f t="shared" ca="1" si="332"/>
        <v>4.2299999999999995</v>
      </c>
      <c r="N294" s="35">
        <f t="shared" ca="1" si="332"/>
        <v>74.400000000000006</v>
      </c>
      <c r="O294" s="35">
        <f t="shared" ca="1" si="332"/>
        <v>37.200000000000003</v>
      </c>
      <c r="P294" s="15"/>
      <c r="Q294" s="34">
        <f t="shared" ca="1" si="333"/>
        <v>571681.93978924945</v>
      </c>
      <c r="R294" s="34">
        <f t="shared" ca="1" si="333"/>
        <v>66509.028517846367</v>
      </c>
      <c r="S294" s="34">
        <f t="shared" ca="1" si="333"/>
        <v>0</v>
      </c>
      <c r="T294" s="34">
        <f t="shared" ca="1" si="333"/>
        <v>638190.96830709581</v>
      </c>
      <c r="U294" s="15"/>
      <c r="V294" s="35">
        <f t="shared" si="334"/>
        <v>0.31</v>
      </c>
      <c r="W294" s="34">
        <f t="shared" ca="1" si="326"/>
        <v>43559.038085207947</v>
      </c>
      <c r="X294" s="35">
        <f t="shared" si="334"/>
        <v>0.37</v>
      </c>
      <c r="Y294" s="34">
        <f t="shared" ca="1" si="326"/>
        <v>51989.819650086902</v>
      </c>
      <c r="Z294" s="35">
        <f t="shared" si="335"/>
        <v>0.57999999999999996</v>
      </c>
      <c r="AA294" s="34">
        <f t="shared" ca="1" si="327"/>
        <v>81497.555127163243</v>
      </c>
      <c r="AB294" s="34">
        <f t="shared" ca="1" si="327"/>
        <v>177046.41286245809</v>
      </c>
      <c r="AC294" s="15"/>
      <c r="AD294" s="34">
        <f t="shared" ca="1" si="328"/>
        <v>461144.55544463772</v>
      </c>
      <c r="AE294" s="34">
        <f t="shared" ca="1" si="328"/>
        <v>178143.71257485033</v>
      </c>
      <c r="AF294" s="34">
        <f t="shared" ca="1" si="328"/>
        <v>283000.84286978742</v>
      </c>
      <c r="AG294" s="15"/>
      <c r="AH294" s="273"/>
      <c r="AI294" s="267"/>
      <c r="AJ294" s="267"/>
      <c r="AK294" s="34">
        <f t="shared" ca="1" si="329"/>
        <v>69935.069908173435</v>
      </c>
      <c r="AL294" s="233"/>
    </row>
    <row r="295" spans="2:38" x14ac:dyDescent="0.3">
      <c r="B295" s="232"/>
      <c r="C295" s="250">
        <f t="shared" si="336"/>
        <v>2029</v>
      </c>
      <c r="D295" s="263">
        <f t="shared" ref="D295:G295" ca="1" si="343">+D45+D95+D145+D195+D245</f>
        <v>138446.7452955615</v>
      </c>
      <c r="E295" s="263">
        <f t="shared" ca="1" si="343"/>
        <v>915.74870691581111</v>
      </c>
      <c r="F295" s="263">
        <f t="shared" ca="1" si="343"/>
        <v>0</v>
      </c>
      <c r="G295" s="263">
        <f t="shared" ca="1" si="343"/>
        <v>143941.23753705638</v>
      </c>
      <c r="H295" s="15"/>
      <c r="I295" s="35">
        <f t="shared" ca="1" si="331"/>
        <v>4.5</v>
      </c>
      <c r="J295" s="35">
        <f t="shared" ca="1" si="331"/>
        <v>80</v>
      </c>
      <c r="K295" s="35">
        <f t="shared" ca="1" si="331"/>
        <v>40</v>
      </c>
      <c r="L295" s="15"/>
      <c r="M295" s="35">
        <f t="shared" ca="1" si="332"/>
        <v>4.2299999999999995</v>
      </c>
      <c r="N295" s="35">
        <f t="shared" ca="1" si="332"/>
        <v>74.400000000000006</v>
      </c>
      <c r="O295" s="35">
        <f t="shared" ca="1" si="332"/>
        <v>37.200000000000003</v>
      </c>
      <c r="P295" s="15"/>
      <c r="Q295" s="34">
        <f t="shared" ca="1" si="333"/>
        <v>585629.73260022514</v>
      </c>
      <c r="R295" s="34">
        <f t="shared" ca="1" si="333"/>
        <v>68131.703794536355</v>
      </c>
      <c r="S295" s="34">
        <f t="shared" ca="1" si="333"/>
        <v>0</v>
      </c>
      <c r="T295" s="34">
        <f t="shared" ca="1" si="333"/>
        <v>653761.43639476143</v>
      </c>
      <c r="U295" s="15"/>
      <c r="V295" s="35">
        <f t="shared" si="334"/>
        <v>0.31</v>
      </c>
      <c r="W295" s="34">
        <f t="shared" ref="W295:Y310" ca="1" si="344">+W45+W95+W145+W195+W245</f>
        <v>44621.783636487475</v>
      </c>
      <c r="X295" s="35">
        <f t="shared" si="334"/>
        <v>0.37</v>
      </c>
      <c r="Y295" s="34">
        <f t="shared" ca="1" si="344"/>
        <v>53258.257888710861</v>
      </c>
      <c r="Z295" s="35">
        <f t="shared" si="335"/>
        <v>0.57999999999999996</v>
      </c>
      <c r="AA295" s="34">
        <f t="shared" ref="AA295:AB310" ca="1" si="345">+AA45+AA95+AA145+AA195+AA245</f>
        <v>83485.917771492692</v>
      </c>
      <c r="AB295" s="34">
        <f t="shared" ca="1" si="345"/>
        <v>181365.95929669103</v>
      </c>
      <c r="AC295" s="15"/>
      <c r="AD295" s="34">
        <f t="shared" ref="AD295:AF310" ca="1" si="346">+AD45+AD95+AD145+AD195+AD245</f>
        <v>472395.47709807043</v>
      </c>
      <c r="AE295" s="34">
        <f t="shared" ca="1" si="346"/>
        <v>178143.71257485033</v>
      </c>
      <c r="AF295" s="34">
        <f t="shared" ca="1" si="346"/>
        <v>294251.76452322007</v>
      </c>
      <c r="AG295" s="15"/>
      <c r="AH295" s="273"/>
      <c r="AI295" s="267"/>
      <c r="AJ295" s="267"/>
      <c r="AK295" s="34">
        <f t="shared" ca="1" si="329"/>
        <v>66104.903414475746</v>
      </c>
      <c r="AL295" s="233"/>
    </row>
    <row r="296" spans="2:38" x14ac:dyDescent="0.3">
      <c r="B296" s="232"/>
      <c r="C296" s="250">
        <f t="shared" si="336"/>
        <v>2030</v>
      </c>
      <c r="D296" s="263">
        <f t="shared" ref="D296:G296" ca="1" si="347">+D46+D96+D146+D196+D246</f>
        <v>141633.04991784418</v>
      </c>
      <c r="E296" s="263">
        <f t="shared" ca="1" si="347"/>
        <v>936.82435106667992</v>
      </c>
      <c r="F296" s="263">
        <f t="shared" ca="1" si="347"/>
        <v>0</v>
      </c>
      <c r="G296" s="263">
        <f t="shared" ca="1" si="347"/>
        <v>147253.99602424423</v>
      </c>
      <c r="H296" s="15"/>
      <c r="I296" s="35">
        <f t="shared" ref="I296:K311" ca="1" si="348">I246</f>
        <v>4.5</v>
      </c>
      <c r="J296" s="35">
        <f t="shared" ca="1" si="348"/>
        <v>80</v>
      </c>
      <c r="K296" s="35">
        <f t="shared" ca="1" si="348"/>
        <v>40</v>
      </c>
      <c r="L296" s="15"/>
      <c r="M296" s="35">
        <f t="shared" ref="M296:O311" ca="1" si="349">M246</f>
        <v>4.2299999999999995</v>
      </c>
      <c r="N296" s="35">
        <f t="shared" ca="1" si="349"/>
        <v>74.400000000000006</v>
      </c>
      <c r="O296" s="35">
        <f t="shared" ca="1" si="349"/>
        <v>37.200000000000003</v>
      </c>
      <c r="P296" s="15"/>
      <c r="Q296" s="34">
        <f t="shared" ref="Q296:T311" ca="1" si="350">+Q46+Q96+Q146+Q196+Q246</f>
        <v>599107.80115248077</v>
      </c>
      <c r="R296" s="34">
        <f t="shared" ca="1" si="350"/>
        <v>69699.731719360992</v>
      </c>
      <c r="S296" s="34">
        <f t="shared" ca="1" si="350"/>
        <v>0</v>
      </c>
      <c r="T296" s="34">
        <f t="shared" ca="1" si="350"/>
        <v>668807.5328718418</v>
      </c>
      <c r="U296" s="15"/>
      <c r="V296" s="35">
        <f t="shared" ref="V296:X311" si="351">V246</f>
        <v>0.31</v>
      </c>
      <c r="W296" s="34">
        <f t="shared" ca="1" si="344"/>
        <v>45648.738767515715</v>
      </c>
      <c r="X296" s="35">
        <f t="shared" si="351"/>
        <v>0.37</v>
      </c>
      <c r="Y296" s="34">
        <f t="shared" ca="1" si="344"/>
        <v>54483.978528970372</v>
      </c>
      <c r="Z296" s="35">
        <f t="shared" si="335"/>
        <v>0.57999999999999996</v>
      </c>
      <c r="AA296" s="34">
        <f t="shared" ca="1" si="345"/>
        <v>85407.317694061654</v>
      </c>
      <c r="AB296" s="34">
        <f t="shared" ca="1" si="345"/>
        <v>185540.03499054772</v>
      </c>
      <c r="AC296" s="15"/>
      <c r="AD296" s="34">
        <f t="shared" ca="1" si="346"/>
        <v>483267.49788129411</v>
      </c>
      <c r="AE296" s="34">
        <f t="shared" ca="1" si="346"/>
        <v>178143.71257485033</v>
      </c>
      <c r="AF296" s="34">
        <f t="shared" ca="1" si="346"/>
        <v>305123.78530644375</v>
      </c>
      <c r="AG296" s="15"/>
      <c r="AH296" s="273"/>
      <c r="AI296" s="267"/>
      <c r="AJ296" s="267"/>
      <c r="AK296" s="34">
        <f t="shared" ca="1" si="329"/>
        <v>62315.771696154952</v>
      </c>
      <c r="AL296" s="233"/>
    </row>
    <row r="297" spans="2:38" x14ac:dyDescent="0.3">
      <c r="B297" s="232"/>
      <c r="C297" s="250">
        <f t="shared" si="336"/>
        <v>2031</v>
      </c>
      <c r="D297" s="263">
        <f t="shared" ref="D297:G297" ca="1" si="352">+D47+D97+D147+D197+D247</f>
        <v>144710.93591687406</v>
      </c>
      <c r="E297" s="263">
        <f t="shared" ca="1" si="352"/>
        <v>957.18286594276969</v>
      </c>
      <c r="F297" s="263">
        <f t="shared" ca="1" si="352"/>
        <v>0</v>
      </c>
      <c r="G297" s="263">
        <f t="shared" ca="1" si="352"/>
        <v>150454.03311253068</v>
      </c>
      <c r="H297" s="15"/>
      <c r="I297" s="35">
        <f t="shared" ca="1" si="348"/>
        <v>4.5</v>
      </c>
      <c r="J297" s="35">
        <f t="shared" ca="1" si="348"/>
        <v>80</v>
      </c>
      <c r="K297" s="35">
        <f t="shared" ca="1" si="348"/>
        <v>40</v>
      </c>
      <c r="L297" s="15"/>
      <c r="M297" s="35">
        <f t="shared" ca="1" si="349"/>
        <v>4.2299999999999995</v>
      </c>
      <c r="N297" s="35">
        <f t="shared" ca="1" si="349"/>
        <v>74.400000000000006</v>
      </c>
      <c r="O297" s="35">
        <f t="shared" ca="1" si="349"/>
        <v>37.200000000000003</v>
      </c>
      <c r="P297" s="15"/>
      <c r="Q297" s="34">
        <f t="shared" ca="1" si="350"/>
        <v>612127.25892837718</v>
      </c>
      <c r="R297" s="34">
        <f t="shared" ca="1" si="350"/>
        <v>71214.405226142073</v>
      </c>
      <c r="S297" s="34">
        <f t="shared" ca="1" si="350"/>
        <v>0</v>
      </c>
      <c r="T297" s="34">
        <f t="shared" ca="1" si="350"/>
        <v>683341.66415451933</v>
      </c>
      <c r="U297" s="15"/>
      <c r="V297" s="35">
        <f t="shared" si="351"/>
        <v>0.31</v>
      </c>
      <c r="W297" s="34">
        <f t="shared" ca="1" si="344"/>
        <v>46640.750264884511</v>
      </c>
      <c r="X297" s="35">
        <f t="shared" si="351"/>
        <v>0.37</v>
      </c>
      <c r="Y297" s="34">
        <f t="shared" ca="1" si="344"/>
        <v>55667.992251636351</v>
      </c>
      <c r="Z297" s="35">
        <f t="shared" si="335"/>
        <v>0.57999999999999996</v>
      </c>
      <c r="AA297" s="34">
        <f t="shared" ca="1" si="345"/>
        <v>87263.339205267781</v>
      </c>
      <c r="AB297" s="34">
        <f t="shared" ca="1" si="345"/>
        <v>189572.08172178865</v>
      </c>
      <c r="AC297" s="15"/>
      <c r="AD297" s="34">
        <f t="shared" ca="1" si="346"/>
        <v>493769.58243273065</v>
      </c>
      <c r="AE297" s="34">
        <f t="shared" ca="1" si="346"/>
        <v>178143.71257485033</v>
      </c>
      <c r="AF297" s="34">
        <f t="shared" ca="1" si="346"/>
        <v>315625.86985788029</v>
      </c>
      <c r="AG297" s="15"/>
      <c r="AH297" s="273"/>
      <c r="AI297" s="267"/>
      <c r="AJ297" s="267"/>
      <c r="AK297" s="34">
        <f t="shared" ca="1" si="329"/>
        <v>58600.567419816856</v>
      </c>
      <c r="AL297" s="233"/>
    </row>
    <row r="298" spans="2:38" x14ac:dyDescent="0.3">
      <c r="B298" s="232"/>
      <c r="C298" s="250">
        <f t="shared" si="336"/>
        <v>2032</v>
      </c>
      <c r="D298" s="263">
        <f t="shared" ref="D298:G298" ca="1" si="353">+D48+D98+D148+D198+D248</f>
        <v>147680.70456907852</v>
      </c>
      <c r="E298" s="263">
        <f t="shared" ca="1" si="353"/>
        <v>976.82624432114551</v>
      </c>
      <c r="F298" s="263">
        <f t="shared" ca="1" si="353"/>
        <v>0</v>
      </c>
      <c r="G298" s="263">
        <f t="shared" ca="1" si="353"/>
        <v>153541.6620350054</v>
      </c>
      <c r="H298" s="15"/>
      <c r="I298" s="35">
        <f t="shared" ca="1" si="348"/>
        <v>4.5</v>
      </c>
      <c r="J298" s="35">
        <f t="shared" ca="1" si="348"/>
        <v>80</v>
      </c>
      <c r="K298" s="35">
        <f t="shared" ca="1" si="348"/>
        <v>40</v>
      </c>
      <c r="L298" s="15"/>
      <c r="M298" s="35">
        <f t="shared" ca="1" si="349"/>
        <v>4.2299999999999995</v>
      </c>
      <c r="N298" s="35">
        <f t="shared" ca="1" si="349"/>
        <v>74.400000000000006</v>
      </c>
      <c r="O298" s="35">
        <f t="shared" ca="1" si="349"/>
        <v>37.200000000000003</v>
      </c>
      <c r="P298" s="15"/>
      <c r="Q298" s="34">
        <f t="shared" ca="1" si="350"/>
        <v>624689.38032720215</v>
      </c>
      <c r="R298" s="34">
        <f t="shared" ca="1" si="350"/>
        <v>72675.872577493239</v>
      </c>
      <c r="S298" s="34">
        <f t="shared" ca="1" si="350"/>
        <v>0</v>
      </c>
      <c r="T298" s="34">
        <f t="shared" ca="1" si="350"/>
        <v>697365.25290469534</v>
      </c>
      <c r="U298" s="15"/>
      <c r="V298" s="35">
        <f t="shared" si="351"/>
        <v>0.31</v>
      </c>
      <c r="W298" s="34">
        <f t="shared" ca="1" si="344"/>
        <v>47597.915230851671</v>
      </c>
      <c r="X298" s="35">
        <f t="shared" si="351"/>
        <v>0.37</v>
      </c>
      <c r="Y298" s="34">
        <f t="shared" ca="1" si="344"/>
        <v>56810.414952951993</v>
      </c>
      <c r="Z298" s="35">
        <f t="shared" si="335"/>
        <v>0.57999999999999996</v>
      </c>
      <c r="AA298" s="34">
        <f t="shared" ca="1" si="345"/>
        <v>89054.163980303114</v>
      </c>
      <c r="AB298" s="34">
        <f t="shared" ca="1" si="345"/>
        <v>193462.49416410679</v>
      </c>
      <c r="AC298" s="15"/>
      <c r="AD298" s="34">
        <f t="shared" ca="1" si="346"/>
        <v>503902.75874058862</v>
      </c>
      <c r="AE298" s="34">
        <f t="shared" ca="1" si="346"/>
        <v>178143.71257485033</v>
      </c>
      <c r="AF298" s="34">
        <f t="shared" ca="1" si="346"/>
        <v>325759.04616573825</v>
      </c>
      <c r="AG298" s="15"/>
      <c r="AH298" s="273"/>
      <c r="AI298" s="267"/>
      <c r="AJ298" s="267"/>
      <c r="AK298" s="34">
        <f t="shared" ca="1" si="329"/>
        <v>54983.58188805294</v>
      </c>
      <c r="AL298" s="233"/>
    </row>
    <row r="299" spans="2:38" x14ac:dyDescent="0.3">
      <c r="B299" s="232"/>
      <c r="C299" s="250">
        <f t="shared" si="336"/>
        <v>2033</v>
      </c>
      <c r="D299" s="263">
        <f t="shared" ref="D299:G299" ca="1" si="354">+D49+D99+D149+D199+D249</f>
        <v>150541.19266561713</v>
      </c>
      <c r="E299" s="263">
        <f t="shared" ca="1" si="354"/>
        <v>995.74679221818076</v>
      </c>
      <c r="F299" s="263">
        <f t="shared" ca="1" si="354"/>
        <v>0</v>
      </c>
      <c r="G299" s="263">
        <f t="shared" ca="1" si="354"/>
        <v>156515.67341892622</v>
      </c>
      <c r="H299" s="15"/>
      <c r="I299" s="35">
        <f t="shared" ca="1" si="348"/>
        <v>4.5</v>
      </c>
      <c r="J299" s="35">
        <f t="shared" ca="1" si="348"/>
        <v>80</v>
      </c>
      <c r="K299" s="35">
        <f t="shared" ca="1" si="348"/>
        <v>40</v>
      </c>
      <c r="L299" s="15"/>
      <c r="M299" s="35">
        <f t="shared" ca="1" si="349"/>
        <v>4.2299999999999995</v>
      </c>
      <c r="N299" s="35">
        <f t="shared" ca="1" si="349"/>
        <v>74.400000000000006</v>
      </c>
      <c r="O299" s="35">
        <f t="shared" ca="1" si="349"/>
        <v>37.200000000000003</v>
      </c>
      <c r="P299" s="15"/>
      <c r="Q299" s="34">
        <f t="shared" ca="1" si="350"/>
        <v>636789.24497556046</v>
      </c>
      <c r="R299" s="34">
        <f t="shared" ca="1" si="350"/>
        <v>74083.561341032648</v>
      </c>
      <c r="S299" s="34">
        <f t="shared" ca="1" si="350"/>
        <v>0</v>
      </c>
      <c r="T299" s="34">
        <f t="shared" ca="1" si="350"/>
        <v>710872.80631659308</v>
      </c>
      <c r="U299" s="15"/>
      <c r="V299" s="35">
        <f t="shared" si="351"/>
        <v>0.31</v>
      </c>
      <c r="W299" s="34">
        <f t="shared" ca="1" si="344"/>
        <v>48519.858759867129</v>
      </c>
      <c r="X299" s="35">
        <f t="shared" si="351"/>
        <v>0.37</v>
      </c>
      <c r="Y299" s="34">
        <f t="shared" ca="1" si="344"/>
        <v>57910.799165002696</v>
      </c>
      <c r="Z299" s="35">
        <f t="shared" si="335"/>
        <v>0.57999999999999996</v>
      </c>
      <c r="AA299" s="34">
        <f t="shared" ca="1" si="345"/>
        <v>90779.090582977209</v>
      </c>
      <c r="AB299" s="34">
        <f t="shared" ca="1" si="345"/>
        <v>197209.74850784702</v>
      </c>
      <c r="AC299" s="15"/>
      <c r="AD299" s="34">
        <f t="shared" ca="1" si="346"/>
        <v>513663.057808746</v>
      </c>
      <c r="AE299" s="34">
        <f t="shared" ca="1" si="346"/>
        <v>178143.71257485033</v>
      </c>
      <c r="AF299" s="34">
        <f t="shared" ca="1" si="346"/>
        <v>335519.3452338957</v>
      </c>
      <c r="AG299" s="15"/>
      <c r="AH299" s="273"/>
      <c r="AI299" s="267"/>
      <c r="AJ299" s="267"/>
      <c r="AK299" s="34">
        <f t="shared" ca="1" si="329"/>
        <v>51482.712901485786</v>
      </c>
      <c r="AL299" s="233"/>
    </row>
    <row r="300" spans="2:38" x14ac:dyDescent="0.3">
      <c r="B300" s="232"/>
      <c r="C300" s="250">
        <f t="shared" si="336"/>
        <v>2034</v>
      </c>
      <c r="D300" s="263">
        <f t="shared" ref="D300:G300" ca="1" si="355">+D50+D100+D150+D200+D250</f>
        <v>153291.79794610996</v>
      </c>
      <c r="E300" s="263">
        <f t="shared" ca="1" si="355"/>
        <v>1013.9405260143039</v>
      </c>
      <c r="F300" s="263">
        <f t="shared" ca="1" si="355"/>
        <v>0</v>
      </c>
      <c r="G300" s="263">
        <f t="shared" ca="1" si="355"/>
        <v>159375.44110219576</v>
      </c>
      <c r="H300" s="15"/>
      <c r="I300" s="35">
        <f t="shared" ca="1" si="348"/>
        <v>4.5</v>
      </c>
      <c r="J300" s="35">
        <f t="shared" ca="1" si="348"/>
        <v>80</v>
      </c>
      <c r="K300" s="35">
        <f t="shared" ca="1" si="348"/>
        <v>40</v>
      </c>
      <c r="L300" s="15"/>
      <c r="M300" s="35">
        <f t="shared" ca="1" si="349"/>
        <v>4.2299999999999995</v>
      </c>
      <c r="N300" s="35">
        <f t="shared" ca="1" si="349"/>
        <v>74.400000000000006</v>
      </c>
      <c r="O300" s="35">
        <f t="shared" ca="1" si="349"/>
        <v>37.200000000000003</v>
      </c>
      <c r="P300" s="15"/>
      <c r="Q300" s="34">
        <f t="shared" ca="1" si="350"/>
        <v>648424.30531204503</v>
      </c>
      <c r="R300" s="34">
        <f t="shared" ca="1" si="350"/>
        <v>75437.175135464218</v>
      </c>
      <c r="S300" s="34">
        <f t="shared" ca="1" si="350"/>
        <v>0</v>
      </c>
      <c r="T300" s="34">
        <f t="shared" ca="1" si="350"/>
        <v>723861.48044750933</v>
      </c>
      <c r="U300" s="15"/>
      <c r="V300" s="35">
        <f t="shared" si="351"/>
        <v>0.31</v>
      </c>
      <c r="W300" s="34">
        <f t="shared" ca="1" si="344"/>
        <v>49406.38674168069</v>
      </c>
      <c r="X300" s="35">
        <f t="shared" si="351"/>
        <v>0.37</v>
      </c>
      <c r="Y300" s="34">
        <f t="shared" ca="1" si="344"/>
        <v>58968.913207812438</v>
      </c>
      <c r="Z300" s="35">
        <f t="shared" si="335"/>
        <v>0.57999999999999996</v>
      </c>
      <c r="AA300" s="34">
        <f t="shared" ca="1" si="345"/>
        <v>92437.755839273537</v>
      </c>
      <c r="AB300" s="34">
        <f t="shared" ca="1" si="345"/>
        <v>200813.05578876665</v>
      </c>
      <c r="AC300" s="15"/>
      <c r="AD300" s="34">
        <f t="shared" ca="1" si="346"/>
        <v>523048.42465874262</v>
      </c>
      <c r="AE300" s="34">
        <f t="shared" ca="1" si="346"/>
        <v>178143.71257485033</v>
      </c>
      <c r="AF300" s="34">
        <f t="shared" ca="1" si="346"/>
        <v>344904.71208389226</v>
      </c>
      <c r="AG300" s="15"/>
      <c r="AH300" s="273"/>
      <c r="AI300" s="267"/>
      <c r="AJ300" s="267"/>
      <c r="AK300" s="34">
        <f t="shared" ca="1" si="329"/>
        <v>48111.655510724224</v>
      </c>
      <c r="AL300" s="233"/>
    </row>
    <row r="301" spans="2:38" x14ac:dyDescent="0.3">
      <c r="B301" s="232"/>
      <c r="C301" s="250">
        <f t="shared" si="336"/>
        <v>2035</v>
      </c>
      <c r="D301" s="263">
        <f t="shared" ref="D301:G301" ca="1" si="356">+D51+D101+D151+D201+D251</f>
        <v>143605.61451807959</v>
      </c>
      <c r="E301" s="263">
        <f t="shared" ca="1" si="356"/>
        <v>949.87177575056944</v>
      </c>
      <c r="F301" s="263">
        <f t="shared" ca="1" si="356"/>
        <v>0</v>
      </c>
      <c r="G301" s="263">
        <f t="shared" ca="1" si="356"/>
        <v>149304.84517258298</v>
      </c>
      <c r="H301" s="15"/>
      <c r="I301" s="35">
        <f t="shared" ca="1" si="348"/>
        <v>4.5</v>
      </c>
      <c r="J301" s="35">
        <f t="shared" ca="1" si="348"/>
        <v>80</v>
      </c>
      <c r="K301" s="35">
        <f t="shared" ca="1" si="348"/>
        <v>40</v>
      </c>
      <c r="L301" s="15"/>
      <c r="M301" s="35">
        <f t="shared" ca="1" si="349"/>
        <v>4.2299999999999995</v>
      </c>
      <c r="N301" s="35">
        <f t="shared" ca="1" si="349"/>
        <v>74.400000000000006</v>
      </c>
      <c r="O301" s="35">
        <f t="shared" ca="1" si="349"/>
        <v>37.200000000000003</v>
      </c>
      <c r="P301" s="15"/>
      <c r="Q301" s="34">
        <f t="shared" ca="1" si="350"/>
        <v>607451.74941147654</v>
      </c>
      <c r="R301" s="34">
        <f t="shared" ca="1" si="350"/>
        <v>70670.460115842376</v>
      </c>
      <c r="S301" s="34">
        <f t="shared" ca="1" si="350"/>
        <v>0</v>
      </c>
      <c r="T301" s="34">
        <f t="shared" ca="1" si="350"/>
        <v>678122.20952731895</v>
      </c>
      <c r="U301" s="15"/>
      <c r="V301" s="35">
        <f t="shared" si="351"/>
        <v>0.31</v>
      </c>
      <c r="W301" s="34">
        <f t="shared" ca="1" si="344"/>
        <v>46284.502003500733</v>
      </c>
      <c r="X301" s="35">
        <f t="shared" si="351"/>
        <v>0.37</v>
      </c>
      <c r="Y301" s="34">
        <f t="shared" ca="1" si="344"/>
        <v>55242.792713855713</v>
      </c>
      <c r="Z301" s="35">
        <f t="shared" si="335"/>
        <v>0.57999999999999996</v>
      </c>
      <c r="AA301" s="34">
        <f t="shared" ca="1" si="345"/>
        <v>86596.810200098131</v>
      </c>
      <c r="AB301" s="34">
        <f t="shared" ca="1" si="345"/>
        <v>188124.10491745459</v>
      </c>
      <c r="AC301" s="15"/>
      <c r="AD301" s="34">
        <f t="shared" ca="1" si="346"/>
        <v>489998.10460986441</v>
      </c>
      <c r="AE301" s="34">
        <f t="shared" ca="1" si="346"/>
        <v>114121.4841679559</v>
      </c>
      <c r="AF301" s="34">
        <f t="shared" ca="1" si="346"/>
        <v>375876.62044190848</v>
      </c>
      <c r="AG301" s="15"/>
      <c r="AH301" s="273"/>
      <c r="AI301" s="267"/>
      <c r="AJ301" s="267"/>
      <c r="AK301" s="34">
        <f t="shared" ca="1" si="329"/>
        <v>47665.461433400997</v>
      </c>
      <c r="AL301" s="233"/>
    </row>
    <row r="302" spans="2:38" x14ac:dyDescent="0.3">
      <c r="B302" s="232"/>
      <c r="C302" s="250">
        <f t="shared" si="336"/>
        <v>2036</v>
      </c>
      <c r="D302" s="263">
        <f t="shared" ref="D302:G302" ca="1" si="357">+D52+D102+D152+D202+D252</f>
        <v>125321.64610246105</v>
      </c>
      <c r="E302" s="263">
        <f t="shared" ca="1" si="357"/>
        <v>828.9334293983494</v>
      </c>
      <c r="F302" s="263">
        <f t="shared" ca="1" si="357"/>
        <v>0</v>
      </c>
      <c r="G302" s="263">
        <f t="shared" ca="1" si="357"/>
        <v>130295.24667885114</v>
      </c>
      <c r="H302" s="15"/>
      <c r="I302" s="35">
        <f t="shared" ca="1" si="348"/>
        <v>4.5</v>
      </c>
      <c r="J302" s="35">
        <f t="shared" ca="1" si="348"/>
        <v>80</v>
      </c>
      <c r="K302" s="35">
        <f t="shared" ca="1" si="348"/>
        <v>40</v>
      </c>
      <c r="L302" s="15"/>
      <c r="M302" s="35">
        <f t="shared" ca="1" si="349"/>
        <v>4.2299999999999995</v>
      </c>
      <c r="N302" s="35">
        <f t="shared" ca="1" si="349"/>
        <v>74.400000000000006</v>
      </c>
      <c r="O302" s="35">
        <f t="shared" ca="1" si="349"/>
        <v>37.200000000000003</v>
      </c>
      <c r="P302" s="15"/>
      <c r="Q302" s="34">
        <f t="shared" ca="1" si="350"/>
        <v>530110.5630134102</v>
      </c>
      <c r="R302" s="34">
        <f t="shared" ca="1" si="350"/>
        <v>61672.647147237207</v>
      </c>
      <c r="S302" s="34">
        <f t="shared" ca="1" si="350"/>
        <v>0</v>
      </c>
      <c r="T302" s="34">
        <f t="shared" ca="1" si="350"/>
        <v>591783.2101606474</v>
      </c>
      <c r="U302" s="15"/>
      <c r="V302" s="35">
        <f t="shared" si="351"/>
        <v>0.31</v>
      </c>
      <c r="W302" s="34">
        <f t="shared" ca="1" si="344"/>
        <v>40391.526470443852</v>
      </c>
      <c r="X302" s="35">
        <f t="shared" si="351"/>
        <v>0.37</v>
      </c>
      <c r="Y302" s="34">
        <f t="shared" ca="1" si="344"/>
        <v>48209.241271174928</v>
      </c>
      <c r="Z302" s="35">
        <f t="shared" si="335"/>
        <v>0.57999999999999996</v>
      </c>
      <c r="AA302" s="34">
        <f t="shared" ca="1" si="345"/>
        <v>75571.243073733654</v>
      </c>
      <c r="AB302" s="34">
        <f t="shared" ca="1" si="345"/>
        <v>164172.01081535243</v>
      </c>
      <c r="AC302" s="15"/>
      <c r="AD302" s="34">
        <f t="shared" ca="1" si="346"/>
        <v>427611.19934529503</v>
      </c>
      <c r="AE302" s="34">
        <f t="shared" ca="1" si="346"/>
        <v>35628.742514970065</v>
      </c>
      <c r="AF302" s="34">
        <f t="shared" ca="1" si="346"/>
        <v>391982.45683032495</v>
      </c>
      <c r="AG302" s="15"/>
      <c r="AH302" s="273"/>
      <c r="AI302" s="267"/>
      <c r="AJ302" s="267"/>
      <c r="AK302" s="34">
        <f t="shared" ca="1" si="329"/>
        <v>45188.969084031545</v>
      </c>
      <c r="AL302" s="233"/>
    </row>
    <row r="303" spans="2:38" x14ac:dyDescent="0.3">
      <c r="B303" s="232"/>
      <c r="C303" s="250">
        <f t="shared" si="336"/>
        <v>2037</v>
      </c>
      <c r="D303" s="263">
        <f t="shared" ref="D303:G303" ca="1" si="358">+D53+D103+D153+D203+D253</f>
        <v>116629.49264110198</v>
      </c>
      <c r="E303" s="263">
        <f t="shared" ca="1" si="358"/>
        <v>771.43963800902918</v>
      </c>
      <c r="F303" s="263">
        <f t="shared" ca="1" si="358"/>
        <v>0</v>
      </c>
      <c r="G303" s="263">
        <f t="shared" ca="1" si="358"/>
        <v>121258.13046915615</v>
      </c>
      <c r="H303" s="15"/>
      <c r="I303" s="35">
        <f t="shared" ca="1" si="348"/>
        <v>4.5</v>
      </c>
      <c r="J303" s="35">
        <f t="shared" ca="1" si="348"/>
        <v>80</v>
      </c>
      <c r="K303" s="35">
        <f t="shared" ca="1" si="348"/>
        <v>40</v>
      </c>
      <c r="L303" s="15"/>
      <c r="M303" s="35">
        <f t="shared" ca="1" si="349"/>
        <v>4.2299999999999995</v>
      </c>
      <c r="N303" s="35">
        <f t="shared" ca="1" si="349"/>
        <v>74.400000000000006</v>
      </c>
      <c r="O303" s="35">
        <f t="shared" ca="1" si="349"/>
        <v>37.200000000000003</v>
      </c>
      <c r="P303" s="15"/>
      <c r="Q303" s="34">
        <f t="shared" ca="1" si="350"/>
        <v>493342.75387186126</v>
      </c>
      <c r="R303" s="34">
        <f t="shared" ca="1" si="350"/>
        <v>57395.109067871781</v>
      </c>
      <c r="S303" s="34">
        <f t="shared" ca="1" si="350"/>
        <v>0</v>
      </c>
      <c r="T303" s="34">
        <f t="shared" ca="1" si="350"/>
        <v>550737.86293973308</v>
      </c>
      <c r="U303" s="15"/>
      <c r="V303" s="35">
        <f t="shared" si="351"/>
        <v>0.31</v>
      </c>
      <c r="W303" s="34">
        <f t="shared" ca="1" si="344"/>
        <v>37590.020445438407</v>
      </c>
      <c r="X303" s="35">
        <f t="shared" si="351"/>
        <v>0.37</v>
      </c>
      <c r="Y303" s="34">
        <f t="shared" ca="1" si="344"/>
        <v>44865.508273587773</v>
      </c>
      <c r="Z303" s="35">
        <f t="shared" si="335"/>
        <v>0.57999999999999996</v>
      </c>
      <c r="AA303" s="34">
        <f t="shared" ca="1" si="345"/>
        <v>70329.715672110557</v>
      </c>
      <c r="AB303" s="34">
        <f t="shared" ca="1" si="345"/>
        <v>152785.24439113674</v>
      </c>
      <c r="AC303" s="15"/>
      <c r="AD303" s="34">
        <f t="shared" ca="1" si="346"/>
        <v>397952.61854859634</v>
      </c>
      <c r="AE303" s="34">
        <f t="shared" ca="1" si="346"/>
        <v>35628.742514970065</v>
      </c>
      <c r="AF303" s="34">
        <f t="shared" ca="1" si="346"/>
        <v>362323.87603362626</v>
      </c>
      <c r="AG303" s="15"/>
      <c r="AH303" s="273"/>
      <c r="AI303" s="267"/>
      <c r="AJ303" s="267"/>
      <c r="AK303" s="34">
        <f t="shared" ca="1" si="329"/>
        <v>37972.577012494643</v>
      </c>
      <c r="AL303" s="233"/>
    </row>
    <row r="304" spans="2:38" x14ac:dyDescent="0.3">
      <c r="B304" s="232"/>
      <c r="C304" s="250">
        <f t="shared" si="336"/>
        <v>2038</v>
      </c>
      <c r="D304" s="263">
        <f t="shared" ref="D304:G304" ca="1" si="359">+D54+D104+D154+D204+D254</f>
        <v>110562.04757877439</v>
      </c>
      <c r="E304" s="263">
        <f t="shared" ca="1" si="359"/>
        <v>731.30684212244114</v>
      </c>
      <c r="F304" s="263">
        <f t="shared" ca="1" si="359"/>
        <v>0</v>
      </c>
      <c r="G304" s="263">
        <f t="shared" ca="1" si="359"/>
        <v>114949.88863150903</v>
      </c>
      <c r="H304" s="15"/>
      <c r="I304" s="35">
        <f t="shared" ca="1" si="348"/>
        <v>4.5</v>
      </c>
      <c r="J304" s="35">
        <f t="shared" ca="1" si="348"/>
        <v>80</v>
      </c>
      <c r="K304" s="35">
        <f t="shared" ca="1" si="348"/>
        <v>40</v>
      </c>
      <c r="L304" s="15"/>
      <c r="M304" s="35">
        <f t="shared" ca="1" si="349"/>
        <v>4.2299999999999995</v>
      </c>
      <c r="N304" s="35">
        <f t="shared" ca="1" si="349"/>
        <v>74.400000000000006</v>
      </c>
      <c r="O304" s="35">
        <f t="shared" ca="1" si="349"/>
        <v>37.200000000000003</v>
      </c>
      <c r="P304" s="15"/>
      <c r="Q304" s="34">
        <f t="shared" ca="1" si="350"/>
        <v>467677.4612582156</v>
      </c>
      <c r="R304" s="34">
        <f t="shared" ca="1" si="350"/>
        <v>54409.229053909628</v>
      </c>
      <c r="S304" s="34">
        <f t="shared" ca="1" si="350"/>
        <v>0</v>
      </c>
      <c r="T304" s="34">
        <f t="shared" ca="1" si="350"/>
        <v>522086.6903121252</v>
      </c>
      <c r="U304" s="15"/>
      <c r="V304" s="35">
        <f t="shared" si="351"/>
        <v>0.31</v>
      </c>
      <c r="W304" s="34">
        <f t="shared" ca="1" si="344"/>
        <v>35634.4654757678</v>
      </c>
      <c r="X304" s="35">
        <f t="shared" si="351"/>
        <v>0.37</v>
      </c>
      <c r="Y304" s="34">
        <f t="shared" ca="1" si="344"/>
        <v>42531.458793658341</v>
      </c>
      <c r="Z304" s="35">
        <f t="shared" si="335"/>
        <v>0.57999999999999996</v>
      </c>
      <c r="AA304" s="34">
        <f t="shared" ca="1" si="345"/>
        <v>66670.935406275239</v>
      </c>
      <c r="AB304" s="34">
        <f t="shared" ca="1" si="345"/>
        <v>144836.85967570136</v>
      </c>
      <c r="AC304" s="15"/>
      <c r="AD304" s="34">
        <f t="shared" ca="1" si="346"/>
        <v>377249.83063642384</v>
      </c>
      <c r="AE304" s="34">
        <f t="shared" ca="1" si="346"/>
        <v>35628.742514970065</v>
      </c>
      <c r="AF304" s="34">
        <f t="shared" ca="1" si="346"/>
        <v>341621.08812145377</v>
      </c>
      <c r="AG304" s="15"/>
      <c r="AH304" s="273"/>
      <c r="AI304" s="267"/>
      <c r="AJ304" s="267"/>
      <c r="AK304" s="34">
        <f t="shared" ca="1" si="329"/>
        <v>32548.05973793309</v>
      </c>
      <c r="AL304" s="233"/>
    </row>
    <row r="305" spans="2:38" x14ac:dyDescent="0.3">
      <c r="B305" s="232"/>
      <c r="C305" s="250">
        <f t="shared" si="336"/>
        <v>2039</v>
      </c>
      <c r="D305" s="263">
        <f t="shared" ref="D305:G305" ca="1" si="360">+D55+D105+D155+D205+D255</f>
        <v>105866.84090019297</v>
      </c>
      <c r="E305" s="263">
        <f t="shared" ca="1" si="360"/>
        <v>700.25064477064075</v>
      </c>
      <c r="F305" s="263">
        <f t="shared" ca="1" si="360"/>
        <v>0</v>
      </c>
      <c r="G305" s="263">
        <f t="shared" ca="1" si="360"/>
        <v>110068.34476881682</v>
      </c>
      <c r="H305" s="15"/>
      <c r="I305" s="35">
        <f t="shared" ca="1" si="348"/>
        <v>4.5</v>
      </c>
      <c r="J305" s="35">
        <f t="shared" ca="1" si="348"/>
        <v>80</v>
      </c>
      <c r="K305" s="35">
        <f t="shared" ca="1" si="348"/>
        <v>40</v>
      </c>
      <c r="L305" s="15"/>
      <c r="M305" s="35">
        <f t="shared" ca="1" si="349"/>
        <v>4.2299999999999995</v>
      </c>
      <c r="N305" s="35">
        <f t="shared" ca="1" si="349"/>
        <v>74.400000000000006</v>
      </c>
      <c r="O305" s="35">
        <f t="shared" ca="1" si="349"/>
        <v>37.200000000000003</v>
      </c>
      <c r="P305" s="15"/>
      <c r="Q305" s="34">
        <f t="shared" ca="1" si="350"/>
        <v>447816.73700781626</v>
      </c>
      <c r="R305" s="34">
        <f t="shared" ca="1" si="350"/>
        <v>52098.647970935686</v>
      </c>
      <c r="S305" s="34">
        <f t="shared" ca="1" si="350"/>
        <v>0</v>
      </c>
      <c r="T305" s="34">
        <f t="shared" ca="1" si="350"/>
        <v>499915.38497875188</v>
      </c>
      <c r="U305" s="15"/>
      <c r="V305" s="35">
        <f t="shared" si="351"/>
        <v>0.31</v>
      </c>
      <c r="W305" s="34">
        <f t="shared" ca="1" si="344"/>
        <v>34121.186878333217</v>
      </c>
      <c r="X305" s="35">
        <f t="shared" si="351"/>
        <v>0.37</v>
      </c>
      <c r="Y305" s="34">
        <f t="shared" ca="1" si="344"/>
        <v>40725.287564462218</v>
      </c>
      <c r="Z305" s="35">
        <f t="shared" si="335"/>
        <v>0.57999999999999996</v>
      </c>
      <c r="AA305" s="34">
        <f t="shared" ca="1" si="345"/>
        <v>63839.639965913746</v>
      </c>
      <c r="AB305" s="34">
        <f t="shared" ca="1" si="345"/>
        <v>138686.11440870917</v>
      </c>
      <c r="AC305" s="15"/>
      <c r="AD305" s="34">
        <f t="shared" ca="1" si="346"/>
        <v>361229.27057004272</v>
      </c>
      <c r="AE305" s="34">
        <f t="shared" ca="1" si="346"/>
        <v>35628.742514970065</v>
      </c>
      <c r="AF305" s="34">
        <f t="shared" ca="1" si="346"/>
        <v>325600.52805507265</v>
      </c>
      <c r="AG305" s="15"/>
      <c r="AH305" s="273"/>
      <c r="AI305" s="267"/>
      <c r="AJ305" s="267"/>
      <c r="AK305" s="34">
        <f t="shared" ca="1" si="329"/>
        <v>28201.541538621979</v>
      </c>
      <c r="AL305" s="233"/>
    </row>
    <row r="306" spans="2:38" x14ac:dyDescent="0.3">
      <c r="B306" s="232"/>
      <c r="C306" s="250">
        <f t="shared" si="336"/>
        <v>2040</v>
      </c>
      <c r="D306" s="263">
        <f t="shared" ref="D306:G306" ca="1" si="361">+D56+D106+D156+D206+D256</f>
        <v>95167.945711500433</v>
      </c>
      <c r="E306" s="263">
        <f t="shared" ca="1" si="361"/>
        <v>629.48336588981965</v>
      </c>
      <c r="F306" s="263">
        <f t="shared" ca="1" si="361"/>
        <v>0</v>
      </c>
      <c r="G306" s="263">
        <f t="shared" ca="1" si="361"/>
        <v>98944.845906839342</v>
      </c>
      <c r="H306" s="15"/>
      <c r="I306" s="35">
        <f t="shared" ca="1" si="348"/>
        <v>4.5</v>
      </c>
      <c r="J306" s="35">
        <f t="shared" ca="1" si="348"/>
        <v>80</v>
      </c>
      <c r="K306" s="35">
        <f t="shared" ca="1" si="348"/>
        <v>40</v>
      </c>
      <c r="L306" s="15"/>
      <c r="M306" s="35">
        <f t="shared" ca="1" si="349"/>
        <v>4.2299999999999995</v>
      </c>
      <c r="N306" s="35">
        <f t="shared" ca="1" si="349"/>
        <v>74.400000000000006</v>
      </c>
      <c r="O306" s="35">
        <f t="shared" ca="1" si="349"/>
        <v>37.200000000000003</v>
      </c>
      <c r="P306" s="15"/>
      <c r="Q306" s="34">
        <f t="shared" ca="1" si="350"/>
        <v>402560.41035964672</v>
      </c>
      <c r="R306" s="34">
        <f t="shared" ca="1" si="350"/>
        <v>46833.562422202587</v>
      </c>
      <c r="S306" s="34">
        <f t="shared" ca="1" si="350"/>
        <v>0</v>
      </c>
      <c r="T306" s="34">
        <f t="shared" ca="1" si="350"/>
        <v>449393.97278184933</v>
      </c>
      <c r="U306" s="15"/>
      <c r="V306" s="35">
        <f t="shared" si="351"/>
        <v>0.31</v>
      </c>
      <c r="W306" s="34">
        <f t="shared" ca="1" si="344"/>
        <v>30672.902231120195</v>
      </c>
      <c r="X306" s="35">
        <f t="shared" si="351"/>
        <v>0.37</v>
      </c>
      <c r="Y306" s="34">
        <f t="shared" ca="1" si="344"/>
        <v>36609.592985530559</v>
      </c>
      <c r="Z306" s="35">
        <f t="shared" si="335"/>
        <v>0.57999999999999996</v>
      </c>
      <c r="AA306" s="34">
        <f t="shared" ca="1" si="345"/>
        <v>57388.01062596681</v>
      </c>
      <c r="AB306" s="34">
        <f t="shared" ca="1" si="345"/>
        <v>124670.50584261754</v>
      </c>
      <c r="AC306" s="15"/>
      <c r="AD306" s="34">
        <f t="shared" ca="1" si="346"/>
        <v>324723.46693923179</v>
      </c>
      <c r="AE306" s="34">
        <f t="shared" ca="1" si="346"/>
        <v>0</v>
      </c>
      <c r="AF306" s="34">
        <f t="shared" ca="1" si="346"/>
        <v>324723.46693923179</v>
      </c>
      <c r="AG306" s="15"/>
      <c r="AH306" s="273"/>
      <c r="AI306" s="267"/>
      <c r="AJ306" s="267"/>
      <c r="AK306" s="34">
        <f t="shared" ca="1" si="329"/>
        <v>25568.705298188241</v>
      </c>
      <c r="AL306" s="233"/>
    </row>
    <row r="307" spans="2:38" x14ac:dyDescent="0.3">
      <c r="B307" s="232"/>
      <c r="C307" s="250">
        <f t="shared" si="336"/>
        <v>2041</v>
      </c>
      <c r="D307" s="263">
        <f t="shared" ref="D307:G307" ca="1" si="362">+D57+D107+D157+D207+D257</f>
        <v>88742.237676199918</v>
      </c>
      <c r="E307" s="263">
        <f t="shared" ca="1" si="362"/>
        <v>586.98085843265369</v>
      </c>
      <c r="F307" s="263">
        <f t="shared" ca="1" si="362"/>
        <v>0</v>
      </c>
      <c r="G307" s="263">
        <f t="shared" ca="1" si="362"/>
        <v>92264.122826795836</v>
      </c>
      <c r="H307" s="15"/>
      <c r="I307" s="35">
        <f t="shared" ca="1" si="348"/>
        <v>4.5</v>
      </c>
      <c r="J307" s="35">
        <f t="shared" ca="1" si="348"/>
        <v>80</v>
      </c>
      <c r="K307" s="35">
        <f t="shared" ca="1" si="348"/>
        <v>40</v>
      </c>
      <c r="L307" s="15"/>
      <c r="M307" s="35">
        <f t="shared" ca="1" si="349"/>
        <v>4.2299999999999995</v>
      </c>
      <c r="N307" s="35">
        <f t="shared" ca="1" si="349"/>
        <v>74.400000000000006</v>
      </c>
      <c r="O307" s="35">
        <f t="shared" ca="1" si="349"/>
        <v>37.200000000000003</v>
      </c>
      <c r="P307" s="15"/>
      <c r="Q307" s="34">
        <f t="shared" ca="1" si="350"/>
        <v>375379.66537032562</v>
      </c>
      <c r="R307" s="34">
        <f t="shared" ca="1" si="350"/>
        <v>43671.375867389441</v>
      </c>
      <c r="S307" s="34">
        <f t="shared" ca="1" si="350"/>
        <v>0</v>
      </c>
      <c r="T307" s="34">
        <f t="shared" ca="1" si="350"/>
        <v>419051.04123771505</v>
      </c>
      <c r="U307" s="15"/>
      <c r="V307" s="35">
        <f t="shared" si="351"/>
        <v>0.31</v>
      </c>
      <c r="W307" s="34">
        <f t="shared" ca="1" si="344"/>
        <v>28601.878076306708</v>
      </c>
      <c r="X307" s="35">
        <f t="shared" si="351"/>
        <v>0.37</v>
      </c>
      <c r="Y307" s="34">
        <f t="shared" ca="1" si="344"/>
        <v>34137.725445914461</v>
      </c>
      <c r="Z307" s="35">
        <f t="shared" si="335"/>
        <v>0.57999999999999996</v>
      </c>
      <c r="AA307" s="34">
        <f t="shared" ca="1" si="345"/>
        <v>53513.191239541586</v>
      </c>
      <c r="AB307" s="34">
        <f t="shared" ca="1" si="345"/>
        <v>116252.79476176275</v>
      </c>
      <c r="AC307" s="15"/>
      <c r="AD307" s="34">
        <f t="shared" ca="1" si="346"/>
        <v>302798.24647595227</v>
      </c>
      <c r="AE307" s="34">
        <f t="shared" ca="1" si="346"/>
        <v>0</v>
      </c>
      <c r="AF307" s="34">
        <f t="shared" ca="1" si="346"/>
        <v>302798.24647595227</v>
      </c>
      <c r="AG307" s="15"/>
      <c r="AH307" s="273"/>
      <c r="AI307" s="267"/>
      <c r="AJ307" s="267"/>
      <c r="AK307" s="34">
        <f t="shared" ca="1" si="329"/>
        <v>21674.831656630482</v>
      </c>
      <c r="AL307" s="233"/>
    </row>
    <row r="308" spans="2:38" x14ac:dyDescent="0.3">
      <c r="B308" s="232"/>
      <c r="C308" s="250">
        <f t="shared" si="336"/>
        <v>2042</v>
      </c>
      <c r="D308" s="263">
        <f t="shared" ref="D308:G308" ca="1" si="363">+D58+D108+D158+D208+D258</f>
        <v>83618.556119818357</v>
      </c>
      <c r="E308" s="263">
        <f t="shared" ca="1" si="363"/>
        <v>553.09053656276683</v>
      </c>
      <c r="F308" s="263">
        <f t="shared" ca="1" si="363"/>
        <v>0</v>
      </c>
      <c r="G308" s="263">
        <f t="shared" ca="1" si="363"/>
        <v>86937.099339194945</v>
      </c>
      <c r="H308" s="15"/>
      <c r="I308" s="35">
        <f t="shared" ca="1" si="348"/>
        <v>4.5</v>
      </c>
      <c r="J308" s="35">
        <f t="shared" ca="1" si="348"/>
        <v>80</v>
      </c>
      <c r="K308" s="35">
        <f t="shared" ca="1" si="348"/>
        <v>40</v>
      </c>
      <c r="L308" s="15"/>
      <c r="M308" s="35">
        <f t="shared" ca="1" si="349"/>
        <v>4.2299999999999995</v>
      </c>
      <c r="N308" s="35">
        <f t="shared" ca="1" si="349"/>
        <v>74.400000000000006</v>
      </c>
      <c r="O308" s="35">
        <f t="shared" ca="1" si="349"/>
        <v>37.200000000000003</v>
      </c>
      <c r="P308" s="15"/>
      <c r="Q308" s="34">
        <f t="shared" ca="1" si="350"/>
        <v>353706.49238683161</v>
      </c>
      <c r="R308" s="34">
        <f t="shared" ca="1" si="350"/>
        <v>41149.935920269862</v>
      </c>
      <c r="S308" s="34">
        <f t="shared" ca="1" si="350"/>
        <v>0</v>
      </c>
      <c r="T308" s="34">
        <f t="shared" ca="1" si="350"/>
        <v>394856.42830710148</v>
      </c>
      <c r="U308" s="15"/>
      <c r="V308" s="35">
        <f t="shared" si="351"/>
        <v>0.31</v>
      </c>
      <c r="W308" s="34">
        <f t="shared" ca="1" si="344"/>
        <v>26950.500795150434</v>
      </c>
      <c r="X308" s="35">
        <f t="shared" si="351"/>
        <v>0.37</v>
      </c>
      <c r="Y308" s="34">
        <f t="shared" ca="1" si="344"/>
        <v>32166.726755502135</v>
      </c>
      <c r="Z308" s="35">
        <f t="shared" si="335"/>
        <v>0.57999999999999996</v>
      </c>
      <c r="AA308" s="34">
        <f t="shared" ca="1" si="345"/>
        <v>50423.517616733072</v>
      </c>
      <c r="AB308" s="34">
        <f t="shared" ca="1" si="345"/>
        <v>109540.74516738564</v>
      </c>
      <c r="AC308" s="15"/>
      <c r="AD308" s="34">
        <f t="shared" ca="1" si="346"/>
        <v>285315.68313971587</v>
      </c>
      <c r="AE308" s="34">
        <f t="shared" ca="1" si="346"/>
        <v>0</v>
      </c>
      <c r="AF308" s="34">
        <f t="shared" ca="1" si="346"/>
        <v>285315.68313971587</v>
      </c>
      <c r="AG308" s="15"/>
      <c r="AH308" s="273"/>
      <c r="AI308" s="267"/>
      <c r="AJ308" s="267"/>
      <c r="AK308" s="34">
        <f t="shared" ca="1" si="329"/>
        <v>18566.72635394238</v>
      </c>
      <c r="AL308" s="233"/>
    </row>
    <row r="309" spans="2:38" x14ac:dyDescent="0.3">
      <c r="B309" s="232"/>
      <c r="C309" s="250">
        <f t="shared" si="336"/>
        <v>2043</v>
      </c>
      <c r="D309" s="263">
        <f t="shared" ref="D309:G309" ca="1" si="364">+D59+D109+D159+D209+D259</f>
        <v>79257.849108211754</v>
      </c>
      <c r="E309" s="263">
        <f t="shared" ca="1" si="364"/>
        <v>524.24686964526472</v>
      </c>
      <c r="F309" s="263">
        <f t="shared" ca="1" si="364"/>
        <v>0</v>
      </c>
      <c r="G309" s="263">
        <f t="shared" ca="1" si="364"/>
        <v>82403.330326083349</v>
      </c>
      <c r="H309" s="15"/>
      <c r="I309" s="35">
        <f t="shared" ca="1" si="348"/>
        <v>4.5</v>
      </c>
      <c r="J309" s="35">
        <f t="shared" ca="1" si="348"/>
        <v>80</v>
      </c>
      <c r="K309" s="35">
        <f t="shared" ca="1" si="348"/>
        <v>40</v>
      </c>
      <c r="L309" s="15"/>
      <c r="M309" s="35">
        <f t="shared" ca="1" si="349"/>
        <v>4.2299999999999995</v>
      </c>
      <c r="N309" s="35">
        <f t="shared" ca="1" si="349"/>
        <v>74.400000000000006</v>
      </c>
      <c r="O309" s="35">
        <f t="shared" ca="1" si="349"/>
        <v>37.200000000000003</v>
      </c>
      <c r="P309" s="15"/>
      <c r="Q309" s="34">
        <f t="shared" ca="1" si="350"/>
        <v>335260.70172773569</v>
      </c>
      <c r="R309" s="34">
        <f t="shared" ca="1" si="350"/>
        <v>39003.967101607697</v>
      </c>
      <c r="S309" s="34">
        <f t="shared" ca="1" si="350"/>
        <v>0</v>
      </c>
      <c r="T309" s="34">
        <f t="shared" ca="1" si="350"/>
        <v>374264.66882934346</v>
      </c>
      <c r="U309" s="15"/>
      <c r="V309" s="35">
        <f t="shared" si="351"/>
        <v>0.31</v>
      </c>
      <c r="W309" s="34">
        <f t="shared" ca="1" si="344"/>
        <v>25545.032401085839</v>
      </c>
      <c r="X309" s="35">
        <f t="shared" si="351"/>
        <v>0.37</v>
      </c>
      <c r="Y309" s="34">
        <f t="shared" ca="1" si="344"/>
        <v>30489.23222065084</v>
      </c>
      <c r="Z309" s="35">
        <f t="shared" si="335"/>
        <v>0.57999999999999996</v>
      </c>
      <c r="AA309" s="34">
        <f t="shared" ca="1" si="345"/>
        <v>47793.93158912834</v>
      </c>
      <c r="AB309" s="34">
        <f t="shared" ca="1" si="345"/>
        <v>103828.19621086502</v>
      </c>
      <c r="AC309" s="15"/>
      <c r="AD309" s="34">
        <f t="shared" ca="1" si="346"/>
        <v>270436.47261847841</v>
      </c>
      <c r="AE309" s="34">
        <f t="shared" ca="1" si="346"/>
        <v>0</v>
      </c>
      <c r="AF309" s="34">
        <f t="shared" ca="1" si="346"/>
        <v>270436.47261847841</v>
      </c>
      <c r="AG309" s="15"/>
      <c r="AH309" s="273"/>
      <c r="AI309" s="267"/>
      <c r="AJ309" s="267"/>
      <c r="AK309" s="34">
        <f t="shared" ca="1" si="329"/>
        <v>15998.610661637918</v>
      </c>
      <c r="AL309" s="233"/>
    </row>
    <row r="310" spans="2:38" x14ac:dyDescent="0.3">
      <c r="B310" s="232"/>
      <c r="C310" s="250">
        <f t="shared" si="336"/>
        <v>2044</v>
      </c>
      <c r="D310" s="263">
        <f t="shared" ref="D310:G310" ca="1" si="365">+D60+D110+D160+D210+D260</f>
        <v>75421.42358477079</v>
      </c>
      <c r="E310" s="263">
        <f t="shared" ca="1" si="365"/>
        <v>498.87103502546364</v>
      </c>
      <c r="F310" s="263">
        <f t="shared" ca="1" si="365"/>
        <v>0</v>
      </c>
      <c r="G310" s="263">
        <f t="shared" ca="1" si="365"/>
        <v>78414.649794923578</v>
      </c>
      <c r="H310" s="15"/>
      <c r="I310" s="35">
        <f t="shared" ca="1" si="348"/>
        <v>4.5</v>
      </c>
      <c r="J310" s="35">
        <f t="shared" ca="1" si="348"/>
        <v>80</v>
      </c>
      <c r="K310" s="35">
        <f t="shared" ca="1" si="348"/>
        <v>40</v>
      </c>
      <c r="L310" s="15"/>
      <c r="M310" s="35">
        <f t="shared" ca="1" si="349"/>
        <v>4.2299999999999995</v>
      </c>
      <c r="N310" s="35">
        <f t="shared" ca="1" si="349"/>
        <v>74.400000000000006</v>
      </c>
      <c r="O310" s="35">
        <f t="shared" ca="1" si="349"/>
        <v>37.200000000000003</v>
      </c>
      <c r="P310" s="15"/>
      <c r="Q310" s="34">
        <f t="shared" ca="1" si="350"/>
        <v>319032.62176358048</v>
      </c>
      <c r="R310" s="34">
        <f t="shared" ca="1" si="350"/>
        <v>37116.005005894498</v>
      </c>
      <c r="S310" s="34">
        <f t="shared" ca="1" si="350"/>
        <v>0</v>
      </c>
      <c r="T310" s="34">
        <f t="shared" ca="1" si="350"/>
        <v>356148.62676947494</v>
      </c>
      <c r="U310" s="15"/>
      <c r="V310" s="35">
        <f t="shared" si="351"/>
        <v>0.31</v>
      </c>
      <c r="W310" s="34">
        <f t="shared" ca="1" si="344"/>
        <v>24308.541436426312</v>
      </c>
      <c r="X310" s="35">
        <f t="shared" si="351"/>
        <v>0.37</v>
      </c>
      <c r="Y310" s="34">
        <f t="shared" ca="1" si="344"/>
        <v>29013.420424121723</v>
      </c>
      <c r="Z310" s="35">
        <f t="shared" si="335"/>
        <v>0.57999999999999996</v>
      </c>
      <c r="AA310" s="34">
        <f t="shared" ca="1" si="345"/>
        <v>45480.496881055675</v>
      </c>
      <c r="AB310" s="34">
        <f t="shared" ca="1" si="345"/>
        <v>98802.45874160371</v>
      </c>
      <c r="AC310" s="15"/>
      <c r="AD310" s="34">
        <f t="shared" ca="1" si="346"/>
        <v>257346.16802787123</v>
      </c>
      <c r="AE310" s="34">
        <f t="shared" ca="1" si="346"/>
        <v>0</v>
      </c>
      <c r="AF310" s="34">
        <f t="shared" ca="1" si="346"/>
        <v>257346.16802787123</v>
      </c>
      <c r="AG310" s="15"/>
      <c r="AH310" s="273"/>
      <c r="AI310" s="267"/>
      <c r="AJ310" s="267"/>
      <c r="AK310" s="34">
        <f t="shared" ca="1" si="329"/>
        <v>13840.189217345589</v>
      </c>
      <c r="AL310" s="233"/>
    </row>
    <row r="311" spans="2:38" x14ac:dyDescent="0.3">
      <c r="B311" s="232"/>
      <c r="C311" s="250">
        <f t="shared" si="336"/>
        <v>2045</v>
      </c>
      <c r="D311" s="263">
        <f t="shared" ref="D311:G311" ca="1" si="366">+D61+D111+D161+D211+D261</f>
        <v>71973.50016403367</v>
      </c>
      <c r="E311" s="263">
        <f t="shared" ca="1" si="366"/>
        <v>476.06492710762018</v>
      </c>
      <c r="F311" s="263">
        <f t="shared" ca="1" si="366"/>
        <v>0</v>
      </c>
      <c r="G311" s="263">
        <f t="shared" ca="1" si="366"/>
        <v>74829.889726679394</v>
      </c>
      <c r="H311" s="15"/>
      <c r="I311" s="35">
        <f t="shared" ca="1" si="348"/>
        <v>4.5</v>
      </c>
      <c r="J311" s="35">
        <f t="shared" ca="1" si="348"/>
        <v>80</v>
      </c>
      <c r="K311" s="35">
        <f t="shared" ca="1" si="348"/>
        <v>40</v>
      </c>
      <c r="L311" s="15"/>
      <c r="M311" s="35">
        <f t="shared" ca="1" si="349"/>
        <v>4.2299999999999995</v>
      </c>
      <c r="N311" s="35">
        <f t="shared" ca="1" si="349"/>
        <v>74.400000000000006</v>
      </c>
      <c r="O311" s="35">
        <f t="shared" ca="1" si="349"/>
        <v>37.200000000000003</v>
      </c>
      <c r="P311" s="15"/>
      <c r="Q311" s="34">
        <f t="shared" ca="1" si="350"/>
        <v>304447.90569386241</v>
      </c>
      <c r="R311" s="34">
        <f t="shared" ca="1" si="350"/>
        <v>35419.230576806949</v>
      </c>
      <c r="S311" s="34">
        <f t="shared" ca="1" si="350"/>
        <v>0</v>
      </c>
      <c r="T311" s="34">
        <f t="shared" ca="1" si="350"/>
        <v>339867.13627066935</v>
      </c>
      <c r="U311" s="15"/>
      <c r="V311" s="35">
        <f t="shared" si="351"/>
        <v>0.31</v>
      </c>
      <c r="W311" s="34">
        <f t="shared" ref="W311:Y319" ca="1" si="367">+W61+W111+W161+W211+W261</f>
        <v>23197.26581527061</v>
      </c>
      <c r="X311" s="35">
        <f t="shared" si="351"/>
        <v>0.37</v>
      </c>
      <c r="Y311" s="34">
        <f t="shared" ca="1" si="367"/>
        <v>27687.059198871375</v>
      </c>
      <c r="Z311" s="35">
        <f t="shared" si="335"/>
        <v>0.57999999999999996</v>
      </c>
      <c r="AA311" s="34">
        <f t="shared" ref="AA311:AB319" ca="1" si="368">+AA61+AA111+AA161+AA211+AA261</f>
        <v>43401.336041474045</v>
      </c>
      <c r="AB311" s="34">
        <f t="shared" ca="1" si="368"/>
        <v>94285.66105561603</v>
      </c>
      <c r="AC311" s="15"/>
      <c r="AD311" s="34">
        <f t="shared" ref="AD311:AF321" ca="1" si="369">+AD61+AD111+AD161+AD211+AD261</f>
        <v>245581.4752150533</v>
      </c>
      <c r="AE311" s="34">
        <f t="shared" ca="1" si="369"/>
        <v>0</v>
      </c>
      <c r="AF311" s="34">
        <f t="shared" ca="1" si="369"/>
        <v>245581.4752150533</v>
      </c>
      <c r="AG311" s="15"/>
      <c r="AH311" s="273"/>
      <c r="AI311" s="267"/>
      <c r="AJ311" s="267"/>
      <c r="AK311" s="34">
        <f t="shared" ca="1" si="329"/>
        <v>12006.799003628787</v>
      </c>
      <c r="AL311" s="233"/>
    </row>
    <row r="312" spans="2:38" x14ac:dyDescent="0.3">
      <c r="B312" s="232"/>
      <c r="C312" s="250">
        <f t="shared" si="336"/>
        <v>2046</v>
      </c>
      <c r="D312" s="263">
        <f t="shared" ref="D312:G312" ca="1" si="370">+D62+D112+D162+D212+D262</f>
        <v>68826.601171273665</v>
      </c>
      <c r="E312" s="263">
        <f t="shared" ca="1" si="370"/>
        <v>455.24992941834603</v>
      </c>
      <c r="F312" s="263">
        <f t="shared" ca="1" si="370"/>
        <v>0</v>
      </c>
      <c r="G312" s="263">
        <f t="shared" ca="1" si="370"/>
        <v>71558.100747783741</v>
      </c>
      <c r="H312" s="15"/>
      <c r="I312" s="35">
        <f t="shared" ref="I312:K319" ca="1" si="371">I262</f>
        <v>4.5</v>
      </c>
      <c r="J312" s="35">
        <f t="shared" ca="1" si="371"/>
        <v>80</v>
      </c>
      <c r="K312" s="35">
        <f t="shared" ca="1" si="371"/>
        <v>40</v>
      </c>
      <c r="L312" s="15"/>
      <c r="M312" s="35">
        <f t="shared" ref="M312:O319" ca="1" si="372">M262</f>
        <v>4.2299999999999995</v>
      </c>
      <c r="N312" s="35">
        <f t="shared" ca="1" si="372"/>
        <v>74.400000000000006</v>
      </c>
      <c r="O312" s="35">
        <f t="shared" ca="1" si="372"/>
        <v>37.200000000000003</v>
      </c>
      <c r="P312" s="15"/>
      <c r="Q312" s="34">
        <f t="shared" ref="Q312:T319" ca="1" si="373">+Q62+Q112+Q162+Q212+Q262</f>
        <v>291136.52295448759</v>
      </c>
      <c r="R312" s="34">
        <f t="shared" ca="1" si="373"/>
        <v>33870.59474872495</v>
      </c>
      <c r="S312" s="34">
        <f t="shared" ca="1" si="373"/>
        <v>0</v>
      </c>
      <c r="T312" s="34">
        <f t="shared" ca="1" si="373"/>
        <v>325007.11770321254</v>
      </c>
      <c r="U312" s="15"/>
      <c r="V312" s="35">
        <f t="shared" ref="V312:X319" si="374">V262</f>
        <v>0.31</v>
      </c>
      <c r="W312" s="34">
        <f t="shared" ca="1" si="367"/>
        <v>22183.011231812961</v>
      </c>
      <c r="X312" s="35">
        <f t="shared" si="374"/>
        <v>0.37</v>
      </c>
      <c r="Y312" s="34">
        <f t="shared" ca="1" si="367"/>
        <v>26476.497276679984</v>
      </c>
      <c r="Z312" s="35">
        <f t="shared" si="335"/>
        <v>0.57999999999999996</v>
      </c>
      <c r="AA312" s="34">
        <f t="shared" ca="1" si="368"/>
        <v>41503.698433714562</v>
      </c>
      <c r="AB312" s="34">
        <f t="shared" ca="1" si="368"/>
        <v>90163.2069422075</v>
      </c>
      <c r="AC312" s="15"/>
      <c r="AD312" s="34">
        <f t="shared" ca="1" si="369"/>
        <v>234843.91076100504</v>
      </c>
      <c r="AE312" s="34">
        <f t="shared" ca="1" si="369"/>
        <v>0</v>
      </c>
      <c r="AF312" s="34">
        <f t="shared" ca="1" si="369"/>
        <v>234843.91076100504</v>
      </c>
      <c r="AG312" s="15"/>
      <c r="AH312" s="273"/>
      <c r="AI312" s="267"/>
      <c r="AJ312" s="267"/>
      <c r="AK312" s="34">
        <f t="shared" ca="1" si="329"/>
        <v>10438.023142141314</v>
      </c>
      <c r="AL312" s="233"/>
    </row>
    <row r="313" spans="2:38" x14ac:dyDescent="0.3">
      <c r="B313" s="232"/>
      <c r="C313" s="250">
        <f t="shared" si="336"/>
        <v>2047</v>
      </c>
      <c r="D313" s="263">
        <f t="shared" ref="D313:G313" ca="1" si="375">+D63+D113+D163+D213+D263</f>
        <v>65920.017211471175</v>
      </c>
      <c r="E313" s="263">
        <f t="shared" ca="1" si="375"/>
        <v>436.02448286090572</v>
      </c>
      <c r="F313" s="263">
        <f t="shared" ca="1" si="375"/>
        <v>0</v>
      </c>
      <c r="G313" s="263">
        <f t="shared" ca="1" si="375"/>
        <v>68536.1641086366</v>
      </c>
      <c r="H313" s="15"/>
      <c r="I313" s="35">
        <f t="shared" ca="1" si="371"/>
        <v>4.5</v>
      </c>
      <c r="J313" s="35">
        <f t="shared" ca="1" si="371"/>
        <v>80</v>
      </c>
      <c r="K313" s="35">
        <f t="shared" ca="1" si="371"/>
        <v>40</v>
      </c>
      <c r="L313" s="15"/>
      <c r="M313" s="35">
        <f t="shared" ca="1" si="372"/>
        <v>4.2299999999999995</v>
      </c>
      <c r="N313" s="35">
        <f t="shared" ca="1" si="372"/>
        <v>74.400000000000006</v>
      </c>
      <c r="O313" s="35">
        <f t="shared" ca="1" si="372"/>
        <v>37.200000000000003</v>
      </c>
      <c r="P313" s="15"/>
      <c r="Q313" s="34">
        <f t="shared" ca="1" si="373"/>
        <v>278841.67280452303</v>
      </c>
      <c r="R313" s="34">
        <f t="shared" ca="1" si="373"/>
        <v>32440.221524851389</v>
      </c>
      <c r="S313" s="34">
        <f t="shared" ca="1" si="373"/>
        <v>0</v>
      </c>
      <c r="T313" s="34">
        <f t="shared" ca="1" si="373"/>
        <v>311281.89432937442</v>
      </c>
      <c r="U313" s="15"/>
      <c r="V313" s="35">
        <f t="shared" si="374"/>
        <v>0.31</v>
      </c>
      <c r="W313" s="34">
        <f t="shared" ca="1" si="367"/>
        <v>21246.210873677348</v>
      </c>
      <c r="X313" s="35">
        <f t="shared" si="374"/>
        <v>0.37</v>
      </c>
      <c r="Y313" s="34">
        <f t="shared" ca="1" si="367"/>
        <v>25358.380720195546</v>
      </c>
      <c r="Z313" s="35">
        <f t="shared" si="335"/>
        <v>0.57999999999999996</v>
      </c>
      <c r="AA313" s="34">
        <f t="shared" ca="1" si="368"/>
        <v>39750.975183009228</v>
      </c>
      <c r="AB313" s="34">
        <f t="shared" ca="1" si="368"/>
        <v>86355.566776882115</v>
      </c>
      <c r="AC313" s="15"/>
      <c r="AD313" s="34">
        <f t="shared" ca="1" si="369"/>
        <v>224926.32755249229</v>
      </c>
      <c r="AE313" s="34">
        <f t="shared" ca="1" si="369"/>
        <v>0</v>
      </c>
      <c r="AF313" s="34">
        <f t="shared" ca="1" si="369"/>
        <v>224926.32755249229</v>
      </c>
      <c r="AG313" s="15"/>
      <c r="AH313" s="273"/>
      <c r="AI313" s="267"/>
      <c r="AJ313" s="267"/>
      <c r="AK313" s="34">
        <f t="shared" ca="1" si="329"/>
        <v>9088.3817048827186</v>
      </c>
      <c r="AL313" s="233"/>
    </row>
    <row r="314" spans="2:38" x14ac:dyDescent="0.3">
      <c r="B314" s="232"/>
      <c r="C314" s="250">
        <f t="shared" si="336"/>
        <v>2048</v>
      </c>
      <c r="D314" s="263">
        <f t="shared" ref="D314:G314" ca="1" si="376">+D64+D114+D164+D214+D264</f>
        <v>63209.48042376068</v>
      </c>
      <c r="E314" s="263">
        <f t="shared" ca="1" si="376"/>
        <v>418.09578000050561</v>
      </c>
      <c r="F314" s="263">
        <f t="shared" ca="1" si="376"/>
        <v>0</v>
      </c>
      <c r="G314" s="263">
        <f t="shared" ca="1" si="376"/>
        <v>65718.05510376372</v>
      </c>
      <c r="H314" s="15"/>
      <c r="I314" s="35">
        <f t="shared" ca="1" si="371"/>
        <v>4.5</v>
      </c>
      <c r="J314" s="35">
        <f t="shared" ca="1" si="371"/>
        <v>80</v>
      </c>
      <c r="K314" s="35">
        <f t="shared" ca="1" si="371"/>
        <v>40</v>
      </c>
      <c r="L314" s="15"/>
      <c r="M314" s="35">
        <f t="shared" ca="1" si="372"/>
        <v>4.2299999999999995</v>
      </c>
      <c r="N314" s="35">
        <f t="shared" ca="1" si="372"/>
        <v>74.400000000000006</v>
      </c>
      <c r="O314" s="35">
        <f t="shared" ca="1" si="372"/>
        <v>37.200000000000003</v>
      </c>
      <c r="P314" s="15"/>
      <c r="Q314" s="34">
        <f t="shared" ca="1" si="373"/>
        <v>267376.10219250765</v>
      </c>
      <c r="R314" s="34">
        <f t="shared" ca="1" si="373"/>
        <v>31106.326032037625</v>
      </c>
      <c r="S314" s="34">
        <f t="shared" ca="1" si="373"/>
        <v>0</v>
      </c>
      <c r="T314" s="34">
        <f t="shared" ca="1" si="373"/>
        <v>298482.42822454532</v>
      </c>
      <c r="U314" s="15"/>
      <c r="V314" s="35">
        <f t="shared" si="374"/>
        <v>0.31</v>
      </c>
      <c r="W314" s="34">
        <f t="shared" ca="1" si="367"/>
        <v>20372.597082166751</v>
      </c>
      <c r="X314" s="35">
        <f t="shared" si="374"/>
        <v>0.37</v>
      </c>
      <c r="Y314" s="34">
        <f t="shared" ca="1" si="367"/>
        <v>24315.680388392579</v>
      </c>
      <c r="Z314" s="35">
        <f t="shared" si="335"/>
        <v>0.57999999999999996</v>
      </c>
      <c r="AA314" s="34">
        <f t="shared" ca="1" si="368"/>
        <v>38116.471960182957</v>
      </c>
      <c r="AB314" s="34">
        <f t="shared" ca="1" si="368"/>
        <v>82804.749430742275</v>
      </c>
      <c r="AC314" s="15"/>
      <c r="AD314" s="34">
        <f t="shared" ca="1" si="369"/>
        <v>215677.678793803</v>
      </c>
      <c r="AE314" s="34">
        <f t="shared" ca="1" si="369"/>
        <v>0</v>
      </c>
      <c r="AF314" s="34">
        <f t="shared" ca="1" si="369"/>
        <v>215677.678793803</v>
      </c>
      <c r="AG314" s="15"/>
      <c r="AH314" s="273"/>
      <c r="AI314" s="267"/>
      <c r="AJ314" s="267"/>
      <c r="AK314" s="34">
        <f t="shared" ca="1" si="329"/>
        <v>7922.4367755127105</v>
      </c>
      <c r="AL314" s="233"/>
    </row>
    <row r="315" spans="2:38" x14ac:dyDescent="0.3">
      <c r="B315" s="232"/>
      <c r="C315" s="250">
        <f t="shared" si="336"/>
        <v>2049</v>
      </c>
      <c r="D315" s="263">
        <f t="shared" ref="D315:G315" ca="1" si="377">+D65+D115+D165+D215+D265</f>
        <v>60661.551317787184</v>
      </c>
      <c r="E315" s="263">
        <f t="shared" ca="1" si="377"/>
        <v>401.24263708893153</v>
      </c>
      <c r="F315" s="263">
        <f t="shared" ca="1" si="377"/>
        <v>0</v>
      </c>
      <c r="G315" s="263">
        <f t="shared" ca="1" si="377"/>
        <v>63069.007140320769</v>
      </c>
      <c r="H315" s="15"/>
      <c r="I315" s="35">
        <f t="shared" ca="1" si="371"/>
        <v>4.5</v>
      </c>
      <c r="J315" s="35">
        <f t="shared" ca="1" si="371"/>
        <v>80</v>
      </c>
      <c r="K315" s="35">
        <f t="shared" ca="1" si="371"/>
        <v>40</v>
      </c>
      <c r="L315" s="15"/>
      <c r="M315" s="35">
        <f t="shared" ca="1" si="372"/>
        <v>4.2299999999999995</v>
      </c>
      <c r="N315" s="35">
        <f t="shared" ca="1" si="372"/>
        <v>74.400000000000006</v>
      </c>
      <c r="O315" s="35">
        <f t="shared" ca="1" si="372"/>
        <v>37.200000000000003</v>
      </c>
      <c r="P315" s="15"/>
      <c r="Q315" s="34">
        <f t="shared" ca="1" si="373"/>
        <v>256598.36207423976</v>
      </c>
      <c r="R315" s="34">
        <f t="shared" ca="1" si="373"/>
        <v>29852.452199416512</v>
      </c>
      <c r="S315" s="34">
        <f t="shared" ca="1" si="373"/>
        <v>0</v>
      </c>
      <c r="T315" s="34">
        <f t="shared" ca="1" si="373"/>
        <v>286450.81427365629</v>
      </c>
      <c r="U315" s="15"/>
      <c r="V315" s="35">
        <f t="shared" si="374"/>
        <v>0.31</v>
      </c>
      <c r="W315" s="34">
        <f t="shared" ca="1" si="367"/>
        <v>19551.392213499439</v>
      </c>
      <c r="X315" s="35">
        <f t="shared" si="374"/>
        <v>0.37</v>
      </c>
      <c r="Y315" s="34">
        <f t="shared" ca="1" si="367"/>
        <v>23335.532641918682</v>
      </c>
      <c r="Z315" s="35">
        <f t="shared" si="335"/>
        <v>0.57999999999999996</v>
      </c>
      <c r="AA315" s="34">
        <f t="shared" ca="1" si="368"/>
        <v>36580.024141386042</v>
      </c>
      <c r="AB315" s="34">
        <f t="shared" ca="1" si="368"/>
        <v>79466.94899680416</v>
      </c>
      <c r="AC315" s="15"/>
      <c r="AD315" s="34">
        <f t="shared" ca="1" si="369"/>
        <v>206983.8652768521</v>
      </c>
      <c r="AE315" s="34">
        <f t="shared" ca="1" si="369"/>
        <v>0</v>
      </c>
      <c r="AF315" s="34">
        <f t="shared" ca="1" si="369"/>
        <v>206983.8652768521</v>
      </c>
      <c r="AG315" s="15"/>
      <c r="AH315" s="273"/>
      <c r="AI315" s="267"/>
      <c r="AJ315" s="267"/>
      <c r="AK315" s="34">
        <f t="shared" ca="1" si="329"/>
        <v>6911.8990867969114</v>
      </c>
      <c r="AL315" s="233"/>
    </row>
    <row r="316" spans="2:38" x14ac:dyDescent="0.3">
      <c r="B316" s="232"/>
      <c r="C316" s="250">
        <f t="shared" si="336"/>
        <v>2050</v>
      </c>
      <c r="D316" s="263">
        <f t="shared" ref="D316:G316" ca="1" si="378">+D66+D116+D166+D216+D266</f>
        <v>58250.290848036748</v>
      </c>
      <c r="E316" s="263">
        <f t="shared" ca="1" si="378"/>
        <v>385.29348167543878</v>
      </c>
      <c r="F316" s="263">
        <f t="shared" ca="1" si="378"/>
        <v>0</v>
      </c>
      <c r="G316" s="263">
        <f t="shared" ca="1" si="378"/>
        <v>60562.05173808938</v>
      </c>
      <c r="H316" s="15"/>
      <c r="I316" s="35">
        <f t="shared" ca="1" si="371"/>
        <v>4.5</v>
      </c>
      <c r="J316" s="35">
        <f t="shared" ca="1" si="371"/>
        <v>80</v>
      </c>
      <c r="K316" s="35">
        <f t="shared" ca="1" si="371"/>
        <v>40</v>
      </c>
      <c r="L316" s="15"/>
      <c r="M316" s="35">
        <f t="shared" ca="1" si="372"/>
        <v>4.2299999999999995</v>
      </c>
      <c r="N316" s="35">
        <f t="shared" ca="1" si="372"/>
        <v>74.400000000000006</v>
      </c>
      <c r="O316" s="35">
        <f t="shared" ca="1" si="372"/>
        <v>37.200000000000003</v>
      </c>
      <c r="P316" s="15"/>
      <c r="Q316" s="34">
        <f t="shared" ca="1" si="373"/>
        <v>246398.73028719545</v>
      </c>
      <c r="R316" s="34">
        <f t="shared" ca="1" si="373"/>
        <v>28665.835036652643</v>
      </c>
      <c r="S316" s="34">
        <f t="shared" ca="1" si="373"/>
        <v>0</v>
      </c>
      <c r="T316" s="34">
        <f t="shared" ca="1" si="373"/>
        <v>275064.56532384804</v>
      </c>
      <c r="U316" s="15"/>
      <c r="V316" s="35">
        <f t="shared" si="374"/>
        <v>0.31</v>
      </c>
      <c r="W316" s="34">
        <f t="shared" ca="1" si="367"/>
        <v>18774.23603880771</v>
      </c>
      <c r="X316" s="35">
        <f t="shared" si="374"/>
        <v>0.37</v>
      </c>
      <c r="Y316" s="34">
        <f t="shared" ca="1" si="367"/>
        <v>22407.959143093074</v>
      </c>
      <c r="Z316" s="35">
        <f t="shared" si="335"/>
        <v>0.57999999999999996</v>
      </c>
      <c r="AA316" s="34">
        <f t="shared" ca="1" si="368"/>
        <v>35125.990008091838</v>
      </c>
      <c r="AB316" s="34">
        <f t="shared" ca="1" si="368"/>
        <v>76308.185189992626</v>
      </c>
      <c r="AC316" s="15"/>
      <c r="AD316" s="34">
        <f t="shared" ca="1" si="369"/>
        <v>198756.38013385545</v>
      </c>
      <c r="AE316" s="34">
        <f t="shared" ca="1" si="369"/>
        <v>0</v>
      </c>
      <c r="AF316" s="34">
        <f t="shared" ca="1" si="369"/>
        <v>198756.38013385545</v>
      </c>
      <c r="AG316" s="15"/>
      <c r="AH316" s="273"/>
      <c r="AI316" s="267"/>
      <c r="AJ316" s="267"/>
      <c r="AK316" s="34">
        <f t="shared" ca="1" si="329"/>
        <v>6033.7774747661651</v>
      </c>
      <c r="AL316" s="233"/>
    </row>
    <row r="317" spans="2:38" x14ac:dyDescent="0.3">
      <c r="B317" s="232"/>
      <c r="C317" s="250">
        <f t="shared" si="336"/>
        <v>2051</v>
      </c>
      <c r="D317" s="263">
        <f t="shared" ref="D317:G317" ca="1" si="379">+D67+D117+D167+D217+D267</f>
        <v>55955.390078795921</v>
      </c>
      <c r="E317" s="263">
        <f t="shared" ca="1" si="379"/>
        <v>370.1139813741068</v>
      </c>
      <c r="F317" s="263">
        <f t="shared" ca="1" si="379"/>
        <v>0</v>
      </c>
      <c r="G317" s="263">
        <f t="shared" ca="1" si="379"/>
        <v>58176.073967040553</v>
      </c>
      <c r="H317" s="15"/>
      <c r="I317" s="35">
        <f t="shared" ca="1" si="371"/>
        <v>4.5</v>
      </c>
      <c r="J317" s="35">
        <f t="shared" ca="1" si="371"/>
        <v>80</v>
      </c>
      <c r="K317" s="35">
        <f t="shared" ca="1" si="371"/>
        <v>40</v>
      </c>
      <c r="L317" s="15"/>
      <c r="M317" s="35">
        <f t="shared" ca="1" si="372"/>
        <v>4.2299999999999995</v>
      </c>
      <c r="N317" s="35">
        <f t="shared" ca="1" si="372"/>
        <v>74.400000000000006</v>
      </c>
      <c r="O317" s="35">
        <f t="shared" ca="1" si="372"/>
        <v>37.200000000000003</v>
      </c>
      <c r="P317" s="15"/>
      <c r="Q317" s="34">
        <f t="shared" ca="1" si="373"/>
        <v>236691.3000333067</v>
      </c>
      <c r="R317" s="34">
        <f t="shared" ca="1" si="373"/>
        <v>27536.48021423355</v>
      </c>
      <c r="S317" s="34">
        <f t="shared" ca="1" si="373"/>
        <v>0</v>
      </c>
      <c r="T317" s="34">
        <f t="shared" ca="1" si="373"/>
        <v>264227.78024754027</v>
      </c>
      <c r="U317" s="15"/>
      <c r="V317" s="35">
        <f t="shared" si="374"/>
        <v>0.31</v>
      </c>
      <c r="W317" s="34">
        <f t="shared" ca="1" si="367"/>
        <v>18034.582929782573</v>
      </c>
      <c r="X317" s="35">
        <f t="shared" si="374"/>
        <v>0.37</v>
      </c>
      <c r="Y317" s="34">
        <f t="shared" ca="1" si="367"/>
        <v>21525.147367805006</v>
      </c>
      <c r="Z317" s="35">
        <f t="shared" si="335"/>
        <v>0.57999999999999996</v>
      </c>
      <c r="AA317" s="34">
        <f t="shared" ca="1" si="368"/>
        <v>33742.122900883522</v>
      </c>
      <c r="AB317" s="34">
        <f t="shared" ca="1" si="368"/>
        <v>73301.853198471101</v>
      </c>
      <c r="AC317" s="15"/>
      <c r="AD317" s="34">
        <f t="shared" ca="1" si="369"/>
        <v>190925.92704906917</v>
      </c>
      <c r="AE317" s="34">
        <f t="shared" ca="1" si="369"/>
        <v>0</v>
      </c>
      <c r="AF317" s="34">
        <f t="shared" ca="1" si="369"/>
        <v>190925.92704906917</v>
      </c>
      <c r="AG317" s="15"/>
      <c r="AH317" s="273"/>
      <c r="AI317" s="267"/>
      <c r="AJ317" s="267"/>
      <c r="AK317" s="34">
        <f t="shared" ca="1" si="329"/>
        <v>5269.1484428492404</v>
      </c>
      <c r="AL317" s="233"/>
    </row>
    <row r="318" spans="2:38" x14ac:dyDescent="0.3">
      <c r="B318" s="232"/>
      <c r="C318" s="250">
        <f t="shared" si="336"/>
        <v>2052</v>
      </c>
      <c r="D318" s="263">
        <f t="shared" ref="D318:G318" ca="1" si="380">+D68+D118+D168+D218+D268</f>
        <v>53762.492997551875</v>
      </c>
      <c r="E318" s="263">
        <f t="shared" ca="1" si="380"/>
        <v>355.60917909607844</v>
      </c>
      <c r="F318" s="263">
        <f t="shared" ca="1" si="380"/>
        <v>0</v>
      </c>
      <c r="G318" s="263">
        <f t="shared" ca="1" si="380"/>
        <v>55896.148072128351</v>
      </c>
      <c r="H318" s="15"/>
      <c r="I318" s="35">
        <f t="shared" ca="1" si="371"/>
        <v>4.5</v>
      </c>
      <c r="J318" s="35">
        <f t="shared" ca="1" si="371"/>
        <v>80</v>
      </c>
      <c r="K318" s="35">
        <f t="shared" ca="1" si="371"/>
        <v>40</v>
      </c>
      <c r="L318" s="15"/>
      <c r="M318" s="35">
        <f t="shared" ca="1" si="372"/>
        <v>4.2299999999999995</v>
      </c>
      <c r="N318" s="35">
        <f t="shared" ca="1" si="372"/>
        <v>74.400000000000006</v>
      </c>
      <c r="O318" s="35">
        <f t="shared" ca="1" si="372"/>
        <v>37.200000000000003</v>
      </c>
      <c r="P318" s="15"/>
      <c r="Q318" s="34">
        <f t="shared" ca="1" si="373"/>
        <v>227415.34537964442</v>
      </c>
      <c r="R318" s="34">
        <f t="shared" ca="1" si="373"/>
        <v>26457.322924748241</v>
      </c>
      <c r="S318" s="34">
        <f t="shared" ca="1" si="373"/>
        <v>0</v>
      </c>
      <c r="T318" s="34">
        <f t="shared" ca="1" si="373"/>
        <v>253872.66830439266</v>
      </c>
      <c r="U318" s="15"/>
      <c r="V318" s="35">
        <f t="shared" si="374"/>
        <v>0.31</v>
      </c>
      <c r="W318" s="34">
        <f t="shared" ca="1" si="367"/>
        <v>17327.805902359789</v>
      </c>
      <c r="X318" s="35">
        <f t="shared" si="374"/>
        <v>0.37</v>
      </c>
      <c r="Y318" s="34">
        <f t="shared" ca="1" si="367"/>
        <v>20681.574786687488</v>
      </c>
      <c r="Z318" s="35">
        <f t="shared" si="335"/>
        <v>0.57999999999999996</v>
      </c>
      <c r="AA318" s="34">
        <f t="shared" ca="1" si="368"/>
        <v>32419.765881834443</v>
      </c>
      <c r="AB318" s="34">
        <f t="shared" ca="1" si="368"/>
        <v>70429.146570881727</v>
      </c>
      <c r="AC318" s="15"/>
      <c r="AD318" s="34">
        <f t="shared" ca="1" si="369"/>
        <v>183443.52173351095</v>
      </c>
      <c r="AE318" s="34">
        <f t="shared" ca="1" si="369"/>
        <v>0</v>
      </c>
      <c r="AF318" s="34">
        <f t="shared" ca="1" si="369"/>
        <v>183443.52173351095</v>
      </c>
      <c r="AG318" s="15"/>
      <c r="AH318" s="273"/>
      <c r="AI318" s="267"/>
      <c r="AJ318" s="267"/>
      <c r="AK318" s="34">
        <f t="shared" ca="1" si="329"/>
        <v>4602.4091019459256</v>
      </c>
      <c r="AL318" s="233"/>
    </row>
    <row r="319" spans="2:38" x14ac:dyDescent="0.3">
      <c r="B319" s="232"/>
      <c r="C319" s="250">
        <f t="shared" si="336"/>
        <v>2053</v>
      </c>
      <c r="D319" s="263">
        <f t="shared" ref="D319:G319" ca="1" si="381">+D69+D119+D169+D219+D269</f>
        <v>51662.672608183937</v>
      </c>
      <c r="E319" s="263">
        <f t="shared" ca="1" si="381"/>
        <v>341.72002769555939</v>
      </c>
      <c r="F319" s="263">
        <f t="shared" ca="1" si="381"/>
        <v>0</v>
      </c>
      <c r="G319" s="263">
        <f t="shared" ca="1" si="381"/>
        <v>53712.992774357292</v>
      </c>
      <c r="H319" s="15"/>
      <c r="I319" s="35">
        <f t="shared" ca="1" si="371"/>
        <v>4.5</v>
      </c>
      <c r="J319" s="35">
        <f t="shared" ca="1" si="371"/>
        <v>80</v>
      </c>
      <c r="K319" s="35">
        <f t="shared" ca="1" si="371"/>
        <v>40</v>
      </c>
      <c r="L319" s="15"/>
      <c r="M319" s="35">
        <f t="shared" ca="1" si="372"/>
        <v>4.2299999999999995</v>
      </c>
      <c r="N319" s="35">
        <f t="shared" ca="1" si="372"/>
        <v>74.400000000000006</v>
      </c>
      <c r="O319" s="35">
        <f t="shared" ca="1" si="372"/>
        <v>37.200000000000003</v>
      </c>
      <c r="P319" s="15"/>
      <c r="Q319" s="34">
        <f t="shared" ca="1" si="373"/>
        <v>218533.10513261799</v>
      </c>
      <c r="R319" s="34">
        <f t="shared" ca="1" si="373"/>
        <v>25423.970060549622</v>
      </c>
      <c r="S319" s="34">
        <f t="shared" ca="1" si="373"/>
        <v>0</v>
      </c>
      <c r="T319" s="34">
        <f t="shared" ca="1" si="373"/>
        <v>243957.07519316764</v>
      </c>
      <c r="U319" s="15"/>
      <c r="V319" s="35">
        <f t="shared" si="374"/>
        <v>0.31</v>
      </c>
      <c r="W319" s="34">
        <f t="shared" ca="1" si="367"/>
        <v>16651.027760050762</v>
      </c>
      <c r="X319" s="35">
        <f t="shared" si="374"/>
        <v>0.37</v>
      </c>
      <c r="Y319" s="34">
        <f t="shared" ca="1" si="367"/>
        <v>19873.807326512197</v>
      </c>
      <c r="Z319" s="35">
        <f t="shared" si="335"/>
        <v>0.57999999999999996</v>
      </c>
      <c r="AA319" s="34">
        <f t="shared" ca="1" si="368"/>
        <v>31153.535809127228</v>
      </c>
      <c r="AB319" s="34">
        <f t="shared" ca="1" si="368"/>
        <v>67678.370895690183</v>
      </c>
      <c r="AC319" s="15"/>
      <c r="AD319" s="34">
        <f t="shared" ca="1" si="369"/>
        <v>176278.70429747744</v>
      </c>
      <c r="AE319" s="34">
        <f t="shared" ca="1" si="369"/>
        <v>0</v>
      </c>
      <c r="AF319" s="34">
        <f t="shared" ca="1" si="369"/>
        <v>176278.70429747744</v>
      </c>
      <c r="AG319" s="15"/>
      <c r="AH319" s="273"/>
      <c r="AI319" s="267"/>
      <c r="AJ319" s="267"/>
      <c r="AK319" s="34">
        <f t="shared" ca="1" si="329"/>
        <v>4020.5920079836633</v>
      </c>
      <c r="AL319" s="233"/>
    </row>
    <row r="320" spans="2:38" x14ac:dyDescent="0.3">
      <c r="B320" s="232"/>
      <c r="C320" s="274" t="s">
        <v>302</v>
      </c>
      <c r="D320" s="39">
        <f ca="1">SUM(D279:D319)</f>
        <v>4027609.8833653149</v>
      </c>
      <c r="E320" s="39">
        <f t="shared" ref="E320:G320" ca="1" si="382">SUM(E279:E319)</f>
        <v>26640.41350180711</v>
      </c>
      <c r="F320" s="39">
        <f t="shared" ca="1" si="382"/>
        <v>0</v>
      </c>
      <c r="G320" s="39">
        <f t="shared" ca="1" si="382"/>
        <v>4187452.3643761571</v>
      </c>
      <c r="H320" s="15"/>
      <c r="I320" s="15"/>
      <c r="J320" s="15"/>
      <c r="K320" s="15"/>
      <c r="L320" s="15"/>
      <c r="M320" s="35"/>
      <c r="N320" s="35"/>
      <c r="O320" s="35"/>
      <c r="P320" s="15"/>
      <c r="Q320" s="8">
        <f ca="1">SUM(Q279:Q319)</f>
        <v>16912948.382335689</v>
      </c>
      <c r="R320" s="8">
        <f t="shared" ref="R320:T320" ca="1" si="383">SUM(R279:R319)</f>
        <v>1993014.4070540213</v>
      </c>
      <c r="S320" s="8">
        <f t="shared" ca="1" si="383"/>
        <v>0</v>
      </c>
      <c r="T320" s="8">
        <f t="shared" ca="1" si="383"/>
        <v>18905962.789389707</v>
      </c>
      <c r="U320" s="15"/>
      <c r="V320" s="275"/>
      <c r="W320" s="276">
        <f ca="1">SUM(W279:W319)</f>
        <v>1298110.2329566085</v>
      </c>
      <c r="X320" s="275"/>
      <c r="Y320" s="276">
        <f ca="1">SUM(Y279:Y319)</f>
        <v>1549357.3748191786</v>
      </c>
      <c r="Z320" s="275"/>
      <c r="AA320" s="276">
        <f ca="1">SUM(AA279:AA319)</f>
        <v>2428722.3713381719</v>
      </c>
      <c r="AB320" s="276">
        <f ca="1">SUM(AB279:AB319)</f>
        <v>5276189.979113956</v>
      </c>
      <c r="AC320" s="15"/>
      <c r="AD320" s="276">
        <f ca="1">SUM(AD279:AD319)</f>
        <v>13629772.810275748</v>
      </c>
      <c r="AE320" s="276">
        <f ca="1">SUM(AE279:AE319)</f>
        <v>4270681.9156270744</v>
      </c>
      <c r="AF320" s="276">
        <f ca="1">SUM(AF279:AF319)</f>
        <v>9359090.8946486786</v>
      </c>
      <c r="AG320" s="15"/>
      <c r="AH320" s="277"/>
      <c r="AI320" s="278"/>
      <c r="AJ320" s="278"/>
      <c r="AK320" s="276">
        <f ca="1">SUM(AK279:AK319)</f>
        <v>1582499.2268254487</v>
      </c>
      <c r="AL320" s="233"/>
    </row>
    <row r="321" spans="2:38" x14ac:dyDescent="0.3">
      <c r="B321" s="232"/>
      <c r="C321" s="283" t="s">
        <v>303</v>
      </c>
      <c r="D321" s="263">
        <f ca="1">+D71+D120+D171+D221+D271</f>
        <v>807970.84399120871</v>
      </c>
      <c r="E321" s="263">
        <f ca="1">+E71+E120+E171+E221+E271</f>
        <v>5344.2806042934608</v>
      </c>
      <c r="F321" s="263">
        <f ca="1">+F71+F120+F171+F221+F271</f>
        <v>0</v>
      </c>
      <c r="G321" s="263">
        <f ca="1">+G71+G120+G171+G221+G271</f>
        <v>840036.52761696861</v>
      </c>
      <c r="H321" s="15"/>
      <c r="I321" s="35">
        <f ca="1">+I319</f>
        <v>4.5</v>
      </c>
      <c r="J321" s="35">
        <f t="shared" ref="J321:K321" ca="1" si="384">+J319</f>
        <v>80</v>
      </c>
      <c r="K321" s="35">
        <f t="shared" ca="1" si="384"/>
        <v>40</v>
      </c>
      <c r="L321" s="15"/>
      <c r="M321" s="35">
        <f ca="1">+M319</f>
        <v>4.2299999999999995</v>
      </c>
      <c r="N321" s="35">
        <f t="shared" ref="N321:O321" ca="1" si="385">+N319</f>
        <v>74.400000000000006</v>
      </c>
      <c r="O321" s="35">
        <f t="shared" ca="1" si="385"/>
        <v>37.200000000000003</v>
      </c>
      <c r="P321" s="15"/>
      <c r="Q321" s="34">
        <f t="shared" ref="Q321:T321" ca="1" si="386">+Q71+Q121+Q171+Q221+Q271</f>
        <v>3417716.6700828122</v>
      </c>
      <c r="R321" s="34">
        <f t="shared" ca="1" si="386"/>
        <v>397614.47695943352</v>
      </c>
      <c r="S321" s="34">
        <f t="shared" ca="1" si="386"/>
        <v>0</v>
      </c>
      <c r="T321" s="34">
        <f t="shared" ca="1" si="386"/>
        <v>3815331.1470422456</v>
      </c>
      <c r="U321" s="15"/>
      <c r="V321" s="35"/>
      <c r="W321" s="34">
        <f t="shared" ref="W321:Y321" ca="1" si="387">+W71+W121+W171+W221+W271</f>
        <v>260411.32356126027</v>
      </c>
      <c r="X321" s="35"/>
      <c r="Y321" s="34">
        <f t="shared" ca="1" si="387"/>
        <v>310813.51521827839</v>
      </c>
      <c r="Z321" s="35"/>
      <c r="AA321" s="34">
        <f t="shared" ref="AA321:AB321" ca="1" si="388">+AA71+AA121+AA171+AA221+AA271</f>
        <v>487221.1860178418</v>
      </c>
      <c r="AB321" s="34">
        <f t="shared" ca="1" si="388"/>
        <v>1058446.0247973804</v>
      </c>
      <c r="AC321" s="15"/>
      <c r="AD321" s="34">
        <f t="shared" ca="1" si="369"/>
        <v>2756885.1222448656</v>
      </c>
      <c r="AE321" s="62">
        <f t="shared" ca="1" si="369"/>
        <v>303200.59880239522</v>
      </c>
      <c r="AF321" s="34">
        <f t="shared" ca="1" si="369"/>
        <v>2453684.5234424705</v>
      </c>
      <c r="AG321" s="15"/>
      <c r="AH321" s="266"/>
      <c r="AI321" s="267"/>
      <c r="AJ321" s="267"/>
      <c r="AK321" s="34">
        <f t="shared" ref="AK321" ca="1" si="389">+AK71+AK121+AK171+AK221+AK271</f>
        <v>55964.016892352272</v>
      </c>
      <c r="AL321" s="233"/>
    </row>
    <row r="322" spans="2:38" x14ac:dyDescent="0.3">
      <c r="B322" s="232"/>
      <c r="C322" s="60" t="s">
        <v>26</v>
      </c>
      <c r="D322" s="39">
        <f ca="1">SUM(D320:D321)</f>
        <v>4835580.7273565233</v>
      </c>
      <c r="E322" s="39">
        <f t="shared" ref="E322:G322" ca="1" si="390">SUM(E320:E321)</f>
        <v>31984.694106100571</v>
      </c>
      <c r="F322" s="39">
        <f t="shared" ca="1" si="390"/>
        <v>0</v>
      </c>
      <c r="G322" s="39">
        <f t="shared" ca="1" si="390"/>
        <v>5027488.8919931259</v>
      </c>
      <c r="H322" s="15"/>
      <c r="I322" s="15"/>
      <c r="J322" s="15"/>
      <c r="K322" s="15"/>
      <c r="L322" s="15"/>
      <c r="M322" s="15"/>
      <c r="N322" s="15"/>
      <c r="O322" s="15"/>
      <c r="P322" s="15"/>
      <c r="Q322" s="8">
        <f ca="1">SUM(Q320:Q321)</f>
        <v>20330665.0524185</v>
      </c>
      <c r="R322" s="8">
        <f t="shared" ref="R322:T322" ca="1" si="391">SUM(R320:R321)</f>
        <v>2390628.8840134549</v>
      </c>
      <c r="S322" s="8">
        <f t="shared" ca="1" si="391"/>
        <v>0</v>
      </c>
      <c r="T322" s="8">
        <f t="shared" ca="1" si="391"/>
        <v>22721293.936431952</v>
      </c>
      <c r="U322" s="15"/>
      <c r="V322" s="9"/>
      <c r="W322" s="8">
        <f ca="1">SUM(W320:W321)</f>
        <v>1558521.5565178688</v>
      </c>
      <c r="X322" s="9"/>
      <c r="Y322" s="8">
        <f ca="1">SUM(Y320:Y321)</f>
        <v>1860170.890037457</v>
      </c>
      <c r="Z322" s="9"/>
      <c r="AA322" s="8">
        <f ca="1">SUM(AA320:AA321)</f>
        <v>2915943.5573560139</v>
      </c>
      <c r="AB322" s="8">
        <f ca="1">SUM(AB320:AB321)</f>
        <v>6334636.0039113369</v>
      </c>
      <c r="AC322" s="15"/>
      <c r="AD322" s="8">
        <f t="shared" ref="AD322:AF322" ca="1" si="392">SUM(AD320:AD321)</f>
        <v>16386657.932520613</v>
      </c>
      <c r="AE322" s="8">
        <f t="shared" ca="1" si="392"/>
        <v>4573882.5144294696</v>
      </c>
      <c r="AF322" s="8">
        <f t="shared" ca="1" si="392"/>
        <v>11812775.418091148</v>
      </c>
      <c r="AG322" s="15"/>
      <c r="AH322" s="9"/>
      <c r="AI322" s="9"/>
      <c r="AJ322" s="9"/>
      <c r="AK322" s="8">
        <f ca="1">SUM(AK320:AK321)</f>
        <v>1638463.2437178011</v>
      </c>
      <c r="AL322" s="233"/>
    </row>
    <row r="323" spans="2:38" x14ac:dyDescent="0.3">
      <c r="B323" s="256"/>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258"/>
    </row>
  </sheetData>
  <pageMargins left="0.7" right="0.7" top="0.75" bottom="0.75" header="0.3" footer="0.3"/>
  <pageSetup orientation="portrait" r:id="rId1"/>
  <ignoredErrors>
    <ignoredError sqref="AK170 AK220:AK222 AK270 Q170:T172"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T323"/>
  <sheetViews>
    <sheetView showGridLines="0" zoomScaleNormal="100" workbookViewId="0"/>
  </sheetViews>
  <sheetFormatPr defaultRowHeight="14.4" x14ac:dyDescent="0.3"/>
  <cols>
    <col min="1" max="2" width="2.6640625" customWidth="1"/>
    <col min="3" max="3" width="11.33203125" bestFit="1" customWidth="1"/>
    <col min="4" max="6" width="10.6640625" customWidth="1"/>
    <col min="7" max="7" width="10.6640625" bestFit="1" customWidth="1"/>
    <col min="15" max="15" width="9.109375" bestFit="1" customWidth="1"/>
    <col min="17" max="20" width="11.6640625" customWidth="1"/>
    <col min="22" max="28" width="10.6640625" customWidth="1"/>
    <col min="30" max="32" width="11.6640625" customWidth="1"/>
    <col min="34" max="36" width="10.6640625" customWidth="1"/>
    <col min="37" max="37" width="11.6640625" customWidth="1"/>
    <col min="38" max="40" width="2.6640625" customWidth="1"/>
    <col min="41" max="51" width="12.6640625" customWidth="1"/>
    <col min="52" max="91" width="10.6640625" customWidth="1"/>
    <col min="92" max="92" width="12.109375" customWidth="1"/>
    <col min="93" max="93" width="10.6640625" customWidth="1"/>
    <col min="94" max="94" width="12.109375" customWidth="1"/>
    <col min="95" max="98" width="10.6640625" customWidth="1"/>
  </cols>
  <sheetData>
    <row r="2" spans="2:64" x14ac:dyDescent="0.3">
      <c r="B2" s="225" t="s">
        <v>238</v>
      </c>
      <c r="C2" s="31"/>
      <c r="D2" s="31"/>
      <c r="E2" s="31"/>
      <c r="F2" s="31"/>
      <c r="G2" s="31"/>
      <c r="H2" s="31"/>
      <c r="I2" s="31"/>
      <c r="J2" s="31"/>
      <c r="K2" s="31"/>
      <c r="L2" s="31"/>
      <c r="M2" s="31"/>
      <c r="N2" s="31"/>
      <c r="O2" s="31"/>
      <c r="P2" s="31"/>
      <c r="Q2" s="31"/>
      <c r="R2" s="31"/>
      <c r="S2" s="31"/>
      <c r="T2" s="31"/>
      <c r="U2" s="31"/>
      <c r="V2" s="31"/>
      <c r="W2" s="31"/>
      <c r="X2" s="31"/>
      <c r="Y2" s="31"/>
      <c r="Z2" s="226"/>
      <c r="AB2" s="2"/>
      <c r="AC2" s="2"/>
      <c r="AD2" s="2"/>
      <c r="AE2" s="2"/>
      <c r="AF2" s="2"/>
      <c r="AG2" s="2"/>
      <c r="AH2" s="2"/>
      <c r="AI2" s="2"/>
      <c r="AJ2" s="2"/>
      <c r="AK2" s="2"/>
      <c r="AL2" s="2"/>
      <c r="AN2" s="225" t="s">
        <v>239</v>
      </c>
      <c r="AO2" s="31"/>
      <c r="AP2" s="31"/>
      <c r="AQ2" s="31"/>
      <c r="AR2" s="31"/>
      <c r="AS2" s="31"/>
      <c r="AT2" s="31"/>
      <c r="AU2" s="31"/>
      <c r="AV2" s="31"/>
      <c r="AW2" s="31"/>
      <c r="AX2" s="31"/>
      <c r="AY2" s="31"/>
      <c r="AZ2" s="31"/>
      <c r="BA2" s="31"/>
      <c r="BB2" s="31"/>
      <c r="BC2" s="31"/>
      <c r="BD2" s="31"/>
      <c r="BE2" s="31"/>
      <c r="BF2" s="31"/>
      <c r="BG2" s="31"/>
      <c r="BH2" s="31"/>
      <c r="BI2" s="31"/>
      <c r="BJ2" s="31"/>
      <c r="BK2" s="31"/>
      <c r="BL2" s="226"/>
    </row>
    <row r="3" spans="2:64" x14ac:dyDescent="0.3">
      <c r="B3" s="227"/>
      <c r="C3" s="228"/>
      <c r="D3" s="54"/>
      <c r="E3" s="54"/>
      <c r="F3" s="54"/>
      <c r="G3" s="54"/>
      <c r="H3" s="54"/>
      <c r="I3" s="228" t="s">
        <v>241</v>
      </c>
      <c r="J3" s="54"/>
      <c r="K3" s="54"/>
      <c r="L3" s="54"/>
      <c r="M3" s="54"/>
      <c r="N3" s="54"/>
      <c r="O3" s="228" t="s">
        <v>242</v>
      </c>
      <c r="P3" s="54"/>
      <c r="Q3" s="54"/>
      <c r="R3" s="54"/>
      <c r="S3" s="54"/>
      <c r="T3" s="228"/>
      <c r="U3" s="54"/>
      <c r="V3" s="54"/>
      <c r="W3" s="54"/>
      <c r="X3" s="54"/>
      <c r="Y3" s="54"/>
      <c r="Z3" s="229"/>
      <c r="AB3" s="2"/>
      <c r="AC3" s="2"/>
      <c r="AD3" s="2"/>
      <c r="AE3" s="2"/>
      <c r="AF3" s="2"/>
      <c r="AG3" s="2"/>
      <c r="AH3" s="2"/>
      <c r="AI3" s="2"/>
      <c r="AJ3" s="2"/>
      <c r="AK3" s="2"/>
      <c r="AL3" s="2"/>
      <c r="AN3" s="227"/>
      <c r="AO3" s="228" t="s">
        <v>244</v>
      </c>
      <c r="AP3" s="54"/>
      <c r="AQ3" s="54"/>
      <c r="AR3" s="54"/>
      <c r="AS3" s="54"/>
      <c r="AT3" s="54"/>
      <c r="AU3" s="228"/>
      <c r="AV3" s="54"/>
      <c r="AW3" s="54"/>
      <c r="AX3" s="54"/>
      <c r="AY3" s="54"/>
      <c r="AZ3" s="54"/>
      <c r="BA3" s="228"/>
      <c r="BB3" s="54"/>
      <c r="BC3" s="54"/>
      <c r="BD3" s="54"/>
      <c r="BE3" s="54"/>
      <c r="BF3" s="228"/>
      <c r="BG3" s="54"/>
      <c r="BH3" s="54"/>
      <c r="BI3" s="54"/>
      <c r="BJ3" s="54"/>
      <c r="BK3" s="54"/>
      <c r="BL3" s="229"/>
    </row>
    <row r="4" spans="2:64" x14ac:dyDescent="0.3">
      <c r="B4" s="230"/>
      <c r="C4" s="9"/>
      <c r="D4" s="9"/>
      <c r="E4" s="9"/>
      <c r="F4" s="9"/>
      <c r="G4" s="9"/>
      <c r="H4" s="9"/>
      <c r="I4" s="7"/>
      <c r="J4" s="9"/>
      <c r="K4" s="9"/>
      <c r="L4" s="9"/>
      <c r="M4" s="9"/>
      <c r="N4" s="9"/>
      <c r="O4" s="7"/>
      <c r="P4" s="9"/>
      <c r="Q4" s="9"/>
      <c r="R4" s="9"/>
      <c r="S4" s="9"/>
      <c r="T4" s="9"/>
      <c r="U4" s="9"/>
      <c r="V4" s="32"/>
      <c r="W4" s="32"/>
      <c r="X4" s="32"/>
      <c r="Y4" s="32"/>
      <c r="Z4" s="231"/>
      <c r="AB4" s="2"/>
      <c r="AC4" s="2"/>
      <c r="AD4" s="2"/>
      <c r="AE4" s="2"/>
      <c r="AF4" s="2"/>
      <c r="AG4" s="2"/>
      <c r="AH4" s="2"/>
      <c r="AI4" s="2"/>
      <c r="AJ4" s="2"/>
      <c r="AK4" s="2"/>
      <c r="AL4" s="2"/>
      <c r="AN4" s="232"/>
      <c r="AO4" s="15"/>
      <c r="AP4" s="15"/>
      <c r="AQ4" s="15"/>
      <c r="AR4" s="15"/>
      <c r="AS4" s="15"/>
      <c r="AT4" s="15"/>
      <c r="AU4" s="15"/>
      <c r="AV4" s="15"/>
      <c r="AW4" s="15"/>
      <c r="AX4" s="15"/>
      <c r="AY4" s="15"/>
      <c r="AZ4" s="15"/>
      <c r="BA4" s="15"/>
      <c r="BB4" s="15"/>
      <c r="BC4" s="15"/>
      <c r="BD4" s="15"/>
      <c r="BE4" s="15"/>
      <c r="BF4" s="15"/>
      <c r="BG4" s="15"/>
      <c r="BH4" s="15"/>
      <c r="BI4" s="15"/>
      <c r="BJ4" s="15"/>
      <c r="BK4" s="15"/>
      <c r="BL4" s="233"/>
    </row>
    <row r="5" spans="2:64" x14ac:dyDescent="0.3">
      <c r="B5" s="232"/>
      <c r="C5" s="15"/>
      <c r="D5" s="78"/>
      <c r="E5" s="15"/>
      <c r="F5" s="15"/>
      <c r="G5" s="34"/>
      <c r="H5" s="15"/>
      <c r="I5" s="78" t="str">
        <f>Assumptions!$N$27</f>
        <v>Working Interest:</v>
      </c>
      <c r="J5" s="15"/>
      <c r="K5" s="15"/>
      <c r="L5" s="15"/>
      <c r="M5" s="234">
        <f t="shared" ref="M5:M6" ca="1" si="0">IFERROR(INDEX(Regional_Input_Range,MATCH($I5,Regional_Input_Var_Column,0),MATCH(MID(CELL("filename",$A$1),FIND("]",CELL("filename",$A$1))+1,255),Regional_Input_Region_Row,0)),"N/A")</f>
        <v>0.57999999999999996</v>
      </c>
      <c r="N5" s="15"/>
      <c r="O5" s="33" t="s">
        <v>41</v>
      </c>
      <c r="P5" s="15"/>
      <c r="Q5" s="15"/>
      <c r="R5" s="235">
        <f>Gas_Price_Diff</f>
        <v>0.94</v>
      </c>
      <c r="S5" s="15"/>
      <c r="T5" s="15"/>
      <c r="U5" s="15"/>
      <c r="V5" s="250"/>
      <c r="W5" s="250"/>
      <c r="X5" s="250"/>
      <c r="Y5" s="250"/>
      <c r="Z5" s="233"/>
      <c r="AB5" s="2"/>
      <c r="AC5" s="2"/>
      <c r="AD5" s="2"/>
      <c r="AE5" s="2"/>
      <c r="AF5" s="2"/>
      <c r="AG5" s="2"/>
      <c r="AH5" s="2"/>
      <c r="AI5" s="2"/>
      <c r="AJ5" s="2"/>
      <c r="AK5" s="2"/>
      <c r="AL5" s="2"/>
      <c r="AN5" s="232"/>
      <c r="AQ5" s="177" t="s">
        <v>53</v>
      </c>
      <c r="AR5" s="38" t="s">
        <v>147</v>
      </c>
      <c r="AT5" s="37" t="s">
        <v>331</v>
      </c>
      <c r="AU5" s="23"/>
      <c r="AV5" s="37" t="s">
        <v>249</v>
      </c>
      <c r="AW5" s="23"/>
      <c r="AX5" s="37" t="s">
        <v>250</v>
      </c>
      <c r="AY5" s="23"/>
      <c r="AZ5" s="15"/>
      <c r="BA5" s="15"/>
      <c r="BB5" s="15"/>
      <c r="BC5" s="15"/>
      <c r="BD5" s="15"/>
      <c r="BE5" s="15"/>
      <c r="BF5" s="15"/>
      <c r="BG5" s="15"/>
      <c r="BH5" s="15"/>
      <c r="BI5" s="15"/>
      <c r="BJ5" s="15"/>
      <c r="BK5" s="15"/>
      <c r="BL5" s="233"/>
    </row>
    <row r="6" spans="2:64" x14ac:dyDescent="0.3">
      <c r="B6" s="232"/>
      <c r="C6" s="15"/>
      <c r="D6" s="78"/>
      <c r="E6" s="15"/>
      <c r="F6" s="15"/>
      <c r="G6" s="34"/>
      <c r="H6" s="15"/>
      <c r="I6" s="78" t="str">
        <f>Assumptions!$N$28</f>
        <v>Royalty Rate:</v>
      </c>
      <c r="J6" s="15"/>
      <c r="K6" s="15"/>
      <c r="L6" s="15"/>
      <c r="M6" s="234">
        <f t="shared" ca="1" si="0"/>
        <v>0</v>
      </c>
      <c r="N6" s="15"/>
      <c r="O6" s="33" t="s">
        <v>13</v>
      </c>
      <c r="P6" s="15"/>
      <c r="Q6" s="15"/>
      <c r="R6" s="235">
        <f>Oil_Price_Diff</f>
        <v>0.93</v>
      </c>
      <c r="S6" s="15"/>
      <c r="T6" s="33"/>
      <c r="U6" s="15"/>
      <c r="V6" s="238"/>
      <c r="W6" s="238"/>
      <c r="X6" s="191"/>
      <c r="Y6" s="34"/>
      <c r="Z6" s="233"/>
      <c r="AB6" s="2"/>
      <c r="AC6" s="2"/>
      <c r="AD6" s="2"/>
      <c r="AE6" s="2"/>
      <c r="AF6" s="2"/>
      <c r="AG6" s="2"/>
      <c r="AH6" s="2"/>
      <c r="AI6" s="2"/>
      <c r="AJ6" s="2"/>
      <c r="AK6" s="2"/>
      <c r="AL6" s="2"/>
      <c r="AN6" s="232"/>
      <c r="AO6" s="188" t="s">
        <v>253</v>
      </c>
      <c r="AP6" s="4"/>
      <c r="AQ6" s="11" t="s">
        <v>54</v>
      </c>
      <c r="AR6" s="11" t="s">
        <v>254</v>
      </c>
      <c r="AS6" s="4"/>
      <c r="AT6" s="240" t="s">
        <v>164</v>
      </c>
      <c r="AU6" s="241" t="s">
        <v>178</v>
      </c>
      <c r="AV6" s="240" t="s">
        <v>164</v>
      </c>
      <c r="AW6" s="241" t="s">
        <v>178</v>
      </c>
      <c r="AX6" s="240" t="s">
        <v>164</v>
      </c>
      <c r="AY6" s="241" t="s">
        <v>178</v>
      </c>
      <c r="AZ6" s="15"/>
      <c r="BA6" s="15"/>
      <c r="BB6" s="15"/>
      <c r="BC6" s="15"/>
      <c r="BD6" s="15"/>
      <c r="BE6" s="15"/>
      <c r="BF6" s="15"/>
      <c r="BG6" s="15"/>
      <c r="BH6" s="15"/>
      <c r="BI6" s="15"/>
      <c r="BJ6" s="15"/>
      <c r="BK6" s="15"/>
      <c r="BL6" s="233"/>
    </row>
    <row r="7" spans="2:64" x14ac:dyDescent="0.3">
      <c r="B7" s="232"/>
      <c r="C7" s="15"/>
      <c r="D7" s="78"/>
      <c r="E7" s="15"/>
      <c r="F7" s="15"/>
      <c r="G7" s="321"/>
      <c r="H7" s="15"/>
      <c r="I7" s="78" t="str">
        <f>Assumptions!$N$29</f>
        <v>EUR (Mmcfe):</v>
      </c>
      <c r="J7" s="15"/>
      <c r="K7" s="15"/>
      <c r="L7" s="15"/>
      <c r="M7" s="242">
        <f ca="1">IFERROR(INDEX(Regional_Input_Range,MATCH($I7,Regional_Input_Var_Column,0),MATCH(MID(CELL("filename",$A$1),FIND("]",CELL("filename",$A$1))+1,255),Regional_Input_Region_Row,0)),"N/A")</f>
        <v>4292.5477980259948</v>
      </c>
      <c r="N7" s="15"/>
      <c r="O7" s="33" t="s">
        <v>8</v>
      </c>
      <c r="P7" s="15"/>
      <c r="Q7" s="15"/>
      <c r="R7" s="235">
        <f>NGL_Price_Diff_vs_Oil</f>
        <v>0.5</v>
      </c>
      <c r="S7" s="15"/>
      <c r="T7" s="33"/>
      <c r="U7" s="15"/>
      <c r="V7" s="238"/>
      <c r="W7" s="238"/>
      <c r="X7" s="191"/>
      <c r="Y7" s="34"/>
      <c r="Z7" s="233"/>
      <c r="AB7" s="2"/>
      <c r="AC7" s="2"/>
      <c r="AD7" s="2"/>
      <c r="AE7" s="2"/>
      <c r="AF7" s="2"/>
      <c r="AG7" s="2"/>
      <c r="AH7" s="2"/>
      <c r="AI7" s="2"/>
      <c r="AJ7" s="2"/>
      <c r="AK7" s="2"/>
      <c r="AL7" s="2"/>
      <c r="AN7" s="232"/>
      <c r="AO7" s="243" t="str">
        <f>Assumptions!$N$44</f>
        <v>PDP</v>
      </c>
      <c r="AP7" s="15"/>
      <c r="AQ7" s="244">
        <f ca="1">IFERROR(INDEX(Reserve_Credit_Range,MATCH($AO7,Reserve_Credit_Categories_Col,0),MATCH(MID(CELL("filename",$A$1),FIND("]",CELL("filename",$A$1))+1,255),Reserve_Credit_Regions_Row,0)),"N/A")</f>
        <v>1</v>
      </c>
      <c r="AR7" s="322">
        <f t="shared" ref="AR7:AR8" ca="1" si="1">$M$5</f>
        <v>0.57999999999999996</v>
      </c>
      <c r="AT7" s="15"/>
      <c r="AU7" s="293"/>
      <c r="AV7" s="15"/>
      <c r="AX7" s="15"/>
      <c r="AZ7" s="15"/>
      <c r="BA7" s="15"/>
      <c r="BB7" s="15"/>
      <c r="BC7" s="15"/>
      <c r="BD7" s="15"/>
      <c r="BE7" s="15"/>
      <c r="BF7" s="15"/>
      <c r="BG7" s="15"/>
      <c r="BH7" s="15"/>
      <c r="BI7" s="15"/>
      <c r="BJ7" s="15"/>
      <c r="BK7" s="15"/>
      <c r="BL7" s="233"/>
    </row>
    <row r="8" spans="2:64" x14ac:dyDescent="0.3">
      <c r="B8" s="232"/>
      <c r="C8" s="15"/>
      <c r="D8" s="78"/>
      <c r="E8" s="15"/>
      <c r="F8" s="15"/>
      <c r="G8" s="245"/>
      <c r="H8" s="15"/>
      <c r="I8" s="78" t="str">
        <f>Assumptions!$N$30</f>
        <v>IP Rate (Mmcfe / d):</v>
      </c>
      <c r="J8" s="15"/>
      <c r="K8" s="15"/>
      <c r="L8" s="15"/>
      <c r="M8" s="242">
        <f ca="1">IFERROR(INDEX(Regional_Input_Range,MATCH($I8,Regional_Input_Var_Column,0),MATCH(MID(CELL("filename",$A$1),FIND("]",CELL("filename",$A$1))+1,255),Regional_Input_Region_Row,0)),"N/A")</f>
        <v>7.7</v>
      </c>
      <c r="N8" s="15"/>
      <c r="O8" s="15"/>
      <c r="P8" s="15"/>
      <c r="Q8" s="15"/>
      <c r="R8" s="15"/>
      <c r="S8" s="15"/>
      <c r="T8" s="16"/>
      <c r="U8" s="15"/>
      <c r="V8" s="323"/>
      <c r="W8" s="323"/>
      <c r="X8" s="323"/>
      <c r="Y8" s="183"/>
      <c r="Z8" s="233"/>
      <c r="AB8" s="2"/>
      <c r="AC8" s="2"/>
      <c r="AD8" s="2"/>
      <c r="AE8" s="2"/>
      <c r="AF8" s="2"/>
      <c r="AG8" s="2"/>
      <c r="AH8" s="2"/>
      <c r="AI8" s="2"/>
      <c r="AJ8" s="2"/>
      <c r="AK8" s="2"/>
      <c r="AL8" s="2"/>
      <c r="AN8" s="232"/>
      <c r="AO8" s="243" t="str">
        <f>Assumptions!$N$45</f>
        <v>PDNP</v>
      </c>
      <c r="AP8" s="15"/>
      <c r="AQ8" s="244">
        <f ca="1">IFERROR(INDEX(Reserve_Credit_Range,MATCH($AO8,Reserve_Credit_Categories_Col,0),MATCH(MID(CELL("filename",$A$1),FIND("]",CELL("filename",$A$1))+1,255),Reserve_Credit_Regions_Row,0)),"N/A")</f>
        <v>1</v>
      </c>
      <c r="AR8" s="322">
        <f t="shared" ca="1" si="1"/>
        <v>0.57999999999999996</v>
      </c>
      <c r="AT8" s="15"/>
      <c r="AU8" s="293"/>
      <c r="AV8" s="15"/>
      <c r="AX8" s="15"/>
      <c r="AZ8" s="15"/>
      <c r="BA8" s="15"/>
      <c r="BB8" s="15"/>
      <c r="BC8" s="15"/>
      <c r="BD8" s="15"/>
      <c r="BE8" s="15"/>
      <c r="BF8" s="15"/>
      <c r="BG8" s="15"/>
      <c r="BH8" s="15"/>
      <c r="BI8" s="15"/>
      <c r="BJ8" s="15"/>
      <c r="BK8" s="15"/>
      <c r="BL8" s="233"/>
    </row>
    <row r="9" spans="2:64" x14ac:dyDescent="0.3">
      <c r="B9" s="232"/>
      <c r="C9" s="15"/>
      <c r="D9" s="78"/>
      <c r="E9" s="15"/>
      <c r="F9" s="15"/>
      <c r="G9" s="235"/>
      <c r="H9" s="15"/>
      <c r="I9" s="78" t="str">
        <f>Assumptions!$N$31</f>
        <v>D&amp;C Cost Per Well ($ in MMs):</v>
      </c>
      <c r="J9" s="15"/>
      <c r="K9" s="15"/>
      <c r="L9" s="15"/>
      <c r="M9" s="246">
        <f ca="1">IFERROR(INDEX(Regional_Input_Range,MATCH($I9,Regional_Input_Var_Column,0),MATCH(MID(CELL("filename",$A$1),FIND("]",CELL("filename",$A$1))+1,255),Regional_Input_Region_Row,0)),"N/A")</f>
        <v>4.0999999999999996</v>
      </c>
      <c r="N9" s="15"/>
      <c r="O9" s="482"/>
      <c r="P9" s="15"/>
      <c r="Q9" s="15"/>
      <c r="R9" s="15"/>
      <c r="S9" s="15"/>
      <c r="T9" s="15"/>
      <c r="U9" s="15"/>
      <c r="V9" s="238"/>
      <c r="W9" s="238"/>
      <c r="X9" s="191"/>
      <c r="Y9" s="34"/>
      <c r="Z9" s="233"/>
      <c r="AB9" s="2"/>
      <c r="AC9" s="2"/>
      <c r="AD9" s="2"/>
      <c r="AE9" s="2"/>
      <c r="AF9" s="2"/>
      <c r="AG9" s="2"/>
      <c r="AH9" s="2"/>
      <c r="AI9" s="2"/>
      <c r="AJ9" s="2"/>
      <c r="AK9" s="2"/>
      <c r="AL9" s="2"/>
      <c r="AN9" s="232"/>
      <c r="AO9" s="243" t="str">
        <f>Assumptions!$N$46</f>
        <v>PUD</v>
      </c>
      <c r="AP9" s="15"/>
      <c r="AQ9" s="244">
        <f ca="1">IFERROR(INDEX(Reserve_Credit_Range,MATCH($AO9,Reserve_Credit_Categories_Col,0),MATCH(MID(CELL("filename",$A$1),FIND("]",CELL("filename",$A$1))+1,255),Reserve_Credit_Regions_Row,0)),"N/A")</f>
        <v>1</v>
      </c>
      <c r="AR9" s="322">
        <f ca="1">$M$5</f>
        <v>0.57999999999999996</v>
      </c>
      <c r="AT9" s="247">
        <f ca="1">+AU9/AR9</f>
        <v>395.60253637434141</v>
      </c>
      <c r="AU9" s="324">
        <f ca="1">IFERROR(INDEX(Wells_Input_Range,MATCH(MID(CELL("filename",$A$1),FIND("]",CELL("filename",$A$1))+1,255),Wells_Input_Region_Column,0),MATCH($AO9,Wells_Input_Reserve_Row,0)),"N/A")</f>
        <v>229.44947109711799</v>
      </c>
      <c r="AV9" s="34">
        <f ca="1">AT9*$M$7*(1-$M$6)</f>
        <v>1698142.7964071778</v>
      </c>
      <c r="AW9" s="34">
        <f t="shared" ref="AW9:AW11" ca="1" si="2">AU9*$M$7*(1-$M$6)</f>
        <v>984922.82191616297</v>
      </c>
      <c r="AX9" s="34">
        <f ca="1">+AV9*$AQ9</f>
        <v>1698142.7964071778</v>
      </c>
      <c r="AY9" s="34">
        <f t="shared" ref="AY9:AY11" ca="1" si="3">+AW9*$AQ9</f>
        <v>984922.82191616297</v>
      </c>
      <c r="AZ9" s="15"/>
      <c r="BA9" s="15"/>
      <c r="BB9" s="15"/>
      <c r="BC9" s="15"/>
      <c r="BD9" s="15"/>
      <c r="BE9" s="15"/>
      <c r="BF9" s="15"/>
      <c r="BG9" s="15"/>
      <c r="BH9" s="15"/>
      <c r="BI9" s="15"/>
      <c r="BJ9" s="15"/>
      <c r="BK9" s="15"/>
      <c r="BL9" s="233"/>
    </row>
    <row r="10" spans="2:64" x14ac:dyDescent="0.3">
      <c r="B10" s="232"/>
      <c r="C10" s="15"/>
      <c r="D10" s="78"/>
      <c r="E10" s="15"/>
      <c r="F10" s="15"/>
      <c r="G10" s="15"/>
      <c r="H10" s="15"/>
      <c r="I10" s="33" t="s">
        <v>260</v>
      </c>
      <c r="M10" s="248" t="s">
        <v>213</v>
      </c>
      <c r="N10" s="15"/>
      <c r="O10" s="15"/>
      <c r="P10" s="15"/>
      <c r="Q10" s="15"/>
      <c r="R10" s="15"/>
      <c r="S10" s="15"/>
      <c r="T10" s="249"/>
      <c r="U10" s="15"/>
      <c r="V10" s="250"/>
      <c r="W10" s="250"/>
      <c r="X10" s="250"/>
      <c r="Y10" s="61"/>
      <c r="Z10" s="233"/>
      <c r="AB10" s="2"/>
      <c r="AC10" s="2"/>
      <c r="AD10" s="2"/>
      <c r="AE10" s="2"/>
      <c r="AF10" s="2"/>
      <c r="AG10" s="2"/>
      <c r="AH10" s="2"/>
      <c r="AI10" s="2"/>
      <c r="AJ10" s="2"/>
      <c r="AK10" s="2"/>
      <c r="AL10" s="2"/>
      <c r="AN10" s="232"/>
      <c r="AO10" s="243" t="str">
        <f>Assumptions!$N$47</f>
        <v>PROB</v>
      </c>
      <c r="AP10" s="15"/>
      <c r="AQ10" s="244">
        <f ca="1">IFERROR(INDEX(Reserve_Credit_Range,MATCH($AO10,Reserve_Credit_Categories_Col,0),MATCH(MID(CELL("filename",$A$1),FIND("]",CELL("filename",$A$1))+1,255),Reserve_Credit_Regions_Row,0)),"N/A")</f>
        <v>0.5</v>
      </c>
      <c r="AR10" s="322">
        <f t="shared" ref="AR10:AR11" ca="1" si="4">$M$5</f>
        <v>0.57999999999999996</v>
      </c>
      <c r="AT10" s="247">
        <f t="shared" ref="AT10:AT11" ca="1" si="5">+AU10/AR10</f>
        <v>2664.3927326844864</v>
      </c>
      <c r="AU10" s="324">
        <f ca="1">IFERROR(INDEX(Wells_Input_Range,MATCH(MID(CELL("filename",$A$1),FIND("]",CELL("filename",$A$1))+1,255),Wells_Input_Region_Column,0),MATCH($AO10,Wells_Input_Reserve_Row,0)),"N/A")</f>
        <v>1545.347784957002</v>
      </c>
      <c r="AV10" s="34">
        <f t="shared" ref="AV10:AV11" ca="1" si="6">AT10*$M$7*(1-$M$6)</f>
        <v>11437033.157761255</v>
      </c>
      <c r="AW10" s="34">
        <f t="shared" ca="1" si="2"/>
        <v>6633479.2315015271</v>
      </c>
      <c r="AX10" s="34">
        <f t="shared" ref="AX10:AX11" ca="1" si="7">+AV10*$AQ10</f>
        <v>5718516.5788806276</v>
      </c>
      <c r="AY10" s="34">
        <f t="shared" ca="1" si="3"/>
        <v>3316739.6157507636</v>
      </c>
      <c r="AZ10" s="15"/>
      <c r="BA10" s="15"/>
      <c r="BB10" s="15"/>
      <c r="BC10" s="15"/>
      <c r="BD10" s="15"/>
      <c r="BE10" s="15"/>
      <c r="BF10" s="15"/>
      <c r="BG10" s="15"/>
      <c r="BH10" s="15"/>
      <c r="BI10" s="15"/>
      <c r="BJ10" s="15"/>
      <c r="BK10" s="15"/>
      <c r="BL10" s="233"/>
    </row>
    <row r="11" spans="2:64" x14ac:dyDescent="0.3">
      <c r="B11" s="232"/>
      <c r="D11" s="33"/>
      <c r="H11" s="15"/>
      <c r="I11" s="33" t="s">
        <v>261</v>
      </c>
      <c r="M11" s="248" t="s">
        <v>213</v>
      </c>
      <c r="N11" s="15"/>
      <c r="O11" s="35"/>
      <c r="P11" s="15"/>
      <c r="Q11" s="15"/>
      <c r="R11" s="15"/>
      <c r="S11" s="15"/>
      <c r="T11" s="325"/>
      <c r="U11" s="15"/>
      <c r="V11" s="250"/>
      <c r="W11" s="250"/>
      <c r="X11" s="250"/>
      <c r="Y11" s="250"/>
      <c r="Z11" s="233"/>
      <c r="AB11" s="2"/>
      <c r="AC11" s="2"/>
      <c r="AD11" s="2"/>
      <c r="AE11" s="2"/>
      <c r="AF11" s="2"/>
      <c r="AG11" s="2"/>
      <c r="AH11" s="2"/>
      <c r="AI11" s="2"/>
      <c r="AJ11" s="2"/>
      <c r="AK11" s="2"/>
      <c r="AL11" s="2"/>
      <c r="AN11" s="232"/>
      <c r="AO11" s="243" t="str">
        <f>Assumptions!$N$48</f>
        <v>POSS</v>
      </c>
      <c r="AP11" s="15"/>
      <c r="AQ11" s="244">
        <f ca="1">IFERROR(INDEX(Reserve_Credit_Range,MATCH($AO11,Reserve_Credit_Categories_Col,0),MATCH(MID(CELL("filename",$A$1),FIND("]",CELL("filename",$A$1))+1,255),Reserve_Credit_Regions_Row,0)),"N/A")</f>
        <v>0.1</v>
      </c>
      <c r="AR11" s="322">
        <f t="shared" ca="1" si="4"/>
        <v>0.57999999999999996</v>
      </c>
      <c r="AT11" s="247">
        <f t="shared" ca="1" si="5"/>
        <v>1940.0047309411725</v>
      </c>
      <c r="AU11" s="324">
        <f ca="1">IFERROR(INDEX(Wells_Input_Range,MATCH(MID(CELL("filename",$A$1),FIND("]",CELL("filename",$A$1))+1,255),Wells_Input_Region_Column,0),MATCH($AO11,Wells_Input_Reserve_Row,0)),"N/A")</f>
        <v>1125.20274394588</v>
      </c>
      <c r="AV11" s="34">
        <f t="shared" ca="1" si="6"/>
        <v>8327563.0359615423</v>
      </c>
      <c r="AW11" s="34">
        <f t="shared" ca="1" si="2"/>
        <v>4829986.5608576946</v>
      </c>
      <c r="AX11" s="34">
        <f t="shared" ca="1" si="7"/>
        <v>832756.30359615432</v>
      </c>
      <c r="AY11" s="34">
        <f t="shared" ca="1" si="3"/>
        <v>482998.65608576947</v>
      </c>
      <c r="AZ11" s="15"/>
      <c r="BA11" s="15"/>
      <c r="BB11" s="15"/>
      <c r="BC11" s="15"/>
      <c r="BD11" s="15"/>
      <c r="BE11" s="15"/>
      <c r="BF11" s="15"/>
      <c r="BG11" s="15"/>
      <c r="BH11" s="15"/>
      <c r="BI11" s="15"/>
      <c r="BJ11" s="15"/>
      <c r="BK11" s="15"/>
      <c r="BL11" s="233"/>
    </row>
    <row r="12" spans="2:64" x14ac:dyDescent="0.3">
      <c r="B12" s="232"/>
      <c r="D12" s="33"/>
      <c r="H12" s="15"/>
      <c r="I12" s="78" t="str">
        <f>Assumptions!$N$32</f>
        <v>% Gas:</v>
      </c>
      <c r="M12" s="234">
        <f ca="1">IFERROR(INDEX(Regional_Input_Range,MATCH($I12,Regional_Input_Var_Column,0),MATCH(MID(CELL("filename",$A$1),FIND("]",CELL("filename",$A$1))+1,255),Regional_Input_Region_Row,0)),"N/A")</f>
        <v>0.9618282270215972</v>
      </c>
      <c r="N12" s="15"/>
      <c r="O12" s="16"/>
      <c r="P12" s="15"/>
      <c r="Q12" s="15"/>
      <c r="R12" s="15"/>
      <c r="S12" s="15"/>
      <c r="T12" s="18"/>
      <c r="U12" s="15"/>
      <c r="V12" s="191"/>
      <c r="W12" s="191"/>
      <c r="X12" s="191"/>
      <c r="Y12" s="34"/>
      <c r="Z12" s="233"/>
      <c r="AB12" s="2"/>
      <c r="AC12" s="2"/>
      <c r="AD12" s="2"/>
      <c r="AE12" s="2"/>
      <c r="AF12" s="2"/>
      <c r="AG12" s="2"/>
      <c r="AH12" s="2"/>
      <c r="AI12" s="2"/>
      <c r="AJ12" s="2"/>
      <c r="AK12" s="2"/>
      <c r="AL12" s="2"/>
      <c r="AN12" s="232"/>
      <c r="AO12" s="96" t="s">
        <v>26</v>
      </c>
      <c r="AP12" s="9"/>
      <c r="AQ12" s="9"/>
      <c r="AR12" s="9"/>
      <c r="AS12" s="9"/>
      <c r="AT12" s="207">
        <f ca="1">SUM(AT7:AT11)</f>
        <v>5000</v>
      </c>
      <c r="AU12" s="207">
        <f ca="1">SUM(AU7:AU11)</f>
        <v>2900</v>
      </c>
      <c r="AV12" s="8">
        <f t="shared" ref="AV12:AY12" ca="1" si="8">SUM(AV7:AV11)</f>
        <v>21462738.990129977</v>
      </c>
      <c r="AW12" s="8">
        <f t="shared" ca="1" si="8"/>
        <v>12448388.614275385</v>
      </c>
      <c r="AX12" s="8">
        <f t="shared" ca="1" si="8"/>
        <v>8249415.6788839605</v>
      </c>
      <c r="AY12" s="8">
        <f t="shared" ca="1" si="8"/>
        <v>4784661.0937526962</v>
      </c>
      <c r="AZ12" s="15"/>
      <c r="BA12" s="15"/>
      <c r="BB12" s="15"/>
      <c r="BC12" s="15"/>
      <c r="BD12" s="15"/>
      <c r="BE12" s="15"/>
      <c r="BF12" s="15"/>
      <c r="BG12" s="15"/>
      <c r="BH12" s="15"/>
      <c r="BI12" s="15"/>
      <c r="BJ12" s="15"/>
      <c r="BK12" s="15"/>
      <c r="BL12" s="233"/>
    </row>
    <row r="13" spans="2:64" x14ac:dyDescent="0.3">
      <c r="B13" s="232"/>
      <c r="H13" s="15"/>
      <c r="I13" s="78" t="str">
        <f>Assumptions!$N$33</f>
        <v>% NGLs:</v>
      </c>
      <c r="M13" s="234">
        <f ca="1">IFERROR(INDEX(Regional_Input_Range,MATCH($I13,Regional_Input_Var_Column,0),MATCH(MID(CELL("filename",$A$1),FIND("]",CELL("filename",$A$1))+1,255),Regional_Input_Region_Row,0)),"N/A")</f>
        <v>0</v>
      </c>
      <c r="N13" s="15"/>
      <c r="P13" s="20"/>
      <c r="S13" s="15"/>
      <c r="T13" s="326"/>
      <c r="U13" s="15"/>
      <c r="V13" s="15"/>
      <c r="W13" s="15"/>
      <c r="X13" s="15"/>
      <c r="Y13" s="15"/>
      <c r="Z13" s="233"/>
      <c r="AB13" s="2"/>
      <c r="AC13" s="2"/>
      <c r="AD13" s="2"/>
      <c r="AE13" s="2"/>
      <c r="AF13" s="2"/>
      <c r="AG13" s="2"/>
      <c r="AH13" s="2"/>
      <c r="AI13" s="2"/>
      <c r="AJ13" s="2"/>
      <c r="AK13" s="2"/>
      <c r="AL13" s="2"/>
      <c r="AN13" s="232"/>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233"/>
    </row>
    <row r="14" spans="2:64" x14ac:dyDescent="0.3">
      <c r="B14" s="232"/>
      <c r="D14" s="325"/>
      <c r="H14" s="15"/>
      <c r="I14" s="78" t="str">
        <f>Assumptions!$N$34</f>
        <v>% Oil:</v>
      </c>
      <c r="M14" s="234">
        <f ca="1">IFERROR(INDEX(Regional_Input_Range,MATCH($I14,Regional_Input_Var_Column,0),MATCH(MID(CELL("filename",$A$1),FIND("]",CELL("filename",$A$1))+1,255),Regional_Input_Region_Row,0)),"N/A")</f>
        <v>3.8171772978402796E-2</v>
      </c>
      <c r="N14" s="15"/>
      <c r="S14" s="15"/>
      <c r="T14" s="15"/>
      <c r="U14" s="15"/>
      <c r="V14" s="15"/>
      <c r="W14" s="15"/>
      <c r="X14" s="15"/>
      <c r="Y14" s="15"/>
      <c r="Z14" s="233"/>
      <c r="AB14" s="2"/>
      <c r="AC14" s="2"/>
      <c r="AD14" s="2"/>
      <c r="AE14" s="2"/>
      <c r="AF14" s="2"/>
      <c r="AG14" s="2"/>
      <c r="AH14" s="2"/>
      <c r="AI14" s="2"/>
      <c r="AJ14" s="2"/>
      <c r="AK14" s="2"/>
      <c r="AL14" s="2"/>
      <c r="AN14" s="232"/>
      <c r="AO14" s="18"/>
      <c r="AP14" s="18"/>
      <c r="AQ14" s="18"/>
      <c r="AR14" s="18"/>
      <c r="AS14" s="18"/>
      <c r="AT14" s="18"/>
      <c r="AU14" s="18"/>
      <c r="AV14" s="18"/>
      <c r="AW14" s="18"/>
      <c r="AX14" s="18"/>
      <c r="AY14" s="184"/>
      <c r="AZ14" s="18"/>
      <c r="BA14" s="18"/>
      <c r="BB14" s="18"/>
      <c r="BC14" s="18"/>
      <c r="BD14" s="18"/>
      <c r="BE14" s="18"/>
      <c r="BF14" s="15"/>
      <c r="BG14" s="15"/>
      <c r="BH14" s="15"/>
      <c r="BI14" s="15"/>
      <c r="BJ14" s="15"/>
      <c r="BK14" s="15"/>
      <c r="BL14" s="233"/>
    </row>
    <row r="15" spans="2:64" x14ac:dyDescent="0.3">
      <c r="B15" s="232"/>
      <c r="D15" s="33"/>
      <c r="H15" s="15"/>
      <c r="N15" s="15"/>
      <c r="O15" s="15"/>
      <c r="P15" s="15"/>
      <c r="Q15" s="15"/>
      <c r="R15" s="15"/>
      <c r="S15" s="15"/>
      <c r="T15" s="16"/>
      <c r="U15" s="15"/>
      <c r="V15" s="15"/>
      <c r="W15" s="15"/>
      <c r="X15" s="15"/>
      <c r="Y15" s="15"/>
      <c r="Z15" s="233"/>
      <c r="AB15" s="2"/>
      <c r="AC15" s="2"/>
      <c r="AD15" s="2"/>
      <c r="AE15" s="2"/>
      <c r="AF15" s="2"/>
      <c r="AG15" s="2"/>
      <c r="AH15" s="2"/>
      <c r="AI15" s="2"/>
      <c r="AJ15" s="2"/>
      <c r="AK15" s="2"/>
      <c r="AL15" s="2"/>
      <c r="AN15" s="232"/>
      <c r="AO15" s="18"/>
      <c r="AP15" s="18"/>
      <c r="AQ15" s="18"/>
      <c r="AR15" s="18"/>
      <c r="AS15" s="18"/>
      <c r="AT15" s="18"/>
      <c r="AU15" s="18"/>
      <c r="AV15" s="18"/>
      <c r="AW15" s="18"/>
      <c r="AX15" s="18"/>
      <c r="AY15" s="18"/>
      <c r="AZ15" s="18"/>
      <c r="BA15" s="18"/>
      <c r="BB15" s="18"/>
      <c r="BC15" s="18"/>
      <c r="BD15" s="18"/>
      <c r="BE15" s="18"/>
      <c r="BF15" s="15"/>
      <c r="BG15" s="15"/>
      <c r="BH15" s="15"/>
      <c r="BI15" s="15"/>
      <c r="BJ15" s="15"/>
      <c r="BK15" s="15"/>
      <c r="BL15" s="233"/>
    </row>
    <row r="16" spans="2:64" x14ac:dyDescent="0.3">
      <c r="B16" s="232"/>
      <c r="D16" s="33"/>
      <c r="H16" s="15"/>
      <c r="I16" s="251" t="s">
        <v>266</v>
      </c>
      <c r="J16" s="4"/>
      <c r="K16" s="4"/>
      <c r="L16" s="4"/>
      <c r="M16" s="4"/>
      <c r="N16" s="15"/>
      <c r="O16" s="15"/>
      <c r="P16" s="15"/>
      <c r="Q16" s="15"/>
      <c r="R16" s="15"/>
      <c r="S16" s="15"/>
      <c r="T16" s="33"/>
      <c r="U16" s="15"/>
      <c r="V16" s="15"/>
      <c r="W16" s="15"/>
      <c r="X16" s="15"/>
      <c r="Y16" s="35"/>
      <c r="Z16" s="233"/>
      <c r="AB16" s="2"/>
      <c r="AC16" s="2"/>
      <c r="AD16" s="2"/>
      <c r="AE16" s="2"/>
      <c r="AF16" s="2"/>
      <c r="AG16" s="2"/>
      <c r="AH16" s="2"/>
      <c r="AI16" s="2"/>
      <c r="AJ16" s="2"/>
      <c r="AK16" s="2"/>
      <c r="AL16" s="2"/>
      <c r="AN16" s="232"/>
      <c r="AO16" s="18"/>
      <c r="AP16" s="18"/>
      <c r="AQ16" s="18"/>
      <c r="AR16" s="18"/>
      <c r="AS16" s="18"/>
      <c r="AT16" s="18"/>
      <c r="AU16" s="18"/>
      <c r="AV16" s="18"/>
      <c r="AW16" s="18"/>
      <c r="AX16" s="18"/>
      <c r="AY16" s="18"/>
      <c r="AZ16" s="18"/>
      <c r="BA16" s="18"/>
      <c r="BB16" s="18"/>
      <c r="BC16" s="18"/>
      <c r="BD16" s="18"/>
      <c r="BE16" s="18"/>
      <c r="BF16" s="15"/>
      <c r="BG16" s="15"/>
      <c r="BH16" s="15"/>
      <c r="BI16" s="15"/>
      <c r="BJ16" s="15"/>
      <c r="BK16" s="15"/>
      <c r="BL16" s="233"/>
    </row>
    <row r="17" spans="2:70" x14ac:dyDescent="0.3">
      <c r="B17" s="232"/>
      <c r="D17" s="33"/>
      <c r="H17" s="15"/>
      <c r="I17" s="33" t="str">
        <f>Assumptions!$N$8</f>
        <v>LOE per Mcfe:</v>
      </c>
      <c r="J17" s="15"/>
      <c r="K17" s="15"/>
      <c r="L17" s="15"/>
      <c r="M17" s="327">
        <f>LOE_Per_Mcfe</f>
        <v>0.37</v>
      </c>
      <c r="N17" s="15"/>
      <c r="O17" s="15"/>
      <c r="P17" s="15"/>
      <c r="Q17" s="15"/>
      <c r="R17" s="15"/>
      <c r="S17" s="15"/>
      <c r="T17" s="33"/>
      <c r="U17" s="15"/>
      <c r="V17" s="15"/>
      <c r="W17" s="15"/>
      <c r="X17" s="15"/>
      <c r="Y17" s="35"/>
      <c r="Z17" s="233"/>
      <c r="AB17" s="2"/>
      <c r="AC17" s="223"/>
      <c r="AD17" s="2"/>
      <c r="AE17" s="2"/>
      <c r="AF17" s="2"/>
      <c r="AG17" s="2"/>
      <c r="AH17" s="2"/>
      <c r="AI17" s="2"/>
      <c r="AJ17" s="2"/>
      <c r="AK17" s="2"/>
      <c r="AL17" s="2"/>
      <c r="AN17" s="232"/>
      <c r="AO17" s="355"/>
      <c r="AP17" s="18"/>
      <c r="AQ17" s="18"/>
      <c r="AR17" s="18"/>
      <c r="AS17" s="18"/>
      <c r="AT17" s="107"/>
      <c r="AU17" s="18"/>
      <c r="AV17" s="18"/>
      <c r="AW17" s="18"/>
      <c r="AX17" s="18"/>
      <c r="AY17" s="18"/>
      <c r="AZ17" s="18"/>
      <c r="BA17" s="18"/>
      <c r="BB17" s="18"/>
      <c r="BC17" s="18"/>
      <c r="BD17" s="18"/>
      <c r="BE17" s="18"/>
      <c r="BF17" s="15"/>
      <c r="BG17" s="15"/>
      <c r="BH17" s="15"/>
      <c r="BI17" s="15"/>
      <c r="BJ17" s="15"/>
      <c r="BK17" s="15"/>
      <c r="BL17" s="233"/>
    </row>
    <row r="18" spans="2:70" x14ac:dyDescent="0.3">
      <c r="B18" s="232"/>
      <c r="H18" s="15"/>
      <c r="I18" s="33" t="str">
        <f>Assumptions!$N$9</f>
        <v>Production Taxes per Mcfe:</v>
      </c>
      <c r="J18" s="15"/>
      <c r="K18" s="15"/>
      <c r="L18" s="15"/>
      <c r="M18" s="255">
        <f>Prod_Taxes_Per_Mcfe</f>
        <v>0.31</v>
      </c>
      <c r="N18" s="15"/>
      <c r="O18" s="15"/>
      <c r="P18" s="15"/>
      <c r="Q18" s="15"/>
      <c r="R18" s="15"/>
      <c r="S18" s="15"/>
      <c r="T18" s="33"/>
      <c r="U18" s="15"/>
      <c r="V18" s="15"/>
      <c r="W18" s="15"/>
      <c r="X18" s="15"/>
      <c r="Y18" s="35"/>
      <c r="Z18" s="233"/>
      <c r="AB18" s="2"/>
      <c r="AC18" s="2"/>
      <c r="AD18" s="2"/>
      <c r="AE18" s="2"/>
      <c r="AF18" s="2"/>
      <c r="AG18" s="2"/>
      <c r="AH18" s="2"/>
      <c r="AI18" s="2"/>
      <c r="AJ18" s="2"/>
      <c r="AK18" s="2"/>
      <c r="AL18" s="2"/>
      <c r="AN18" s="232"/>
      <c r="AO18" s="18"/>
      <c r="AP18" s="18"/>
      <c r="AQ18" s="18"/>
      <c r="AR18" s="18"/>
      <c r="AS18" s="18"/>
      <c r="AT18" s="18"/>
      <c r="AU18" s="18"/>
      <c r="AV18" s="18"/>
      <c r="AW18" s="18"/>
      <c r="AX18" s="18"/>
      <c r="AY18" s="18"/>
      <c r="AZ18" s="18"/>
      <c r="BA18" s="18"/>
      <c r="BB18" s="18"/>
      <c r="BC18" s="18"/>
      <c r="BD18" s="18"/>
      <c r="BE18" s="18"/>
      <c r="BF18" s="15"/>
      <c r="BG18" s="15"/>
      <c r="BH18" s="15"/>
      <c r="BI18" s="15"/>
      <c r="BJ18" s="15"/>
      <c r="BK18" s="15"/>
      <c r="BL18" s="233"/>
    </row>
    <row r="19" spans="2:70" x14ac:dyDescent="0.3">
      <c r="B19" s="232"/>
      <c r="H19" s="15"/>
      <c r="I19" s="33" t="str">
        <f>Assumptions!$N$10</f>
        <v>Other Operating Expenses per Mcfe:</v>
      </c>
      <c r="J19" s="15"/>
      <c r="K19" s="15"/>
      <c r="L19" s="15"/>
      <c r="M19" s="255">
        <f>Other_OpEx_Per_Mcfe</f>
        <v>0.57999999999999996</v>
      </c>
      <c r="N19" s="15"/>
      <c r="O19" s="15"/>
      <c r="P19" s="15"/>
      <c r="Q19" s="15"/>
      <c r="R19" s="15"/>
      <c r="S19" s="15"/>
      <c r="T19" s="33"/>
      <c r="U19" s="15"/>
      <c r="V19" s="15"/>
      <c r="W19" s="15"/>
      <c r="X19" s="15"/>
      <c r="Y19" s="321"/>
      <c r="Z19" s="233"/>
      <c r="AB19" s="2"/>
      <c r="AC19" s="2"/>
      <c r="AD19" s="2"/>
      <c r="AE19" s="2"/>
      <c r="AF19" s="2"/>
      <c r="AG19" s="2"/>
      <c r="AH19" s="2"/>
      <c r="AI19" s="2"/>
      <c r="AJ19" s="2"/>
      <c r="AK19" s="2"/>
      <c r="AL19" s="2"/>
      <c r="AN19" s="232"/>
      <c r="AO19" s="18"/>
      <c r="AP19" s="18"/>
      <c r="AQ19" s="18"/>
      <c r="AR19" s="18"/>
      <c r="AS19" s="18"/>
      <c r="AT19" s="18"/>
      <c r="AU19" s="18"/>
      <c r="AV19" s="18"/>
      <c r="AW19" s="18"/>
      <c r="AX19" s="18"/>
      <c r="AY19" s="18"/>
      <c r="AZ19" s="18"/>
      <c r="BA19" s="18"/>
      <c r="BB19" s="18"/>
      <c r="BC19" s="18"/>
      <c r="BD19" s="18"/>
      <c r="BE19" s="18"/>
      <c r="BF19" s="15"/>
      <c r="BG19" s="15"/>
      <c r="BH19" s="15"/>
      <c r="BI19" s="15"/>
      <c r="BJ19" s="15"/>
      <c r="BK19" s="15"/>
      <c r="BL19" s="233"/>
    </row>
    <row r="20" spans="2:70" x14ac:dyDescent="0.3">
      <c r="B20" s="232"/>
      <c r="C20" s="15"/>
      <c r="D20" s="15"/>
      <c r="E20" s="15"/>
      <c r="F20" s="15"/>
      <c r="G20" s="15"/>
      <c r="H20" s="15"/>
      <c r="N20" s="15"/>
      <c r="O20" s="15"/>
      <c r="P20" s="15"/>
      <c r="Q20" s="15"/>
      <c r="R20" s="15"/>
      <c r="S20" s="15"/>
      <c r="T20" s="33"/>
      <c r="U20" s="15"/>
      <c r="V20" s="15"/>
      <c r="W20" s="15"/>
      <c r="X20" s="15"/>
      <c r="Y20" s="321"/>
      <c r="Z20" s="233"/>
      <c r="AB20" s="2"/>
      <c r="AC20" s="2"/>
      <c r="AD20" s="2"/>
      <c r="AE20" s="354"/>
      <c r="AF20" s="2"/>
      <c r="AG20" s="2"/>
      <c r="AH20" s="2"/>
      <c r="AI20" s="2"/>
      <c r="AJ20" s="2"/>
      <c r="AK20" s="2"/>
      <c r="AL20" s="2"/>
      <c r="AN20" s="232"/>
      <c r="AO20" s="18"/>
      <c r="AP20" s="18"/>
      <c r="AQ20" s="18"/>
      <c r="AR20" s="18"/>
      <c r="AS20" s="18"/>
      <c r="AT20" s="18"/>
      <c r="AU20" s="18"/>
      <c r="AV20" s="18"/>
      <c r="AW20" s="18"/>
      <c r="AX20" s="18"/>
      <c r="AY20" s="18"/>
      <c r="AZ20" s="18"/>
      <c r="BA20" s="18"/>
      <c r="BB20" s="18"/>
      <c r="BC20" s="18"/>
      <c r="BD20" s="18"/>
      <c r="BE20" s="18"/>
      <c r="BF20" s="15"/>
      <c r="BG20" s="15"/>
      <c r="BH20" s="15"/>
      <c r="BI20" s="15"/>
      <c r="BJ20" s="15"/>
      <c r="BK20" s="15"/>
      <c r="BL20" s="233"/>
    </row>
    <row r="21" spans="2:70" x14ac:dyDescent="0.3">
      <c r="B21" s="256"/>
      <c r="C21" s="4"/>
      <c r="D21" s="4"/>
      <c r="E21" s="4"/>
      <c r="F21" s="4"/>
      <c r="G21" s="4"/>
      <c r="H21" s="4"/>
      <c r="I21" s="4"/>
      <c r="J21" s="4"/>
      <c r="K21" s="4"/>
      <c r="L21" s="4"/>
      <c r="M21" s="4"/>
      <c r="N21" s="4"/>
      <c r="O21" s="4"/>
      <c r="P21" s="4"/>
      <c r="Q21" s="4"/>
      <c r="R21" s="4"/>
      <c r="S21" s="4"/>
      <c r="T21" s="36"/>
      <c r="U21" s="4"/>
      <c r="V21" s="4"/>
      <c r="W21" s="4"/>
      <c r="X21" s="4"/>
      <c r="Y21" s="257"/>
      <c r="Z21" s="258"/>
      <c r="AB21" s="2"/>
      <c r="AC21" s="2"/>
      <c r="AD21" s="2"/>
      <c r="AE21" s="2"/>
      <c r="AF21" s="2"/>
      <c r="AG21" s="2"/>
      <c r="AH21" s="2"/>
      <c r="AI21" s="2"/>
      <c r="AJ21" s="2"/>
      <c r="AK21" s="2"/>
      <c r="AL21" s="2"/>
      <c r="AN21" s="256"/>
      <c r="AO21" s="4"/>
      <c r="AP21" s="4"/>
      <c r="AQ21" s="4"/>
      <c r="AR21" s="4"/>
      <c r="AS21" s="4"/>
      <c r="AT21" s="4"/>
      <c r="AU21" s="4"/>
      <c r="AV21" s="4"/>
      <c r="AW21" s="4"/>
      <c r="AX21" s="4"/>
      <c r="AY21" s="4"/>
      <c r="AZ21" s="4"/>
      <c r="BA21" s="4"/>
      <c r="BB21" s="4"/>
      <c r="BC21" s="4"/>
      <c r="BD21" s="4"/>
      <c r="BE21" s="4"/>
      <c r="BF21" s="4"/>
      <c r="BG21" s="4"/>
      <c r="BH21" s="4"/>
      <c r="BI21" s="4"/>
      <c r="BJ21" s="4"/>
      <c r="BK21" s="4"/>
      <c r="BL21" s="258"/>
    </row>
    <row r="23" spans="2:70" x14ac:dyDescent="0.3">
      <c r="B23" s="225" t="s">
        <v>273</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226"/>
      <c r="AN23" s="225" t="s">
        <v>332</v>
      </c>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226"/>
    </row>
    <row r="24" spans="2:70" x14ac:dyDescent="0.3">
      <c r="B24" s="259" t="s">
        <v>27</v>
      </c>
      <c r="C24" s="228"/>
      <c r="D24" s="54"/>
      <c r="E24" s="54"/>
      <c r="F24" s="54"/>
      <c r="G24" s="54"/>
      <c r="H24" s="54"/>
      <c r="I24" s="54"/>
      <c r="J24" s="54"/>
      <c r="K24" s="54"/>
      <c r="L24" s="54"/>
      <c r="M24" s="54"/>
      <c r="N24" s="54"/>
      <c r="O24" s="54"/>
      <c r="P24" s="54"/>
      <c r="Q24" s="228" t="str">
        <f>B24</f>
        <v>PDP</v>
      </c>
      <c r="R24" s="54"/>
      <c r="S24" s="54"/>
      <c r="T24" s="54"/>
      <c r="U24" s="54"/>
      <c r="V24" s="54"/>
      <c r="W24" s="54"/>
      <c r="X24" s="54"/>
      <c r="Y24" s="54"/>
      <c r="Z24" s="54"/>
      <c r="AA24" s="54"/>
      <c r="AB24" s="54"/>
      <c r="AC24" s="54"/>
      <c r="AD24" s="228" t="str">
        <f>Q24</f>
        <v>PDP</v>
      </c>
      <c r="AE24" s="54"/>
      <c r="AF24" s="54"/>
      <c r="AG24" s="54"/>
      <c r="AH24" s="54"/>
      <c r="AI24" s="54"/>
      <c r="AJ24" s="54"/>
      <c r="AK24" s="54"/>
      <c r="AL24" s="229"/>
      <c r="AN24" s="328"/>
      <c r="AO24" s="286"/>
      <c r="AP24" s="287"/>
      <c r="AQ24" s="287"/>
      <c r="AR24" s="287"/>
      <c r="AS24" s="287"/>
      <c r="AT24" s="287"/>
      <c r="AU24" s="286"/>
      <c r="AV24" s="287"/>
      <c r="AW24" s="287"/>
      <c r="AX24" s="287"/>
      <c r="AY24" s="287"/>
      <c r="AZ24" s="287"/>
      <c r="BA24" s="286"/>
      <c r="BB24" s="287"/>
      <c r="BC24" s="287"/>
      <c r="BD24" s="287"/>
      <c r="BE24" s="287"/>
      <c r="BF24" s="286"/>
      <c r="BG24" s="287"/>
      <c r="BH24" s="287"/>
      <c r="BI24" s="287"/>
      <c r="BJ24" s="287"/>
      <c r="BK24" s="287"/>
      <c r="BL24" s="288"/>
    </row>
    <row r="25" spans="2:70" x14ac:dyDescent="0.3">
      <c r="B25" s="232"/>
      <c r="C25" s="292" t="s">
        <v>305</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233"/>
      <c r="AN25" s="232"/>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233"/>
    </row>
    <row r="26" spans="2:70" x14ac:dyDescent="0.3">
      <c r="B26" s="232"/>
      <c r="C26" s="236"/>
      <c r="D26" s="237"/>
      <c r="E26" s="237"/>
      <c r="F26" s="237"/>
      <c r="G26" s="237"/>
      <c r="H26" s="261"/>
      <c r="I26" s="236"/>
      <c r="J26" s="237"/>
      <c r="K26" s="237"/>
      <c r="L26" s="15"/>
      <c r="M26" s="236"/>
      <c r="N26" s="237"/>
      <c r="O26" s="237"/>
      <c r="P26" s="15"/>
      <c r="Q26" s="236"/>
      <c r="R26" s="237"/>
      <c r="S26" s="237"/>
      <c r="T26" s="237"/>
      <c r="U26" s="15"/>
      <c r="V26" s="236"/>
      <c r="W26" s="237"/>
      <c r="X26" s="237"/>
      <c r="Y26" s="237"/>
      <c r="Z26" s="237"/>
      <c r="AA26" s="237"/>
      <c r="AB26" s="15"/>
      <c r="AC26" s="15"/>
      <c r="AD26" s="236"/>
      <c r="AE26" s="237"/>
      <c r="AF26" s="237"/>
      <c r="AG26" s="15"/>
      <c r="AH26" s="236"/>
      <c r="AI26" s="237"/>
      <c r="AJ26" s="237"/>
      <c r="AK26" s="237"/>
      <c r="AL26" s="233"/>
      <c r="AN26" s="232"/>
      <c r="AO26" s="37" t="s">
        <v>333</v>
      </c>
      <c r="AP26" s="37"/>
      <c r="AQ26" s="329"/>
      <c r="AR26" s="37" t="s">
        <v>334</v>
      </c>
      <c r="AS26" s="23"/>
      <c r="AT26" s="23"/>
      <c r="AU26" s="15"/>
      <c r="AV26" s="37" t="s">
        <v>335</v>
      </c>
      <c r="AW26" s="23"/>
      <c r="AX26" s="23"/>
      <c r="AY26" s="15"/>
      <c r="AZ26" s="37" t="s">
        <v>336</v>
      </c>
      <c r="BA26" s="23"/>
      <c r="BB26" s="23"/>
      <c r="BC26" s="15"/>
      <c r="BD26" s="18"/>
      <c r="BE26" s="18"/>
      <c r="BF26" s="18"/>
      <c r="BG26" s="18"/>
      <c r="BH26" s="18"/>
      <c r="BI26" s="18"/>
      <c r="BJ26" s="18"/>
      <c r="BK26" s="18"/>
      <c r="BL26" s="357"/>
      <c r="BM26" s="2"/>
      <c r="BN26" s="2"/>
      <c r="BO26" s="2"/>
      <c r="BP26" s="2"/>
      <c r="BQ26" s="2"/>
      <c r="BR26" s="2"/>
    </row>
    <row r="27" spans="2:70" x14ac:dyDescent="0.3">
      <c r="B27" s="232"/>
      <c r="C27" s="250"/>
      <c r="D27" s="250"/>
      <c r="E27" s="250"/>
      <c r="F27" s="250"/>
      <c r="G27" s="250"/>
      <c r="H27" s="261"/>
      <c r="I27" s="262"/>
      <c r="J27" s="262"/>
      <c r="K27" s="262"/>
      <c r="L27" s="15"/>
      <c r="M27" s="262"/>
      <c r="N27" s="262"/>
      <c r="O27" s="262"/>
      <c r="P27" s="15"/>
      <c r="Q27" s="262"/>
      <c r="R27" s="262"/>
      <c r="S27" s="262"/>
      <c r="T27" s="262"/>
      <c r="U27" s="15"/>
      <c r="V27" s="262"/>
      <c r="W27" s="262"/>
      <c r="X27" s="262"/>
      <c r="Y27" s="262"/>
      <c r="Z27" s="262"/>
      <c r="AA27" s="262"/>
      <c r="AB27" s="262"/>
      <c r="AC27" s="15"/>
      <c r="AD27" s="262"/>
      <c r="AE27" s="262"/>
      <c r="AF27" s="262"/>
      <c r="AG27" s="15"/>
      <c r="AH27" s="262"/>
      <c r="AI27" s="262"/>
      <c r="AJ27" s="262"/>
      <c r="AK27" s="262"/>
      <c r="AL27" s="233"/>
      <c r="AN27" s="232"/>
      <c r="AO27" s="330"/>
      <c r="AP27" s="330" t="s">
        <v>170</v>
      </c>
      <c r="AQ27" s="15"/>
      <c r="AR27" s="250" t="s">
        <v>337</v>
      </c>
      <c r="AS27" s="250" t="s">
        <v>338</v>
      </c>
      <c r="AT27" s="262" t="s">
        <v>292</v>
      </c>
      <c r="AU27" s="15"/>
      <c r="AV27" s="250" t="s">
        <v>337</v>
      </c>
      <c r="AW27" s="250" t="s">
        <v>338</v>
      </c>
      <c r="AX27" s="262" t="s">
        <v>292</v>
      </c>
      <c r="AY27" s="15"/>
      <c r="AZ27" s="250" t="s">
        <v>337</v>
      </c>
      <c r="BA27" s="250" t="s">
        <v>338</v>
      </c>
      <c r="BB27" s="262" t="s">
        <v>292</v>
      </c>
      <c r="BC27" s="15"/>
      <c r="BD27" s="18"/>
      <c r="BE27" s="18"/>
      <c r="BF27" s="18"/>
      <c r="BG27" s="18"/>
      <c r="BH27" s="18"/>
      <c r="BI27" s="18"/>
      <c r="BJ27" s="18"/>
      <c r="BK27" s="18"/>
      <c r="BL27" s="357"/>
      <c r="BM27" s="2"/>
      <c r="BN27" s="2"/>
      <c r="BO27" s="2"/>
      <c r="BP27" s="2"/>
      <c r="BQ27" s="2"/>
      <c r="BR27" s="2"/>
    </row>
    <row r="28" spans="2:70" x14ac:dyDescent="0.3">
      <c r="B28" s="232"/>
      <c r="C28" s="250"/>
      <c r="D28" s="250"/>
      <c r="E28" s="250"/>
      <c r="F28" s="250"/>
      <c r="G28" s="250"/>
      <c r="H28" s="15"/>
      <c r="I28" s="250"/>
      <c r="J28" s="250"/>
      <c r="K28" s="250"/>
      <c r="L28" s="15"/>
      <c r="M28" s="250"/>
      <c r="N28" s="250"/>
      <c r="O28" s="250"/>
      <c r="P28" s="15"/>
      <c r="Q28" s="250"/>
      <c r="R28" s="250"/>
      <c r="S28" s="250"/>
      <c r="T28" s="250"/>
      <c r="U28" s="15"/>
      <c r="V28" s="250"/>
      <c r="W28" s="250"/>
      <c r="X28" s="250"/>
      <c r="Y28" s="250"/>
      <c r="Z28" s="250"/>
      <c r="AA28" s="250"/>
      <c r="AB28" s="250"/>
      <c r="AC28" s="15"/>
      <c r="AD28" s="250"/>
      <c r="AE28" s="250"/>
      <c r="AF28" s="250"/>
      <c r="AG28" s="15"/>
      <c r="AH28" s="250"/>
      <c r="AI28" s="250"/>
      <c r="AJ28" s="250"/>
      <c r="AK28" s="250"/>
      <c r="AL28" s="233"/>
      <c r="AN28" s="232"/>
      <c r="AO28" s="331" t="s">
        <v>9</v>
      </c>
      <c r="AP28" s="331" t="s">
        <v>339</v>
      </c>
      <c r="AQ28" s="15"/>
      <c r="AR28" s="13" t="s">
        <v>339</v>
      </c>
      <c r="AS28" s="13" t="s">
        <v>339</v>
      </c>
      <c r="AT28" s="13" t="s">
        <v>339</v>
      </c>
      <c r="AU28" s="15"/>
      <c r="AV28" s="13" t="s">
        <v>339</v>
      </c>
      <c r="AW28" s="13" t="s">
        <v>339</v>
      </c>
      <c r="AX28" s="13" t="s">
        <v>339</v>
      </c>
      <c r="AY28" s="15"/>
      <c r="AZ28" s="13" t="s">
        <v>339</v>
      </c>
      <c r="BA28" s="13" t="s">
        <v>339</v>
      </c>
      <c r="BB28" s="13" t="s">
        <v>339</v>
      </c>
      <c r="BC28" s="15"/>
      <c r="BD28" s="18"/>
      <c r="BE28" s="18"/>
      <c r="BF28" s="18"/>
      <c r="BG28" s="18"/>
      <c r="BH28" s="18"/>
      <c r="BI28" s="18"/>
      <c r="BJ28" s="18"/>
      <c r="BK28" s="18"/>
      <c r="BL28" s="357"/>
      <c r="BM28" s="2"/>
      <c r="BN28" s="2"/>
      <c r="BO28" s="2"/>
      <c r="BP28" s="2"/>
      <c r="BQ28" s="2"/>
      <c r="BR28" s="2"/>
    </row>
    <row r="29" spans="2:70" x14ac:dyDescent="0.3">
      <c r="B29" s="232"/>
      <c r="C29" s="250"/>
      <c r="D29" s="263"/>
      <c r="E29" s="263"/>
      <c r="F29" s="263"/>
      <c r="G29" s="263"/>
      <c r="H29" s="15"/>
      <c r="I29" s="51"/>
      <c r="J29" s="51"/>
      <c r="K29" s="51"/>
      <c r="L29" s="15"/>
      <c r="M29" s="51"/>
      <c r="N29" s="51"/>
      <c r="O29" s="51"/>
      <c r="P29" s="15"/>
      <c r="Q29" s="265"/>
      <c r="R29" s="265"/>
      <c r="S29" s="265"/>
      <c r="T29" s="265"/>
      <c r="U29" s="15"/>
      <c r="V29" s="51"/>
      <c r="W29" s="265"/>
      <c r="X29" s="51"/>
      <c r="Y29" s="265"/>
      <c r="Z29" s="51"/>
      <c r="AA29" s="265"/>
      <c r="AB29" s="265"/>
      <c r="AC29" s="15"/>
      <c r="AD29" s="265"/>
      <c r="AE29" s="265"/>
      <c r="AF29" s="265"/>
      <c r="AG29" s="15"/>
      <c r="AH29" s="266"/>
      <c r="AI29" s="267"/>
      <c r="AJ29" s="267"/>
      <c r="AK29" s="265"/>
      <c r="AL29" s="233"/>
      <c r="AN29" s="232"/>
      <c r="AO29" s="332">
        <f>YEAR(FY_Date)</f>
        <v>2013</v>
      </c>
      <c r="AP29" s="333">
        <f t="shared" ref="AP29:AP69" ca="1" si="9">IFERROR(INDEX(Drill_Schedule_Range,MATCH($AO29,Drill_Schedule_Year_Column,0),MATCH(MID(CELL("filename",$A$1),FIND("]",CELL("filename",$A$1))+1,255),Drill_Schedule_Region_Row,0)),"N/A")</f>
        <v>122</v>
      </c>
      <c r="AQ29" s="15"/>
      <c r="AR29" s="247">
        <f ca="1">$AT$9</f>
        <v>395.60253637434141</v>
      </c>
      <c r="AS29" s="247">
        <f ca="1">MIN(AP29,AR29)</f>
        <v>122</v>
      </c>
      <c r="AT29" s="247">
        <f ca="1">+AR29-AS29</f>
        <v>273.60253637434141</v>
      </c>
      <c r="AU29" s="15"/>
      <c r="AV29" s="247">
        <f ca="1">$AT$10</f>
        <v>2664.3927326844864</v>
      </c>
      <c r="AW29" s="247">
        <f ca="1">MIN(AV29,AP29-AS29)</f>
        <v>0</v>
      </c>
      <c r="AX29" s="247">
        <f ca="1">+AV29-AW29</f>
        <v>2664.3927326844864</v>
      </c>
      <c r="AY29" s="15"/>
      <c r="AZ29" s="247">
        <f ca="1">$AT$11</f>
        <v>1940.0047309411725</v>
      </c>
      <c r="BA29" s="247">
        <f ca="1">MIN(AZ29,AP29-AS29-AW29)</f>
        <v>0</v>
      </c>
      <c r="BB29" s="247">
        <f ca="1">+AZ29-BA29</f>
        <v>1940.0047309411725</v>
      </c>
      <c r="BC29" s="15"/>
      <c r="BD29" s="18"/>
      <c r="BE29" s="18"/>
      <c r="BF29" s="18"/>
      <c r="BG29" s="18"/>
      <c r="BH29" s="18"/>
      <c r="BI29" s="18"/>
      <c r="BJ29" s="18"/>
      <c r="BK29" s="18"/>
      <c r="BL29" s="357"/>
      <c r="BM29" s="2"/>
      <c r="BN29" s="2"/>
      <c r="BO29" s="2"/>
      <c r="BP29" s="2"/>
      <c r="BQ29" s="2"/>
      <c r="BR29" s="2"/>
    </row>
    <row r="30" spans="2:70" x14ac:dyDescent="0.3">
      <c r="B30" s="232"/>
      <c r="C30" s="270"/>
      <c r="D30" s="263"/>
      <c r="E30" s="263"/>
      <c r="F30" s="263"/>
      <c r="G30" s="263"/>
      <c r="H30" s="15"/>
      <c r="I30" s="35"/>
      <c r="J30" s="35"/>
      <c r="K30" s="35"/>
      <c r="L30" s="15"/>
      <c r="M30" s="35"/>
      <c r="N30" s="35"/>
      <c r="O30" s="35"/>
      <c r="P30" s="15"/>
      <c r="Q30" s="34"/>
      <c r="R30" s="34"/>
      <c r="S30" s="34"/>
      <c r="T30" s="34"/>
      <c r="U30" s="15"/>
      <c r="V30" s="35"/>
      <c r="W30" s="34"/>
      <c r="X30" s="35"/>
      <c r="Y30" s="34"/>
      <c r="Z30" s="35"/>
      <c r="AA30" s="34"/>
      <c r="AB30" s="34"/>
      <c r="AC30" s="15"/>
      <c r="AD30" s="34"/>
      <c r="AE30" s="34"/>
      <c r="AF30" s="34"/>
      <c r="AG30" s="15"/>
      <c r="AH30" s="272"/>
      <c r="AI30" s="267"/>
      <c r="AJ30" s="267"/>
      <c r="AK30" s="34"/>
      <c r="AL30" s="233"/>
      <c r="AN30" s="232"/>
      <c r="AO30" s="17">
        <f>AO29+1</f>
        <v>2014</v>
      </c>
      <c r="AP30" s="333">
        <f t="shared" ca="1" si="9"/>
        <v>135</v>
      </c>
      <c r="AQ30" s="15"/>
      <c r="AR30" s="247">
        <f ca="1">AT29</f>
        <v>273.60253637434141</v>
      </c>
      <c r="AS30" s="247">
        <f t="shared" ref="AS30:AS69" ca="1" si="10">MIN(AP30,AR30)</f>
        <v>135</v>
      </c>
      <c r="AT30" s="247">
        <f ca="1">+AR30-AS30</f>
        <v>138.60253637434141</v>
      </c>
      <c r="AU30" s="15"/>
      <c r="AV30" s="247">
        <f ca="1">AX29</f>
        <v>2664.3927326844864</v>
      </c>
      <c r="AW30" s="247">
        <f t="shared" ref="AW30:AW69" ca="1" si="11">MIN(AV30,AP30-AS30)</f>
        <v>0</v>
      </c>
      <c r="AX30" s="247">
        <f ca="1">+AV30-AW30</f>
        <v>2664.3927326844864</v>
      </c>
      <c r="AY30" s="15"/>
      <c r="AZ30" s="247">
        <f ca="1">BB29</f>
        <v>1940.0047309411725</v>
      </c>
      <c r="BA30" s="247">
        <f t="shared" ref="BA30:BA69" ca="1" si="12">MIN(AZ30,AP30-AS30-AW30)</f>
        <v>0</v>
      </c>
      <c r="BB30" s="247">
        <f ca="1">+AZ30-BA30</f>
        <v>1940.0047309411725</v>
      </c>
      <c r="BC30" s="15"/>
      <c r="BD30" s="18"/>
      <c r="BE30" s="18"/>
      <c r="BF30" s="18"/>
      <c r="BG30" s="18"/>
      <c r="BH30" s="18"/>
      <c r="BI30" s="18"/>
      <c r="BJ30" s="18"/>
      <c r="BK30" s="18"/>
      <c r="BL30" s="357"/>
      <c r="BM30" s="2"/>
      <c r="BN30" s="2"/>
      <c r="BO30" s="2"/>
      <c r="BP30" s="2"/>
      <c r="BQ30" s="2"/>
      <c r="BR30" s="2"/>
    </row>
    <row r="31" spans="2:70" x14ac:dyDescent="0.3">
      <c r="B31" s="232"/>
      <c r="C31" s="250"/>
      <c r="D31" s="263"/>
      <c r="E31" s="263"/>
      <c r="F31" s="263"/>
      <c r="G31" s="263"/>
      <c r="H31" s="15"/>
      <c r="I31" s="35"/>
      <c r="J31" s="35"/>
      <c r="K31" s="35"/>
      <c r="L31" s="15"/>
      <c r="M31" s="35"/>
      <c r="N31" s="35"/>
      <c r="O31" s="35"/>
      <c r="P31" s="15"/>
      <c r="Q31" s="34"/>
      <c r="R31" s="34"/>
      <c r="S31" s="34"/>
      <c r="T31" s="34"/>
      <c r="U31" s="15"/>
      <c r="V31" s="35"/>
      <c r="W31" s="34"/>
      <c r="X31" s="35"/>
      <c r="Y31" s="34"/>
      <c r="Z31" s="35"/>
      <c r="AA31" s="34"/>
      <c r="AB31" s="34"/>
      <c r="AC31" s="15"/>
      <c r="AD31" s="34"/>
      <c r="AE31" s="34"/>
      <c r="AF31" s="34"/>
      <c r="AG31" s="15"/>
      <c r="AH31" s="273"/>
      <c r="AI31" s="267"/>
      <c r="AJ31" s="267"/>
      <c r="AK31" s="34"/>
      <c r="AL31" s="233"/>
      <c r="AN31" s="232"/>
      <c r="AO31" s="17">
        <f t="shared" ref="AO31:AO69" si="13">AO30+1</f>
        <v>2015</v>
      </c>
      <c r="AP31" s="333">
        <f t="shared" ca="1" si="9"/>
        <v>145</v>
      </c>
      <c r="AQ31" s="15"/>
      <c r="AR31" s="247">
        <f t="shared" ref="AR31:AR69" ca="1" si="14">AT30</f>
        <v>138.60253637434141</v>
      </c>
      <c r="AS31" s="247">
        <f t="shared" ca="1" si="10"/>
        <v>138.60253637434141</v>
      </c>
      <c r="AT31" s="247">
        <f t="shared" ref="AT31:AT69" ca="1" si="15">+AR31-AS31</f>
        <v>0</v>
      </c>
      <c r="AU31" s="15"/>
      <c r="AV31" s="247">
        <f t="shared" ref="AV31:AV69" ca="1" si="16">AX30</f>
        <v>2664.3927326844864</v>
      </c>
      <c r="AW31" s="247">
        <f t="shared" ca="1" si="11"/>
        <v>6.3974636256585882</v>
      </c>
      <c r="AX31" s="247">
        <f t="shared" ref="AX31:AX69" ca="1" si="17">+AV31-AW31</f>
        <v>2657.9952690588279</v>
      </c>
      <c r="AY31" s="15"/>
      <c r="AZ31" s="247">
        <f t="shared" ref="AZ31:AZ69" ca="1" si="18">BB30</f>
        <v>1940.0047309411725</v>
      </c>
      <c r="BA31" s="247">
        <f t="shared" ca="1" si="12"/>
        <v>0</v>
      </c>
      <c r="BB31" s="247">
        <f t="shared" ref="BB31:BB69" ca="1" si="19">+AZ31-BA31</f>
        <v>1940.0047309411725</v>
      </c>
      <c r="BC31" s="15"/>
      <c r="BD31" s="18"/>
      <c r="BE31" s="18"/>
      <c r="BF31" s="18"/>
      <c r="BG31" s="18"/>
      <c r="BH31" s="18"/>
      <c r="BI31" s="18"/>
      <c r="BJ31" s="18"/>
      <c r="BK31" s="18"/>
      <c r="BL31" s="357"/>
      <c r="BM31" s="2"/>
      <c r="BN31" s="2"/>
      <c r="BO31" s="2"/>
      <c r="BP31" s="2"/>
      <c r="BQ31" s="2"/>
      <c r="BR31" s="2"/>
    </row>
    <row r="32" spans="2:70" x14ac:dyDescent="0.3">
      <c r="B32" s="232"/>
      <c r="C32" s="250"/>
      <c r="D32" s="263"/>
      <c r="E32" s="263"/>
      <c r="F32" s="263"/>
      <c r="G32" s="263"/>
      <c r="H32" s="15"/>
      <c r="I32" s="35"/>
      <c r="J32" s="35"/>
      <c r="K32" s="35"/>
      <c r="L32" s="15"/>
      <c r="M32" s="35"/>
      <c r="N32" s="35"/>
      <c r="O32" s="35"/>
      <c r="P32" s="15"/>
      <c r="Q32" s="34"/>
      <c r="R32" s="34"/>
      <c r="S32" s="34"/>
      <c r="T32" s="34"/>
      <c r="U32" s="15"/>
      <c r="V32" s="35"/>
      <c r="W32" s="34"/>
      <c r="X32" s="35"/>
      <c r="Y32" s="34"/>
      <c r="Z32" s="35"/>
      <c r="AA32" s="34"/>
      <c r="AB32" s="34"/>
      <c r="AC32" s="15"/>
      <c r="AD32" s="34"/>
      <c r="AE32" s="34"/>
      <c r="AF32" s="34"/>
      <c r="AG32" s="15"/>
      <c r="AH32" s="273"/>
      <c r="AI32" s="267"/>
      <c r="AJ32" s="267"/>
      <c r="AK32" s="34"/>
      <c r="AL32" s="233"/>
      <c r="AN32" s="232"/>
      <c r="AO32" s="17">
        <f t="shared" si="13"/>
        <v>2016</v>
      </c>
      <c r="AP32" s="333">
        <f t="shared" ca="1" si="9"/>
        <v>155</v>
      </c>
      <c r="AQ32" s="15"/>
      <c r="AR32" s="247">
        <f t="shared" ca="1" si="14"/>
        <v>0</v>
      </c>
      <c r="AS32" s="247">
        <f t="shared" ca="1" si="10"/>
        <v>0</v>
      </c>
      <c r="AT32" s="247">
        <f t="shared" ca="1" si="15"/>
        <v>0</v>
      </c>
      <c r="AU32" s="15"/>
      <c r="AV32" s="247">
        <f t="shared" ca="1" si="16"/>
        <v>2657.9952690588279</v>
      </c>
      <c r="AW32" s="247">
        <f t="shared" ca="1" si="11"/>
        <v>155</v>
      </c>
      <c r="AX32" s="247">
        <f t="shared" ca="1" si="17"/>
        <v>2502.9952690588279</v>
      </c>
      <c r="AY32" s="15"/>
      <c r="AZ32" s="247">
        <f t="shared" ca="1" si="18"/>
        <v>1940.0047309411725</v>
      </c>
      <c r="BA32" s="247">
        <f t="shared" ca="1" si="12"/>
        <v>0</v>
      </c>
      <c r="BB32" s="247">
        <f t="shared" ca="1" si="19"/>
        <v>1940.0047309411725</v>
      </c>
      <c r="BC32" s="15"/>
      <c r="BD32" s="326"/>
      <c r="BE32" s="18"/>
      <c r="BF32" s="18"/>
      <c r="BG32" s="18"/>
      <c r="BH32" s="18"/>
      <c r="BI32" s="18"/>
      <c r="BJ32" s="18"/>
      <c r="BK32" s="18"/>
      <c r="BL32" s="357"/>
      <c r="BM32" s="2"/>
      <c r="BN32" s="2"/>
      <c r="BO32" s="2"/>
      <c r="BP32" s="2"/>
      <c r="BQ32" s="2"/>
      <c r="BR32" s="2"/>
    </row>
    <row r="33" spans="2:72" x14ac:dyDescent="0.3">
      <c r="B33" s="232"/>
      <c r="C33" s="250"/>
      <c r="D33" s="263"/>
      <c r="E33" s="263"/>
      <c r="F33" s="263"/>
      <c r="G33" s="263"/>
      <c r="H33" s="15"/>
      <c r="I33" s="35"/>
      <c r="J33" s="35"/>
      <c r="K33" s="35"/>
      <c r="L33" s="15"/>
      <c r="M33" s="35"/>
      <c r="N33" s="35"/>
      <c r="O33" s="35"/>
      <c r="P33" s="15"/>
      <c r="Q33" s="34"/>
      <c r="R33" s="34"/>
      <c r="S33" s="34"/>
      <c r="T33" s="34"/>
      <c r="U33" s="15"/>
      <c r="V33" s="35"/>
      <c r="W33" s="34"/>
      <c r="X33" s="35"/>
      <c r="Y33" s="34"/>
      <c r="Z33" s="35"/>
      <c r="AA33" s="34"/>
      <c r="AB33" s="34"/>
      <c r="AC33" s="15"/>
      <c r="AD33" s="34"/>
      <c r="AE33" s="34"/>
      <c r="AF33" s="34"/>
      <c r="AG33" s="15"/>
      <c r="AH33" s="273"/>
      <c r="AI33" s="267"/>
      <c r="AJ33" s="267"/>
      <c r="AK33" s="34"/>
      <c r="AL33" s="233"/>
      <c r="AN33" s="232"/>
      <c r="AO33" s="17">
        <f t="shared" si="13"/>
        <v>2017</v>
      </c>
      <c r="AP33" s="333">
        <f t="shared" ca="1" si="9"/>
        <v>165</v>
      </c>
      <c r="AQ33" s="15"/>
      <c r="AR33" s="247">
        <f t="shared" ca="1" si="14"/>
        <v>0</v>
      </c>
      <c r="AS33" s="247">
        <f t="shared" ca="1" si="10"/>
        <v>0</v>
      </c>
      <c r="AT33" s="247">
        <f t="shared" ca="1" si="15"/>
        <v>0</v>
      </c>
      <c r="AU33" s="15"/>
      <c r="AV33" s="247">
        <f t="shared" ca="1" si="16"/>
        <v>2502.9952690588279</v>
      </c>
      <c r="AW33" s="247">
        <f t="shared" ca="1" si="11"/>
        <v>165</v>
      </c>
      <c r="AX33" s="247">
        <f t="shared" ca="1" si="17"/>
        <v>2337.9952690588279</v>
      </c>
      <c r="AY33" s="15"/>
      <c r="AZ33" s="247">
        <f t="shared" ca="1" si="18"/>
        <v>1940.0047309411725</v>
      </c>
      <c r="BA33" s="247">
        <f t="shared" ca="1" si="12"/>
        <v>0</v>
      </c>
      <c r="BB33" s="247">
        <f t="shared" ca="1" si="19"/>
        <v>1940.0047309411725</v>
      </c>
      <c r="BC33" s="15"/>
      <c r="BD33" s="356"/>
      <c r="BE33" s="18"/>
      <c r="BF33" s="18"/>
      <c r="BG33" s="18"/>
      <c r="BH33" s="18"/>
      <c r="BI33" s="18"/>
      <c r="BJ33" s="18"/>
      <c r="BK33" s="18"/>
      <c r="BL33" s="357"/>
      <c r="BM33" s="2"/>
      <c r="BN33" s="2"/>
      <c r="BO33" s="2"/>
      <c r="BP33" s="2"/>
      <c r="BQ33" s="2"/>
      <c r="BR33" s="2"/>
    </row>
    <row r="34" spans="2:72" x14ac:dyDescent="0.3">
      <c r="B34" s="232"/>
      <c r="C34" s="250"/>
      <c r="D34" s="263"/>
      <c r="E34" s="263"/>
      <c r="F34" s="263"/>
      <c r="G34" s="263"/>
      <c r="H34" s="15"/>
      <c r="I34" s="35"/>
      <c r="J34" s="35"/>
      <c r="K34" s="35"/>
      <c r="L34" s="15"/>
      <c r="M34" s="35"/>
      <c r="N34" s="35"/>
      <c r="O34" s="35"/>
      <c r="P34" s="15"/>
      <c r="Q34" s="34"/>
      <c r="R34" s="34"/>
      <c r="S34" s="34"/>
      <c r="T34" s="34"/>
      <c r="U34" s="15"/>
      <c r="V34" s="35"/>
      <c r="W34" s="34"/>
      <c r="X34" s="35"/>
      <c r="Y34" s="34"/>
      <c r="Z34" s="35"/>
      <c r="AA34" s="34"/>
      <c r="AB34" s="34"/>
      <c r="AC34" s="15"/>
      <c r="AD34" s="34"/>
      <c r="AE34" s="34"/>
      <c r="AF34" s="34"/>
      <c r="AG34" s="15"/>
      <c r="AH34" s="273"/>
      <c r="AI34" s="267"/>
      <c r="AJ34" s="267"/>
      <c r="AK34" s="34"/>
      <c r="AL34" s="233"/>
      <c r="AN34" s="232"/>
      <c r="AO34" s="17">
        <f t="shared" si="13"/>
        <v>2018</v>
      </c>
      <c r="AP34" s="333">
        <f t="shared" ca="1" si="9"/>
        <v>175</v>
      </c>
      <c r="AQ34" s="15"/>
      <c r="AR34" s="247">
        <f t="shared" ca="1" si="14"/>
        <v>0</v>
      </c>
      <c r="AS34" s="247">
        <f t="shared" ca="1" si="10"/>
        <v>0</v>
      </c>
      <c r="AT34" s="247">
        <f t="shared" ca="1" si="15"/>
        <v>0</v>
      </c>
      <c r="AU34" s="15"/>
      <c r="AV34" s="247">
        <f t="shared" ca="1" si="16"/>
        <v>2337.9952690588279</v>
      </c>
      <c r="AW34" s="247">
        <f t="shared" ca="1" si="11"/>
        <v>175</v>
      </c>
      <c r="AX34" s="247">
        <f t="shared" ca="1" si="17"/>
        <v>2162.9952690588279</v>
      </c>
      <c r="AY34" s="15"/>
      <c r="AZ34" s="247">
        <f t="shared" ca="1" si="18"/>
        <v>1940.0047309411725</v>
      </c>
      <c r="BA34" s="247">
        <f t="shared" ca="1" si="12"/>
        <v>0</v>
      </c>
      <c r="BB34" s="247">
        <f t="shared" ca="1" si="19"/>
        <v>1940.0047309411725</v>
      </c>
      <c r="BC34" s="15"/>
      <c r="BD34" s="18"/>
      <c r="BE34" s="18"/>
      <c r="BF34" s="18"/>
      <c r="BG34" s="18"/>
      <c r="BH34" s="18"/>
      <c r="BI34" s="18"/>
      <c r="BJ34" s="18"/>
      <c r="BK34" s="18"/>
      <c r="BL34" s="357"/>
      <c r="BM34" s="2"/>
      <c r="BN34" s="2"/>
      <c r="BO34" s="2"/>
      <c r="BP34" s="2"/>
      <c r="BQ34" s="2"/>
      <c r="BR34" s="2"/>
    </row>
    <row r="35" spans="2:72" x14ac:dyDescent="0.3">
      <c r="B35" s="232"/>
      <c r="C35" s="250"/>
      <c r="D35" s="263"/>
      <c r="E35" s="263"/>
      <c r="F35" s="263"/>
      <c r="G35" s="263"/>
      <c r="H35" s="15"/>
      <c r="I35" s="35"/>
      <c r="J35" s="35"/>
      <c r="K35" s="35"/>
      <c r="L35" s="15"/>
      <c r="M35" s="35"/>
      <c r="N35" s="35"/>
      <c r="O35" s="35"/>
      <c r="P35" s="15"/>
      <c r="Q35" s="34"/>
      <c r="R35" s="34"/>
      <c r="S35" s="34"/>
      <c r="T35" s="34"/>
      <c r="U35" s="15"/>
      <c r="V35" s="35"/>
      <c r="W35" s="34"/>
      <c r="X35" s="35"/>
      <c r="Y35" s="34"/>
      <c r="Z35" s="35"/>
      <c r="AA35" s="34"/>
      <c r="AB35" s="34"/>
      <c r="AC35" s="15"/>
      <c r="AD35" s="34"/>
      <c r="AE35" s="34"/>
      <c r="AF35" s="34"/>
      <c r="AG35" s="15"/>
      <c r="AH35" s="273"/>
      <c r="AI35" s="267"/>
      <c r="AJ35" s="267"/>
      <c r="AK35" s="34"/>
      <c r="AL35" s="233"/>
      <c r="AN35" s="232"/>
      <c r="AO35" s="17">
        <f t="shared" si="13"/>
        <v>2019</v>
      </c>
      <c r="AP35" s="333">
        <f t="shared" ca="1" si="9"/>
        <v>175</v>
      </c>
      <c r="AQ35" s="15"/>
      <c r="AR35" s="247">
        <f t="shared" ca="1" si="14"/>
        <v>0</v>
      </c>
      <c r="AS35" s="247">
        <f t="shared" ca="1" si="10"/>
        <v>0</v>
      </c>
      <c r="AT35" s="247">
        <f t="shared" ca="1" si="15"/>
        <v>0</v>
      </c>
      <c r="AU35" s="15"/>
      <c r="AV35" s="247">
        <f t="shared" ca="1" si="16"/>
        <v>2162.9952690588279</v>
      </c>
      <c r="AW35" s="247">
        <f t="shared" ca="1" si="11"/>
        <v>175</v>
      </c>
      <c r="AX35" s="247">
        <f t="shared" ca="1" si="17"/>
        <v>1987.9952690588279</v>
      </c>
      <c r="AY35" s="15"/>
      <c r="AZ35" s="247">
        <f t="shared" ca="1" si="18"/>
        <v>1940.0047309411725</v>
      </c>
      <c r="BA35" s="247">
        <f t="shared" ca="1" si="12"/>
        <v>0</v>
      </c>
      <c r="BB35" s="247">
        <f t="shared" ca="1" si="19"/>
        <v>1940.0047309411725</v>
      </c>
      <c r="BC35" s="15"/>
      <c r="BD35" s="2"/>
      <c r="BE35" s="2"/>
      <c r="BF35" s="2"/>
      <c r="BG35" s="2"/>
      <c r="BH35" s="2"/>
      <c r="BI35" s="2"/>
      <c r="BJ35" s="2"/>
      <c r="BK35" s="2"/>
      <c r="BL35" s="357"/>
      <c r="BM35" s="2"/>
      <c r="BN35" s="2"/>
      <c r="BO35" s="2"/>
      <c r="BP35" s="2"/>
      <c r="BQ35" s="2"/>
      <c r="BR35" s="2"/>
    </row>
    <row r="36" spans="2:72" x14ac:dyDescent="0.3">
      <c r="B36" s="232"/>
      <c r="C36" s="250"/>
      <c r="D36" s="263"/>
      <c r="E36" s="263"/>
      <c r="F36" s="263"/>
      <c r="G36" s="263"/>
      <c r="H36" s="15"/>
      <c r="I36" s="35"/>
      <c r="J36" s="35"/>
      <c r="K36" s="35"/>
      <c r="L36" s="15"/>
      <c r="M36" s="35"/>
      <c r="N36" s="35"/>
      <c r="O36" s="35"/>
      <c r="P36" s="15"/>
      <c r="Q36" s="34"/>
      <c r="R36" s="34"/>
      <c r="S36" s="34"/>
      <c r="T36" s="34"/>
      <c r="U36" s="15"/>
      <c r="V36" s="35"/>
      <c r="W36" s="34"/>
      <c r="X36" s="35"/>
      <c r="Y36" s="34"/>
      <c r="Z36" s="35"/>
      <c r="AA36" s="34"/>
      <c r="AB36" s="34"/>
      <c r="AC36" s="15"/>
      <c r="AD36" s="34"/>
      <c r="AE36" s="34"/>
      <c r="AF36" s="34"/>
      <c r="AG36" s="15"/>
      <c r="AH36" s="273"/>
      <c r="AI36" s="267"/>
      <c r="AJ36" s="267"/>
      <c r="AK36" s="34"/>
      <c r="AL36" s="233"/>
      <c r="AN36" s="232"/>
      <c r="AO36" s="17">
        <f t="shared" si="13"/>
        <v>2020</v>
      </c>
      <c r="AP36" s="333">
        <f t="shared" ca="1" si="9"/>
        <v>175</v>
      </c>
      <c r="AQ36" s="15"/>
      <c r="AR36" s="247">
        <f t="shared" ca="1" si="14"/>
        <v>0</v>
      </c>
      <c r="AS36" s="247">
        <f t="shared" ca="1" si="10"/>
        <v>0</v>
      </c>
      <c r="AT36" s="247">
        <f t="shared" ca="1" si="15"/>
        <v>0</v>
      </c>
      <c r="AU36" s="15"/>
      <c r="AV36" s="247">
        <f t="shared" ca="1" si="16"/>
        <v>1987.9952690588279</v>
      </c>
      <c r="AW36" s="247">
        <f t="shared" ca="1" si="11"/>
        <v>175</v>
      </c>
      <c r="AX36" s="247">
        <f t="shared" ca="1" si="17"/>
        <v>1812.9952690588279</v>
      </c>
      <c r="AY36" s="15"/>
      <c r="AZ36" s="247">
        <f t="shared" ca="1" si="18"/>
        <v>1940.0047309411725</v>
      </c>
      <c r="BA36" s="247">
        <f t="shared" ca="1" si="12"/>
        <v>0</v>
      </c>
      <c r="BB36" s="247">
        <f t="shared" ca="1" si="19"/>
        <v>1940.0047309411725</v>
      </c>
      <c r="BC36" s="15"/>
      <c r="BD36" s="2"/>
      <c r="BE36" s="2"/>
      <c r="BF36" s="2"/>
      <c r="BG36" s="2"/>
      <c r="BH36" s="2"/>
      <c r="BI36" s="2"/>
      <c r="BJ36" s="2"/>
      <c r="BK36" s="2"/>
      <c r="BL36" s="357"/>
      <c r="BM36" s="2"/>
      <c r="BN36" s="2"/>
      <c r="BO36" s="2"/>
      <c r="BP36" s="2"/>
      <c r="BQ36" s="2"/>
      <c r="BR36" s="2"/>
    </row>
    <row r="37" spans="2:72" x14ac:dyDescent="0.3">
      <c r="B37" s="232"/>
      <c r="C37" s="250"/>
      <c r="D37" s="263"/>
      <c r="E37" s="263"/>
      <c r="F37" s="263"/>
      <c r="G37" s="263"/>
      <c r="H37" s="15"/>
      <c r="I37" s="35"/>
      <c r="J37" s="35"/>
      <c r="K37" s="35"/>
      <c r="L37" s="15"/>
      <c r="M37" s="35"/>
      <c r="N37" s="35"/>
      <c r="O37" s="35"/>
      <c r="P37" s="15"/>
      <c r="Q37" s="34"/>
      <c r="R37" s="34"/>
      <c r="S37" s="34"/>
      <c r="T37" s="34"/>
      <c r="U37" s="15"/>
      <c r="V37" s="35"/>
      <c r="W37" s="34"/>
      <c r="X37" s="35"/>
      <c r="Y37" s="34"/>
      <c r="Z37" s="35"/>
      <c r="AA37" s="34"/>
      <c r="AB37" s="34"/>
      <c r="AC37" s="15"/>
      <c r="AD37" s="34"/>
      <c r="AE37" s="34"/>
      <c r="AF37" s="34"/>
      <c r="AG37" s="15"/>
      <c r="AH37" s="273"/>
      <c r="AI37" s="267"/>
      <c r="AJ37" s="267"/>
      <c r="AK37" s="34"/>
      <c r="AL37" s="233"/>
      <c r="AN37" s="232"/>
      <c r="AO37" s="17">
        <f t="shared" si="13"/>
        <v>2021</v>
      </c>
      <c r="AP37" s="333">
        <f t="shared" ca="1" si="9"/>
        <v>175</v>
      </c>
      <c r="AQ37" s="15"/>
      <c r="AR37" s="247">
        <f t="shared" ca="1" si="14"/>
        <v>0</v>
      </c>
      <c r="AS37" s="247">
        <f t="shared" ca="1" si="10"/>
        <v>0</v>
      </c>
      <c r="AT37" s="247">
        <f t="shared" ca="1" si="15"/>
        <v>0</v>
      </c>
      <c r="AU37" s="15"/>
      <c r="AV37" s="247">
        <f t="shared" ca="1" si="16"/>
        <v>1812.9952690588279</v>
      </c>
      <c r="AW37" s="247">
        <f t="shared" ca="1" si="11"/>
        <v>175</v>
      </c>
      <c r="AX37" s="247">
        <f t="shared" ca="1" si="17"/>
        <v>1637.9952690588279</v>
      </c>
      <c r="AY37" s="15"/>
      <c r="AZ37" s="247">
        <f t="shared" ca="1" si="18"/>
        <v>1940.0047309411725</v>
      </c>
      <c r="BA37" s="247">
        <f t="shared" ca="1" si="12"/>
        <v>0</v>
      </c>
      <c r="BB37" s="247">
        <f t="shared" ca="1" si="19"/>
        <v>1940.0047309411725</v>
      </c>
      <c r="BC37" s="15"/>
      <c r="BD37" s="18"/>
      <c r="BE37" s="18"/>
      <c r="BF37" s="18"/>
      <c r="BG37" s="18"/>
      <c r="BH37" s="18"/>
      <c r="BI37" s="18"/>
      <c r="BJ37" s="18"/>
      <c r="BK37" s="18"/>
      <c r="BL37" s="357"/>
      <c r="BM37" s="2"/>
      <c r="BN37" s="2"/>
      <c r="BO37" s="2"/>
      <c r="BP37" s="2"/>
      <c r="BQ37" s="2"/>
      <c r="BR37" s="2"/>
    </row>
    <row r="38" spans="2:72" x14ac:dyDescent="0.3">
      <c r="B38" s="232"/>
      <c r="C38" s="250"/>
      <c r="D38" s="263"/>
      <c r="E38" s="263"/>
      <c r="F38" s="263"/>
      <c r="G38" s="263"/>
      <c r="H38" s="15"/>
      <c r="I38" s="35"/>
      <c r="J38" s="35"/>
      <c r="K38" s="35"/>
      <c r="L38" s="15"/>
      <c r="M38" s="35"/>
      <c r="N38" s="35"/>
      <c r="O38" s="35"/>
      <c r="P38" s="15"/>
      <c r="Q38" s="34"/>
      <c r="R38" s="34"/>
      <c r="S38" s="34"/>
      <c r="T38" s="34"/>
      <c r="U38" s="15"/>
      <c r="V38" s="35"/>
      <c r="W38" s="34"/>
      <c r="X38" s="35"/>
      <c r="Y38" s="34"/>
      <c r="Z38" s="35"/>
      <c r="AA38" s="34"/>
      <c r="AB38" s="34"/>
      <c r="AC38" s="15"/>
      <c r="AD38" s="34"/>
      <c r="AE38" s="34"/>
      <c r="AF38" s="34"/>
      <c r="AG38" s="15"/>
      <c r="AH38" s="273"/>
      <c r="AI38" s="267"/>
      <c r="AJ38" s="267"/>
      <c r="AK38" s="34"/>
      <c r="AL38" s="233"/>
      <c r="AN38" s="232"/>
      <c r="AO38" s="17">
        <f t="shared" si="13"/>
        <v>2022</v>
      </c>
      <c r="AP38" s="333">
        <f t="shared" ca="1" si="9"/>
        <v>175</v>
      </c>
      <c r="AQ38" s="15"/>
      <c r="AR38" s="247">
        <f t="shared" ca="1" si="14"/>
        <v>0</v>
      </c>
      <c r="AS38" s="247">
        <f t="shared" ca="1" si="10"/>
        <v>0</v>
      </c>
      <c r="AT38" s="247">
        <f t="shared" ca="1" si="15"/>
        <v>0</v>
      </c>
      <c r="AU38" s="15"/>
      <c r="AV38" s="247">
        <f t="shared" ca="1" si="16"/>
        <v>1637.9952690588279</v>
      </c>
      <c r="AW38" s="247">
        <f t="shared" ca="1" si="11"/>
        <v>175</v>
      </c>
      <c r="AX38" s="247">
        <f t="shared" ca="1" si="17"/>
        <v>1462.9952690588279</v>
      </c>
      <c r="AY38" s="15"/>
      <c r="AZ38" s="247">
        <f t="shared" ca="1" si="18"/>
        <v>1940.0047309411725</v>
      </c>
      <c r="BA38" s="247">
        <f t="shared" ca="1" si="12"/>
        <v>0</v>
      </c>
      <c r="BB38" s="247">
        <f t="shared" ca="1" si="19"/>
        <v>1940.0047309411725</v>
      </c>
      <c r="BC38" s="15"/>
      <c r="BD38" s="18"/>
      <c r="BE38" s="18"/>
      <c r="BF38" s="18"/>
      <c r="BG38" s="18"/>
      <c r="BH38" s="18"/>
      <c r="BI38" s="18"/>
      <c r="BJ38" s="18"/>
      <c r="BK38" s="18"/>
      <c r="BL38" s="357"/>
      <c r="BM38" s="2"/>
      <c r="BN38" s="2"/>
      <c r="BO38" s="2"/>
      <c r="BP38" s="2"/>
      <c r="BQ38" s="2"/>
      <c r="BR38" s="2"/>
    </row>
    <row r="39" spans="2:72" x14ac:dyDescent="0.3">
      <c r="B39" s="232"/>
      <c r="C39" s="250"/>
      <c r="D39" s="263"/>
      <c r="E39" s="263"/>
      <c r="F39" s="263"/>
      <c r="G39" s="263"/>
      <c r="H39" s="15"/>
      <c r="I39" s="35"/>
      <c r="J39" s="35"/>
      <c r="K39" s="35"/>
      <c r="L39" s="15"/>
      <c r="M39" s="35"/>
      <c r="N39" s="35"/>
      <c r="O39" s="35"/>
      <c r="P39" s="15"/>
      <c r="Q39" s="34"/>
      <c r="R39" s="34"/>
      <c r="S39" s="34"/>
      <c r="T39" s="34"/>
      <c r="U39" s="15"/>
      <c r="V39" s="35"/>
      <c r="W39" s="34"/>
      <c r="X39" s="35"/>
      <c r="Y39" s="34"/>
      <c r="Z39" s="35"/>
      <c r="AA39" s="34"/>
      <c r="AB39" s="34"/>
      <c r="AC39" s="15"/>
      <c r="AD39" s="34"/>
      <c r="AE39" s="34"/>
      <c r="AF39" s="34"/>
      <c r="AG39" s="15"/>
      <c r="AH39" s="273"/>
      <c r="AI39" s="267"/>
      <c r="AJ39" s="267"/>
      <c r="AK39" s="34"/>
      <c r="AL39" s="233"/>
      <c r="AN39" s="232"/>
      <c r="AO39" s="17">
        <f t="shared" si="13"/>
        <v>2023</v>
      </c>
      <c r="AP39" s="333">
        <f t="shared" ca="1" si="9"/>
        <v>175</v>
      </c>
      <c r="AQ39" s="15"/>
      <c r="AR39" s="247">
        <f t="shared" ca="1" si="14"/>
        <v>0</v>
      </c>
      <c r="AS39" s="247">
        <f t="shared" ca="1" si="10"/>
        <v>0</v>
      </c>
      <c r="AT39" s="247">
        <f t="shared" ca="1" si="15"/>
        <v>0</v>
      </c>
      <c r="AU39" s="15"/>
      <c r="AV39" s="247">
        <f t="shared" ca="1" si="16"/>
        <v>1462.9952690588279</v>
      </c>
      <c r="AW39" s="247">
        <f t="shared" ca="1" si="11"/>
        <v>175</v>
      </c>
      <c r="AX39" s="247">
        <f t="shared" ca="1" si="17"/>
        <v>1287.9952690588279</v>
      </c>
      <c r="AY39" s="15"/>
      <c r="AZ39" s="247">
        <f t="shared" ca="1" si="18"/>
        <v>1940.0047309411725</v>
      </c>
      <c r="BA39" s="247">
        <f t="shared" ca="1" si="12"/>
        <v>0</v>
      </c>
      <c r="BB39" s="247">
        <f t="shared" ca="1" si="19"/>
        <v>1940.0047309411725</v>
      </c>
      <c r="BC39" s="15"/>
      <c r="BD39" s="326"/>
      <c r="BE39" s="18"/>
      <c r="BF39" s="18"/>
      <c r="BG39" s="18"/>
      <c r="BH39" s="18"/>
      <c r="BI39" s="18"/>
      <c r="BJ39" s="18"/>
      <c r="BK39" s="18"/>
      <c r="BL39" s="357"/>
      <c r="BM39" s="2"/>
      <c r="BN39" s="2"/>
      <c r="BO39" s="2"/>
      <c r="BP39" s="2"/>
      <c r="BQ39" s="2"/>
      <c r="BR39" s="2"/>
      <c r="BS39" s="2"/>
      <c r="BT39" s="2"/>
    </row>
    <row r="40" spans="2:72" x14ac:dyDescent="0.3">
      <c r="B40" s="232"/>
      <c r="C40" s="250"/>
      <c r="D40" s="263"/>
      <c r="E40" s="263"/>
      <c r="F40" s="263"/>
      <c r="G40" s="263"/>
      <c r="H40" s="15"/>
      <c r="I40" s="35"/>
      <c r="J40" s="35"/>
      <c r="K40" s="35"/>
      <c r="L40" s="15"/>
      <c r="M40" s="35"/>
      <c r="N40" s="35"/>
      <c r="O40" s="35"/>
      <c r="P40" s="15"/>
      <c r="Q40" s="34"/>
      <c r="R40" s="34"/>
      <c r="S40" s="34"/>
      <c r="T40" s="34"/>
      <c r="U40" s="15"/>
      <c r="V40" s="35"/>
      <c r="W40" s="34"/>
      <c r="X40" s="35"/>
      <c r="Y40" s="34"/>
      <c r="Z40" s="35"/>
      <c r="AA40" s="34"/>
      <c r="AB40" s="34"/>
      <c r="AC40" s="15"/>
      <c r="AD40" s="34"/>
      <c r="AE40" s="34"/>
      <c r="AF40" s="34"/>
      <c r="AG40" s="15"/>
      <c r="AH40" s="273"/>
      <c r="AI40" s="267"/>
      <c r="AJ40" s="267"/>
      <c r="AK40" s="34"/>
      <c r="AL40" s="233"/>
      <c r="AN40" s="232"/>
      <c r="AO40" s="17">
        <f t="shared" si="13"/>
        <v>2024</v>
      </c>
      <c r="AP40" s="333">
        <f t="shared" ca="1" si="9"/>
        <v>175</v>
      </c>
      <c r="AQ40" s="15"/>
      <c r="AR40" s="247">
        <f t="shared" ca="1" si="14"/>
        <v>0</v>
      </c>
      <c r="AS40" s="247">
        <f t="shared" ca="1" si="10"/>
        <v>0</v>
      </c>
      <c r="AT40" s="247">
        <f t="shared" ca="1" si="15"/>
        <v>0</v>
      </c>
      <c r="AU40" s="15"/>
      <c r="AV40" s="247">
        <f t="shared" ca="1" si="16"/>
        <v>1287.9952690588279</v>
      </c>
      <c r="AW40" s="247">
        <f t="shared" ca="1" si="11"/>
        <v>175</v>
      </c>
      <c r="AX40" s="247">
        <f t="shared" ca="1" si="17"/>
        <v>1112.9952690588279</v>
      </c>
      <c r="AY40" s="15"/>
      <c r="AZ40" s="247">
        <f t="shared" ca="1" si="18"/>
        <v>1940.0047309411725</v>
      </c>
      <c r="BA40" s="247">
        <f t="shared" ca="1" si="12"/>
        <v>0</v>
      </c>
      <c r="BB40" s="247">
        <f t="shared" ca="1" si="19"/>
        <v>1940.0047309411725</v>
      </c>
      <c r="BC40" s="15"/>
      <c r="BD40" s="358"/>
      <c r="BE40" s="18"/>
      <c r="BF40" s="18"/>
      <c r="BG40" s="18"/>
      <c r="BH40" s="18"/>
      <c r="BI40" s="18"/>
      <c r="BJ40" s="18"/>
      <c r="BK40" s="18"/>
      <c r="BL40" s="357"/>
      <c r="BM40" s="2"/>
      <c r="BN40" s="2"/>
      <c r="BO40" s="2"/>
      <c r="BP40" s="2"/>
      <c r="BQ40" s="2"/>
      <c r="BR40" s="2"/>
      <c r="BS40" s="2"/>
      <c r="BT40" s="2"/>
    </row>
    <row r="41" spans="2:72" x14ac:dyDescent="0.3">
      <c r="B41" s="232"/>
      <c r="C41" s="250"/>
      <c r="D41" s="263"/>
      <c r="E41" s="263"/>
      <c r="F41" s="263"/>
      <c r="G41" s="263"/>
      <c r="H41" s="15"/>
      <c r="I41" s="35"/>
      <c r="J41" s="35"/>
      <c r="K41" s="35"/>
      <c r="L41" s="15"/>
      <c r="M41" s="35"/>
      <c r="N41" s="35"/>
      <c r="O41" s="35"/>
      <c r="P41" s="15"/>
      <c r="Q41" s="34"/>
      <c r="R41" s="34"/>
      <c r="S41" s="34"/>
      <c r="T41" s="34"/>
      <c r="U41" s="15"/>
      <c r="V41" s="35"/>
      <c r="W41" s="34"/>
      <c r="X41" s="35"/>
      <c r="Y41" s="34"/>
      <c r="Z41" s="35"/>
      <c r="AA41" s="34"/>
      <c r="AB41" s="34"/>
      <c r="AC41" s="15"/>
      <c r="AD41" s="34"/>
      <c r="AE41" s="34"/>
      <c r="AF41" s="34"/>
      <c r="AG41" s="15"/>
      <c r="AH41" s="273"/>
      <c r="AI41" s="267"/>
      <c r="AJ41" s="267"/>
      <c r="AK41" s="34"/>
      <c r="AL41" s="233"/>
      <c r="AN41" s="232"/>
      <c r="AO41" s="17">
        <f t="shared" si="13"/>
        <v>2025</v>
      </c>
      <c r="AP41" s="333">
        <f t="shared" ca="1" si="9"/>
        <v>175</v>
      </c>
      <c r="AQ41" s="15"/>
      <c r="AR41" s="247">
        <f t="shared" ca="1" si="14"/>
        <v>0</v>
      </c>
      <c r="AS41" s="247">
        <f t="shared" ca="1" si="10"/>
        <v>0</v>
      </c>
      <c r="AT41" s="247">
        <f t="shared" ca="1" si="15"/>
        <v>0</v>
      </c>
      <c r="AU41" s="15"/>
      <c r="AV41" s="247">
        <f t="shared" ca="1" si="16"/>
        <v>1112.9952690588279</v>
      </c>
      <c r="AW41" s="247">
        <f t="shared" ca="1" si="11"/>
        <v>175</v>
      </c>
      <c r="AX41" s="247">
        <f t="shared" ca="1" si="17"/>
        <v>937.99526905882794</v>
      </c>
      <c r="AY41" s="15"/>
      <c r="AZ41" s="247">
        <f t="shared" ca="1" si="18"/>
        <v>1940.0047309411725</v>
      </c>
      <c r="BA41" s="247">
        <f t="shared" ca="1" si="12"/>
        <v>0</v>
      </c>
      <c r="BB41" s="247">
        <f t="shared" ca="1" si="19"/>
        <v>1940.0047309411725</v>
      </c>
      <c r="BC41" s="15"/>
      <c r="BD41" s="2"/>
      <c r="BE41" s="18"/>
      <c r="BF41" s="18"/>
      <c r="BG41" s="18"/>
      <c r="BH41" s="18"/>
      <c r="BI41" s="18"/>
      <c r="BJ41" s="18"/>
      <c r="BK41" s="18"/>
      <c r="BL41" s="357"/>
      <c r="BM41" s="2"/>
      <c r="BN41" s="2"/>
      <c r="BO41" s="2"/>
      <c r="BP41" s="2"/>
      <c r="BQ41" s="2"/>
      <c r="BR41" s="2"/>
      <c r="BS41" s="2"/>
      <c r="BT41" s="2"/>
    </row>
    <row r="42" spans="2:72" x14ac:dyDescent="0.3">
      <c r="B42" s="232"/>
      <c r="C42" s="250"/>
      <c r="D42" s="263"/>
      <c r="E42" s="263"/>
      <c r="F42" s="263"/>
      <c r="G42" s="263"/>
      <c r="H42" s="15"/>
      <c r="I42" s="35"/>
      <c r="J42" s="35"/>
      <c r="K42" s="35"/>
      <c r="L42" s="15"/>
      <c r="M42" s="35"/>
      <c r="N42" s="35"/>
      <c r="O42" s="35"/>
      <c r="P42" s="15"/>
      <c r="Q42" s="34"/>
      <c r="R42" s="34"/>
      <c r="S42" s="34"/>
      <c r="T42" s="34"/>
      <c r="U42" s="15"/>
      <c r="V42" s="35"/>
      <c r="W42" s="34"/>
      <c r="X42" s="35"/>
      <c r="Y42" s="34"/>
      <c r="Z42" s="35"/>
      <c r="AA42" s="34"/>
      <c r="AB42" s="34"/>
      <c r="AC42" s="15"/>
      <c r="AD42" s="34"/>
      <c r="AE42" s="34"/>
      <c r="AF42" s="34"/>
      <c r="AG42" s="15"/>
      <c r="AH42" s="273"/>
      <c r="AI42" s="267"/>
      <c r="AJ42" s="267"/>
      <c r="AK42" s="34"/>
      <c r="AL42" s="233"/>
      <c r="AN42" s="232"/>
      <c r="AO42" s="17">
        <f t="shared" si="13"/>
        <v>2026</v>
      </c>
      <c r="AP42" s="333">
        <f t="shared" ca="1" si="9"/>
        <v>175</v>
      </c>
      <c r="AQ42" s="15"/>
      <c r="AR42" s="247">
        <f t="shared" ca="1" si="14"/>
        <v>0</v>
      </c>
      <c r="AS42" s="247">
        <f t="shared" ca="1" si="10"/>
        <v>0</v>
      </c>
      <c r="AT42" s="247">
        <f t="shared" ca="1" si="15"/>
        <v>0</v>
      </c>
      <c r="AU42" s="15"/>
      <c r="AV42" s="247">
        <f t="shared" ca="1" si="16"/>
        <v>937.99526905882794</v>
      </c>
      <c r="AW42" s="247">
        <f t="shared" ca="1" si="11"/>
        <v>175</v>
      </c>
      <c r="AX42" s="247">
        <f t="shared" ca="1" si="17"/>
        <v>762.99526905882794</v>
      </c>
      <c r="AY42" s="15"/>
      <c r="AZ42" s="247">
        <f t="shared" ca="1" si="18"/>
        <v>1940.0047309411725</v>
      </c>
      <c r="BA42" s="247">
        <f t="shared" ca="1" si="12"/>
        <v>0</v>
      </c>
      <c r="BB42" s="247">
        <f t="shared" ca="1" si="19"/>
        <v>1940.0047309411725</v>
      </c>
      <c r="BC42" s="15"/>
      <c r="BD42" s="114"/>
      <c r="BE42" s="18"/>
      <c r="BF42" s="18"/>
      <c r="BG42" s="18"/>
      <c r="BH42" s="18"/>
      <c r="BI42" s="18"/>
      <c r="BJ42" s="18"/>
      <c r="BK42" s="18"/>
      <c r="BL42" s="357"/>
      <c r="BM42" s="2"/>
      <c r="BN42" s="2"/>
      <c r="BO42" s="2"/>
      <c r="BP42" s="2"/>
      <c r="BQ42" s="2"/>
      <c r="BR42" s="2"/>
      <c r="BS42" s="2"/>
      <c r="BT42" s="2"/>
    </row>
    <row r="43" spans="2:72" x14ac:dyDescent="0.3">
      <c r="B43" s="232"/>
      <c r="C43" s="250"/>
      <c r="D43" s="263"/>
      <c r="E43" s="263"/>
      <c r="F43" s="263"/>
      <c r="G43" s="263"/>
      <c r="H43" s="15"/>
      <c r="I43" s="35"/>
      <c r="J43" s="35"/>
      <c r="K43" s="35"/>
      <c r="L43" s="15"/>
      <c r="M43" s="35"/>
      <c r="N43" s="35"/>
      <c r="O43" s="35"/>
      <c r="P43" s="15"/>
      <c r="Q43" s="34"/>
      <c r="R43" s="34"/>
      <c r="S43" s="34"/>
      <c r="T43" s="34"/>
      <c r="U43" s="15"/>
      <c r="V43" s="35"/>
      <c r="W43" s="34"/>
      <c r="X43" s="35"/>
      <c r="Y43" s="34"/>
      <c r="Z43" s="35"/>
      <c r="AA43" s="34"/>
      <c r="AB43" s="34"/>
      <c r="AC43" s="15"/>
      <c r="AD43" s="34"/>
      <c r="AE43" s="34"/>
      <c r="AF43" s="34"/>
      <c r="AG43" s="15"/>
      <c r="AH43" s="273"/>
      <c r="AI43" s="267"/>
      <c r="AJ43" s="267"/>
      <c r="AK43" s="34"/>
      <c r="AL43" s="233"/>
      <c r="AN43" s="232"/>
      <c r="AO43" s="17">
        <f t="shared" si="13"/>
        <v>2027</v>
      </c>
      <c r="AP43" s="333">
        <f t="shared" ca="1" si="9"/>
        <v>175</v>
      </c>
      <c r="AQ43" s="15"/>
      <c r="AR43" s="247">
        <f t="shared" ca="1" si="14"/>
        <v>0</v>
      </c>
      <c r="AS43" s="247">
        <f t="shared" ca="1" si="10"/>
        <v>0</v>
      </c>
      <c r="AT43" s="247">
        <f t="shared" ca="1" si="15"/>
        <v>0</v>
      </c>
      <c r="AU43" s="15"/>
      <c r="AV43" s="247">
        <f t="shared" ca="1" si="16"/>
        <v>762.99526905882794</v>
      </c>
      <c r="AW43" s="247">
        <f t="shared" ca="1" si="11"/>
        <v>175</v>
      </c>
      <c r="AX43" s="247">
        <f t="shared" ca="1" si="17"/>
        <v>587.99526905882794</v>
      </c>
      <c r="AY43" s="15"/>
      <c r="AZ43" s="247">
        <f t="shared" ca="1" si="18"/>
        <v>1940.0047309411725</v>
      </c>
      <c r="BA43" s="247">
        <f t="shared" ca="1" si="12"/>
        <v>0</v>
      </c>
      <c r="BB43" s="247">
        <f t="shared" ca="1" si="19"/>
        <v>1940.0047309411725</v>
      </c>
      <c r="BC43" s="15"/>
      <c r="BD43" s="114"/>
      <c r="BE43" s="18"/>
      <c r="BF43" s="18"/>
      <c r="BG43" s="18"/>
      <c r="BH43" s="18"/>
      <c r="BI43" s="18"/>
      <c r="BJ43" s="18"/>
      <c r="BK43" s="18"/>
      <c r="BL43" s="357"/>
      <c r="BM43" s="2"/>
      <c r="BN43" s="2"/>
      <c r="BO43" s="2"/>
      <c r="BP43" s="2"/>
      <c r="BQ43" s="2"/>
      <c r="BR43" s="2"/>
      <c r="BS43" s="2"/>
      <c r="BT43" s="2"/>
    </row>
    <row r="44" spans="2:72" x14ac:dyDescent="0.3">
      <c r="B44" s="232"/>
      <c r="C44" s="250"/>
      <c r="D44" s="263"/>
      <c r="E44" s="263"/>
      <c r="F44" s="263"/>
      <c r="G44" s="263"/>
      <c r="H44" s="15"/>
      <c r="I44" s="35"/>
      <c r="J44" s="35"/>
      <c r="K44" s="35"/>
      <c r="L44" s="15"/>
      <c r="M44" s="35"/>
      <c r="N44" s="35"/>
      <c r="O44" s="35"/>
      <c r="P44" s="15"/>
      <c r="Q44" s="34"/>
      <c r="R44" s="34"/>
      <c r="S44" s="34"/>
      <c r="T44" s="34"/>
      <c r="U44" s="15"/>
      <c r="V44" s="35"/>
      <c r="W44" s="34"/>
      <c r="X44" s="35"/>
      <c r="Y44" s="34"/>
      <c r="Z44" s="35"/>
      <c r="AA44" s="34"/>
      <c r="AB44" s="34"/>
      <c r="AC44" s="15"/>
      <c r="AD44" s="34"/>
      <c r="AE44" s="34"/>
      <c r="AF44" s="34"/>
      <c r="AG44" s="15"/>
      <c r="AH44" s="273"/>
      <c r="AI44" s="267"/>
      <c r="AJ44" s="267"/>
      <c r="AK44" s="34"/>
      <c r="AL44" s="233"/>
      <c r="AN44" s="232"/>
      <c r="AO44" s="17">
        <f t="shared" si="13"/>
        <v>2028</v>
      </c>
      <c r="AP44" s="333">
        <f t="shared" ca="1" si="9"/>
        <v>175</v>
      </c>
      <c r="AQ44" s="15"/>
      <c r="AR44" s="247">
        <f t="shared" ca="1" si="14"/>
        <v>0</v>
      </c>
      <c r="AS44" s="247">
        <f t="shared" ca="1" si="10"/>
        <v>0</v>
      </c>
      <c r="AT44" s="247">
        <f t="shared" ca="1" si="15"/>
        <v>0</v>
      </c>
      <c r="AU44" s="15"/>
      <c r="AV44" s="247">
        <f t="shared" ca="1" si="16"/>
        <v>587.99526905882794</v>
      </c>
      <c r="AW44" s="247">
        <f t="shared" ca="1" si="11"/>
        <v>175</v>
      </c>
      <c r="AX44" s="247">
        <f t="shared" ca="1" si="17"/>
        <v>412.99526905882794</v>
      </c>
      <c r="AY44" s="15"/>
      <c r="AZ44" s="247">
        <f t="shared" ca="1" si="18"/>
        <v>1940.0047309411725</v>
      </c>
      <c r="BA44" s="247">
        <f t="shared" ca="1" si="12"/>
        <v>0</v>
      </c>
      <c r="BB44" s="247">
        <f t="shared" ca="1" si="19"/>
        <v>1940.0047309411725</v>
      </c>
      <c r="BC44" s="15"/>
      <c r="BD44" s="18"/>
      <c r="BE44" s="18"/>
      <c r="BF44" s="18"/>
      <c r="BG44" s="18"/>
      <c r="BH44" s="18"/>
      <c r="BI44" s="18"/>
      <c r="BJ44" s="18"/>
      <c r="BK44" s="18"/>
      <c r="BL44" s="357"/>
      <c r="BM44" s="2"/>
      <c r="BN44" s="2"/>
      <c r="BO44" s="2"/>
      <c r="BP44" s="2"/>
      <c r="BQ44" s="2"/>
      <c r="BR44" s="2"/>
      <c r="BS44" s="2"/>
      <c r="BT44" s="2"/>
    </row>
    <row r="45" spans="2:72" x14ac:dyDescent="0.3">
      <c r="B45" s="232"/>
      <c r="C45" s="250"/>
      <c r="D45" s="263"/>
      <c r="E45" s="263"/>
      <c r="F45" s="263"/>
      <c r="G45" s="263"/>
      <c r="H45" s="15"/>
      <c r="I45" s="35"/>
      <c r="J45" s="35"/>
      <c r="K45" s="35"/>
      <c r="L45" s="15"/>
      <c r="M45" s="35"/>
      <c r="N45" s="35"/>
      <c r="O45" s="35"/>
      <c r="P45" s="15"/>
      <c r="Q45" s="34"/>
      <c r="R45" s="34"/>
      <c r="S45" s="34"/>
      <c r="T45" s="34"/>
      <c r="U45" s="15"/>
      <c r="V45" s="35"/>
      <c r="W45" s="34"/>
      <c r="X45" s="35"/>
      <c r="Y45" s="34"/>
      <c r="Z45" s="35"/>
      <c r="AA45" s="34"/>
      <c r="AB45" s="34"/>
      <c r="AC45" s="15"/>
      <c r="AD45" s="34"/>
      <c r="AE45" s="34"/>
      <c r="AF45" s="34"/>
      <c r="AG45" s="15"/>
      <c r="AH45" s="273"/>
      <c r="AI45" s="267"/>
      <c r="AJ45" s="267"/>
      <c r="AK45" s="34"/>
      <c r="AL45" s="233"/>
      <c r="AN45" s="232"/>
      <c r="AO45" s="17">
        <f t="shared" si="13"/>
        <v>2029</v>
      </c>
      <c r="AP45" s="333">
        <f t="shared" ca="1" si="9"/>
        <v>175</v>
      </c>
      <c r="AQ45" s="15"/>
      <c r="AR45" s="247">
        <f t="shared" ca="1" si="14"/>
        <v>0</v>
      </c>
      <c r="AS45" s="247">
        <f t="shared" ca="1" si="10"/>
        <v>0</v>
      </c>
      <c r="AT45" s="247">
        <f t="shared" ca="1" si="15"/>
        <v>0</v>
      </c>
      <c r="AU45" s="15"/>
      <c r="AV45" s="247">
        <f t="shared" ca="1" si="16"/>
        <v>412.99526905882794</v>
      </c>
      <c r="AW45" s="247">
        <f t="shared" ca="1" si="11"/>
        <v>175</v>
      </c>
      <c r="AX45" s="247">
        <f t="shared" ca="1" si="17"/>
        <v>237.99526905882794</v>
      </c>
      <c r="AY45" s="15"/>
      <c r="AZ45" s="247">
        <f t="shared" ca="1" si="18"/>
        <v>1940.0047309411725</v>
      </c>
      <c r="BA45" s="247">
        <f t="shared" ca="1" si="12"/>
        <v>0</v>
      </c>
      <c r="BB45" s="247">
        <f t="shared" ca="1" si="19"/>
        <v>1940.0047309411725</v>
      </c>
      <c r="BC45" s="15"/>
      <c r="BD45" s="18"/>
      <c r="BE45" s="18"/>
      <c r="BF45" s="18"/>
      <c r="BG45" s="18"/>
      <c r="BH45" s="18"/>
      <c r="BI45" s="18"/>
      <c r="BJ45" s="18"/>
      <c r="BK45" s="18"/>
      <c r="BL45" s="357"/>
      <c r="BM45" s="2"/>
      <c r="BN45" s="2"/>
      <c r="BO45" s="2"/>
      <c r="BP45" s="2"/>
      <c r="BQ45" s="2"/>
      <c r="BR45" s="2"/>
      <c r="BS45" s="2"/>
      <c r="BT45" s="2"/>
    </row>
    <row r="46" spans="2:72" x14ac:dyDescent="0.3">
      <c r="B46" s="232"/>
      <c r="C46" s="250"/>
      <c r="D46" s="263"/>
      <c r="E46" s="263"/>
      <c r="F46" s="263"/>
      <c r="G46" s="263"/>
      <c r="H46" s="15"/>
      <c r="I46" s="35"/>
      <c r="J46" s="35"/>
      <c r="K46" s="35"/>
      <c r="L46" s="15"/>
      <c r="M46" s="35"/>
      <c r="N46" s="35"/>
      <c r="O46" s="35"/>
      <c r="P46" s="15"/>
      <c r="Q46" s="34"/>
      <c r="R46" s="34"/>
      <c r="S46" s="34"/>
      <c r="T46" s="34"/>
      <c r="U46" s="15"/>
      <c r="V46" s="35"/>
      <c r="W46" s="34"/>
      <c r="X46" s="35"/>
      <c r="Y46" s="34"/>
      <c r="Z46" s="35"/>
      <c r="AA46" s="34"/>
      <c r="AB46" s="34"/>
      <c r="AC46" s="15"/>
      <c r="AD46" s="34"/>
      <c r="AE46" s="34"/>
      <c r="AF46" s="34"/>
      <c r="AG46" s="15"/>
      <c r="AH46" s="273"/>
      <c r="AI46" s="267"/>
      <c r="AJ46" s="267"/>
      <c r="AK46" s="34"/>
      <c r="AL46" s="233"/>
      <c r="AN46" s="232"/>
      <c r="AO46" s="17">
        <f t="shared" si="13"/>
        <v>2030</v>
      </c>
      <c r="AP46" s="333">
        <f t="shared" ca="1" si="9"/>
        <v>175</v>
      </c>
      <c r="AQ46" s="15"/>
      <c r="AR46" s="247">
        <f t="shared" ca="1" si="14"/>
        <v>0</v>
      </c>
      <c r="AS46" s="247">
        <f t="shared" ca="1" si="10"/>
        <v>0</v>
      </c>
      <c r="AT46" s="247">
        <f t="shared" ca="1" si="15"/>
        <v>0</v>
      </c>
      <c r="AU46" s="15"/>
      <c r="AV46" s="247">
        <f t="shared" ca="1" si="16"/>
        <v>237.99526905882794</v>
      </c>
      <c r="AW46" s="247">
        <f t="shared" ca="1" si="11"/>
        <v>175</v>
      </c>
      <c r="AX46" s="247">
        <f t="shared" ca="1" si="17"/>
        <v>62.995269058827944</v>
      </c>
      <c r="AY46" s="15"/>
      <c r="AZ46" s="247">
        <f t="shared" ca="1" si="18"/>
        <v>1940.0047309411725</v>
      </c>
      <c r="BA46" s="247">
        <f t="shared" ca="1" si="12"/>
        <v>0</v>
      </c>
      <c r="BB46" s="247">
        <f t="shared" ca="1" si="19"/>
        <v>1940.0047309411725</v>
      </c>
      <c r="BC46" s="15"/>
      <c r="BD46" s="128"/>
      <c r="BE46" s="18"/>
      <c r="BF46" s="18"/>
      <c r="BG46" s="18"/>
      <c r="BH46" s="18"/>
      <c r="BI46" s="18"/>
      <c r="BJ46" s="18"/>
      <c r="BK46" s="18"/>
      <c r="BL46" s="357"/>
      <c r="BM46" s="2"/>
      <c r="BN46" s="2"/>
      <c r="BO46" s="2"/>
      <c r="BP46" s="2"/>
      <c r="BQ46" s="2"/>
      <c r="BR46" s="2"/>
      <c r="BS46" s="2"/>
      <c r="BT46" s="2"/>
    </row>
    <row r="47" spans="2:72" x14ac:dyDescent="0.3">
      <c r="B47" s="232"/>
      <c r="C47" s="250"/>
      <c r="D47" s="263"/>
      <c r="E47" s="263"/>
      <c r="F47" s="263"/>
      <c r="G47" s="263"/>
      <c r="H47" s="15"/>
      <c r="I47" s="35"/>
      <c r="J47" s="35"/>
      <c r="K47" s="35"/>
      <c r="L47" s="15"/>
      <c r="M47" s="35"/>
      <c r="N47" s="35"/>
      <c r="O47" s="35"/>
      <c r="P47" s="15"/>
      <c r="Q47" s="34"/>
      <c r="R47" s="34"/>
      <c r="S47" s="34"/>
      <c r="T47" s="34"/>
      <c r="U47" s="15"/>
      <c r="V47" s="35"/>
      <c r="W47" s="34"/>
      <c r="X47" s="35"/>
      <c r="Y47" s="34"/>
      <c r="Z47" s="35"/>
      <c r="AA47" s="34"/>
      <c r="AB47" s="34"/>
      <c r="AC47" s="15"/>
      <c r="AD47" s="34"/>
      <c r="AE47" s="34"/>
      <c r="AF47" s="34"/>
      <c r="AG47" s="15"/>
      <c r="AH47" s="273"/>
      <c r="AI47" s="267"/>
      <c r="AJ47" s="267"/>
      <c r="AK47" s="34"/>
      <c r="AL47" s="233"/>
      <c r="AN47" s="232"/>
      <c r="AO47" s="17">
        <f t="shared" si="13"/>
        <v>2031</v>
      </c>
      <c r="AP47" s="333">
        <f t="shared" ca="1" si="9"/>
        <v>175</v>
      </c>
      <c r="AQ47" s="15"/>
      <c r="AR47" s="247">
        <f t="shared" ca="1" si="14"/>
        <v>0</v>
      </c>
      <c r="AS47" s="247">
        <f t="shared" ca="1" si="10"/>
        <v>0</v>
      </c>
      <c r="AT47" s="247">
        <f t="shared" ca="1" si="15"/>
        <v>0</v>
      </c>
      <c r="AU47" s="15"/>
      <c r="AV47" s="247">
        <f t="shared" ca="1" si="16"/>
        <v>62.995269058827944</v>
      </c>
      <c r="AW47" s="247">
        <f t="shared" ca="1" si="11"/>
        <v>62.995269058827944</v>
      </c>
      <c r="AX47" s="247">
        <f t="shared" ca="1" si="17"/>
        <v>0</v>
      </c>
      <c r="AY47" s="15"/>
      <c r="AZ47" s="247">
        <f t="shared" ca="1" si="18"/>
        <v>1940.0047309411725</v>
      </c>
      <c r="BA47" s="247">
        <f t="shared" ca="1" si="12"/>
        <v>112.00473094117206</v>
      </c>
      <c r="BB47" s="247">
        <f t="shared" ca="1" si="19"/>
        <v>1828.0000000000005</v>
      </c>
      <c r="BC47" s="15"/>
      <c r="BD47" s="18"/>
      <c r="BE47" s="18"/>
      <c r="BF47" s="18"/>
      <c r="BG47" s="18"/>
      <c r="BH47" s="18"/>
      <c r="BI47" s="18"/>
      <c r="BJ47" s="18"/>
      <c r="BK47" s="18"/>
      <c r="BL47" s="357"/>
      <c r="BM47" s="2"/>
      <c r="BN47" s="2"/>
      <c r="BO47" s="2"/>
      <c r="BP47" s="2"/>
      <c r="BQ47" s="2"/>
      <c r="BR47" s="2"/>
      <c r="BS47" s="2"/>
      <c r="BT47" s="2"/>
    </row>
    <row r="48" spans="2:72" x14ac:dyDescent="0.3">
      <c r="B48" s="232"/>
      <c r="C48" s="250"/>
      <c r="D48" s="263"/>
      <c r="E48" s="263"/>
      <c r="F48" s="263"/>
      <c r="G48" s="263"/>
      <c r="H48" s="15"/>
      <c r="I48" s="35"/>
      <c r="J48" s="35"/>
      <c r="K48" s="35"/>
      <c r="L48" s="15"/>
      <c r="M48" s="35"/>
      <c r="N48" s="35"/>
      <c r="O48" s="35"/>
      <c r="P48" s="15"/>
      <c r="Q48" s="34"/>
      <c r="R48" s="34"/>
      <c r="S48" s="34"/>
      <c r="T48" s="34"/>
      <c r="U48" s="15"/>
      <c r="V48" s="35"/>
      <c r="W48" s="34"/>
      <c r="X48" s="35"/>
      <c r="Y48" s="34"/>
      <c r="Z48" s="35"/>
      <c r="AA48" s="34"/>
      <c r="AB48" s="34"/>
      <c r="AC48" s="15"/>
      <c r="AD48" s="34"/>
      <c r="AE48" s="34"/>
      <c r="AF48" s="34"/>
      <c r="AG48" s="15"/>
      <c r="AH48" s="273"/>
      <c r="AI48" s="267"/>
      <c r="AJ48" s="267"/>
      <c r="AK48" s="34"/>
      <c r="AL48" s="233"/>
      <c r="AN48" s="232"/>
      <c r="AO48" s="17">
        <f t="shared" si="13"/>
        <v>2032</v>
      </c>
      <c r="AP48" s="333">
        <f t="shared" ca="1" si="9"/>
        <v>175</v>
      </c>
      <c r="AQ48" s="15"/>
      <c r="AR48" s="247">
        <f t="shared" ca="1" si="14"/>
        <v>0</v>
      </c>
      <c r="AS48" s="247">
        <f t="shared" ca="1" si="10"/>
        <v>0</v>
      </c>
      <c r="AT48" s="247">
        <f t="shared" ca="1" si="15"/>
        <v>0</v>
      </c>
      <c r="AU48" s="15"/>
      <c r="AV48" s="247">
        <f t="shared" ca="1" si="16"/>
        <v>0</v>
      </c>
      <c r="AW48" s="247">
        <f t="shared" ca="1" si="11"/>
        <v>0</v>
      </c>
      <c r="AX48" s="247">
        <f t="shared" ca="1" si="17"/>
        <v>0</v>
      </c>
      <c r="AY48" s="15"/>
      <c r="AZ48" s="247">
        <f t="shared" ca="1" si="18"/>
        <v>1828.0000000000005</v>
      </c>
      <c r="BA48" s="247">
        <f t="shared" ca="1" si="12"/>
        <v>175</v>
      </c>
      <c r="BB48" s="247">
        <f t="shared" ca="1" si="19"/>
        <v>1653.0000000000005</v>
      </c>
      <c r="BC48" s="15"/>
      <c r="BD48" s="326"/>
      <c r="BE48" s="18"/>
      <c r="BF48" s="18"/>
      <c r="BG48" s="18"/>
      <c r="BH48" s="18"/>
      <c r="BI48" s="18"/>
      <c r="BJ48" s="18"/>
      <c r="BK48" s="18"/>
      <c r="BL48" s="357"/>
      <c r="BM48" s="2"/>
      <c r="BN48" s="2"/>
      <c r="BO48" s="2"/>
      <c r="BP48" s="2"/>
      <c r="BQ48" s="2"/>
      <c r="BR48" s="2"/>
      <c r="BS48" s="2"/>
      <c r="BT48" s="2"/>
    </row>
    <row r="49" spans="2:72" x14ac:dyDescent="0.3">
      <c r="B49" s="232"/>
      <c r="C49" s="250"/>
      <c r="D49" s="263"/>
      <c r="E49" s="263"/>
      <c r="F49" s="263"/>
      <c r="G49" s="263"/>
      <c r="H49" s="15"/>
      <c r="I49" s="35"/>
      <c r="J49" s="35"/>
      <c r="K49" s="35"/>
      <c r="L49" s="15"/>
      <c r="M49" s="35"/>
      <c r="N49" s="35"/>
      <c r="O49" s="35"/>
      <c r="P49" s="15"/>
      <c r="Q49" s="34"/>
      <c r="R49" s="34"/>
      <c r="S49" s="34"/>
      <c r="T49" s="34"/>
      <c r="U49" s="15"/>
      <c r="V49" s="35"/>
      <c r="W49" s="34"/>
      <c r="X49" s="35"/>
      <c r="Y49" s="34"/>
      <c r="Z49" s="35"/>
      <c r="AA49" s="34"/>
      <c r="AB49" s="34"/>
      <c r="AC49" s="15"/>
      <c r="AD49" s="34"/>
      <c r="AE49" s="34"/>
      <c r="AF49" s="34"/>
      <c r="AG49" s="15"/>
      <c r="AH49" s="273"/>
      <c r="AI49" s="267"/>
      <c r="AJ49" s="267"/>
      <c r="AK49" s="34"/>
      <c r="AL49" s="233"/>
      <c r="AN49" s="232"/>
      <c r="AO49" s="17">
        <f t="shared" si="13"/>
        <v>2033</v>
      </c>
      <c r="AP49" s="333">
        <f t="shared" ca="1" si="9"/>
        <v>175</v>
      </c>
      <c r="AQ49" s="15"/>
      <c r="AR49" s="247">
        <f t="shared" ca="1" si="14"/>
        <v>0</v>
      </c>
      <c r="AS49" s="247">
        <f t="shared" ca="1" si="10"/>
        <v>0</v>
      </c>
      <c r="AT49" s="247">
        <f t="shared" ca="1" si="15"/>
        <v>0</v>
      </c>
      <c r="AU49" s="15"/>
      <c r="AV49" s="247">
        <f t="shared" ca="1" si="16"/>
        <v>0</v>
      </c>
      <c r="AW49" s="247">
        <f t="shared" ca="1" si="11"/>
        <v>0</v>
      </c>
      <c r="AX49" s="247">
        <f t="shared" ca="1" si="17"/>
        <v>0</v>
      </c>
      <c r="AY49" s="15"/>
      <c r="AZ49" s="247">
        <f t="shared" ca="1" si="18"/>
        <v>1653.0000000000005</v>
      </c>
      <c r="BA49" s="247">
        <f t="shared" ca="1" si="12"/>
        <v>175</v>
      </c>
      <c r="BB49" s="247">
        <f t="shared" ca="1" si="19"/>
        <v>1478.0000000000005</v>
      </c>
      <c r="BC49" s="15"/>
      <c r="BD49" s="128"/>
      <c r="BE49" s="18"/>
      <c r="BF49" s="18"/>
      <c r="BG49" s="18"/>
      <c r="BH49" s="18"/>
      <c r="BI49" s="18"/>
      <c r="BJ49" s="18"/>
      <c r="BK49" s="18"/>
      <c r="BL49" s="357"/>
      <c r="BM49" s="2"/>
      <c r="BN49" s="2"/>
      <c r="BO49" s="2"/>
      <c r="BP49" s="2"/>
      <c r="BQ49" s="2"/>
      <c r="BR49" s="2"/>
      <c r="BS49" s="2"/>
      <c r="BT49" s="2"/>
    </row>
    <row r="50" spans="2:72" x14ac:dyDescent="0.3">
      <c r="B50" s="232"/>
      <c r="C50" s="250"/>
      <c r="D50" s="263"/>
      <c r="E50" s="263"/>
      <c r="F50" s="263"/>
      <c r="G50" s="263"/>
      <c r="H50" s="15"/>
      <c r="I50" s="35"/>
      <c r="J50" s="35"/>
      <c r="K50" s="35"/>
      <c r="L50" s="15"/>
      <c r="M50" s="35"/>
      <c r="N50" s="35"/>
      <c r="O50" s="35"/>
      <c r="P50" s="15"/>
      <c r="Q50" s="34"/>
      <c r="R50" s="34"/>
      <c r="S50" s="34"/>
      <c r="T50" s="34"/>
      <c r="U50" s="15"/>
      <c r="V50" s="35"/>
      <c r="W50" s="34"/>
      <c r="X50" s="35"/>
      <c r="Y50" s="34"/>
      <c r="Z50" s="35"/>
      <c r="AA50" s="34"/>
      <c r="AB50" s="34"/>
      <c r="AC50" s="15"/>
      <c r="AD50" s="34"/>
      <c r="AE50" s="34"/>
      <c r="AF50" s="34"/>
      <c r="AG50" s="15"/>
      <c r="AH50" s="273"/>
      <c r="AI50" s="267"/>
      <c r="AJ50" s="267"/>
      <c r="AK50" s="34"/>
      <c r="AL50" s="233"/>
      <c r="AN50" s="232"/>
      <c r="AO50" s="17">
        <f t="shared" si="13"/>
        <v>2034</v>
      </c>
      <c r="AP50" s="333">
        <f t="shared" ca="1" si="9"/>
        <v>175</v>
      </c>
      <c r="AQ50" s="15"/>
      <c r="AR50" s="247">
        <f t="shared" ca="1" si="14"/>
        <v>0</v>
      </c>
      <c r="AS50" s="247">
        <f t="shared" ca="1" si="10"/>
        <v>0</v>
      </c>
      <c r="AT50" s="247">
        <f t="shared" ca="1" si="15"/>
        <v>0</v>
      </c>
      <c r="AU50" s="15"/>
      <c r="AV50" s="247">
        <f t="shared" ca="1" si="16"/>
        <v>0</v>
      </c>
      <c r="AW50" s="247">
        <f t="shared" ca="1" si="11"/>
        <v>0</v>
      </c>
      <c r="AX50" s="247">
        <f t="shared" ca="1" si="17"/>
        <v>0</v>
      </c>
      <c r="AY50" s="15"/>
      <c r="AZ50" s="247">
        <f t="shared" ca="1" si="18"/>
        <v>1478.0000000000005</v>
      </c>
      <c r="BA50" s="247">
        <f t="shared" ca="1" si="12"/>
        <v>175</v>
      </c>
      <c r="BB50" s="247">
        <f t="shared" ca="1" si="19"/>
        <v>1303.0000000000005</v>
      </c>
      <c r="BC50" s="15"/>
      <c r="BD50" s="18"/>
      <c r="BE50" s="18"/>
      <c r="BF50" s="18"/>
      <c r="BG50" s="18"/>
      <c r="BH50" s="18"/>
      <c r="BI50" s="18"/>
      <c r="BJ50" s="18"/>
      <c r="BK50" s="18"/>
      <c r="BL50" s="357"/>
      <c r="BM50" s="2"/>
      <c r="BN50" s="2"/>
      <c r="BO50" s="2"/>
      <c r="BP50" s="2"/>
      <c r="BQ50" s="2"/>
      <c r="BR50" s="2"/>
      <c r="BS50" s="2"/>
      <c r="BT50" s="2"/>
    </row>
    <row r="51" spans="2:72" x14ac:dyDescent="0.3">
      <c r="B51" s="232"/>
      <c r="C51" s="250"/>
      <c r="D51" s="263"/>
      <c r="E51" s="263"/>
      <c r="F51" s="263"/>
      <c r="G51" s="263"/>
      <c r="H51" s="15"/>
      <c r="I51" s="35"/>
      <c r="J51" s="35"/>
      <c r="K51" s="35"/>
      <c r="L51" s="15"/>
      <c r="M51" s="35"/>
      <c r="N51" s="35"/>
      <c r="O51" s="35"/>
      <c r="P51" s="15"/>
      <c r="Q51" s="34"/>
      <c r="R51" s="34"/>
      <c r="S51" s="34"/>
      <c r="T51" s="34"/>
      <c r="U51" s="15"/>
      <c r="V51" s="35"/>
      <c r="W51" s="34"/>
      <c r="X51" s="35"/>
      <c r="Y51" s="34"/>
      <c r="Z51" s="35"/>
      <c r="AA51" s="34"/>
      <c r="AB51" s="34"/>
      <c r="AC51" s="15"/>
      <c r="AD51" s="34"/>
      <c r="AE51" s="34"/>
      <c r="AF51" s="34"/>
      <c r="AG51" s="15"/>
      <c r="AH51" s="273"/>
      <c r="AI51" s="267"/>
      <c r="AJ51" s="267"/>
      <c r="AK51" s="34"/>
      <c r="AL51" s="233"/>
      <c r="AN51" s="232"/>
      <c r="AO51" s="17">
        <f t="shared" si="13"/>
        <v>2035</v>
      </c>
      <c r="AP51" s="333">
        <f t="shared" ca="1" si="9"/>
        <v>175</v>
      </c>
      <c r="AQ51" s="15"/>
      <c r="AR51" s="247">
        <f t="shared" ca="1" si="14"/>
        <v>0</v>
      </c>
      <c r="AS51" s="247">
        <f t="shared" ca="1" si="10"/>
        <v>0</v>
      </c>
      <c r="AT51" s="247">
        <f t="shared" ca="1" si="15"/>
        <v>0</v>
      </c>
      <c r="AU51" s="15"/>
      <c r="AV51" s="247">
        <f t="shared" ca="1" si="16"/>
        <v>0</v>
      </c>
      <c r="AW51" s="247">
        <f t="shared" ca="1" si="11"/>
        <v>0</v>
      </c>
      <c r="AX51" s="247">
        <f t="shared" ca="1" si="17"/>
        <v>0</v>
      </c>
      <c r="AY51" s="15"/>
      <c r="AZ51" s="247">
        <f t="shared" ca="1" si="18"/>
        <v>1303.0000000000005</v>
      </c>
      <c r="BA51" s="247">
        <f t="shared" ca="1" si="12"/>
        <v>175</v>
      </c>
      <c r="BB51" s="247">
        <f t="shared" ca="1" si="19"/>
        <v>1128.0000000000005</v>
      </c>
      <c r="BC51" s="15"/>
      <c r="BD51" s="326"/>
      <c r="BE51" s="18"/>
      <c r="BF51" s="18"/>
      <c r="BG51" s="18"/>
      <c r="BH51" s="18"/>
      <c r="BI51" s="18"/>
      <c r="BJ51" s="18"/>
      <c r="BK51" s="18"/>
      <c r="BL51" s="357"/>
      <c r="BM51" s="2"/>
      <c r="BN51" s="2"/>
      <c r="BO51" s="2"/>
      <c r="BP51" s="2"/>
      <c r="BQ51" s="2"/>
      <c r="BR51" s="2"/>
      <c r="BS51" s="2"/>
      <c r="BT51" s="2"/>
    </row>
    <row r="52" spans="2:72" x14ac:dyDescent="0.3">
      <c r="B52" s="232"/>
      <c r="C52" s="250"/>
      <c r="D52" s="263"/>
      <c r="E52" s="263"/>
      <c r="F52" s="263"/>
      <c r="G52" s="263"/>
      <c r="H52" s="15"/>
      <c r="I52" s="35"/>
      <c r="J52" s="35"/>
      <c r="K52" s="35"/>
      <c r="L52" s="15"/>
      <c r="M52" s="35"/>
      <c r="N52" s="35"/>
      <c r="O52" s="35"/>
      <c r="P52" s="15"/>
      <c r="Q52" s="34"/>
      <c r="R52" s="34"/>
      <c r="S52" s="34"/>
      <c r="T52" s="34"/>
      <c r="U52" s="15"/>
      <c r="V52" s="35"/>
      <c r="W52" s="34"/>
      <c r="X52" s="35"/>
      <c r="Y52" s="34"/>
      <c r="Z52" s="35"/>
      <c r="AA52" s="34"/>
      <c r="AB52" s="34"/>
      <c r="AC52" s="15"/>
      <c r="AD52" s="34"/>
      <c r="AE52" s="34"/>
      <c r="AF52" s="34"/>
      <c r="AG52" s="15"/>
      <c r="AH52" s="273"/>
      <c r="AI52" s="267"/>
      <c r="AJ52" s="267"/>
      <c r="AK52" s="34"/>
      <c r="AL52" s="233"/>
      <c r="AN52" s="232"/>
      <c r="AO52" s="17">
        <f t="shared" si="13"/>
        <v>2036</v>
      </c>
      <c r="AP52" s="333">
        <f t="shared" ca="1" si="9"/>
        <v>175</v>
      </c>
      <c r="AQ52" s="15"/>
      <c r="AR52" s="247">
        <f t="shared" ca="1" si="14"/>
        <v>0</v>
      </c>
      <c r="AS52" s="247">
        <f t="shared" ca="1" si="10"/>
        <v>0</v>
      </c>
      <c r="AT52" s="247">
        <f t="shared" ca="1" si="15"/>
        <v>0</v>
      </c>
      <c r="AU52" s="15"/>
      <c r="AV52" s="247">
        <f t="shared" ca="1" si="16"/>
        <v>0</v>
      </c>
      <c r="AW52" s="247">
        <f t="shared" ca="1" si="11"/>
        <v>0</v>
      </c>
      <c r="AX52" s="247">
        <f t="shared" ca="1" si="17"/>
        <v>0</v>
      </c>
      <c r="AY52" s="15"/>
      <c r="AZ52" s="247">
        <f t="shared" ca="1" si="18"/>
        <v>1128.0000000000005</v>
      </c>
      <c r="BA52" s="247">
        <f t="shared" ca="1" si="12"/>
        <v>175</v>
      </c>
      <c r="BB52" s="247">
        <f t="shared" ca="1" si="19"/>
        <v>953.00000000000045</v>
      </c>
      <c r="BC52" s="15"/>
      <c r="BD52" s="128"/>
      <c r="BE52" s="18"/>
      <c r="BF52" s="18"/>
      <c r="BG52" s="18"/>
      <c r="BH52" s="18"/>
      <c r="BI52" s="18"/>
      <c r="BJ52" s="18"/>
      <c r="BK52" s="18"/>
      <c r="BL52" s="357"/>
      <c r="BM52" s="2"/>
      <c r="BN52" s="2"/>
      <c r="BO52" s="2"/>
      <c r="BP52" s="2"/>
      <c r="BQ52" s="2"/>
      <c r="BR52" s="2"/>
      <c r="BS52" s="2"/>
      <c r="BT52" s="2"/>
    </row>
    <row r="53" spans="2:72" x14ac:dyDescent="0.3">
      <c r="B53" s="232"/>
      <c r="C53" s="250"/>
      <c r="D53" s="263"/>
      <c r="E53" s="263"/>
      <c r="F53" s="263"/>
      <c r="G53" s="263"/>
      <c r="H53" s="15"/>
      <c r="I53" s="35"/>
      <c r="J53" s="35"/>
      <c r="K53" s="35"/>
      <c r="L53" s="15"/>
      <c r="M53" s="35"/>
      <c r="N53" s="35"/>
      <c r="O53" s="35"/>
      <c r="P53" s="15"/>
      <c r="Q53" s="34"/>
      <c r="R53" s="34"/>
      <c r="S53" s="34"/>
      <c r="T53" s="34"/>
      <c r="U53" s="15"/>
      <c r="V53" s="35"/>
      <c r="W53" s="34"/>
      <c r="X53" s="35"/>
      <c r="Y53" s="34"/>
      <c r="Z53" s="35"/>
      <c r="AA53" s="34"/>
      <c r="AB53" s="34"/>
      <c r="AC53" s="15"/>
      <c r="AD53" s="34"/>
      <c r="AE53" s="34"/>
      <c r="AF53" s="34"/>
      <c r="AG53" s="15"/>
      <c r="AH53" s="273"/>
      <c r="AI53" s="267"/>
      <c r="AJ53" s="267"/>
      <c r="AK53" s="34"/>
      <c r="AL53" s="233"/>
      <c r="AN53" s="232"/>
      <c r="AO53" s="17">
        <f t="shared" si="13"/>
        <v>2037</v>
      </c>
      <c r="AP53" s="333">
        <f t="shared" ca="1" si="9"/>
        <v>175</v>
      </c>
      <c r="AQ53" s="15"/>
      <c r="AR53" s="247">
        <f t="shared" ca="1" si="14"/>
        <v>0</v>
      </c>
      <c r="AS53" s="247">
        <f t="shared" ca="1" si="10"/>
        <v>0</v>
      </c>
      <c r="AT53" s="247">
        <f t="shared" ca="1" si="15"/>
        <v>0</v>
      </c>
      <c r="AU53" s="15"/>
      <c r="AV53" s="247">
        <f t="shared" ca="1" si="16"/>
        <v>0</v>
      </c>
      <c r="AW53" s="247">
        <f t="shared" ca="1" si="11"/>
        <v>0</v>
      </c>
      <c r="AX53" s="247">
        <f t="shared" ca="1" si="17"/>
        <v>0</v>
      </c>
      <c r="AY53" s="15"/>
      <c r="AZ53" s="247">
        <f t="shared" ca="1" si="18"/>
        <v>953.00000000000045</v>
      </c>
      <c r="BA53" s="247">
        <f t="shared" ca="1" si="12"/>
        <v>175</v>
      </c>
      <c r="BB53" s="247">
        <f t="shared" ca="1" si="19"/>
        <v>778.00000000000045</v>
      </c>
      <c r="BC53" s="15"/>
      <c r="BD53" s="18"/>
      <c r="BE53" s="18"/>
      <c r="BF53" s="18"/>
      <c r="BG53" s="18"/>
      <c r="BH53" s="18"/>
      <c r="BI53" s="18"/>
      <c r="BJ53" s="18"/>
      <c r="BK53" s="18"/>
      <c r="BL53" s="357"/>
      <c r="BM53" s="2"/>
      <c r="BN53" s="2"/>
      <c r="BO53" s="2"/>
      <c r="BP53" s="2"/>
      <c r="BQ53" s="2"/>
      <c r="BR53" s="2"/>
      <c r="BS53" s="2"/>
      <c r="BT53" s="2"/>
    </row>
    <row r="54" spans="2:72" x14ac:dyDescent="0.3">
      <c r="B54" s="232"/>
      <c r="C54" s="250"/>
      <c r="D54" s="263"/>
      <c r="E54" s="263"/>
      <c r="F54" s="263"/>
      <c r="G54" s="263"/>
      <c r="H54" s="15"/>
      <c r="I54" s="35"/>
      <c r="J54" s="35"/>
      <c r="K54" s="35"/>
      <c r="L54" s="15"/>
      <c r="M54" s="35"/>
      <c r="N54" s="35"/>
      <c r="O54" s="35"/>
      <c r="P54" s="15"/>
      <c r="Q54" s="34"/>
      <c r="R54" s="34"/>
      <c r="S54" s="34"/>
      <c r="T54" s="34"/>
      <c r="U54" s="15"/>
      <c r="V54" s="35"/>
      <c r="W54" s="34"/>
      <c r="X54" s="35"/>
      <c r="Y54" s="34"/>
      <c r="Z54" s="35"/>
      <c r="AA54" s="34"/>
      <c r="AB54" s="34"/>
      <c r="AC54" s="15"/>
      <c r="AD54" s="34"/>
      <c r="AE54" s="34"/>
      <c r="AF54" s="34"/>
      <c r="AG54" s="15"/>
      <c r="AH54" s="273"/>
      <c r="AI54" s="267"/>
      <c r="AJ54" s="267"/>
      <c r="AK54" s="34"/>
      <c r="AL54" s="233"/>
      <c r="AN54" s="232"/>
      <c r="AO54" s="17">
        <f t="shared" si="13"/>
        <v>2038</v>
      </c>
      <c r="AP54" s="333">
        <f t="shared" ca="1" si="9"/>
        <v>175</v>
      </c>
      <c r="AQ54" s="15"/>
      <c r="AR54" s="247">
        <f t="shared" ca="1" si="14"/>
        <v>0</v>
      </c>
      <c r="AS54" s="247">
        <f t="shared" ca="1" si="10"/>
        <v>0</v>
      </c>
      <c r="AT54" s="247">
        <f t="shared" ca="1" si="15"/>
        <v>0</v>
      </c>
      <c r="AU54" s="15"/>
      <c r="AV54" s="247">
        <f t="shared" ca="1" si="16"/>
        <v>0</v>
      </c>
      <c r="AW54" s="247">
        <f t="shared" ca="1" si="11"/>
        <v>0</v>
      </c>
      <c r="AX54" s="247">
        <f t="shared" ca="1" si="17"/>
        <v>0</v>
      </c>
      <c r="AY54" s="15"/>
      <c r="AZ54" s="247">
        <f t="shared" ca="1" si="18"/>
        <v>778.00000000000045</v>
      </c>
      <c r="BA54" s="247">
        <f t="shared" ca="1" si="12"/>
        <v>175</v>
      </c>
      <c r="BB54" s="247">
        <f t="shared" ca="1" si="19"/>
        <v>603.00000000000045</v>
      </c>
      <c r="BC54" s="15"/>
      <c r="BD54" s="326"/>
      <c r="BE54" s="18"/>
      <c r="BF54" s="18"/>
      <c r="BG54" s="18"/>
      <c r="BH54" s="18"/>
      <c r="BI54" s="18"/>
      <c r="BJ54" s="18"/>
      <c r="BK54" s="18"/>
      <c r="BL54" s="357"/>
      <c r="BM54" s="2"/>
      <c r="BN54" s="2"/>
      <c r="BO54" s="2"/>
      <c r="BP54" s="2"/>
      <c r="BQ54" s="2"/>
      <c r="BR54" s="2"/>
      <c r="BS54" s="2"/>
      <c r="BT54" s="2"/>
    </row>
    <row r="55" spans="2:72" x14ac:dyDescent="0.3">
      <c r="B55" s="232"/>
      <c r="C55" s="250"/>
      <c r="D55" s="263"/>
      <c r="E55" s="263"/>
      <c r="F55" s="263"/>
      <c r="G55" s="263"/>
      <c r="H55" s="15"/>
      <c r="I55" s="35"/>
      <c r="J55" s="35"/>
      <c r="K55" s="35"/>
      <c r="L55" s="15"/>
      <c r="M55" s="35"/>
      <c r="N55" s="35"/>
      <c r="O55" s="35"/>
      <c r="P55" s="15"/>
      <c r="Q55" s="34"/>
      <c r="R55" s="34"/>
      <c r="S55" s="34"/>
      <c r="T55" s="34"/>
      <c r="U55" s="15"/>
      <c r="V55" s="35"/>
      <c r="W55" s="34"/>
      <c r="X55" s="35"/>
      <c r="Y55" s="34"/>
      <c r="Z55" s="35"/>
      <c r="AA55" s="34"/>
      <c r="AB55" s="34"/>
      <c r="AC55" s="15"/>
      <c r="AD55" s="34"/>
      <c r="AE55" s="34"/>
      <c r="AF55" s="34"/>
      <c r="AG55" s="15"/>
      <c r="AH55" s="273"/>
      <c r="AI55" s="267"/>
      <c r="AJ55" s="267"/>
      <c r="AK55" s="34"/>
      <c r="AL55" s="233"/>
      <c r="AN55" s="232"/>
      <c r="AO55" s="17">
        <f t="shared" si="13"/>
        <v>2039</v>
      </c>
      <c r="AP55" s="333">
        <f t="shared" ca="1" si="9"/>
        <v>175</v>
      </c>
      <c r="AQ55" s="15"/>
      <c r="AR55" s="247">
        <f t="shared" ca="1" si="14"/>
        <v>0</v>
      </c>
      <c r="AS55" s="247">
        <f t="shared" ca="1" si="10"/>
        <v>0</v>
      </c>
      <c r="AT55" s="247">
        <f t="shared" ca="1" si="15"/>
        <v>0</v>
      </c>
      <c r="AU55" s="15"/>
      <c r="AV55" s="247">
        <f t="shared" ca="1" si="16"/>
        <v>0</v>
      </c>
      <c r="AW55" s="247">
        <f t="shared" ca="1" si="11"/>
        <v>0</v>
      </c>
      <c r="AX55" s="247">
        <f t="shared" ca="1" si="17"/>
        <v>0</v>
      </c>
      <c r="AY55" s="15"/>
      <c r="AZ55" s="247">
        <f t="shared" ca="1" si="18"/>
        <v>603.00000000000045</v>
      </c>
      <c r="BA55" s="247">
        <f t="shared" ca="1" si="12"/>
        <v>175</v>
      </c>
      <c r="BB55" s="247">
        <f t="shared" ca="1" si="19"/>
        <v>428.00000000000045</v>
      </c>
      <c r="BC55" s="15"/>
      <c r="BD55" s="18"/>
      <c r="BE55" s="18"/>
      <c r="BF55" s="18"/>
      <c r="BG55" s="18"/>
      <c r="BH55" s="18"/>
      <c r="BI55" s="18"/>
      <c r="BJ55" s="18"/>
      <c r="BK55" s="18"/>
      <c r="BL55" s="357"/>
      <c r="BM55" s="2"/>
      <c r="BN55" s="2"/>
      <c r="BO55" s="2"/>
      <c r="BP55" s="2"/>
      <c r="BQ55" s="2"/>
      <c r="BR55" s="2"/>
      <c r="BS55" s="2"/>
      <c r="BT55" s="2"/>
    </row>
    <row r="56" spans="2:72" x14ac:dyDescent="0.3">
      <c r="B56" s="232"/>
      <c r="C56" s="250"/>
      <c r="D56" s="263"/>
      <c r="E56" s="263"/>
      <c r="F56" s="263"/>
      <c r="G56" s="263"/>
      <c r="H56" s="15"/>
      <c r="I56" s="35"/>
      <c r="J56" s="35"/>
      <c r="K56" s="35"/>
      <c r="L56" s="15"/>
      <c r="M56" s="35"/>
      <c r="N56" s="35"/>
      <c r="O56" s="35"/>
      <c r="P56" s="15"/>
      <c r="Q56" s="34"/>
      <c r="R56" s="34"/>
      <c r="S56" s="34"/>
      <c r="T56" s="34"/>
      <c r="U56" s="15"/>
      <c r="V56" s="35"/>
      <c r="W56" s="34"/>
      <c r="X56" s="35"/>
      <c r="Y56" s="34"/>
      <c r="Z56" s="35"/>
      <c r="AA56" s="34"/>
      <c r="AB56" s="34"/>
      <c r="AC56" s="15"/>
      <c r="AD56" s="34"/>
      <c r="AE56" s="34"/>
      <c r="AF56" s="34"/>
      <c r="AG56" s="15"/>
      <c r="AH56" s="273"/>
      <c r="AI56" s="267"/>
      <c r="AJ56" s="267"/>
      <c r="AK56" s="34"/>
      <c r="AL56" s="233"/>
      <c r="AN56" s="232"/>
      <c r="AO56" s="17">
        <f t="shared" si="13"/>
        <v>2040</v>
      </c>
      <c r="AP56" s="333">
        <f t="shared" ca="1" si="9"/>
        <v>0</v>
      </c>
      <c r="AQ56" s="15"/>
      <c r="AR56" s="247">
        <f t="shared" ca="1" si="14"/>
        <v>0</v>
      </c>
      <c r="AS56" s="247">
        <f t="shared" ca="1" si="10"/>
        <v>0</v>
      </c>
      <c r="AT56" s="247">
        <f t="shared" ca="1" si="15"/>
        <v>0</v>
      </c>
      <c r="AU56" s="15"/>
      <c r="AV56" s="247">
        <f t="shared" ca="1" si="16"/>
        <v>0</v>
      </c>
      <c r="AW56" s="247">
        <f t="shared" ca="1" si="11"/>
        <v>0</v>
      </c>
      <c r="AX56" s="247">
        <f t="shared" ca="1" si="17"/>
        <v>0</v>
      </c>
      <c r="AY56" s="15"/>
      <c r="AZ56" s="247">
        <f t="shared" ca="1" si="18"/>
        <v>428.00000000000045</v>
      </c>
      <c r="BA56" s="247">
        <f t="shared" ca="1" si="12"/>
        <v>0</v>
      </c>
      <c r="BB56" s="247">
        <f t="shared" ca="1" si="19"/>
        <v>428.00000000000045</v>
      </c>
      <c r="BC56" s="15"/>
      <c r="BD56" s="326"/>
      <c r="BE56" s="18"/>
      <c r="BF56" s="18"/>
      <c r="BG56" s="18"/>
      <c r="BH56" s="18"/>
      <c r="BI56" s="18"/>
      <c r="BJ56" s="18"/>
      <c r="BK56" s="18"/>
      <c r="BL56" s="357"/>
      <c r="BM56" s="2"/>
      <c r="BN56" s="2"/>
      <c r="BO56" s="2"/>
      <c r="BP56" s="2"/>
      <c r="BQ56" s="2"/>
      <c r="BR56" s="2"/>
      <c r="BS56" s="2"/>
      <c r="BT56" s="2"/>
    </row>
    <row r="57" spans="2:72" x14ac:dyDescent="0.3">
      <c r="B57" s="232"/>
      <c r="C57" s="250"/>
      <c r="D57" s="263"/>
      <c r="E57" s="263"/>
      <c r="F57" s="263"/>
      <c r="G57" s="263"/>
      <c r="H57" s="15"/>
      <c r="I57" s="35"/>
      <c r="J57" s="35"/>
      <c r="K57" s="35"/>
      <c r="L57" s="15"/>
      <c r="M57" s="35"/>
      <c r="N57" s="35"/>
      <c r="O57" s="35"/>
      <c r="P57" s="15"/>
      <c r="Q57" s="34"/>
      <c r="R57" s="34"/>
      <c r="S57" s="34"/>
      <c r="T57" s="34"/>
      <c r="U57" s="15"/>
      <c r="V57" s="35"/>
      <c r="W57" s="34"/>
      <c r="X57" s="35"/>
      <c r="Y57" s="34"/>
      <c r="Z57" s="35"/>
      <c r="AA57" s="34"/>
      <c r="AB57" s="34"/>
      <c r="AC57" s="15"/>
      <c r="AD57" s="34"/>
      <c r="AE57" s="34"/>
      <c r="AF57" s="34"/>
      <c r="AG57" s="15"/>
      <c r="AH57" s="273"/>
      <c r="AI57" s="267"/>
      <c r="AJ57" s="267"/>
      <c r="AK57" s="34"/>
      <c r="AL57" s="233"/>
      <c r="AN57" s="232"/>
      <c r="AO57" s="17">
        <f t="shared" si="13"/>
        <v>2041</v>
      </c>
      <c r="AP57" s="333">
        <f t="shared" ca="1" si="9"/>
        <v>0</v>
      </c>
      <c r="AQ57" s="15"/>
      <c r="AR57" s="247">
        <f t="shared" ca="1" si="14"/>
        <v>0</v>
      </c>
      <c r="AS57" s="247">
        <f t="shared" ca="1" si="10"/>
        <v>0</v>
      </c>
      <c r="AT57" s="247">
        <f t="shared" ca="1" si="15"/>
        <v>0</v>
      </c>
      <c r="AU57" s="15"/>
      <c r="AV57" s="247">
        <f t="shared" ca="1" si="16"/>
        <v>0</v>
      </c>
      <c r="AW57" s="247">
        <f t="shared" ca="1" si="11"/>
        <v>0</v>
      </c>
      <c r="AX57" s="247">
        <f t="shared" ca="1" si="17"/>
        <v>0</v>
      </c>
      <c r="AY57" s="15"/>
      <c r="AZ57" s="247">
        <f t="shared" ca="1" si="18"/>
        <v>428.00000000000045</v>
      </c>
      <c r="BA57" s="247">
        <f t="shared" ca="1" si="12"/>
        <v>0</v>
      </c>
      <c r="BB57" s="247">
        <f t="shared" ca="1" si="19"/>
        <v>428.00000000000045</v>
      </c>
      <c r="BC57" s="15"/>
      <c r="BD57" s="128"/>
      <c r="BE57" s="18"/>
      <c r="BF57" s="18"/>
      <c r="BG57" s="18"/>
      <c r="BH57" s="18"/>
      <c r="BI57" s="18"/>
      <c r="BJ57" s="18"/>
      <c r="BK57" s="18"/>
      <c r="BL57" s="357"/>
      <c r="BM57" s="2"/>
      <c r="BN57" s="2"/>
      <c r="BO57" s="2"/>
      <c r="BP57" s="2"/>
      <c r="BQ57" s="2"/>
      <c r="BR57" s="2"/>
      <c r="BS57" s="2"/>
      <c r="BT57" s="2"/>
    </row>
    <row r="58" spans="2:72" x14ac:dyDescent="0.3">
      <c r="B58" s="232"/>
      <c r="C58" s="250"/>
      <c r="D58" s="263"/>
      <c r="E58" s="263"/>
      <c r="F58" s="263"/>
      <c r="G58" s="263"/>
      <c r="H58" s="15"/>
      <c r="I58" s="35"/>
      <c r="J58" s="35"/>
      <c r="K58" s="35"/>
      <c r="L58" s="15"/>
      <c r="M58" s="35"/>
      <c r="N58" s="35"/>
      <c r="O58" s="35"/>
      <c r="P58" s="15"/>
      <c r="Q58" s="34"/>
      <c r="R58" s="34"/>
      <c r="S58" s="34"/>
      <c r="T58" s="34"/>
      <c r="U58" s="15"/>
      <c r="V58" s="35"/>
      <c r="W58" s="34"/>
      <c r="X58" s="35"/>
      <c r="Y58" s="34"/>
      <c r="Z58" s="35"/>
      <c r="AA58" s="34"/>
      <c r="AB58" s="34"/>
      <c r="AC58" s="15"/>
      <c r="AD58" s="34"/>
      <c r="AE58" s="34"/>
      <c r="AF58" s="34"/>
      <c r="AG58" s="15"/>
      <c r="AH58" s="273"/>
      <c r="AI58" s="267"/>
      <c r="AJ58" s="267"/>
      <c r="AK58" s="34"/>
      <c r="AL58" s="233"/>
      <c r="AN58" s="232"/>
      <c r="AO58" s="17">
        <f t="shared" si="13"/>
        <v>2042</v>
      </c>
      <c r="AP58" s="333">
        <f t="shared" ca="1" si="9"/>
        <v>0</v>
      </c>
      <c r="AQ58" s="15"/>
      <c r="AR58" s="247">
        <f t="shared" ca="1" si="14"/>
        <v>0</v>
      </c>
      <c r="AS58" s="247">
        <f t="shared" ca="1" si="10"/>
        <v>0</v>
      </c>
      <c r="AT58" s="247">
        <f t="shared" ca="1" si="15"/>
        <v>0</v>
      </c>
      <c r="AU58" s="15"/>
      <c r="AV58" s="247">
        <f t="shared" ca="1" si="16"/>
        <v>0</v>
      </c>
      <c r="AW58" s="247">
        <f t="shared" ca="1" si="11"/>
        <v>0</v>
      </c>
      <c r="AX58" s="247">
        <f t="shared" ca="1" si="17"/>
        <v>0</v>
      </c>
      <c r="AY58" s="15"/>
      <c r="AZ58" s="247">
        <f t="shared" ca="1" si="18"/>
        <v>428.00000000000045</v>
      </c>
      <c r="BA58" s="247">
        <f t="shared" ca="1" si="12"/>
        <v>0</v>
      </c>
      <c r="BB58" s="247">
        <f t="shared" ca="1" si="19"/>
        <v>428.00000000000045</v>
      </c>
      <c r="BC58" s="15"/>
      <c r="BD58" s="18"/>
      <c r="BE58" s="18"/>
      <c r="BF58" s="18"/>
      <c r="BG58" s="18"/>
      <c r="BH58" s="18"/>
      <c r="BI58" s="18"/>
      <c r="BJ58" s="18"/>
      <c r="BK58" s="18"/>
      <c r="BL58" s="357"/>
      <c r="BM58" s="2"/>
      <c r="BN58" s="2"/>
      <c r="BO58" s="2"/>
      <c r="BP58" s="2"/>
      <c r="BQ58" s="2"/>
      <c r="BR58" s="2"/>
      <c r="BS58" s="2"/>
      <c r="BT58" s="2"/>
    </row>
    <row r="59" spans="2:72" x14ac:dyDescent="0.3">
      <c r="B59" s="232"/>
      <c r="C59" s="250"/>
      <c r="D59" s="263"/>
      <c r="E59" s="263"/>
      <c r="F59" s="263"/>
      <c r="G59" s="263"/>
      <c r="H59" s="15"/>
      <c r="I59" s="35"/>
      <c r="J59" s="35"/>
      <c r="K59" s="35"/>
      <c r="L59" s="15"/>
      <c r="M59" s="35"/>
      <c r="N59" s="35"/>
      <c r="O59" s="35"/>
      <c r="P59" s="15"/>
      <c r="Q59" s="34"/>
      <c r="R59" s="34"/>
      <c r="S59" s="34"/>
      <c r="T59" s="34"/>
      <c r="U59" s="15"/>
      <c r="V59" s="35"/>
      <c r="W59" s="34"/>
      <c r="X59" s="35"/>
      <c r="Y59" s="34"/>
      <c r="Z59" s="35"/>
      <c r="AA59" s="34"/>
      <c r="AB59" s="34"/>
      <c r="AC59" s="15"/>
      <c r="AD59" s="34"/>
      <c r="AE59" s="34"/>
      <c r="AF59" s="34"/>
      <c r="AG59" s="15"/>
      <c r="AH59" s="273"/>
      <c r="AI59" s="267"/>
      <c r="AJ59" s="267"/>
      <c r="AK59" s="34"/>
      <c r="AL59" s="233"/>
      <c r="AN59" s="232"/>
      <c r="AO59" s="17">
        <f t="shared" si="13"/>
        <v>2043</v>
      </c>
      <c r="AP59" s="333">
        <f t="shared" ca="1" si="9"/>
        <v>0</v>
      </c>
      <c r="AQ59" s="15"/>
      <c r="AR59" s="247">
        <f t="shared" ca="1" si="14"/>
        <v>0</v>
      </c>
      <c r="AS59" s="247">
        <f t="shared" ca="1" si="10"/>
        <v>0</v>
      </c>
      <c r="AT59" s="247">
        <f t="shared" ca="1" si="15"/>
        <v>0</v>
      </c>
      <c r="AU59" s="15"/>
      <c r="AV59" s="247">
        <f t="shared" ca="1" si="16"/>
        <v>0</v>
      </c>
      <c r="AW59" s="247">
        <f t="shared" ca="1" si="11"/>
        <v>0</v>
      </c>
      <c r="AX59" s="247">
        <f t="shared" ca="1" si="17"/>
        <v>0</v>
      </c>
      <c r="AY59" s="15"/>
      <c r="AZ59" s="247">
        <f t="shared" ca="1" si="18"/>
        <v>428.00000000000045</v>
      </c>
      <c r="BA59" s="247">
        <f t="shared" ca="1" si="12"/>
        <v>0</v>
      </c>
      <c r="BB59" s="247">
        <f t="shared" ca="1" si="19"/>
        <v>428.00000000000045</v>
      </c>
      <c r="BC59" s="15"/>
      <c r="BD59" s="326"/>
      <c r="BE59" s="18"/>
      <c r="BF59" s="18"/>
      <c r="BG59" s="18"/>
      <c r="BH59" s="18"/>
      <c r="BI59" s="18"/>
      <c r="BJ59" s="18"/>
      <c r="BK59" s="18"/>
      <c r="BL59" s="357"/>
      <c r="BM59" s="2"/>
      <c r="BN59" s="2"/>
      <c r="BO59" s="2"/>
      <c r="BP59" s="2"/>
      <c r="BQ59" s="2"/>
      <c r="BR59" s="2"/>
      <c r="BS59" s="2"/>
      <c r="BT59" s="2"/>
    </row>
    <row r="60" spans="2:72" x14ac:dyDescent="0.3">
      <c r="B60" s="232"/>
      <c r="C60" s="250"/>
      <c r="D60" s="263"/>
      <c r="E60" s="263"/>
      <c r="F60" s="263"/>
      <c r="G60" s="263"/>
      <c r="H60" s="15"/>
      <c r="I60" s="35"/>
      <c r="J60" s="35"/>
      <c r="K60" s="35"/>
      <c r="L60" s="15"/>
      <c r="M60" s="35"/>
      <c r="N60" s="35"/>
      <c r="O60" s="35"/>
      <c r="P60" s="15"/>
      <c r="Q60" s="34"/>
      <c r="R60" s="34"/>
      <c r="S60" s="34"/>
      <c r="T60" s="34"/>
      <c r="U60" s="15"/>
      <c r="V60" s="35"/>
      <c r="W60" s="34"/>
      <c r="X60" s="35"/>
      <c r="Y60" s="34"/>
      <c r="Z60" s="35"/>
      <c r="AA60" s="34"/>
      <c r="AB60" s="34"/>
      <c r="AC60" s="15"/>
      <c r="AD60" s="34"/>
      <c r="AE60" s="34"/>
      <c r="AF60" s="34"/>
      <c r="AG60" s="15"/>
      <c r="AH60" s="273"/>
      <c r="AI60" s="267"/>
      <c r="AJ60" s="267"/>
      <c r="AK60" s="34"/>
      <c r="AL60" s="233"/>
      <c r="AN60" s="232"/>
      <c r="AO60" s="17">
        <f t="shared" si="13"/>
        <v>2044</v>
      </c>
      <c r="AP60" s="333">
        <f t="shared" ca="1" si="9"/>
        <v>0</v>
      </c>
      <c r="AQ60" s="15"/>
      <c r="AR60" s="247">
        <f t="shared" ca="1" si="14"/>
        <v>0</v>
      </c>
      <c r="AS60" s="247">
        <f t="shared" ca="1" si="10"/>
        <v>0</v>
      </c>
      <c r="AT60" s="247">
        <f t="shared" ca="1" si="15"/>
        <v>0</v>
      </c>
      <c r="AU60" s="15"/>
      <c r="AV60" s="247">
        <f t="shared" ca="1" si="16"/>
        <v>0</v>
      </c>
      <c r="AW60" s="247">
        <f t="shared" ca="1" si="11"/>
        <v>0</v>
      </c>
      <c r="AX60" s="247">
        <f t="shared" ca="1" si="17"/>
        <v>0</v>
      </c>
      <c r="AY60" s="15"/>
      <c r="AZ60" s="247">
        <f t="shared" ca="1" si="18"/>
        <v>428.00000000000045</v>
      </c>
      <c r="BA60" s="247">
        <f t="shared" ca="1" si="12"/>
        <v>0</v>
      </c>
      <c r="BB60" s="247">
        <f t="shared" ca="1" si="19"/>
        <v>428.00000000000045</v>
      </c>
      <c r="BC60" s="15"/>
      <c r="BD60" s="128"/>
      <c r="BE60" s="18"/>
      <c r="BF60" s="18"/>
      <c r="BG60" s="18"/>
      <c r="BH60" s="18"/>
      <c r="BI60" s="18"/>
      <c r="BJ60" s="18"/>
      <c r="BK60" s="18"/>
      <c r="BL60" s="357"/>
      <c r="BM60" s="2"/>
      <c r="BN60" s="2"/>
      <c r="BO60" s="2"/>
      <c r="BP60" s="2"/>
      <c r="BQ60" s="2"/>
      <c r="BR60" s="2"/>
      <c r="BS60" s="2"/>
      <c r="BT60" s="2"/>
    </row>
    <row r="61" spans="2:72" x14ac:dyDescent="0.3">
      <c r="B61" s="232"/>
      <c r="C61" s="250"/>
      <c r="D61" s="263"/>
      <c r="E61" s="263"/>
      <c r="F61" s="263"/>
      <c r="G61" s="263"/>
      <c r="H61" s="15"/>
      <c r="I61" s="35"/>
      <c r="J61" s="35"/>
      <c r="K61" s="35"/>
      <c r="L61" s="15"/>
      <c r="M61" s="35"/>
      <c r="N61" s="35"/>
      <c r="O61" s="35"/>
      <c r="P61" s="15"/>
      <c r="Q61" s="34"/>
      <c r="R61" s="34"/>
      <c r="S61" s="34"/>
      <c r="T61" s="34"/>
      <c r="U61" s="15"/>
      <c r="V61" s="35"/>
      <c r="W61" s="34"/>
      <c r="X61" s="35"/>
      <c r="Y61" s="34"/>
      <c r="Z61" s="35"/>
      <c r="AA61" s="34"/>
      <c r="AB61" s="34"/>
      <c r="AC61" s="15"/>
      <c r="AD61" s="34"/>
      <c r="AE61" s="34"/>
      <c r="AF61" s="34"/>
      <c r="AG61" s="15"/>
      <c r="AH61" s="273"/>
      <c r="AI61" s="267"/>
      <c r="AJ61" s="267"/>
      <c r="AK61" s="34"/>
      <c r="AL61" s="233"/>
      <c r="AN61" s="232"/>
      <c r="AO61" s="17">
        <f t="shared" si="13"/>
        <v>2045</v>
      </c>
      <c r="AP61" s="333">
        <f t="shared" ca="1" si="9"/>
        <v>0</v>
      </c>
      <c r="AQ61" s="15"/>
      <c r="AR61" s="247">
        <f t="shared" ca="1" si="14"/>
        <v>0</v>
      </c>
      <c r="AS61" s="247">
        <f t="shared" ca="1" si="10"/>
        <v>0</v>
      </c>
      <c r="AT61" s="247">
        <f t="shared" ca="1" si="15"/>
        <v>0</v>
      </c>
      <c r="AU61" s="15"/>
      <c r="AV61" s="247">
        <f t="shared" ca="1" si="16"/>
        <v>0</v>
      </c>
      <c r="AW61" s="247">
        <f t="shared" ca="1" si="11"/>
        <v>0</v>
      </c>
      <c r="AX61" s="247">
        <f t="shared" ca="1" si="17"/>
        <v>0</v>
      </c>
      <c r="AY61" s="15"/>
      <c r="AZ61" s="247">
        <f t="shared" ca="1" si="18"/>
        <v>428.00000000000045</v>
      </c>
      <c r="BA61" s="247">
        <f t="shared" ca="1" si="12"/>
        <v>0</v>
      </c>
      <c r="BB61" s="247">
        <f t="shared" ca="1" si="19"/>
        <v>428.00000000000045</v>
      </c>
      <c r="BC61" s="15"/>
      <c r="BD61" s="128"/>
      <c r="BE61" s="18"/>
      <c r="BF61" s="18"/>
      <c r="BG61" s="18"/>
      <c r="BH61" s="18"/>
      <c r="BI61" s="18"/>
      <c r="BJ61" s="18"/>
      <c r="BK61" s="18"/>
      <c r="BL61" s="357"/>
      <c r="BM61" s="2"/>
      <c r="BN61" s="2"/>
      <c r="BO61" s="2"/>
      <c r="BP61" s="2"/>
      <c r="BQ61" s="2"/>
      <c r="BR61" s="2"/>
      <c r="BS61" s="2"/>
      <c r="BT61" s="2"/>
    </row>
    <row r="62" spans="2:72" x14ac:dyDescent="0.3">
      <c r="B62" s="232"/>
      <c r="C62" s="250"/>
      <c r="D62" s="263"/>
      <c r="E62" s="263"/>
      <c r="F62" s="263"/>
      <c r="G62" s="263"/>
      <c r="H62" s="15"/>
      <c r="I62" s="35"/>
      <c r="J62" s="35"/>
      <c r="K62" s="35"/>
      <c r="L62" s="15"/>
      <c r="M62" s="35"/>
      <c r="N62" s="35"/>
      <c r="O62" s="35"/>
      <c r="P62" s="15"/>
      <c r="Q62" s="34"/>
      <c r="R62" s="34"/>
      <c r="S62" s="34"/>
      <c r="T62" s="34"/>
      <c r="U62" s="15"/>
      <c r="V62" s="35"/>
      <c r="W62" s="34"/>
      <c r="X62" s="35"/>
      <c r="Y62" s="34"/>
      <c r="Z62" s="35"/>
      <c r="AA62" s="34"/>
      <c r="AB62" s="34"/>
      <c r="AC62" s="15"/>
      <c r="AD62" s="34"/>
      <c r="AE62" s="34"/>
      <c r="AF62" s="34"/>
      <c r="AG62" s="15"/>
      <c r="AH62" s="273"/>
      <c r="AI62" s="267"/>
      <c r="AJ62" s="267"/>
      <c r="AK62" s="34"/>
      <c r="AL62" s="233"/>
      <c r="AN62" s="232"/>
      <c r="AO62" s="17">
        <f t="shared" si="13"/>
        <v>2046</v>
      </c>
      <c r="AP62" s="333">
        <f t="shared" ca="1" si="9"/>
        <v>0</v>
      </c>
      <c r="AQ62" s="15"/>
      <c r="AR62" s="247">
        <f t="shared" ca="1" si="14"/>
        <v>0</v>
      </c>
      <c r="AS62" s="247">
        <f t="shared" ca="1" si="10"/>
        <v>0</v>
      </c>
      <c r="AT62" s="247">
        <f t="shared" ca="1" si="15"/>
        <v>0</v>
      </c>
      <c r="AU62" s="15"/>
      <c r="AV62" s="247">
        <f t="shared" ca="1" si="16"/>
        <v>0</v>
      </c>
      <c r="AW62" s="247">
        <f t="shared" ca="1" si="11"/>
        <v>0</v>
      </c>
      <c r="AX62" s="247">
        <f t="shared" ca="1" si="17"/>
        <v>0</v>
      </c>
      <c r="AY62" s="15"/>
      <c r="AZ62" s="247">
        <f t="shared" ca="1" si="18"/>
        <v>428.00000000000045</v>
      </c>
      <c r="BA62" s="247">
        <f t="shared" ca="1" si="12"/>
        <v>0</v>
      </c>
      <c r="BB62" s="247">
        <f t="shared" ca="1" si="19"/>
        <v>428.00000000000045</v>
      </c>
      <c r="BC62" s="15"/>
      <c r="BD62" s="18"/>
      <c r="BE62" s="18"/>
      <c r="BF62" s="18"/>
      <c r="BG62" s="18"/>
      <c r="BH62" s="18"/>
      <c r="BI62" s="18"/>
      <c r="BJ62" s="18"/>
      <c r="BK62" s="18"/>
      <c r="BL62" s="357"/>
      <c r="BM62" s="2"/>
      <c r="BN62" s="2"/>
      <c r="BO62" s="2"/>
      <c r="BP62" s="2"/>
      <c r="BQ62" s="2"/>
      <c r="BR62" s="2"/>
    </row>
    <row r="63" spans="2:72" x14ac:dyDescent="0.3">
      <c r="B63" s="232"/>
      <c r="C63" s="250"/>
      <c r="D63" s="263"/>
      <c r="E63" s="263"/>
      <c r="F63" s="263"/>
      <c r="G63" s="263"/>
      <c r="H63" s="15"/>
      <c r="I63" s="35"/>
      <c r="J63" s="35"/>
      <c r="K63" s="35"/>
      <c r="L63" s="15"/>
      <c r="M63" s="35"/>
      <c r="N63" s="35"/>
      <c r="O63" s="35"/>
      <c r="P63" s="15"/>
      <c r="Q63" s="34"/>
      <c r="R63" s="34"/>
      <c r="S63" s="34"/>
      <c r="T63" s="34"/>
      <c r="U63" s="15"/>
      <c r="V63" s="35"/>
      <c r="W63" s="34"/>
      <c r="X63" s="35"/>
      <c r="Y63" s="34"/>
      <c r="Z63" s="35"/>
      <c r="AA63" s="34"/>
      <c r="AB63" s="34"/>
      <c r="AC63" s="15"/>
      <c r="AD63" s="34"/>
      <c r="AE63" s="34"/>
      <c r="AF63" s="34"/>
      <c r="AG63" s="15"/>
      <c r="AH63" s="273"/>
      <c r="AI63" s="267"/>
      <c r="AJ63" s="267"/>
      <c r="AK63" s="34"/>
      <c r="AL63" s="233"/>
      <c r="AN63" s="232"/>
      <c r="AO63" s="17">
        <f t="shared" si="13"/>
        <v>2047</v>
      </c>
      <c r="AP63" s="333">
        <f t="shared" ca="1" si="9"/>
        <v>0</v>
      </c>
      <c r="AQ63" s="15"/>
      <c r="AR63" s="247">
        <f t="shared" ca="1" si="14"/>
        <v>0</v>
      </c>
      <c r="AS63" s="247">
        <f t="shared" ca="1" si="10"/>
        <v>0</v>
      </c>
      <c r="AT63" s="247">
        <f t="shared" ca="1" si="15"/>
        <v>0</v>
      </c>
      <c r="AU63" s="15"/>
      <c r="AV63" s="247">
        <f t="shared" ca="1" si="16"/>
        <v>0</v>
      </c>
      <c r="AW63" s="247">
        <f t="shared" ca="1" si="11"/>
        <v>0</v>
      </c>
      <c r="AX63" s="247">
        <f t="shared" ca="1" si="17"/>
        <v>0</v>
      </c>
      <c r="AY63" s="15"/>
      <c r="AZ63" s="247">
        <f t="shared" ca="1" si="18"/>
        <v>428.00000000000045</v>
      </c>
      <c r="BA63" s="247">
        <f t="shared" ca="1" si="12"/>
        <v>0</v>
      </c>
      <c r="BB63" s="247">
        <f t="shared" ca="1" si="19"/>
        <v>428.00000000000045</v>
      </c>
      <c r="BC63" s="15"/>
      <c r="BD63" s="18"/>
      <c r="BE63" s="18"/>
      <c r="BF63" s="18"/>
      <c r="BG63" s="18"/>
      <c r="BH63" s="18"/>
      <c r="BI63" s="18"/>
      <c r="BJ63" s="18"/>
      <c r="BK63" s="18"/>
      <c r="BL63" s="357"/>
      <c r="BM63" s="2"/>
      <c r="BN63" s="2"/>
      <c r="BO63" s="2"/>
      <c r="BP63" s="2"/>
      <c r="BQ63" s="2"/>
      <c r="BR63" s="2"/>
    </row>
    <row r="64" spans="2:72" x14ac:dyDescent="0.3">
      <c r="B64" s="232"/>
      <c r="C64" s="250"/>
      <c r="D64" s="263"/>
      <c r="E64" s="263"/>
      <c r="F64" s="263"/>
      <c r="G64" s="263"/>
      <c r="H64" s="15"/>
      <c r="I64" s="35"/>
      <c r="J64" s="35"/>
      <c r="K64" s="35"/>
      <c r="L64" s="15"/>
      <c r="M64" s="35"/>
      <c r="N64" s="35"/>
      <c r="O64" s="35"/>
      <c r="P64" s="15"/>
      <c r="Q64" s="34"/>
      <c r="R64" s="34"/>
      <c r="S64" s="34"/>
      <c r="T64" s="34"/>
      <c r="U64" s="15"/>
      <c r="V64" s="35"/>
      <c r="W64" s="34"/>
      <c r="X64" s="35"/>
      <c r="Y64" s="34"/>
      <c r="Z64" s="35"/>
      <c r="AA64" s="34"/>
      <c r="AB64" s="34"/>
      <c r="AC64" s="15"/>
      <c r="AD64" s="34"/>
      <c r="AE64" s="34"/>
      <c r="AF64" s="34"/>
      <c r="AG64" s="15"/>
      <c r="AH64" s="273"/>
      <c r="AI64" s="267"/>
      <c r="AJ64" s="267"/>
      <c r="AK64" s="34"/>
      <c r="AL64" s="233"/>
      <c r="AN64" s="232"/>
      <c r="AO64" s="17">
        <f t="shared" si="13"/>
        <v>2048</v>
      </c>
      <c r="AP64" s="333">
        <f t="shared" ca="1" si="9"/>
        <v>0</v>
      </c>
      <c r="AQ64" s="15"/>
      <c r="AR64" s="247">
        <f t="shared" ca="1" si="14"/>
        <v>0</v>
      </c>
      <c r="AS64" s="247">
        <f t="shared" ca="1" si="10"/>
        <v>0</v>
      </c>
      <c r="AT64" s="247">
        <f t="shared" ca="1" si="15"/>
        <v>0</v>
      </c>
      <c r="AU64" s="15"/>
      <c r="AV64" s="247">
        <f t="shared" ca="1" si="16"/>
        <v>0</v>
      </c>
      <c r="AW64" s="247">
        <f t="shared" ca="1" si="11"/>
        <v>0</v>
      </c>
      <c r="AX64" s="247">
        <f t="shared" ca="1" si="17"/>
        <v>0</v>
      </c>
      <c r="AY64" s="15"/>
      <c r="AZ64" s="247">
        <f t="shared" ca="1" si="18"/>
        <v>428.00000000000045</v>
      </c>
      <c r="BA64" s="247">
        <f t="shared" ca="1" si="12"/>
        <v>0</v>
      </c>
      <c r="BB64" s="247">
        <f t="shared" ca="1" si="19"/>
        <v>428.00000000000045</v>
      </c>
      <c r="BC64" s="15"/>
      <c r="BD64" s="18"/>
      <c r="BE64" s="18"/>
      <c r="BF64" s="18"/>
      <c r="BG64" s="18"/>
      <c r="BH64" s="18"/>
      <c r="BI64" s="18"/>
      <c r="BJ64" s="18"/>
      <c r="BK64" s="18"/>
      <c r="BL64" s="357"/>
      <c r="BM64" s="2"/>
      <c r="BN64" s="2"/>
      <c r="BO64" s="2"/>
      <c r="BP64" s="2"/>
      <c r="BQ64" s="2"/>
      <c r="BR64" s="2"/>
    </row>
    <row r="65" spans="2:70" x14ac:dyDescent="0.3">
      <c r="B65" s="232"/>
      <c r="C65" s="250"/>
      <c r="D65" s="263"/>
      <c r="E65" s="263"/>
      <c r="F65" s="263"/>
      <c r="G65" s="263"/>
      <c r="H65" s="15"/>
      <c r="I65" s="35"/>
      <c r="J65" s="35"/>
      <c r="K65" s="35"/>
      <c r="L65" s="15"/>
      <c r="M65" s="35"/>
      <c r="N65" s="35"/>
      <c r="O65" s="35"/>
      <c r="P65" s="15"/>
      <c r="Q65" s="34"/>
      <c r="R65" s="34"/>
      <c r="S65" s="34"/>
      <c r="T65" s="34"/>
      <c r="U65" s="15"/>
      <c r="V65" s="35"/>
      <c r="W65" s="34"/>
      <c r="X65" s="35"/>
      <c r="Y65" s="34"/>
      <c r="Z65" s="35"/>
      <c r="AA65" s="34"/>
      <c r="AB65" s="34"/>
      <c r="AC65" s="15"/>
      <c r="AD65" s="34"/>
      <c r="AE65" s="34"/>
      <c r="AF65" s="34"/>
      <c r="AG65" s="15"/>
      <c r="AH65" s="273"/>
      <c r="AI65" s="267"/>
      <c r="AJ65" s="267"/>
      <c r="AK65" s="34"/>
      <c r="AL65" s="233"/>
      <c r="AN65" s="232"/>
      <c r="AO65" s="17">
        <f t="shared" si="13"/>
        <v>2049</v>
      </c>
      <c r="AP65" s="333">
        <f t="shared" ca="1" si="9"/>
        <v>0</v>
      </c>
      <c r="AQ65" s="15"/>
      <c r="AR65" s="247">
        <f t="shared" ca="1" si="14"/>
        <v>0</v>
      </c>
      <c r="AS65" s="247">
        <f t="shared" ca="1" si="10"/>
        <v>0</v>
      </c>
      <c r="AT65" s="247">
        <f t="shared" ca="1" si="15"/>
        <v>0</v>
      </c>
      <c r="AU65" s="15"/>
      <c r="AV65" s="247">
        <f t="shared" ca="1" si="16"/>
        <v>0</v>
      </c>
      <c r="AW65" s="247">
        <f t="shared" ca="1" si="11"/>
        <v>0</v>
      </c>
      <c r="AX65" s="247">
        <f t="shared" ca="1" si="17"/>
        <v>0</v>
      </c>
      <c r="AY65" s="15"/>
      <c r="AZ65" s="247">
        <f t="shared" ca="1" si="18"/>
        <v>428.00000000000045</v>
      </c>
      <c r="BA65" s="247">
        <f t="shared" ca="1" si="12"/>
        <v>0</v>
      </c>
      <c r="BB65" s="247">
        <f t="shared" ca="1" si="19"/>
        <v>428.00000000000045</v>
      </c>
      <c r="BC65" s="15"/>
      <c r="BD65" s="18"/>
      <c r="BE65" s="18"/>
      <c r="BF65" s="18"/>
      <c r="BG65" s="18"/>
      <c r="BH65" s="18"/>
      <c r="BI65" s="18"/>
      <c r="BJ65" s="18"/>
      <c r="BK65" s="18"/>
      <c r="BL65" s="357"/>
      <c r="BM65" s="2"/>
      <c r="BN65" s="2"/>
      <c r="BO65" s="2"/>
      <c r="BP65" s="2"/>
      <c r="BQ65" s="2"/>
      <c r="BR65" s="2"/>
    </row>
    <row r="66" spans="2:70" x14ac:dyDescent="0.3">
      <c r="B66" s="232"/>
      <c r="C66" s="250"/>
      <c r="D66" s="263"/>
      <c r="E66" s="263"/>
      <c r="F66" s="263"/>
      <c r="G66" s="263"/>
      <c r="H66" s="15"/>
      <c r="I66" s="35"/>
      <c r="J66" s="35"/>
      <c r="K66" s="35"/>
      <c r="L66" s="15"/>
      <c r="M66" s="35"/>
      <c r="N66" s="35"/>
      <c r="O66" s="35"/>
      <c r="P66" s="15"/>
      <c r="Q66" s="34"/>
      <c r="R66" s="34"/>
      <c r="S66" s="34"/>
      <c r="T66" s="34"/>
      <c r="U66" s="15"/>
      <c r="V66" s="35"/>
      <c r="W66" s="34"/>
      <c r="X66" s="35"/>
      <c r="Y66" s="34"/>
      <c r="Z66" s="35"/>
      <c r="AA66" s="34"/>
      <c r="AB66" s="34"/>
      <c r="AC66" s="15"/>
      <c r="AD66" s="34"/>
      <c r="AE66" s="34"/>
      <c r="AF66" s="34"/>
      <c r="AG66" s="15"/>
      <c r="AH66" s="273"/>
      <c r="AI66" s="267"/>
      <c r="AJ66" s="267"/>
      <c r="AK66" s="34"/>
      <c r="AL66" s="233"/>
      <c r="AN66" s="232"/>
      <c r="AO66" s="17">
        <f t="shared" si="13"/>
        <v>2050</v>
      </c>
      <c r="AP66" s="333">
        <f t="shared" ca="1" si="9"/>
        <v>0</v>
      </c>
      <c r="AQ66" s="15"/>
      <c r="AR66" s="247">
        <f t="shared" ca="1" si="14"/>
        <v>0</v>
      </c>
      <c r="AS66" s="247">
        <f t="shared" ca="1" si="10"/>
        <v>0</v>
      </c>
      <c r="AT66" s="247">
        <f t="shared" ca="1" si="15"/>
        <v>0</v>
      </c>
      <c r="AU66" s="15"/>
      <c r="AV66" s="247">
        <f t="shared" ca="1" si="16"/>
        <v>0</v>
      </c>
      <c r="AW66" s="247">
        <f t="shared" ca="1" si="11"/>
        <v>0</v>
      </c>
      <c r="AX66" s="247">
        <f t="shared" ca="1" si="17"/>
        <v>0</v>
      </c>
      <c r="AY66" s="15"/>
      <c r="AZ66" s="247">
        <f t="shared" ca="1" si="18"/>
        <v>428.00000000000045</v>
      </c>
      <c r="BA66" s="247">
        <f t="shared" ca="1" si="12"/>
        <v>0</v>
      </c>
      <c r="BB66" s="247">
        <f t="shared" ca="1" si="19"/>
        <v>428.00000000000045</v>
      </c>
      <c r="BC66" s="15"/>
      <c r="BD66" s="18"/>
      <c r="BE66" s="18"/>
      <c r="BF66" s="18"/>
      <c r="BG66" s="18"/>
      <c r="BH66" s="18"/>
      <c r="BI66" s="18"/>
      <c r="BJ66" s="18"/>
      <c r="BK66" s="18"/>
      <c r="BL66" s="357"/>
      <c r="BM66" s="2"/>
      <c r="BN66" s="2"/>
      <c r="BO66" s="2"/>
      <c r="BP66" s="2"/>
      <c r="BQ66" s="2"/>
      <c r="BR66" s="2"/>
    </row>
    <row r="67" spans="2:70" x14ac:dyDescent="0.3">
      <c r="B67" s="232"/>
      <c r="C67" s="250"/>
      <c r="D67" s="263"/>
      <c r="E67" s="263"/>
      <c r="F67" s="263"/>
      <c r="G67" s="263"/>
      <c r="H67" s="15"/>
      <c r="I67" s="35"/>
      <c r="J67" s="35"/>
      <c r="K67" s="35"/>
      <c r="L67" s="15"/>
      <c r="M67" s="35"/>
      <c r="N67" s="35"/>
      <c r="O67" s="35"/>
      <c r="P67" s="15"/>
      <c r="Q67" s="34"/>
      <c r="R67" s="34"/>
      <c r="S67" s="34"/>
      <c r="T67" s="34"/>
      <c r="U67" s="15"/>
      <c r="V67" s="35"/>
      <c r="W67" s="34"/>
      <c r="X67" s="35"/>
      <c r="Y67" s="34"/>
      <c r="Z67" s="35"/>
      <c r="AA67" s="34"/>
      <c r="AB67" s="34"/>
      <c r="AC67" s="15"/>
      <c r="AD67" s="34"/>
      <c r="AE67" s="34"/>
      <c r="AF67" s="34"/>
      <c r="AG67" s="15"/>
      <c r="AH67" s="273"/>
      <c r="AI67" s="267"/>
      <c r="AJ67" s="267"/>
      <c r="AK67" s="34"/>
      <c r="AL67" s="233"/>
      <c r="AN67" s="232"/>
      <c r="AO67" s="17">
        <f t="shared" si="13"/>
        <v>2051</v>
      </c>
      <c r="AP67" s="333">
        <f t="shared" ca="1" si="9"/>
        <v>0</v>
      </c>
      <c r="AQ67" s="15"/>
      <c r="AR67" s="247">
        <f t="shared" ca="1" si="14"/>
        <v>0</v>
      </c>
      <c r="AS67" s="247">
        <f t="shared" ca="1" si="10"/>
        <v>0</v>
      </c>
      <c r="AT67" s="247">
        <f t="shared" ca="1" si="15"/>
        <v>0</v>
      </c>
      <c r="AU67" s="15"/>
      <c r="AV67" s="247">
        <f t="shared" ca="1" si="16"/>
        <v>0</v>
      </c>
      <c r="AW67" s="247">
        <f t="shared" ca="1" si="11"/>
        <v>0</v>
      </c>
      <c r="AX67" s="247">
        <f t="shared" ca="1" si="17"/>
        <v>0</v>
      </c>
      <c r="AY67" s="15"/>
      <c r="AZ67" s="247">
        <f t="shared" ca="1" si="18"/>
        <v>428.00000000000045</v>
      </c>
      <c r="BA67" s="247">
        <f t="shared" ca="1" si="12"/>
        <v>0</v>
      </c>
      <c r="BB67" s="247">
        <f t="shared" ca="1" si="19"/>
        <v>428.00000000000045</v>
      </c>
      <c r="BC67" s="15"/>
      <c r="BD67" s="15"/>
      <c r="BE67" s="15"/>
      <c r="BF67" s="15"/>
      <c r="BG67" s="15"/>
      <c r="BH67" s="15"/>
      <c r="BI67" s="15"/>
      <c r="BJ67" s="15"/>
      <c r="BK67" s="15"/>
      <c r="BL67" s="233"/>
    </row>
    <row r="68" spans="2:70" x14ac:dyDescent="0.3">
      <c r="B68" s="232"/>
      <c r="C68" s="250"/>
      <c r="D68" s="263"/>
      <c r="E68" s="263"/>
      <c r="F68" s="263"/>
      <c r="G68" s="263"/>
      <c r="H68" s="15"/>
      <c r="I68" s="35"/>
      <c r="J68" s="35"/>
      <c r="K68" s="35"/>
      <c r="L68" s="15"/>
      <c r="M68" s="35"/>
      <c r="N68" s="35"/>
      <c r="O68" s="35"/>
      <c r="P68" s="15"/>
      <c r="Q68" s="34"/>
      <c r="R68" s="34"/>
      <c r="S68" s="34"/>
      <c r="T68" s="34"/>
      <c r="U68" s="15"/>
      <c r="V68" s="35"/>
      <c r="W68" s="34"/>
      <c r="X68" s="35"/>
      <c r="Y68" s="34"/>
      <c r="Z68" s="35"/>
      <c r="AA68" s="34"/>
      <c r="AB68" s="34"/>
      <c r="AC68" s="15"/>
      <c r="AD68" s="34"/>
      <c r="AE68" s="34"/>
      <c r="AF68" s="34"/>
      <c r="AG68" s="15"/>
      <c r="AH68" s="273"/>
      <c r="AI68" s="267"/>
      <c r="AJ68" s="267"/>
      <c r="AK68" s="34"/>
      <c r="AL68" s="233"/>
      <c r="AN68" s="232"/>
      <c r="AO68" s="17">
        <f t="shared" si="13"/>
        <v>2052</v>
      </c>
      <c r="AP68" s="333">
        <f t="shared" ca="1" si="9"/>
        <v>0</v>
      </c>
      <c r="AQ68" s="15"/>
      <c r="AR68" s="247">
        <f t="shared" ca="1" si="14"/>
        <v>0</v>
      </c>
      <c r="AS68" s="247">
        <f t="shared" ca="1" si="10"/>
        <v>0</v>
      </c>
      <c r="AT68" s="247">
        <f t="shared" ca="1" si="15"/>
        <v>0</v>
      </c>
      <c r="AU68" s="15"/>
      <c r="AV68" s="247">
        <f t="shared" ca="1" si="16"/>
        <v>0</v>
      </c>
      <c r="AW68" s="247">
        <f t="shared" ca="1" si="11"/>
        <v>0</v>
      </c>
      <c r="AX68" s="247">
        <f t="shared" ca="1" si="17"/>
        <v>0</v>
      </c>
      <c r="AY68" s="15"/>
      <c r="AZ68" s="247">
        <f t="shared" ca="1" si="18"/>
        <v>428.00000000000045</v>
      </c>
      <c r="BA68" s="247">
        <f t="shared" ca="1" si="12"/>
        <v>0</v>
      </c>
      <c r="BB68" s="247">
        <f t="shared" ca="1" si="19"/>
        <v>428.00000000000045</v>
      </c>
      <c r="BC68" s="15"/>
      <c r="BD68" s="15"/>
      <c r="BE68" s="15"/>
      <c r="BF68" s="15"/>
      <c r="BG68" s="15"/>
      <c r="BH68" s="15"/>
      <c r="BI68" s="15"/>
      <c r="BJ68" s="15"/>
      <c r="BK68" s="15"/>
      <c r="BL68" s="233"/>
    </row>
    <row r="69" spans="2:70" x14ac:dyDescent="0.3">
      <c r="B69" s="232"/>
      <c r="C69" s="250"/>
      <c r="D69" s="263"/>
      <c r="E69" s="263"/>
      <c r="F69" s="263"/>
      <c r="G69" s="263"/>
      <c r="H69" s="15"/>
      <c r="I69" s="35"/>
      <c r="J69" s="35"/>
      <c r="K69" s="35"/>
      <c r="L69" s="15"/>
      <c r="M69" s="35"/>
      <c r="N69" s="35"/>
      <c r="O69" s="35"/>
      <c r="P69" s="15"/>
      <c r="Q69" s="34"/>
      <c r="R69" s="34"/>
      <c r="S69" s="34"/>
      <c r="T69" s="34"/>
      <c r="U69" s="15"/>
      <c r="V69" s="35"/>
      <c r="W69" s="34"/>
      <c r="X69" s="35"/>
      <c r="Y69" s="34"/>
      <c r="Z69" s="35"/>
      <c r="AA69" s="34"/>
      <c r="AB69" s="34"/>
      <c r="AC69" s="15"/>
      <c r="AD69" s="34"/>
      <c r="AE69" s="34"/>
      <c r="AF69" s="34"/>
      <c r="AG69" s="15"/>
      <c r="AH69" s="273"/>
      <c r="AI69" s="267"/>
      <c r="AJ69" s="267"/>
      <c r="AK69" s="34"/>
      <c r="AL69" s="233"/>
      <c r="AN69" s="232"/>
      <c r="AO69" s="17">
        <f t="shared" si="13"/>
        <v>2053</v>
      </c>
      <c r="AP69" s="333">
        <f t="shared" ca="1" si="9"/>
        <v>0</v>
      </c>
      <c r="AQ69" s="15"/>
      <c r="AR69" s="247">
        <f t="shared" ca="1" si="14"/>
        <v>0</v>
      </c>
      <c r="AS69" s="247">
        <f t="shared" ca="1" si="10"/>
        <v>0</v>
      </c>
      <c r="AT69" s="247">
        <f t="shared" ca="1" si="15"/>
        <v>0</v>
      </c>
      <c r="AU69" s="15"/>
      <c r="AV69" s="247">
        <f t="shared" ca="1" si="16"/>
        <v>0</v>
      </c>
      <c r="AW69" s="247">
        <f t="shared" ca="1" si="11"/>
        <v>0</v>
      </c>
      <c r="AX69" s="247">
        <f t="shared" ca="1" si="17"/>
        <v>0</v>
      </c>
      <c r="AY69" s="15"/>
      <c r="AZ69" s="247">
        <f t="shared" ca="1" si="18"/>
        <v>428.00000000000045</v>
      </c>
      <c r="BA69" s="247">
        <f t="shared" ca="1" si="12"/>
        <v>0</v>
      </c>
      <c r="BB69" s="247">
        <f t="shared" ca="1" si="19"/>
        <v>428.00000000000045</v>
      </c>
      <c r="BC69" s="15"/>
      <c r="BD69" s="15"/>
      <c r="BE69" s="15"/>
      <c r="BF69" s="15"/>
      <c r="BG69" s="15"/>
      <c r="BH69" s="15"/>
      <c r="BI69" s="15"/>
      <c r="BJ69" s="15"/>
      <c r="BK69" s="15"/>
      <c r="BL69" s="233"/>
    </row>
    <row r="70" spans="2:70" x14ac:dyDescent="0.3">
      <c r="B70" s="232"/>
      <c r="C70" s="325"/>
      <c r="D70" s="291"/>
      <c r="E70" s="291"/>
      <c r="F70" s="291"/>
      <c r="G70" s="291"/>
      <c r="H70" s="15"/>
      <c r="I70" s="35"/>
      <c r="J70" s="35"/>
      <c r="K70" s="35"/>
      <c r="L70" s="15"/>
      <c r="M70" s="35"/>
      <c r="N70" s="35"/>
      <c r="O70" s="35"/>
      <c r="P70" s="15"/>
      <c r="Q70" s="183"/>
      <c r="R70" s="183"/>
      <c r="S70" s="183"/>
      <c r="T70" s="183"/>
      <c r="U70" s="15"/>
      <c r="V70" s="35"/>
      <c r="W70" s="183"/>
      <c r="X70" s="35"/>
      <c r="Y70" s="183"/>
      <c r="Z70" s="35"/>
      <c r="AA70" s="183"/>
      <c r="AB70" s="183"/>
      <c r="AC70" s="15"/>
      <c r="AD70" s="183"/>
      <c r="AE70" s="183"/>
      <c r="AF70" s="183"/>
      <c r="AG70" s="15"/>
      <c r="AH70" s="272"/>
      <c r="AI70" s="267"/>
      <c r="AJ70" s="267"/>
      <c r="AK70" s="183"/>
      <c r="AL70" s="233"/>
      <c r="AN70" s="232"/>
      <c r="AO70" s="274" t="s">
        <v>302</v>
      </c>
      <c r="AP70" s="207"/>
      <c r="AQ70" s="9"/>
      <c r="AR70" s="9"/>
      <c r="AS70" s="207">
        <f ca="1">SUM(AS29:AS69)</f>
        <v>395.60253637434141</v>
      </c>
      <c r="AT70" s="9"/>
      <c r="AU70" s="15"/>
      <c r="AV70" s="9"/>
      <c r="AW70" s="207">
        <f ca="1">SUM(AW29:AW69)</f>
        <v>2664.3927326844864</v>
      </c>
      <c r="AX70" s="9"/>
      <c r="AY70" s="15"/>
      <c r="AZ70" s="9"/>
      <c r="BA70" s="207">
        <f ca="1">SUM(BA29:BA69)</f>
        <v>1512.0047309411721</v>
      </c>
      <c r="BB70" s="9"/>
      <c r="BC70" s="15"/>
      <c r="BD70" s="15"/>
      <c r="BE70" s="15"/>
      <c r="BF70" s="15"/>
      <c r="BG70" s="15"/>
      <c r="BH70" s="15"/>
      <c r="BI70" s="15"/>
      <c r="BJ70" s="15"/>
      <c r="BK70" s="15"/>
      <c r="BL70" s="233"/>
    </row>
    <row r="71" spans="2:70" x14ac:dyDescent="0.3">
      <c r="B71" s="232"/>
      <c r="C71" s="283"/>
      <c r="D71" s="263"/>
      <c r="E71" s="263"/>
      <c r="F71" s="263"/>
      <c r="G71" s="263"/>
      <c r="H71" s="15"/>
      <c r="I71" s="35"/>
      <c r="J71" s="35"/>
      <c r="K71" s="35"/>
      <c r="L71" s="15"/>
      <c r="M71" s="35"/>
      <c r="N71" s="35"/>
      <c r="O71" s="35"/>
      <c r="P71" s="15"/>
      <c r="Q71" s="34"/>
      <c r="R71" s="34"/>
      <c r="S71" s="34"/>
      <c r="T71" s="34"/>
      <c r="U71" s="15"/>
      <c r="V71" s="35"/>
      <c r="W71" s="34"/>
      <c r="X71" s="35"/>
      <c r="Y71" s="34"/>
      <c r="Z71" s="35"/>
      <c r="AA71" s="34"/>
      <c r="AB71" s="34"/>
      <c r="AC71" s="15"/>
      <c r="AD71" s="34"/>
      <c r="AE71" s="34"/>
      <c r="AF71" s="34"/>
      <c r="AG71" s="15"/>
      <c r="AH71" s="266"/>
      <c r="AI71" s="267"/>
      <c r="AJ71" s="267"/>
      <c r="AK71" s="34"/>
      <c r="AL71" s="233"/>
      <c r="AN71" s="232"/>
      <c r="AO71" s="283" t="s">
        <v>303</v>
      </c>
      <c r="AP71" s="334"/>
      <c r="AQ71" s="4"/>
      <c r="AR71" s="4"/>
      <c r="AS71" s="334">
        <f ca="1">AS72-AS70</f>
        <v>0</v>
      </c>
      <c r="AT71" s="4"/>
      <c r="AU71" s="15"/>
      <c r="AV71" s="4"/>
      <c r="AW71" s="334">
        <f ca="1">AW72-AW70</f>
        <v>0</v>
      </c>
      <c r="AX71" s="4"/>
      <c r="AY71" s="15"/>
      <c r="AZ71" s="4"/>
      <c r="BA71" s="334">
        <f ca="1">BA72-BA70</f>
        <v>428.00000000000045</v>
      </c>
      <c r="BB71" s="4"/>
      <c r="BC71" s="15"/>
      <c r="BD71" s="15"/>
      <c r="BE71" s="15"/>
      <c r="BF71" s="15"/>
      <c r="BG71" s="15"/>
      <c r="BH71" s="15"/>
      <c r="BI71" s="15"/>
      <c r="BJ71" s="15"/>
      <c r="BK71" s="15"/>
      <c r="BL71" s="233"/>
    </row>
    <row r="72" spans="2:70" x14ac:dyDescent="0.3">
      <c r="B72" s="232"/>
      <c r="C72" s="249"/>
      <c r="D72" s="291"/>
      <c r="E72" s="291"/>
      <c r="F72" s="291"/>
      <c r="G72" s="291"/>
      <c r="H72" s="15"/>
      <c r="I72" s="15"/>
      <c r="J72" s="15"/>
      <c r="K72" s="15"/>
      <c r="L72" s="15"/>
      <c r="M72" s="15"/>
      <c r="N72" s="15"/>
      <c r="O72" s="15"/>
      <c r="P72" s="15"/>
      <c r="Q72" s="183"/>
      <c r="R72" s="183"/>
      <c r="S72" s="183"/>
      <c r="T72" s="183"/>
      <c r="U72" s="15"/>
      <c r="V72" s="15"/>
      <c r="W72" s="183"/>
      <c r="X72" s="15"/>
      <c r="Y72" s="183"/>
      <c r="Z72" s="15"/>
      <c r="AA72" s="183"/>
      <c r="AB72" s="183"/>
      <c r="AC72" s="15"/>
      <c r="AD72" s="183"/>
      <c r="AE72" s="183"/>
      <c r="AF72" s="183"/>
      <c r="AG72" s="15"/>
      <c r="AH72" s="15"/>
      <c r="AI72" s="15"/>
      <c r="AJ72" s="15"/>
      <c r="AK72" s="183"/>
      <c r="AL72" s="233"/>
      <c r="AN72" s="232"/>
      <c r="AO72" s="60" t="s">
        <v>26</v>
      </c>
      <c r="AP72" s="335"/>
      <c r="AQ72" s="15"/>
      <c r="AR72" s="15"/>
      <c r="AS72" s="335">
        <f ca="1">$AT$9</f>
        <v>395.60253637434141</v>
      </c>
      <c r="AT72" s="15"/>
      <c r="AU72" s="15"/>
      <c r="AV72" s="15"/>
      <c r="AW72" s="335">
        <f ca="1">$AT$10</f>
        <v>2664.3927326844864</v>
      </c>
      <c r="AX72" s="15"/>
      <c r="AY72" s="15"/>
      <c r="AZ72" s="15"/>
      <c r="BA72" s="335">
        <f ca="1">$AT$11</f>
        <v>1940.0047309411725</v>
      </c>
      <c r="BB72" s="15"/>
      <c r="BC72" s="15"/>
      <c r="BD72" s="15"/>
      <c r="BE72" s="15"/>
      <c r="BF72" s="15"/>
      <c r="BG72" s="15"/>
      <c r="BH72" s="15"/>
      <c r="BI72" s="15"/>
      <c r="BJ72" s="15"/>
      <c r="BK72" s="15"/>
      <c r="BL72" s="233"/>
    </row>
    <row r="73" spans="2:70" x14ac:dyDescent="0.3">
      <c r="B73" s="232"/>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233"/>
      <c r="AN73" s="9"/>
      <c r="AO73" s="9"/>
      <c r="AP73" s="9"/>
      <c r="AQ73" s="9"/>
      <c r="AR73" s="9"/>
      <c r="AS73" s="9"/>
      <c r="AT73" s="9"/>
      <c r="AU73" s="9"/>
      <c r="AV73" s="9"/>
      <c r="AW73" s="9"/>
      <c r="AX73" s="9"/>
      <c r="AY73" s="9"/>
      <c r="AZ73" s="9"/>
      <c r="BA73" s="9"/>
      <c r="BB73" s="9"/>
      <c r="BC73" s="9"/>
      <c r="BD73" s="9"/>
      <c r="BE73" s="9"/>
      <c r="BF73" s="9"/>
      <c r="BG73" s="9"/>
      <c r="BH73" s="9"/>
      <c r="BI73" s="9"/>
      <c r="BJ73" s="9"/>
      <c r="BK73" s="9"/>
      <c r="BL73" s="9"/>
    </row>
    <row r="74" spans="2:70" x14ac:dyDescent="0.3">
      <c r="B74" s="285" t="s">
        <v>28</v>
      </c>
      <c r="C74" s="286"/>
      <c r="D74" s="287"/>
      <c r="E74" s="287"/>
      <c r="F74" s="287"/>
      <c r="G74" s="287"/>
      <c r="H74" s="287"/>
      <c r="I74" s="287"/>
      <c r="J74" s="287"/>
      <c r="K74" s="287"/>
      <c r="L74" s="287"/>
      <c r="M74" s="287"/>
      <c r="N74" s="287"/>
      <c r="O74" s="287"/>
      <c r="P74" s="287"/>
      <c r="Q74" s="286" t="str">
        <f>B74</f>
        <v>PDNP</v>
      </c>
      <c r="R74" s="287"/>
      <c r="S74" s="287"/>
      <c r="T74" s="287"/>
      <c r="U74" s="287"/>
      <c r="V74" s="287"/>
      <c r="W74" s="287"/>
      <c r="X74" s="287"/>
      <c r="Y74" s="287"/>
      <c r="Z74" s="287"/>
      <c r="AA74" s="287"/>
      <c r="AB74" s="287"/>
      <c r="AC74" s="287"/>
      <c r="AD74" s="286" t="str">
        <f>Q74</f>
        <v>PDNP</v>
      </c>
      <c r="AE74" s="287"/>
      <c r="AF74" s="287"/>
      <c r="AG74" s="287"/>
      <c r="AH74" s="287"/>
      <c r="AI74" s="287"/>
      <c r="AJ74" s="287"/>
      <c r="AK74" s="287"/>
      <c r="AL74" s="288"/>
      <c r="AN74" s="15"/>
      <c r="AO74" s="15"/>
      <c r="AP74" s="15"/>
      <c r="AQ74" s="15"/>
      <c r="AR74" s="15"/>
      <c r="AS74" s="15"/>
      <c r="AT74" s="15"/>
      <c r="AU74" s="15"/>
      <c r="AV74" s="15"/>
      <c r="AW74" s="15"/>
      <c r="AX74" s="15"/>
      <c r="AY74" s="15"/>
      <c r="AZ74" s="15"/>
      <c r="BA74" s="263"/>
      <c r="BB74" s="15"/>
      <c r="BC74" s="15"/>
      <c r="BD74" s="15"/>
      <c r="BE74" s="15"/>
      <c r="BF74" s="15"/>
      <c r="BG74" s="15"/>
      <c r="BH74" s="15"/>
      <c r="BI74" s="15"/>
      <c r="BJ74" s="15"/>
      <c r="BK74" s="15"/>
      <c r="BL74" s="15"/>
    </row>
    <row r="75" spans="2:70" x14ac:dyDescent="0.3">
      <c r="B75" s="232"/>
      <c r="C75" s="292" t="s">
        <v>305</v>
      </c>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233"/>
    </row>
    <row r="76" spans="2:70" x14ac:dyDescent="0.3">
      <c r="B76" s="232"/>
      <c r="C76" s="236"/>
      <c r="D76" s="237"/>
      <c r="E76" s="237"/>
      <c r="F76" s="237"/>
      <c r="G76" s="237"/>
      <c r="H76" s="261"/>
      <c r="I76" s="236"/>
      <c r="J76" s="237"/>
      <c r="K76" s="237"/>
      <c r="L76" s="15"/>
      <c r="M76" s="236"/>
      <c r="N76" s="237"/>
      <c r="O76" s="237"/>
      <c r="P76" s="15"/>
      <c r="Q76" s="236"/>
      <c r="R76" s="237"/>
      <c r="S76" s="237"/>
      <c r="T76" s="237"/>
      <c r="U76" s="15"/>
      <c r="V76" s="236"/>
      <c r="W76" s="237"/>
      <c r="X76" s="237"/>
      <c r="Y76" s="237"/>
      <c r="Z76" s="237"/>
      <c r="AA76" s="237"/>
      <c r="AB76" s="15"/>
      <c r="AC76" s="15"/>
      <c r="AD76" s="236"/>
      <c r="AE76" s="237"/>
      <c r="AF76" s="237"/>
      <c r="AG76" s="15"/>
      <c r="AH76" s="236"/>
      <c r="AI76" s="237"/>
      <c r="AJ76" s="237"/>
      <c r="AK76" s="237"/>
      <c r="AL76" s="233"/>
    </row>
    <row r="77" spans="2:70" x14ac:dyDescent="0.3">
      <c r="B77" s="232"/>
      <c r="C77" s="250"/>
      <c r="D77" s="250"/>
      <c r="E77" s="250"/>
      <c r="F77" s="250"/>
      <c r="G77" s="250"/>
      <c r="H77" s="261"/>
      <c r="I77" s="262"/>
      <c r="J77" s="262"/>
      <c r="K77" s="262"/>
      <c r="L77" s="15"/>
      <c r="M77" s="262"/>
      <c r="N77" s="262"/>
      <c r="O77" s="262"/>
      <c r="P77" s="15"/>
      <c r="Q77" s="262"/>
      <c r="R77" s="262"/>
      <c r="S77" s="262"/>
      <c r="T77" s="262"/>
      <c r="U77" s="15"/>
      <c r="V77" s="262"/>
      <c r="W77" s="262"/>
      <c r="X77" s="262"/>
      <c r="Y77" s="262"/>
      <c r="Z77" s="262"/>
      <c r="AA77" s="262"/>
      <c r="AB77" s="262"/>
      <c r="AC77" s="15"/>
      <c r="AD77" s="262"/>
      <c r="AE77" s="262"/>
      <c r="AF77" s="262"/>
      <c r="AG77" s="15"/>
      <c r="AH77" s="262"/>
      <c r="AI77" s="262"/>
      <c r="AJ77" s="262"/>
      <c r="AK77" s="262"/>
      <c r="AL77" s="233"/>
    </row>
    <row r="78" spans="2:70" x14ac:dyDescent="0.3">
      <c r="B78" s="232"/>
      <c r="C78" s="250"/>
      <c r="D78" s="250"/>
      <c r="E78" s="250"/>
      <c r="F78" s="250"/>
      <c r="G78" s="250"/>
      <c r="H78" s="15"/>
      <c r="I78" s="250"/>
      <c r="J78" s="250"/>
      <c r="K78" s="250"/>
      <c r="L78" s="15"/>
      <c r="M78" s="250"/>
      <c r="N78" s="250"/>
      <c r="O78" s="250"/>
      <c r="P78" s="15"/>
      <c r="Q78" s="250"/>
      <c r="R78" s="250"/>
      <c r="S78" s="250"/>
      <c r="T78" s="250"/>
      <c r="U78" s="15"/>
      <c r="V78" s="250"/>
      <c r="W78" s="250"/>
      <c r="X78" s="250"/>
      <c r="Y78" s="250"/>
      <c r="Z78" s="250"/>
      <c r="AA78" s="250"/>
      <c r="AB78" s="250"/>
      <c r="AC78" s="15"/>
      <c r="AD78" s="250"/>
      <c r="AE78" s="250"/>
      <c r="AF78" s="250"/>
      <c r="AG78" s="15"/>
      <c r="AH78" s="250"/>
      <c r="AI78" s="250"/>
      <c r="AJ78" s="250"/>
      <c r="AK78" s="250"/>
      <c r="AL78" s="233"/>
    </row>
    <row r="79" spans="2:70" x14ac:dyDescent="0.3">
      <c r="B79" s="232"/>
      <c r="C79" s="250"/>
      <c r="D79" s="263"/>
      <c r="E79" s="263"/>
      <c r="F79" s="263"/>
      <c r="G79" s="263"/>
      <c r="H79" s="15"/>
      <c r="I79" s="51"/>
      <c r="J79" s="51"/>
      <c r="K79" s="51"/>
      <c r="L79" s="15"/>
      <c r="M79" s="51"/>
      <c r="N79" s="51"/>
      <c r="O79" s="51"/>
      <c r="P79" s="15"/>
      <c r="Q79" s="265"/>
      <c r="R79" s="265"/>
      <c r="S79" s="265"/>
      <c r="T79" s="265"/>
      <c r="U79" s="15"/>
      <c r="V79" s="51"/>
      <c r="W79" s="265"/>
      <c r="X79" s="51"/>
      <c r="Y79" s="265"/>
      <c r="Z79" s="51"/>
      <c r="AA79" s="265"/>
      <c r="AB79" s="265"/>
      <c r="AC79" s="15"/>
      <c r="AD79" s="265"/>
      <c r="AE79" s="265"/>
      <c r="AF79" s="265"/>
      <c r="AG79" s="15"/>
      <c r="AH79" s="272"/>
      <c r="AI79" s="267"/>
      <c r="AJ79" s="267"/>
      <c r="AK79" s="265"/>
      <c r="AL79" s="233"/>
    </row>
    <row r="80" spans="2:70" x14ac:dyDescent="0.3">
      <c r="B80" s="232"/>
      <c r="C80" s="270"/>
      <c r="D80" s="263"/>
      <c r="E80" s="263"/>
      <c r="F80" s="263"/>
      <c r="G80" s="263"/>
      <c r="H80" s="15"/>
      <c r="I80" s="35"/>
      <c r="J80" s="35"/>
      <c r="K80" s="35"/>
      <c r="L80" s="15"/>
      <c r="M80" s="35"/>
      <c r="N80" s="35"/>
      <c r="O80" s="35"/>
      <c r="P80" s="15"/>
      <c r="Q80" s="34"/>
      <c r="R80" s="34"/>
      <c r="S80" s="34"/>
      <c r="T80" s="34"/>
      <c r="U80" s="15"/>
      <c r="V80" s="35"/>
      <c r="W80" s="34"/>
      <c r="X80" s="35"/>
      <c r="Y80" s="34"/>
      <c r="Z80" s="35"/>
      <c r="AA80" s="34"/>
      <c r="AB80" s="34"/>
      <c r="AC80" s="15"/>
      <c r="AD80" s="34"/>
      <c r="AE80" s="34"/>
      <c r="AF80" s="34"/>
      <c r="AG80" s="15"/>
      <c r="AH80" s="272"/>
      <c r="AI80" s="267"/>
      <c r="AJ80" s="267"/>
      <c r="AK80" s="34"/>
      <c r="AL80" s="233"/>
    </row>
    <row r="81" spans="2:52" x14ac:dyDescent="0.3">
      <c r="B81" s="232"/>
      <c r="C81" s="250"/>
      <c r="D81" s="263"/>
      <c r="E81" s="263"/>
      <c r="F81" s="263"/>
      <c r="G81" s="263"/>
      <c r="H81" s="15"/>
      <c r="I81" s="35"/>
      <c r="J81" s="35"/>
      <c r="K81" s="35"/>
      <c r="L81" s="15"/>
      <c r="M81" s="35"/>
      <c r="N81" s="35"/>
      <c r="O81" s="35"/>
      <c r="P81" s="15"/>
      <c r="Q81" s="34"/>
      <c r="R81" s="34"/>
      <c r="S81" s="34"/>
      <c r="T81" s="34"/>
      <c r="U81" s="15"/>
      <c r="V81" s="35"/>
      <c r="W81" s="34"/>
      <c r="X81" s="35"/>
      <c r="Y81" s="34"/>
      <c r="Z81" s="35"/>
      <c r="AA81" s="34"/>
      <c r="AB81" s="34"/>
      <c r="AC81" s="15"/>
      <c r="AD81" s="34"/>
      <c r="AE81" s="34"/>
      <c r="AF81" s="34"/>
      <c r="AG81" s="15"/>
      <c r="AH81" s="272"/>
      <c r="AI81" s="267"/>
      <c r="AJ81" s="267"/>
      <c r="AK81" s="34"/>
      <c r="AL81" s="233"/>
    </row>
    <row r="82" spans="2:52" x14ac:dyDescent="0.3">
      <c r="B82" s="232"/>
      <c r="C82" s="250"/>
      <c r="D82" s="263"/>
      <c r="E82" s="263"/>
      <c r="F82" s="263"/>
      <c r="G82" s="263"/>
      <c r="H82" s="15"/>
      <c r="I82" s="35"/>
      <c r="J82" s="35"/>
      <c r="K82" s="35"/>
      <c r="L82" s="15"/>
      <c r="M82" s="35"/>
      <c r="N82" s="35"/>
      <c r="O82" s="35"/>
      <c r="P82" s="15"/>
      <c r="Q82" s="34"/>
      <c r="R82" s="34"/>
      <c r="S82" s="34"/>
      <c r="T82" s="34"/>
      <c r="U82" s="15"/>
      <c r="V82" s="35"/>
      <c r="W82" s="34"/>
      <c r="X82" s="35"/>
      <c r="Y82" s="34"/>
      <c r="Z82" s="35"/>
      <c r="AA82" s="34"/>
      <c r="AB82" s="34"/>
      <c r="AC82" s="15"/>
      <c r="AD82" s="34"/>
      <c r="AE82" s="34"/>
      <c r="AF82" s="34"/>
      <c r="AG82" s="15"/>
      <c r="AH82" s="272"/>
      <c r="AI82" s="267"/>
      <c r="AJ82" s="267"/>
      <c r="AK82" s="34"/>
      <c r="AL82" s="233"/>
    </row>
    <row r="83" spans="2:52" x14ac:dyDescent="0.3">
      <c r="B83" s="232"/>
      <c r="C83" s="250"/>
      <c r="D83" s="263"/>
      <c r="E83" s="263"/>
      <c r="F83" s="263"/>
      <c r="G83" s="263"/>
      <c r="H83" s="15"/>
      <c r="I83" s="35"/>
      <c r="J83" s="35"/>
      <c r="K83" s="35"/>
      <c r="L83" s="15"/>
      <c r="M83" s="35"/>
      <c r="N83" s="35"/>
      <c r="O83" s="35"/>
      <c r="P83" s="15"/>
      <c r="Q83" s="34"/>
      <c r="R83" s="34"/>
      <c r="S83" s="34"/>
      <c r="T83" s="34"/>
      <c r="U83" s="15"/>
      <c r="V83" s="35"/>
      <c r="W83" s="34"/>
      <c r="X83" s="35"/>
      <c r="Y83" s="34"/>
      <c r="Z83" s="35"/>
      <c r="AA83" s="34"/>
      <c r="AB83" s="34"/>
      <c r="AC83" s="15"/>
      <c r="AD83" s="34"/>
      <c r="AE83" s="34"/>
      <c r="AF83" s="34"/>
      <c r="AG83" s="15"/>
      <c r="AH83" s="272"/>
      <c r="AI83" s="267"/>
      <c r="AJ83" s="267"/>
      <c r="AK83" s="34"/>
      <c r="AL83" s="233"/>
      <c r="AZ83" s="2"/>
    </row>
    <row r="84" spans="2:52" x14ac:dyDescent="0.3">
      <c r="B84" s="232"/>
      <c r="C84" s="250"/>
      <c r="D84" s="263"/>
      <c r="E84" s="263"/>
      <c r="F84" s="263"/>
      <c r="G84" s="263"/>
      <c r="H84" s="15"/>
      <c r="I84" s="35"/>
      <c r="J84" s="35"/>
      <c r="K84" s="35"/>
      <c r="L84" s="15"/>
      <c r="M84" s="35"/>
      <c r="N84" s="35"/>
      <c r="O84" s="35"/>
      <c r="P84" s="15"/>
      <c r="Q84" s="34"/>
      <c r="R84" s="34"/>
      <c r="S84" s="34"/>
      <c r="T84" s="34"/>
      <c r="U84" s="15"/>
      <c r="V84" s="35"/>
      <c r="W84" s="34"/>
      <c r="X84" s="35"/>
      <c r="Y84" s="34"/>
      <c r="Z84" s="35"/>
      <c r="AA84" s="34"/>
      <c r="AB84" s="34"/>
      <c r="AC84" s="15"/>
      <c r="AD84" s="34"/>
      <c r="AE84" s="34"/>
      <c r="AF84" s="34"/>
      <c r="AG84" s="15"/>
      <c r="AH84" s="272"/>
      <c r="AI84" s="267"/>
      <c r="AJ84" s="267"/>
      <c r="AK84" s="34"/>
      <c r="AL84" s="233"/>
      <c r="AZ84" s="2"/>
    </row>
    <row r="85" spans="2:52" x14ac:dyDescent="0.3">
      <c r="B85" s="232"/>
      <c r="C85" s="250"/>
      <c r="D85" s="263"/>
      <c r="E85" s="263"/>
      <c r="F85" s="263"/>
      <c r="G85" s="263"/>
      <c r="H85" s="15"/>
      <c r="I85" s="35"/>
      <c r="J85" s="35"/>
      <c r="K85" s="35"/>
      <c r="L85" s="15"/>
      <c r="M85" s="35"/>
      <c r="N85" s="35"/>
      <c r="O85" s="35"/>
      <c r="P85" s="15"/>
      <c r="Q85" s="34"/>
      <c r="R85" s="34"/>
      <c r="S85" s="34"/>
      <c r="T85" s="34"/>
      <c r="U85" s="15"/>
      <c r="V85" s="35"/>
      <c r="W85" s="34"/>
      <c r="X85" s="35"/>
      <c r="Y85" s="34"/>
      <c r="Z85" s="35"/>
      <c r="AA85" s="34"/>
      <c r="AB85" s="34"/>
      <c r="AC85" s="15"/>
      <c r="AD85" s="34"/>
      <c r="AE85" s="34"/>
      <c r="AF85" s="34"/>
      <c r="AG85" s="15"/>
      <c r="AH85" s="272"/>
      <c r="AI85" s="267"/>
      <c r="AJ85" s="267"/>
      <c r="AK85" s="34"/>
      <c r="AL85" s="233"/>
      <c r="AZ85" s="2"/>
    </row>
    <row r="86" spans="2:52" x14ac:dyDescent="0.3">
      <c r="B86" s="232"/>
      <c r="C86" s="250"/>
      <c r="D86" s="263"/>
      <c r="E86" s="263"/>
      <c r="F86" s="263"/>
      <c r="G86" s="263"/>
      <c r="H86" s="15"/>
      <c r="I86" s="35"/>
      <c r="J86" s="35"/>
      <c r="K86" s="35"/>
      <c r="L86" s="15"/>
      <c r="M86" s="35"/>
      <c r="N86" s="35"/>
      <c r="O86" s="35"/>
      <c r="P86" s="15"/>
      <c r="Q86" s="34"/>
      <c r="R86" s="34"/>
      <c r="S86" s="34"/>
      <c r="T86" s="34"/>
      <c r="U86" s="15"/>
      <c r="V86" s="35"/>
      <c r="W86" s="34"/>
      <c r="X86" s="35"/>
      <c r="Y86" s="34"/>
      <c r="Z86" s="35"/>
      <c r="AA86" s="34"/>
      <c r="AB86" s="34"/>
      <c r="AC86" s="15"/>
      <c r="AD86" s="34"/>
      <c r="AE86" s="34"/>
      <c r="AF86" s="34"/>
      <c r="AG86" s="15"/>
      <c r="AH86" s="272"/>
      <c r="AI86" s="267"/>
      <c r="AJ86" s="267"/>
      <c r="AK86" s="34"/>
      <c r="AL86" s="233"/>
      <c r="AZ86" s="2"/>
    </row>
    <row r="87" spans="2:52" x14ac:dyDescent="0.3">
      <c r="B87" s="232"/>
      <c r="C87" s="250"/>
      <c r="D87" s="263"/>
      <c r="E87" s="263"/>
      <c r="F87" s="263"/>
      <c r="G87" s="263"/>
      <c r="H87" s="15"/>
      <c r="I87" s="35"/>
      <c r="J87" s="35"/>
      <c r="K87" s="35"/>
      <c r="L87" s="15"/>
      <c r="M87" s="35"/>
      <c r="N87" s="35"/>
      <c r="O87" s="35"/>
      <c r="P87" s="15"/>
      <c r="Q87" s="34"/>
      <c r="R87" s="34"/>
      <c r="S87" s="34"/>
      <c r="T87" s="34"/>
      <c r="U87" s="15"/>
      <c r="V87" s="35"/>
      <c r="W87" s="34"/>
      <c r="X87" s="35"/>
      <c r="Y87" s="34"/>
      <c r="Z87" s="35"/>
      <c r="AA87" s="34"/>
      <c r="AB87" s="34"/>
      <c r="AC87" s="15"/>
      <c r="AD87" s="34"/>
      <c r="AE87" s="34"/>
      <c r="AF87" s="34"/>
      <c r="AG87" s="15"/>
      <c r="AH87" s="272"/>
      <c r="AI87" s="267"/>
      <c r="AJ87" s="267"/>
      <c r="AK87" s="34"/>
      <c r="AL87" s="233"/>
      <c r="AZ87" s="2"/>
    </row>
    <row r="88" spans="2:52" x14ac:dyDescent="0.3">
      <c r="B88" s="232"/>
      <c r="C88" s="250"/>
      <c r="D88" s="263"/>
      <c r="E88" s="263"/>
      <c r="F88" s="263"/>
      <c r="G88" s="263"/>
      <c r="H88" s="15"/>
      <c r="I88" s="35"/>
      <c r="J88" s="35"/>
      <c r="K88" s="35"/>
      <c r="L88" s="15"/>
      <c r="M88" s="35"/>
      <c r="N88" s="35"/>
      <c r="O88" s="35"/>
      <c r="P88" s="15"/>
      <c r="Q88" s="34"/>
      <c r="R88" s="34"/>
      <c r="S88" s="34"/>
      <c r="T88" s="34"/>
      <c r="U88" s="15"/>
      <c r="V88" s="35"/>
      <c r="W88" s="34"/>
      <c r="X88" s="35"/>
      <c r="Y88" s="34"/>
      <c r="Z88" s="35"/>
      <c r="AA88" s="34"/>
      <c r="AB88" s="34"/>
      <c r="AC88" s="15"/>
      <c r="AD88" s="34"/>
      <c r="AE88" s="34"/>
      <c r="AF88" s="34"/>
      <c r="AG88" s="15"/>
      <c r="AH88" s="272"/>
      <c r="AI88" s="267"/>
      <c r="AJ88" s="267"/>
      <c r="AK88" s="34"/>
      <c r="AL88" s="233"/>
      <c r="AZ88" s="2"/>
    </row>
    <row r="89" spans="2:52" x14ac:dyDescent="0.3">
      <c r="B89" s="232"/>
      <c r="C89" s="250"/>
      <c r="D89" s="263"/>
      <c r="E89" s="263"/>
      <c r="F89" s="263"/>
      <c r="G89" s="263"/>
      <c r="H89" s="15"/>
      <c r="I89" s="35"/>
      <c r="J89" s="35"/>
      <c r="K89" s="35"/>
      <c r="L89" s="15"/>
      <c r="M89" s="35"/>
      <c r="N89" s="35"/>
      <c r="O89" s="35"/>
      <c r="P89" s="15"/>
      <c r="Q89" s="34"/>
      <c r="R89" s="34"/>
      <c r="S89" s="34"/>
      <c r="T89" s="34"/>
      <c r="U89" s="15"/>
      <c r="V89" s="35"/>
      <c r="W89" s="34"/>
      <c r="X89" s="35"/>
      <c r="Y89" s="34"/>
      <c r="Z89" s="35"/>
      <c r="AA89" s="34"/>
      <c r="AB89" s="34"/>
      <c r="AC89" s="15"/>
      <c r="AD89" s="34"/>
      <c r="AE89" s="34"/>
      <c r="AF89" s="34"/>
      <c r="AG89" s="15"/>
      <c r="AH89" s="272"/>
      <c r="AI89" s="267"/>
      <c r="AJ89" s="267"/>
      <c r="AK89" s="34"/>
      <c r="AL89" s="233"/>
      <c r="AZ89" s="2"/>
    </row>
    <row r="90" spans="2:52" x14ac:dyDescent="0.3">
      <c r="B90" s="232"/>
      <c r="C90" s="250"/>
      <c r="D90" s="263"/>
      <c r="E90" s="263"/>
      <c r="F90" s="263"/>
      <c r="G90" s="263"/>
      <c r="H90" s="15"/>
      <c r="I90" s="35"/>
      <c r="J90" s="35"/>
      <c r="K90" s="35"/>
      <c r="L90" s="15"/>
      <c r="M90" s="35"/>
      <c r="N90" s="35"/>
      <c r="O90" s="35"/>
      <c r="P90" s="15"/>
      <c r="Q90" s="34"/>
      <c r="R90" s="34"/>
      <c r="S90" s="34"/>
      <c r="T90" s="34"/>
      <c r="U90" s="15"/>
      <c r="V90" s="35"/>
      <c r="W90" s="34"/>
      <c r="X90" s="35"/>
      <c r="Y90" s="34"/>
      <c r="Z90" s="35"/>
      <c r="AA90" s="34"/>
      <c r="AB90" s="34"/>
      <c r="AC90" s="15"/>
      <c r="AD90" s="34"/>
      <c r="AE90" s="34"/>
      <c r="AF90" s="34"/>
      <c r="AG90" s="15"/>
      <c r="AH90" s="272"/>
      <c r="AI90" s="267"/>
      <c r="AJ90" s="267"/>
      <c r="AK90" s="34"/>
      <c r="AL90" s="233"/>
      <c r="AZ90" s="2"/>
    </row>
    <row r="91" spans="2:52" x14ac:dyDescent="0.3">
      <c r="B91" s="232"/>
      <c r="C91" s="250"/>
      <c r="D91" s="263"/>
      <c r="E91" s="263"/>
      <c r="F91" s="263"/>
      <c r="G91" s="263"/>
      <c r="H91" s="15"/>
      <c r="I91" s="35"/>
      <c r="J91" s="35"/>
      <c r="K91" s="35"/>
      <c r="L91" s="15"/>
      <c r="M91" s="35"/>
      <c r="N91" s="35"/>
      <c r="O91" s="35"/>
      <c r="P91" s="15"/>
      <c r="Q91" s="34"/>
      <c r="R91" s="34"/>
      <c r="S91" s="34"/>
      <c r="T91" s="34"/>
      <c r="U91" s="15"/>
      <c r="V91" s="35"/>
      <c r="W91" s="34"/>
      <c r="X91" s="35"/>
      <c r="Y91" s="34"/>
      <c r="Z91" s="35"/>
      <c r="AA91" s="34"/>
      <c r="AB91" s="34"/>
      <c r="AC91" s="15"/>
      <c r="AD91" s="34"/>
      <c r="AE91" s="34"/>
      <c r="AF91" s="34"/>
      <c r="AG91" s="15"/>
      <c r="AH91" s="272"/>
      <c r="AI91" s="267"/>
      <c r="AJ91" s="267"/>
      <c r="AK91" s="34"/>
      <c r="AL91" s="233"/>
      <c r="AZ91" s="2"/>
    </row>
    <row r="92" spans="2:52" x14ac:dyDescent="0.3">
      <c r="B92" s="232"/>
      <c r="C92" s="250"/>
      <c r="D92" s="263"/>
      <c r="E92" s="263"/>
      <c r="F92" s="263"/>
      <c r="G92" s="263"/>
      <c r="H92" s="15"/>
      <c r="I92" s="35"/>
      <c r="J92" s="35"/>
      <c r="K92" s="35"/>
      <c r="L92" s="15"/>
      <c r="M92" s="35"/>
      <c r="N92" s="35"/>
      <c r="O92" s="35"/>
      <c r="P92" s="15"/>
      <c r="Q92" s="34"/>
      <c r="R92" s="34"/>
      <c r="S92" s="34"/>
      <c r="T92" s="34"/>
      <c r="U92" s="15"/>
      <c r="V92" s="35"/>
      <c r="W92" s="34"/>
      <c r="X92" s="35"/>
      <c r="Y92" s="34"/>
      <c r="Z92" s="35"/>
      <c r="AA92" s="34"/>
      <c r="AB92" s="34"/>
      <c r="AC92" s="15"/>
      <c r="AD92" s="34"/>
      <c r="AE92" s="34"/>
      <c r="AF92" s="34"/>
      <c r="AG92" s="15"/>
      <c r="AH92" s="272"/>
      <c r="AI92" s="267"/>
      <c r="AJ92" s="267"/>
      <c r="AK92" s="34"/>
      <c r="AL92" s="233"/>
      <c r="AZ92" s="2"/>
    </row>
    <row r="93" spans="2:52" x14ac:dyDescent="0.3">
      <c r="B93" s="232"/>
      <c r="C93" s="250"/>
      <c r="D93" s="263"/>
      <c r="E93" s="263"/>
      <c r="F93" s="263"/>
      <c r="G93" s="263"/>
      <c r="H93" s="15"/>
      <c r="I93" s="35"/>
      <c r="J93" s="35"/>
      <c r="K93" s="35"/>
      <c r="L93" s="15"/>
      <c r="M93" s="35"/>
      <c r="N93" s="35"/>
      <c r="O93" s="35"/>
      <c r="P93" s="15"/>
      <c r="Q93" s="34"/>
      <c r="R93" s="34"/>
      <c r="S93" s="34"/>
      <c r="T93" s="34"/>
      <c r="U93" s="15"/>
      <c r="V93" s="35"/>
      <c r="W93" s="34"/>
      <c r="X93" s="35"/>
      <c r="Y93" s="34"/>
      <c r="Z93" s="35"/>
      <c r="AA93" s="34"/>
      <c r="AB93" s="34"/>
      <c r="AC93" s="15"/>
      <c r="AD93" s="34"/>
      <c r="AE93" s="34"/>
      <c r="AF93" s="34"/>
      <c r="AG93" s="15"/>
      <c r="AH93" s="272"/>
      <c r="AI93" s="267"/>
      <c r="AJ93" s="267"/>
      <c r="AK93" s="34"/>
      <c r="AL93" s="233"/>
      <c r="AZ93" s="2"/>
    </row>
    <row r="94" spans="2:52" x14ac:dyDescent="0.3">
      <c r="B94" s="232"/>
      <c r="C94" s="250"/>
      <c r="D94" s="263"/>
      <c r="E94" s="263"/>
      <c r="F94" s="263"/>
      <c r="G94" s="263"/>
      <c r="H94" s="15"/>
      <c r="I94" s="35"/>
      <c r="J94" s="35"/>
      <c r="K94" s="35"/>
      <c r="L94" s="15"/>
      <c r="M94" s="35"/>
      <c r="N94" s="35"/>
      <c r="O94" s="35"/>
      <c r="P94" s="15"/>
      <c r="Q94" s="34"/>
      <c r="R94" s="34"/>
      <c r="S94" s="34"/>
      <c r="T94" s="34"/>
      <c r="U94" s="15"/>
      <c r="V94" s="35"/>
      <c r="W94" s="34"/>
      <c r="X94" s="35"/>
      <c r="Y94" s="34"/>
      <c r="Z94" s="35"/>
      <c r="AA94" s="34"/>
      <c r="AB94" s="34"/>
      <c r="AC94" s="15"/>
      <c r="AD94" s="34"/>
      <c r="AE94" s="34"/>
      <c r="AF94" s="34"/>
      <c r="AG94" s="15"/>
      <c r="AH94" s="272"/>
      <c r="AI94" s="267"/>
      <c r="AJ94" s="267"/>
      <c r="AK94" s="34"/>
      <c r="AL94" s="233"/>
      <c r="AZ94" s="2"/>
    </row>
    <row r="95" spans="2:52" x14ac:dyDescent="0.3">
      <c r="B95" s="232"/>
      <c r="C95" s="367"/>
      <c r="D95" s="284"/>
      <c r="E95" s="284"/>
      <c r="F95" s="284"/>
      <c r="G95" s="284"/>
      <c r="H95" s="18"/>
      <c r="I95" s="107"/>
      <c r="J95" s="107"/>
      <c r="K95" s="107"/>
      <c r="L95" s="18"/>
      <c r="M95" s="107"/>
      <c r="N95" s="35"/>
      <c r="O95" s="35"/>
      <c r="P95" s="15"/>
      <c r="Q95" s="34"/>
      <c r="R95" s="34"/>
      <c r="S95" s="34"/>
      <c r="T95" s="34"/>
      <c r="U95" s="15"/>
      <c r="V95" s="35"/>
      <c r="W95" s="34"/>
      <c r="X95" s="35"/>
      <c r="Y95" s="34"/>
      <c r="Z95" s="35"/>
      <c r="AA95" s="34"/>
      <c r="AB95" s="34"/>
      <c r="AC95" s="15"/>
      <c r="AD95" s="34"/>
      <c r="AE95" s="34"/>
      <c r="AF95" s="34"/>
      <c r="AG95" s="15"/>
      <c r="AH95" s="272"/>
      <c r="AI95" s="267"/>
      <c r="AJ95" s="267"/>
      <c r="AK95" s="34"/>
      <c r="AL95" s="233"/>
      <c r="AZ95" s="2"/>
    </row>
    <row r="96" spans="2:52" x14ac:dyDescent="0.3">
      <c r="B96" s="232"/>
      <c r="C96" s="367"/>
      <c r="D96" s="284"/>
      <c r="E96" s="284"/>
      <c r="F96" s="284"/>
      <c r="G96" s="284"/>
      <c r="H96" s="18"/>
      <c r="I96" s="107"/>
      <c r="J96" s="107"/>
      <c r="K96" s="107"/>
      <c r="L96" s="18"/>
      <c r="M96" s="107"/>
      <c r="N96" s="35"/>
      <c r="O96" s="35"/>
      <c r="P96" s="15"/>
      <c r="Q96" s="34"/>
      <c r="R96" s="34"/>
      <c r="S96" s="34"/>
      <c r="T96" s="34"/>
      <c r="U96" s="15"/>
      <c r="V96" s="35"/>
      <c r="W96" s="34"/>
      <c r="X96" s="35"/>
      <c r="Y96" s="34"/>
      <c r="Z96" s="35"/>
      <c r="AA96" s="34"/>
      <c r="AB96" s="34"/>
      <c r="AC96" s="15"/>
      <c r="AD96" s="34"/>
      <c r="AE96" s="34"/>
      <c r="AF96" s="34"/>
      <c r="AG96" s="15"/>
      <c r="AH96" s="272"/>
      <c r="AI96" s="267"/>
      <c r="AJ96" s="267"/>
      <c r="AK96" s="34"/>
      <c r="AL96" s="233"/>
      <c r="AZ96" s="2"/>
    </row>
    <row r="97" spans="2:52" x14ac:dyDescent="0.3">
      <c r="B97" s="232"/>
      <c r="C97" s="367"/>
      <c r="D97" s="284"/>
      <c r="E97" s="284"/>
      <c r="F97" s="284"/>
      <c r="G97" s="284"/>
      <c r="H97" s="18"/>
      <c r="I97" s="107"/>
      <c r="J97" s="107"/>
      <c r="K97" s="107"/>
      <c r="L97" s="18"/>
      <c r="M97" s="107"/>
      <c r="N97" s="35"/>
      <c r="O97" s="35"/>
      <c r="P97" s="15"/>
      <c r="Q97" s="34"/>
      <c r="R97" s="34"/>
      <c r="S97" s="34"/>
      <c r="T97" s="34"/>
      <c r="U97" s="15"/>
      <c r="V97" s="35"/>
      <c r="W97" s="34"/>
      <c r="X97" s="35"/>
      <c r="Y97" s="34"/>
      <c r="Z97" s="35"/>
      <c r="AA97" s="34"/>
      <c r="AB97" s="34"/>
      <c r="AC97" s="15"/>
      <c r="AD97" s="34"/>
      <c r="AE97" s="34"/>
      <c r="AF97" s="34"/>
      <c r="AG97" s="15"/>
      <c r="AH97" s="272"/>
      <c r="AI97" s="267"/>
      <c r="AJ97" s="267"/>
      <c r="AK97" s="34"/>
      <c r="AL97" s="233"/>
      <c r="AO97" s="2"/>
      <c r="AP97" s="2"/>
      <c r="AQ97" s="2"/>
      <c r="AR97" s="2"/>
      <c r="AS97" s="2"/>
      <c r="AT97" s="2"/>
      <c r="AU97" s="2"/>
      <c r="AV97" s="2"/>
      <c r="AW97" s="2"/>
      <c r="AX97" s="2"/>
      <c r="AY97" s="2"/>
      <c r="AZ97" s="2"/>
    </row>
    <row r="98" spans="2:52" x14ac:dyDescent="0.3">
      <c r="B98" s="232"/>
      <c r="C98" s="367"/>
      <c r="D98" s="284"/>
      <c r="E98" s="284"/>
      <c r="F98" s="284"/>
      <c r="G98" s="284"/>
      <c r="H98" s="18"/>
      <c r="I98" s="107"/>
      <c r="J98" s="107"/>
      <c r="K98" s="107"/>
      <c r="L98" s="18"/>
      <c r="M98" s="107"/>
      <c r="N98" s="35"/>
      <c r="O98" s="35"/>
      <c r="P98" s="15"/>
      <c r="Q98" s="34"/>
      <c r="R98" s="34"/>
      <c r="S98" s="34"/>
      <c r="T98" s="34"/>
      <c r="U98" s="15"/>
      <c r="V98" s="35"/>
      <c r="W98" s="34"/>
      <c r="X98" s="35"/>
      <c r="Y98" s="34"/>
      <c r="Z98" s="35"/>
      <c r="AA98" s="34"/>
      <c r="AB98" s="34"/>
      <c r="AC98" s="15"/>
      <c r="AD98" s="34"/>
      <c r="AE98" s="34"/>
      <c r="AF98" s="34"/>
      <c r="AG98" s="15"/>
      <c r="AH98" s="272"/>
      <c r="AI98" s="267"/>
      <c r="AJ98" s="267"/>
      <c r="AK98" s="34"/>
      <c r="AL98" s="233"/>
      <c r="AO98" s="2"/>
      <c r="AP98" s="2"/>
      <c r="AQ98" s="2"/>
      <c r="AR98" s="2"/>
      <c r="AS98" s="2"/>
      <c r="AT98" s="2"/>
      <c r="AU98" s="2"/>
      <c r="AV98" s="2"/>
      <c r="AW98" s="2"/>
      <c r="AX98" s="2"/>
      <c r="AY98" s="2"/>
      <c r="AZ98" s="2"/>
    </row>
    <row r="99" spans="2:52" x14ac:dyDescent="0.3">
      <c r="B99" s="232"/>
      <c r="C99" s="368"/>
      <c r="D99" s="284"/>
      <c r="E99" s="284"/>
      <c r="F99" s="284"/>
      <c r="G99" s="284"/>
      <c r="H99" s="18"/>
      <c r="I99" s="107"/>
      <c r="J99" s="107"/>
      <c r="K99" s="107"/>
      <c r="L99" s="18"/>
      <c r="M99" s="107"/>
      <c r="N99" s="35"/>
      <c r="O99" s="35"/>
      <c r="P99" s="15"/>
      <c r="Q99" s="34"/>
      <c r="R99" s="34"/>
      <c r="S99" s="34"/>
      <c r="T99" s="34"/>
      <c r="U99" s="15"/>
      <c r="V99" s="35"/>
      <c r="W99" s="34"/>
      <c r="X99" s="35"/>
      <c r="Y99" s="34"/>
      <c r="Z99" s="35"/>
      <c r="AA99" s="34"/>
      <c r="AB99" s="34"/>
      <c r="AC99" s="15"/>
      <c r="AD99" s="34"/>
      <c r="AE99" s="34"/>
      <c r="AF99" s="34"/>
      <c r="AG99" s="15"/>
      <c r="AH99" s="272"/>
      <c r="AI99" s="267"/>
      <c r="AJ99" s="267"/>
      <c r="AK99" s="34"/>
      <c r="AL99" s="233"/>
      <c r="AO99" s="2"/>
      <c r="AP99" s="2"/>
      <c r="AQ99" s="2"/>
      <c r="AR99" s="2"/>
      <c r="AS99" s="2"/>
      <c r="AT99" s="2"/>
      <c r="AU99" s="2"/>
      <c r="AV99" s="2"/>
      <c r="AW99" s="2"/>
      <c r="AX99" s="2"/>
      <c r="AY99" s="2"/>
      <c r="AZ99" s="2"/>
    </row>
    <row r="100" spans="2:52" x14ac:dyDescent="0.3">
      <c r="B100" s="232"/>
      <c r="C100" s="367"/>
      <c r="D100" s="284"/>
      <c r="E100" s="284"/>
      <c r="F100" s="284"/>
      <c r="G100" s="284"/>
      <c r="H100" s="18"/>
      <c r="I100" s="107"/>
      <c r="J100" s="107"/>
      <c r="K100" s="107"/>
      <c r="L100" s="18"/>
      <c r="M100" s="107"/>
      <c r="N100" s="35"/>
      <c r="O100" s="35"/>
      <c r="P100" s="15"/>
      <c r="Q100" s="34"/>
      <c r="R100" s="34"/>
      <c r="S100" s="34"/>
      <c r="T100" s="34"/>
      <c r="U100" s="15"/>
      <c r="V100" s="35"/>
      <c r="W100" s="34"/>
      <c r="X100" s="35"/>
      <c r="Y100" s="34"/>
      <c r="Z100" s="35"/>
      <c r="AA100" s="34"/>
      <c r="AB100" s="34"/>
      <c r="AC100" s="15"/>
      <c r="AD100" s="34"/>
      <c r="AE100" s="34"/>
      <c r="AF100" s="34"/>
      <c r="AG100" s="15"/>
      <c r="AH100" s="272"/>
      <c r="AI100" s="267"/>
      <c r="AJ100" s="267"/>
      <c r="AK100" s="34"/>
      <c r="AL100" s="233"/>
      <c r="AO100" s="2"/>
      <c r="AP100" s="2"/>
      <c r="AQ100" s="2"/>
      <c r="AR100" s="2"/>
      <c r="AS100" s="2"/>
      <c r="AT100" s="2"/>
      <c r="AU100" s="2"/>
      <c r="AV100" s="2"/>
      <c r="AW100" s="2"/>
      <c r="AX100" s="2"/>
      <c r="AY100" s="2"/>
      <c r="AZ100" s="2"/>
    </row>
    <row r="101" spans="2:52" x14ac:dyDescent="0.3">
      <c r="B101" s="232"/>
      <c r="C101" s="367"/>
      <c r="D101" s="284"/>
      <c r="E101" s="284"/>
      <c r="F101" s="284"/>
      <c r="G101" s="284"/>
      <c r="H101" s="18"/>
      <c r="I101" s="107"/>
      <c r="J101" s="107"/>
      <c r="K101" s="107"/>
      <c r="L101" s="18"/>
      <c r="M101" s="107"/>
      <c r="N101" s="35"/>
      <c r="O101" s="35"/>
      <c r="P101" s="15"/>
      <c r="Q101" s="34"/>
      <c r="R101" s="34"/>
      <c r="S101" s="34"/>
      <c r="T101" s="34"/>
      <c r="U101" s="15"/>
      <c r="V101" s="35"/>
      <c r="W101" s="34"/>
      <c r="X101" s="35"/>
      <c r="Y101" s="34"/>
      <c r="Z101" s="35"/>
      <c r="AA101" s="34"/>
      <c r="AB101" s="34"/>
      <c r="AC101" s="15"/>
      <c r="AD101" s="34"/>
      <c r="AE101" s="34"/>
      <c r="AF101" s="34"/>
      <c r="AG101" s="15"/>
      <c r="AH101" s="272"/>
      <c r="AI101" s="267"/>
      <c r="AJ101" s="267"/>
      <c r="AK101" s="34"/>
      <c r="AL101" s="233"/>
      <c r="AO101" s="2"/>
      <c r="AP101" s="2"/>
      <c r="AQ101" s="2"/>
      <c r="AR101" s="2"/>
      <c r="AS101" s="2"/>
      <c r="AT101" s="2"/>
      <c r="AU101" s="2"/>
      <c r="AV101" s="2"/>
      <c r="AW101" s="2"/>
      <c r="AX101" s="2"/>
      <c r="AY101" s="2"/>
      <c r="AZ101" s="2"/>
    </row>
    <row r="102" spans="2:52" x14ac:dyDescent="0.3">
      <c r="B102" s="232"/>
      <c r="C102" s="367"/>
      <c r="D102" s="284"/>
      <c r="E102" s="284"/>
      <c r="F102" s="284"/>
      <c r="G102" s="284"/>
      <c r="H102" s="18"/>
      <c r="I102" s="107"/>
      <c r="J102" s="107"/>
      <c r="K102" s="107"/>
      <c r="L102" s="18"/>
      <c r="M102" s="107"/>
      <c r="N102" s="35"/>
      <c r="O102" s="35"/>
      <c r="P102" s="15"/>
      <c r="Q102" s="34"/>
      <c r="R102" s="34"/>
      <c r="S102" s="34"/>
      <c r="T102" s="34"/>
      <c r="U102" s="15"/>
      <c r="V102" s="35"/>
      <c r="W102" s="34"/>
      <c r="X102" s="35"/>
      <c r="Y102" s="34"/>
      <c r="Z102" s="35"/>
      <c r="AA102" s="34"/>
      <c r="AB102" s="34"/>
      <c r="AC102" s="15"/>
      <c r="AD102" s="34"/>
      <c r="AE102" s="34"/>
      <c r="AF102" s="34"/>
      <c r="AG102" s="15"/>
      <c r="AH102" s="272"/>
      <c r="AI102" s="267"/>
      <c r="AJ102" s="267"/>
      <c r="AK102" s="34"/>
      <c r="AL102" s="233"/>
      <c r="AO102" s="2"/>
      <c r="AP102" s="2"/>
      <c r="AQ102" s="2"/>
      <c r="AR102" s="2"/>
      <c r="AS102" s="2"/>
      <c r="AT102" s="2"/>
      <c r="AU102" s="2"/>
      <c r="AV102" s="2"/>
      <c r="AW102" s="2"/>
      <c r="AX102" s="2"/>
      <c r="AY102" s="2"/>
      <c r="AZ102" s="2"/>
    </row>
    <row r="103" spans="2:52" x14ac:dyDescent="0.3">
      <c r="B103" s="232"/>
      <c r="C103" s="2"/>
      <c r="D103" s="2"/>
      <c r="E103" s="2"/>
      <c r="F103" s="2"/>
      <c r="G103" s="2"/>
      <c r="H103" s="2"/>
      <c r="I103" s="2"/>
      <c r="J103" s="2"/>
      <c r="K103" s="2"/>
      <c r="L103" s="2"/>
      <c r="M103" s="107"/>
      <c r="N103" s="35"/>
      <c r="O103" s="35"/>
      <c r="P103" s="15"/>
      <c r="Q103" s="34"/>
      <c r="R103" s="34"/>
      <c r="S103" s="34"/>
      <c r="T103" s="34"/>
      <c r="U103" s="15"/>
      <c r="V103" s="35"/>
      <c r="W103" s="34"/>
      <c r="X103" s="35"/>
      <c r="Y103" s="34"/>
      <c r="Z103" s="35"/>
      <c r="AA103" s="34"/>
      <c r="AB103" s="34"/>
      <c r="AC103" s="15"/>
      <c r="AD103" s="34"/>
      <c r="AE103" s="34"/>
      <c r="AF103" s="34"/>
      <c r="AG103" s="15"/>
      <c r="AH103" s="272"/>
      <c r="AI103" s="267"/>
      <c r="AJ103" s="267"/>
      <c r="AK103" s="34"/>
      <c r="AL103" s="233"/>
      <c r="AO103" s="2"/>
      <c r="AP103" s="2"/>
      <c r="AQ103" s="2"/>
      <c r="AR103" s="2"/>
      <c r="AS103" s="2"/>
      <c r="AT103" s="2"/>
      <c r="AU103" s="2"/>
      <c r="AV103" s="2"/>
      <c r="AW103" s="2"/>
      <c r="AX103" s="2"/>
      <c r="AY103" s="2"/>
      <c r="AZ103" s="2"/>
    </row>
    <row r="104" spans="2:52" x14ac:dyDescent="0.3">
      <c r="B104" s="232"/>
      <c r="C104" s="2"/>
      <c r="D104" s="2"/>
      <c r="E104" s="2"/>
      <c r="F104" s="2"/>
      <c r="G104" s="2"/>
      <c r="H104" s="2"/>
      <c r="I104" s="2"/>
      <c r="J104" s="2"/>
      <c r="K104" s="2"/>
      <c r="L104" s="2"/>
      <c r="M104" s="2"/>
      <c r="N104" s="35"/>
      <c r="O104" s="35"/>
      <c r="P104" s="15"/>
      <c r="Q104" s="34"/>
      <c r="R104" s="34"/>
      <c r="S104" s="34"/>
      <c r="T104" s="34"/>
      <c r="U104" s="15"/>
      <c r="V104" s="35"/>
      <c r="W104" s="34"/>
      <c r="X104" s="35"/>
      <c r="Y104" s="34"/>
      <c r="Z104" s="35"/>
      <c r="AA104" s="34"/>
      <c r="AB104" s="34"/>
      <c r="AC104" s="15"/>
      <c r="AD104" s="34"/>
      <c r="AE104" s="34"/>
      <c r="AF104" s="34"/>
      <c r="AG104" s="15"/>
      <c r="AH104" s="272"/>
      <c r="AI104" s="267"/>
      <c r="AJ104" s="267"/>
      <c r="AK104" s="34"/>
      <c r="AL104" s="233"/>
      <c r="AO104" s="2"/>
      <c r="AP104" s="2"/>
      <c r="AQ104" s="2"/>
      <c r="AR104" s="2"/>
      <c r="AS104" s="2"/>
      <c r="AT104" s="2"/>
      <c r="AU104" s="2"/>
      <c r="AV104" s="2"/>
      <c r="AW104" s="2"/>
      <c r="AX104" s="2"/>
      <c r="AY104" s="2"/>
      <c r="AZ104" s="2"/>
    </row>
    <row r="105" spans="2:52" x14ac:dyDescent="0.3">
      <c r="B105" s="232"/>
      <c r="C105" s="2"/>
      <c r="D105" s="2"/>
      <c r="E105" s="2"/>
      <c r="F105" s="2"/>
      <c r="G105" s="2"/>
      <c r="H105" s="2"/>
      <c r="I105" s="2"/>
      <c r="J105" s="2"/>
      <c r="K105" s="2"/>
      <c r="L105" s="2"/>
      <c r="M105" s="2"/>
      <c r="N105" s="35"/>
      <c r="O105" s="35"/>
      <c r="P105" s="15"/>
      <c r="Q105" s="34"/>
      <c r="R105" s="34"/>
      <c r="S105" s="34"/>
      <c r="T105" s="34"/>
      <c r="U105" s="15"/>
      <c r="V105" s="35"/>
      <c r="W105" s="34"/>
      <c r="X105" s="35"/>
      <c r="Y105" s="34"/>
      <c r="Z105" s="35"/>
      <c r="AA105" s="34"/>
      <c r="AB105" s="34"/>
      <c r="AC105" s="15"/>
      <c r="AD105" s="34"/>
      <c r="AE105" s="34"/>
      <c r="AF105" s="34"/>
      <c r="AG105" s="15"/>
      <c r="AH105" s="272"/>
      <c r="AI105" s="267"/>
      <c r="AJ105" s="267"/>
      <c r="AK105" s="34"/>
      <c r="AL105" s="233"/>
      <c r="AO105" s="2"/>
      <c r="AP105" s="2"/>
      <c r="AQ105" s="2"/>
      <c r="AR105" s="2"/>
      <c r="AS105" s="2"/>
      <c r="AT105" s="2"/>
      <c r="AU105" s="2"/>
      <c r="AV105" s="2"/>
      <c r="AW105" s="2"/>
      <c r="AX105" s="2"/>
      <c r="AY105" s="2"/>
      <c r="AZ105" s="2"/>
    </row>
    <row r="106" spans="2:52" x14ac:dyDescent="0.3">
      <c r="B106" s="232"/>
      <c r="C106" s="2"/>
      <c r="D106" s="2"/>
      <c r="E106" s="2"/>
      <c r="F106" s="2"/>
      <c r="G106" s="2"/>
      <c r="H106" s="2"/>
      <c r="I106" s="2"/>
      <c r="J106" s="2"/>
      <c r="K106" s="2"/>
      <c r="L106" s="2"/>
      <c r="M106" s="2"/>
      <c r="N106" s="35"/>
      <c r="O106" s="35"/>
      <c r="P106" s="15"/>
      <c r="Q106" s="34"/>
      <c r="R106" s="34"/>
      <c r="S106" s="34"/>
      <c r="T106" s="34"/>
      <c r="U106" s="15"/>
      <c r="V106" s="35"/>
      <c r="W106" s="34"/>
      <c r="X106" s="35"/>
      <c r="Y106" s="34"/>
      <c r="Z106" s="35"/>
      <c r="AA106" s="34"/>
      <c r="AB106" s="34"/>
      <c r="AC106" s="15"/>
      <c r="AD106" s="34"/>
      <c r="AE106" s="34"/>
      <c r="AF106" s="34"/>
      <c r="AG106" s="15"/>
      <c r="AH106" s="272"/>
      <c r="AI106" s="267"/>
      <c r="AJ106" s="267"/>
      <c r="AK106" s="34"/>
      <c r="AL106" s="233"/>
      <c r="AO106" s="2"/>
      <c r="AP106" s="2"/>
      <c r="AQ106" s="2"/>
      <c r="AR106" s="2"/>
      <c r="AS106" s="2"/>
      <c r="AT106" s="2"/>
      <c r="AU106" s="2"/>
      <c r="AV106" s="2"/>
      <c r="AW106" s="2"/>
      <c r="AX106" s="2"/>
      <c r="AY106" s="2"/>
      <c r="AZ106" s="2"/>
    </row>
    <row r="107" spans="2:52" x14ac:dyDescent="0.3">
      <c r="B107" s="232"/>
      <c r="C107" s="367"/>
      <c r="D107" s="284"/>
      <c r="E107" s="284"/>
      <c r="F107" s="284"/>
      <c r="G107" s="284"/>
      <c r="H107" s="18"/>
      <c r="I107" s="107"/>
      <c r="J107" s="107"/>
      <c r="K107" s="107"/>
      <c r="L107" s="18"/>
      <c r="M107" s="2"/>
      <c r="N107" s="35"/>
      <c r="O107" s="35"/>
      <c r="P107" s="15"/>
      <c r="Q107" s="34"/>
      <c r="R107" s="34"/>
      <c r="S107" s="34"/>
      <c r="T107" s="34"/>
      <c r="U107" s="15"/>
      <c r="V107" s="35"/>
      <c r="W107" s="34"/>
      <c r="X107" s="35"/>
      <c r="Y107" s="34"/>
      <c r="Z107" s="35"/>
      <c r="AA107" s="34"/>
      <c r="AB107" s="34"/>
      <c r="AC107" s="15"/>
      <c r="AD107" s="34"/>
      <c r="AE107" s="34"/>
      <c r="AF107" s="34"/>
      <c r="AG107" s="15"/>
      <c r="AH107" s="272"/>
      <c r="AI107" s="267"/>
      <c r="AJ107" s="267"/>
      <c r="AK107" s="34"/>
      <c r="AL107" s="233"/>
      <c r="AO107" s="2"/>
      <c r="AP107" s="2"/>
      <c r="AQ107" s="2"/>
      <c r="AR107" s="2"/>
      <c r="AS107" s="2"/>
      <c r="AT107" s="2"/>
      <c r="AU107" s="2"/>
      <c r="AV107" s="2"/>
      <c r="AW107" s="2"/>
      <c r="AX107" s="2"/>
      <c r="AY107" s="2"/>
      <c r="AZ107" s="2"/>
    </row>
    <row r="108" spans="2:52" x14ac:dyDescent="0.3">
      <c r="B108" s="232"/>
      <c r="C108" s="367"/>
      <c r="D108" s="284"/>
      <c r="E108" s="284"/>
      <c r="F108" s="284"/>
      <c r="G108" s="284"/>
      <c r="H108" s="18"/>
      <c r="I108" s="107"/>
      <c r="J108" s="107"/>
      <c r="K108" s="107"/>
      <c r="L108" s="18"/>
      <c r="M108" s="107"/>
      <c r="N108" s="35"/>
      <c r="O108" s="35"/>
      <c r="P108" s="15"/>
      <c r="Q108" s="34"/>
      <c r="R108" s="34"/>
      <c r="S108" s="34"/>
      <c r="T108" s="34"/>
      <c r="U108" s="15"/>
      <c r="V108" s="35"/>
      <c r="W108" s="34"/>
      <c r="X108" s="35"/>
      <c r="Y108" s="34"/>
      <c r="Z108" s="35"/>
      <c r="AA108" s="34"/>
      <c r="AB108" s="34"/>
      <c r="AC108" s="15"/>
      <c r="AD108" s="34"/>
      <c r="AE108" s="34"/>
      <c r="AF108" s="34"/>
      <c r="AG108" s="15"/>
      <c r="AH108" s="272"/>
      <c r="AI108" s="267"/>
      <c r="AJ108" s="267"/>
      <c r="AK108" s="34"/>
      <c r="AL108" s="233"/>
      <c r="AO108" s="223"/>
      <c r="AP108" s="2"/>
      <c r="AQ108" s="2"/>
      <c r="AR108" s="2"/>
      <c r="AS108" s="2"/>
      <c r="AT108" s="2"/>
      <c r="AU108" s="2"/>
      <c r="AV108" s="2"/>
      <c r="AW108" s="2"/>
      <c r="AX108" s="2"/>
      <c r="AY108" s="2"/>
      <c r="AZ108" s="2"/>
    </row>
    <row r="109" spans="2:52" x14ac:dyDescent="0.3">
      <c r="B109" s="232"/>
      <c r="C109" s="367"/>
      <c r="D109" s="284"/>
      <c r="E109" s="284"/>
      <c r="F109" s="284"/>
      <c r="G109" s="284"/>
      <c r="H109" s="18"/>
      <c r="I109" s="107"/>
      <c r="J109" s="107"/>
      <c r="K109" s="107"/>
      <c r="L109" s="18"/>
      <c r="M109" s="107"/>
      <c r="N109" s="35"/>
      <c r="O109" s="35"/>
      <c r="P109" s="15"/>
      <c r="Q109" s="34"/>
      <c r="R109" s="34"/>
      <c r="S109" s="34"/>
      <c r="T109" s="34"/>
      <c r="U109" s="15"/>
      <c r="V109" s="35"/>
      <c r="W109" s="34"/>
      <c r="X109" s="35"/>
      <c r="Y109" s="34"/>
      <c r="Z109" s="35"/>
      <c r="AA109" s="34"/>
      <c r="AB109" s="34"/>
      <c r="AC109" s="15"/>
      <c r="AD109" s="34"/>
      <c r="AE109" s="34"/>
      <c r="AF109" s="34"/>
      <c r="AG109" s="15"/>
      <c r="AH109" s="272"/>
      <c r="AI109" s="267"/>
      <c r="AJ109" s="267"/>
      <c r="AK109" s="34"/>
      <c r="AL109" s="233"/>
      <c r="AO109" s="223"/>
      <c r="AP109" s="2"/>
      <c r="AQ109" s="2"/>
      <c r="AR109" s="2"/>
      <c r="AS109" s="2"/>
      <c r="AT109" s="2"/>
      <c r="AU109" s="2"/>
      <c r="AV109" s="2"/>
      <c r="AW109" s="2"/>
      <c r="AX109" s="2"/>
      <c r="AY109" s="2"/>
      <c r="AZ109" s="2"/>
    </row>
    <row r="110" spans="2:52" x14ac:dyDescent="0.3">
      <c r="B110" s="232"/>
      <c r="C110" s="209"/>
      <c r="D110" s="284"/>
      <c r="E110" s="284"/>
      <c r="F110" s="284"/>
      <c r="G110" s="284"/>
      <c r="H110" s="18"/>
      <c r="I110" s="107"/>
      <c r="J110" s="107"/>
      <c r="K110" s="107"/>
      <c r="L110" s="18"/>
      <c r="M110" s="107"/>
      <c r="N110" s="35"/>
      <c r="O110" s="35"/>
      <c r="P110" s="15"/>
      <c r="Q110" s="34"/>
      <c r="R110" s="34"/>
      <c r="S110" s="34"/>
      <c r="T110" s="34"/>
      <c r="U110" s="15"/>
      <c r="V110" s="35"/>
      <c r="W110" s="34"/>
      <c r="X110" s="35"/>
      <c r="Y110" s="34"/>
      <c r="Z110" s="35"/>
      <c r="AA110" s="34"/>
      <c r="AB110" s="34"/>
      <c r="AC110" s="15"/>
      <c r="AD110" s="34"/>
      <c r="AE110" s="34"/>
      <c r="AF110" s="34"/>
      <c r="AG110" s="15"/>
      <c r="AH110" s="272"/>
      <c r="AI110" s="267"/>
      <c r="AJ110" s="267"/>
      <c r="AK110" s="34"/>
      <c r="AL110" s="233"/>
      <c r="AO110" s="2"/>
      <c r="AP110" s="2"/>
      <c r="AQ110" s="2"/>
      <c r="AR110" s="2"/>
      <c r="AS110" s="2"/>
      <c r="AT110" s="2"/>
      <c r="AU110" s="2"/>
      <c r="AV110" s="2"/>
      <c r="AW110" s="2"/>
      <c r="AX110" s="2"/>
      <c r="AY110" s="2"/>
      <c r="AZ110" s="2"/>
    </row>
    <row r="111" spans="2:52" x14ac:dyDescent="0.3">
      <c r="B111" s="232"/>
      <c r="C111" s="367"/>
      <c r="D111" s="284"/>
      <c r="E111" s="284"/>
      <c r="F111" s="284"/>
      <c r="G111" s="284"/>
      <c r="H111" s="18"/>
      <c r="I111" s="107"/>
      <c r="J111" s="107"/>
      <c r="K111" s="107"/>
      <c r="L111" s="18"/>
      <c r="M111" s="107"/>
      <c r="N111" s="35"/>
      <c r="O111" s="35"/>
      <c r="P111" s="15"/>
      <c r="Q111" s="34"/>
      <c r="R111" s="34"/>
      <c r="S111" s="34"/>
      <c r="T111" s="34"/>
      <c r="U111" s="15"/>
      <c r="V111" s="35"/>
      <c r="W111" s="34"/>
      <c r="X111" s="35"/>
      <c r="Y111" s="34"/>
      <c r="Z111" s="35"/>
      <c r="AA111" s="34"/>
      <c r="AB111" s="34"/>
      <c r="AC111" s="15"/>
      <c r="AD111" s="34"/>
      <c r="AE111" s="34"/>
      <c r="AF111" s="34"/>
      <c r="AG111" s="15"/>
      <c r="AH111" s="272"/>
      <c r="AI111" s="267"/>
      <c r="AJ111" s="267"/>
      <c r="AK111" s="34"/>
      <c r="AL111" s="233"/>
      <c r="AO111" s="2"/>
      <c r="AP111" s="2"/>
      <c r="AQ111" s="2"/>
      <c r="AR111" s="2"/>
      <c r="AS111" s="2"/>
      <c r="AT111" s="2"/>
      <c r="AU111" s="2"/>
      <c r="AV111" s="2"/>
      <c r="AW111" s="2"/>
      <c r="AX111" s="2"/>
      <c r="AY111" s="2"/>
      <c r="AZ111" s="2"/>
    </row>
    <row r="112" spans="2:52" x14ac:dyDescent="0.3">
      <c r="B112" s="232"/>
      <c r="C112" s="367"/>
      <c r="D112" s="284"/>
      <c r="E112" s="284"/>
      <c r="F112" s="284"/>
      <c r="G112" s="284"/>
      <c r="H112" s="18"/>
      <c r="I112" s="107"/>
      <c r="J112" s="107"/>
      <c r="K112" s="107"/>
      <c r="L112" s="18"/>
      <c r="M112" s="107"/>
      <c r="N112" s="35"/>
      <c r="O112" s="35"/>
      <c r="P112" s="15"/>
      <c r="Q112" s="34"/>
      <c r="R112" s="34"/>
      <c r="S112" s="34"/>
      <c r="T112" s="34"/>
      <c r="U112" s="15"/>
      <c r="V112" s="35"/>
      <c r="W112" s="34"/>
      <c r="X112" s="35"/>
      <c r="Y112" s="34"/>
      <c r="Z112" s="35"/>
      <c r="AA112" s="34"/>
      <c r="AB112" s="34"/>
      <c r="AC112" s="15"/>
      <c r="AD112" s="34"/>
      <c r="AE112" s="34"/>
      <c r="AF112" s="34"/>
      <c r="AG112" s="15"/>
      <c r="AH112" s="272"/>
      <c r="AI112" s="267"/>
      <c r="AJ112" s="267"/>
      <c r="AK112" s="34"/>
      <c r="AL112" s="233"/>
      <c r="AO112" s="362"/>
      <c r="AP112" s="2"/>
      <c r="AQ112" s="2"/>
      <c r="AR112" s="2"/>
      <c r="AS112" s="2"/>
      <c r="AT112" s="2"/>
      <c r="AU112" s="2"/>
      <c r="AV112" s="2"/>
      <c r="AW112" s="2"/>
      <c r="AX112" s="2"/>
      <c r="AY112" s="2"/>
      <c r="AZ112" s="2"/>
    </row>
    <row r="113" spans="2:98" x14ac:dyDescent="0.3">
      <c r="B113" s="232"/>
      <c r="C113" s="128"/>
      <c r="D113" s="284"/>
      <c r="E113" s="284"/>
      <c r="F113" s="284"/>
      <c r="G113" s="284"/>
      <c r="H113" s="18"/>
      <c r="I113" s="107"/>
      <c r="J113" s="107"/>
      <c r="K113" s="107"/>
      <c r="L113" s="18"/>
      <c r="M113" s="107"/>
      <c r="N113" s="35"/>
      <c r="O113" s="35"/>
      <c r="P113" s="15"/>
      <c r="Q113" s="34"/>
      <c r="R113" s="34"/>
      <c r="S113" s="34"/>
      <c r="T113" s="34"/>
      <c r="U113" s="15"/>
      <c r="V113" s="35"/>
      <c r="W113" s="34"/>
      <c r="X113" s="35"/>
      <c r="Y113" s="34"/>
      <c r="Z113" s="35"/>
      <c r="AA113" s="34"/>
      <c r="AB113" s="34"/>
      <c r="AC113" s="15"/>
      <c r="AD113" s="34"/>
      <c r="AE113" s="34"/>
      <c r="AF113" s="34"/>
      <c r="AG113" s="15"/>
      <c r="AH113" s="272"/>
      <c r="AI113" s="267"/>
      <c r="AJ113" s="267"/>
      <c r="AK113" s="34"/>
      <c r="AL113" s="233"/>
      <c r="AO113" s="2"/>
      <c r="AP113" s="2"/>
      <c r="AQ113" s="2"/>
      <c r="AR113" s="2"/>
      <c r="AS113" s="2"/>
      <c r="AT113" s="2"/>
      <c r="AU113" s="2"/>
      <c r="AV113" s="2"/>
      <c r="AW113" s="2"/>
      <c r="AX113" s="2"/>
      <c r="AY113" s="2"/>
      <c r="AZ113" s="2"/>
    </row>
    <row r="114" spans="2:98" x14ac:dyDescent="0.3">
      <c r="B114" s="232"/>
      <c r="C114" s="209"/>
      <c r="D114" s="284"/>
      <c r="E114" s="284"/>
      <c r="F114" s="284"/>
      <c r="G114" s="284"/>
      <c r="H114" s="18"/>
      <c r="I114" s="107"/>
      <c r="J114" s="107"/>
      <c r="K114" s="107"/>
      <c r="L114" s="18"/>
      <c r="M114" s="107"/>
      <c r="N114" s="35"/>
      <c r="O114" s="35"/>
      <c r="P114" s="15"/>
      <c r="Q114" s="34"/>
      <c r="R114" s="34"/>
      <c r="S114" s="34"/>
      <c r="T114" s="34"/>
      <c r="U114" s="15"/>
      <c r="V114" s="35"/>
      <c r="W114" s="34"/>
      <c r="X114" s="35"/>
      <c r="Y114" s="34"/>
      <c r="Z114" s="35"/>
      <c r="AA114" s="34"/>
      <c r="AB114" s="34"/>
      <c r="AC114" s="15"/>
      <c r="AD114" s="34"/>
      <c r="AE114" s="34"/>
      <c r="AF114" s="34"/>
      <c r="AG114" s="15"/>
      <c r="AH114" s="272"/>
      <c r="AI114" s="267"/>
      <c r="AJ114" s="267"/>
      <c r="AK114" s="34"/>
      <c r="AL114" s="233"/>
      <c r="AO114" s="2"/>
      <c r="AP114" s="2"/>
      <c r="AQ114" s="2"/>
      <c r="AR114" s="2"/>
      <c r="AS114" s="2"/>
      <c r="AT114" s="2"/>
      <c r="AU114" s="2"/>
      <c r="AV114" s="2"/>
      <c r="AW114" s="2"/>
      <c r="AX114" s="2"/>
      <c r="AY114" s="2"/>
    </row>
    <row r="115" spans="2:98" x14ac:dyDescent="0.3">
      <c r="B115" s="232"/>
      <c r="C115" s="367"/>
      <c r="D115" s="284"/>
      <c r="E115" s="284"/>
      <c r="F115" s="284"/>
      <c r="G115" s="284"/>
      <c r="H115" s="18"/>
      <c r="I115" s="107"/>
      <c r="J115" s="107"/>
      <c r="K115" s="107"/>
      <c r="L115" s="18"/>
      <c r="M115" s="107"/>
      <c r="N115" s="35"/>
      <c r="O115" s="35"/>
      <c r="P115" s="15"/>
      <c r="Q115" s="34"/>
      <c r="R115" s="34"/>
      <c r="S115" s="34"/>
      <c r="T115" s="34"/>
      <c r="U115" s="15"/>
      <c r="V115" s="35"/>
      <c r="W115" s="34"/>
      <c r="X115" s="35"/>
      <c r="Y115" s="34"/>
      <c r="Z115" s="35"/>
      <c r="AA115" s="34"/>
      <c r="AB115" s="34"/>
      <c r="AC115" s="15"/>
      <c r="AD115" s="34"/>
      <c r="AE115" s="34"/>
      <c r="AF115" s="34"/>
      <c r="AG115" s="15"/>
      <c r="AH115" s="272"/>
      <c r="AI115" s="267"/>
      <c r="AJ115" s="267"/>
      <c r="AK115" s="34"/>
      <c r="AL115" s="233"/>
      <c r="AO115" s="223"/>
      <c r="AP115" s="2"/>
      <c r="AQ115" s="2"/>
      <c r="AR115" s="2"/>
      <c r="AS115" s="2"/>
      <c r="AT115" s="2"/>
      <c r="AU115" s="2"/>
      <c r="AV115" s="2"/>
      <c r="AW115" s="2"/>
      <c r="AX115" s="2"/>
      <c r="AY115" s="2"/>
    </row>
    <row r="116" spans="2:98" x14ac:dyDescent="0.3">
      <c r="B116" s="232"/>
      <c r="C116" s="367"/>
      <c r="D116" s="284"/>
      <c r="E116" s="284"/>
      <c r="F116" s="284"/>
      <c r="G116" s="284"/>
      <c r="H116" s="18"/>
      <c r="I116" s="107"/>
      <c r="J116" s="107"/>
      <c r="K116" s="107"/>
      <c r="L116" s="18"/>
      <c r="M116" s="107"/>
      <c r="N116" s="35"/>
      <c r="O116" s="35"/>
      <c r="P116" s="15"/>
      <c r="Q116" s="34"/>
      <c r="R116" s="34"/>
      <c r="S116" s="34"/>
      <c r="T116" s="34"/>
      <c r="U116" s="15"/>
      <c r="V116" s="35"/>
      <c r="W116" s="34"/>
      <c r="X116" s="35"/>
      <c r="Y116" s="34"/>
      <c r="Z116" s="35"/>
      <c r="AA116" s="34"/>
      <c r="AB116" s="34"/>
      <c r="AC116" s="15"/>
      <c r="AD116" s="34"/>
      <c r="AE116" s="34"/>
      <c r="AF116" s="34"/>
      <c r="AG116" s="15"/>
      <c r="AH116" s="272"/>
      <c r="AI116" s="267"/>
      <c r="AJ116" s="267"/>
      <c r="AK116" s="34"/>
      <c r="AL116" s="233"/>
      <c r="AO116" s="366"/>
      <c r="AP116" s="2"/>
      <c r="AQ116" s="2"/>
      <c r="AR116" s="2"/>
      <c r="AS116" s="2"/>
      <c r="AT116" s="2"/>
      <c r="AU116" s="2"/>
      <c r="AV116" s="2"/>
      <c r="AW116" s="2"/>
      <c r="AX116" s="2"/>
      <c r="AY116" s="2"/>
    </row>
    <row r="117" spans="2:98" x14ac:dyDescent="0.3">
      <c r="B117" s="232"/>
      <c r="C117" s="209"/>
      <c r="D117" s="284"/>
      <c r="E117" s="284"/>
      <c r="F117" s="284"/>
      <c r="G117" s="284"/>
      <c r="H117" s="18"/>
      <c r="I117" s="107"/>
      <c r="J117" s="107"/>
      <c r="K117" s="107"/>
      <c r="L117" s="18"/>
      <c r="M117" s="107"/>
      <c r="N117" s="35"/>
      <c r="O117" s="35"/>
      <c r="P117" s="15"/>
      <c r="Q117" s="34"/>
      <c r="R117" s="34"/>
      <c r="S117" s="34"/>
      <c r="T117" s="34"/>
      <c r="U117" s="15"/>
      <c r="V117" s="35"/>
      <c r="W117" s="34"/>
      <c r="X117" s="35"/>
      <c r="Y117" s="34"/>
      <c r="Z117" s="35"/>
      <c r="AA117" s="34"/>
      <c r="AB117" s="34"/>
      <c r="AC117" s="15"/>
      <c r="AD117" s="34"/>
      <c r="AE117" s="34"/>
      <c r="AF117" s="34"/>
      <c r="AG117" s="15"/>
      <c r="AH117" s="272"/>
      <c r="AI117" s="267"/>
      <c r="AJ117" s="267"/>
      <c r="AK117" s="34"/>
      <c r="AL117" s="233"/>
      <c r="AO117" s="2"/>
      <c r="AP117" s="2"/>
      <c r="AQ117" s="2"/>
      <c r="AR117" s="2"/>
      <c r="AS117" s="2"/>
      <c r="AT117" s="2"/>
      <c r="AU117" s="2"/>
      <c r="AV117" s="2"/>
      <c r="AW117" s="2"/>
      <c r="AX117" s="2"/>
      <c r="AY117" s="2"/>
    </row>
    <row r="118" spans="2:98" x14ac:dyDescent="0.3">
      <c r="B118" s="232"/>
      <c r="C118" s="209"/>
      <c r="D118" s="284"/>
      <c r="E118" s="284"/>
      <c r="F118" s="284"/>
      <c r="G118" s="284"/>
      <c r="H118" s="18"/>
      <c r="I118" s="107"/>
      <c r="J118" s="107"/>
      <c r="K118" s="107"/>
      <c r="L118" s="18"/>
      <c r="M118" s="107"/>
      <c r="N118" s="35"/>
      <c r="O118" s="35"/>
      <c r="P118" s="15"/>
      <c r="Q118" s="34"/>
      <c r="R118" s="34"/>
      <c r="S118" s="34"/>
      <c r="T118" s="34"/>
      <c r="U118" s="15"/>
      <c r="V118" s="35"/>
      <c r="W118" s="34"/>
      <c r="X118" s="35"/>
      <c r="Y118" s="34"/>
      <c r="Z118" s="35"/>
      <c r="AA118" s="34"/>
      <c r="AB118" s="34"/>
      <c r="AC118" s="15"/>
      <c r="AD118" s="34"/>
      <c r="AE118" s="34"/>
      <c r="AF118" s="34"/>
      <c r="AG118" s="15"/>
      <c r="AH118" s="272"/>
      <c r="AI118" s="267"/>
      <c r="AJ118" s="267"/>
      <c r="AK118" s="34"/>
      <c r="AL118" s="233"/>
      <c r="AN118" s="1"/>
      <c r="AO118" s="2"/>
      <c r="AP118" s="2"/>
      <c r="AQ118" s="2"/>
      <c r="AR118" s="2"/>
      <c r="AS118" s="2"/>
      <c r="AT118" s="2"/>
      <c r="AU118" s="2"/>
      <c r="AV118" s="2"/>
      <c r="AW118" s="2"/>
      <c r="AX118" s="2"/>
      <c r="AY118" s="2"/>
      <c r="AZ118" s="2"/>
    </row>
    <row r="119" spans="2:98" x14ac:dyDescent="0.3">
      <c r="B119" s="232"/>
      <c r="C119" s="2"/>
      <c r="D119" s="284"/>
      <c r="E119" s="284"/>
      <c r="F119" s="284"/>
      <c r="G119" s="284"/>
      <c r="H119" s="18"/>
      <c r="I119" s="18"/>
      <c r="J119" s="18"/>
      <c r="K119" s="18"/>
      <c r="L119" s="18"/>
      <c r="M119" s="107"/>
      <c r="N119" s="35"/>
      <c r="O119" s="35"/>
      <c r="P119" s="15"/>
      <c r="Q119" s="34"/>
      <c r="R119" s="34"/>
      <c r="S119" s="34"/>
      <c r="T119" s="34"/>
      <c r="U119" s="15"/>
      <c r="V119" s="35"/>
      <c r="W119" s="34"/>
      <c r="X119" s="35"/>
      <c r="Y119" s="34"/>
      <c r="Z119" s="35"/>
      <c r="AA119" s="34"/>
      <c r="AB119" s="34"/>
      <c r="AC119" s="15"/>
      <c r="AD119" s="34"/>
      <c r="AE119" s="34"/>
      <c r="AF119" s="34"/>
      <c r="AG119" s="15"/>
      <c r="AH119" s="272"/>
      <c r="AI119" s="267"/>
      <c r="AJ119" s="267"/>
      <c r="AK119" s="34"/>
      <c r="AL119" s="233"/>
      <c r="AO119" s="2"/>
      <c r="AP119" s="2"/>
      <c r="AQ119" s="2"/>
      <c r="AR119" s="2"/>
      <c r="AS119" s="2"/>
      <c r="AT119" s="2"/>
      <c r="AU119" s="2"/>
      <c r="AV119" s="2"/>
      <c r="AW119" s="2"/>
      <c r="AX119" s="2"/>
      <c r="AY119" s="2"/>
      <c r="AZ119" s="2"/>
    </row>
    <row r="120" spans="2:98" x14ac:dyDescent="0.3">
      <c r="B120" s="232"/>
      <c r="C120" s="2"/>
      <c r="D120" s="284"/>
      <c r="E120" s="284"/>
      <c r="F120" s="284"/>
      <c r="G120" s="284"/>
      <c r="H120" s="18"/>
      <c r="I120" s="18"/>
      <c r="J120" s="18"/>
      <c r="K120" s="18"/>
      <c r="L120" s="18"/>
      <c r="M120" s="107"/>
      <c r="N120" s="35"/>
      <c r="O120" s="35"/>
      <c r="P120" s="15"/>
      <c r="Q120" s="183"/>
      <c r="R120" s="183"/>
      <c r="S120" s="183"/>
      <c r="T120" s="183"/>
      <c r="U120" s="15"/>
      <c r="V120" s="35"/>
      <c r="W120" s="183"/>
      <c r="X120" s="35"/>
      <c r="Y120" s="183"/>
      <c r="Z120" s="35"/>
      <c r="AA120" s="183"/>
      <c r="AB120" s="183"/>
      <c r="AC120" s="15"/>
      <c r="AD120" s="183"/>
      <c r="AE120" s="183"/>
      <c r="AF120" s="183"/>
      <c r="AG120" s="15"/>
      <c r="AH120" s="272"/>
      <c r="AI120" s="267"/>
      <c r="AJ120" s="267"/>
      <c r="AK120" s="183"/>
      <c r="AL120" s="233"/>
      <c r="AO120" s="2"/>
      <c r="AP120" s="2"/>
      <c r="AQ120" s="2"/>
      <c r="AR120" s="2"/>
      <c r="AS120" s="2"/>
      <c r="AT120" s="2"/>
      <c r="AU120" s="2"/>
      <c r="AV120" s="2"/>
      <c r="AW120" s="2"/>
      <c r="AX120" s="2"/>
      <c r="AY120" s="2"/>
    </row>
    <row r="121" spans="2:98" x14ac:dyDescent="0.3">
      <c r="B121" s="232"/>
      <c r="C121" s="2"/>
      <c r="D121" s="2"/>
      <c r="E121" s="2"/>
      <c r="F121" s="2"/>
      <c r="G121" s="2"/>
      <c r="H121" s="2"/>
      <c r="I121" s="2"/>
      <c r="J121" s="2"/>
      <c r="K121" s="2"/>
      <c r="L121" s="2"/>
      <c r="M121" s="107"/>
      <c r="N121" s="35"/>
      <c r="O121" s="35"/>
      <c r="P121" s="15"/>
      <c r="Q121" s="34"/>
      <c r="R121" s="34"/>
      <c r="S121" s="34"/>
      <c r="T121" s="34"/>
      <c r="U121" s="15"/>
      <c r="V121" s="35"/>
      <c r="W121" s="34"/>
      <c r="X121" s="35"/>
      <c r="Y121" s="34"/>
      <c r="Z121" s="35"/>
      <c r="AA121" s="34"/>
      <c r="AB121" s="34"/>
      <c r="AC121" s="15"/>
      <c r="AD121" s="34"/>
      <c r="AE121" s="62"/>
      <c r="AF121" s="34"/>
      <c r="AG121" s="15"/>
      <c r="AH121" s="266"/>
      <c r="AI121" s="267"/>
      <c r="AJ121" s="267"/>
      <c r="AK121" s="34"/>
      <c r="AL121" s="233"/>
      <c r="AO121" s="2"/>
      <c r="AP121" s="2"/>
      <c r="AQ121" s="2"/>
      <c r="AR121" s="2"/>
      <c r="AS121" s="2"/>
      <c r="AT121" s="2"/>
      <c r="AU121" s="2"/>
      <c r="AV121" s="2"/>
      <c r="AW121" s="2"/>
      <c r="AX121" s="2"/>
      <c r="AY121" s="2"/>
    </row>
    <row r="122" spans="2:98" x14ac:dyDescent="0.3">
      <c r="B122" s="232"/>
      <c r="C122" s="329"/>
      <c r="D122" s="291"/>
      <c r="E122" s="291"/>
      <c r="F122" s="291"/>
      <c r="G122" s="291"/>
      <c r="H122" s="15"/>
      <c r="I122" s="15"/>
      <c r="J122" s="15"/>
      <c r="K122" s="15"/>
      <c r="L122" s="15"/>
      <c r="M122" s="15"/>
      <c r="N122" s="15"/>
      <c r="O122" s="15"/>
      <c r="P122" s="15"/>
      <c r="Q122" s="183"/>
      <c r="R122" s="183"/>
      <c r="S122" s="183"/>
      <c r="T122" s="183"/>
      <c r="U122" s="15"/>
      <c r="V122" s="15"/>
      <c r="W122" s="183"/>
      <c r="X122" s="15"/>
      <c r="Y122" s="183"/>
      <c r="Z122" s="15"/>
      <c r="AA122" s="183"/>
      <c r="AB122" s="183"/>
      <c r="AC122" s="15"/>
      <c r="AD122" s="183"/>
      <c r="AE122" s="183"/>
      <c r="AF122" s="183"/>
      <c r="AG122" s="15"/>
      <c r="AH122" s="15"/>
      <c r="AI122" s="15"/>
      <c r="AJ122" s="15"/>
      <c r="AK122" s="183"/>
      <c r="AL122" s="233"/>
    </row>
    <row r="123" spans="2:98" x14ac:dyDescent="0.3">
      <c r="B123" s="232"/>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233"/>
      <c r="AN123" s="225" t="s">
        <v>340</v>
      </c>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226"/>
    </row>
    <row r="124" spans="2:98" x14ac:dyDescent="0.3">
      <c r="B124" s="285" t="s">
        <v>29</v>
      </c>
      <c r="C124" s="286"/>
      <c r="D124" s="287"/>
      <c r="E124" s="287"/>
      <c r="F124" s="287"/>
      <c r="G124" s="287"/>
      <c r="H124" s="287"/>
      <c r="I124" s="287"/>
      <c r="J124" s="287"/>
      <c r="K124" s="287"/>
      <c r="L124" s="287"/>
      <c r="M124" s="287"/>
      <c r="N124" s="287"/>
      <c r="O124" s="287"/>
      <c r="P124" s="287"/>
      <c r="Q124" s="286" t="str">
        <f>B124</f>
        <v>PUD</v>
      </c>
      <c r="R124" s="287"/>
      <c r="S124" s="287"/>
      <c r="T124" s="287"/>
      <c r="U124" s="287"/>
      <c r="V124" s="287"/>
      <c r="W124" s="287"/>
      <c r="X124" s="287"/>
      <c r="Y124" s="287"/>
      <c r="Z124" s="287"/>
      <c r="AA124" s="287"/>
      <c r="AB124" s="287"/>
      <c r="AC124" s="287"/>
      <c r="AD124" s="286" t="str">
        <f>Q124</f>
        <v>PUD</v>
      </c>
      <c r="AE124" s="287"/>
      <c r="AF124" s="287"/>
      <c r="AG124" s="287"/>
      <c r="AH124" s="287"/>
      <c r="AI124" s="287"/>
      <c r="AJ124" s="287"/>
      <c r="AK124" s="287"/>
      <c r="AL124" s="288"/>
      <c r="AN124" s="259" t="str">
        <f>B124&amp;" - Total Production (Net) (Mmcfe)"</f>
        <v>PUD - Total Production (Net) (Mmcfe)</v>
      </c>
      <c r="AO124" s="228"/>
      <c r="AP124" s="54"/>
      <c r="AQ124" s="54"/>
      <c r="AR124" s="54"/>
      <c r="AS124" s="54"/>
      <c r="AT124" s="54"/>
      <c r="AU124" s="54"/>
      <c r="AV124" s="228"/>
      <c r="AW124" s="54"/>
      <c r="AX124" s="54"/>
      <c r="AY124" s="54"/>
      <c r="AZ124" s="54"/>
      <c r="BA124" s="54"/>
      <c r="BB124" s="54"/>
      <c r="BC124" s="228"/>
      <c r="BD124" s="54"/>
      <c r="BE124" s="54"/>
      <c r="BF124" s="54"/>
      <c r="BG124" s="54"/>
      <c r="BH124" s="228"/>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229"/>
    </row>
    <row r="125" spans="2:98" x14ac:dyDescent="0.3">
      <c r="B125" s="232"/>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233"/>
      <c r="AN125" s="232"/>
      <c r="AO125" t="s">
        <v>341</v>
      </c>
      <c r="AR125" s="336">
        <f ca="1">$M$8*365</f>
        <v>2810.5</v>
      </c>
      <c r="AS125" s="359" t="s">
        <v>353</v>
      </c>
      <c r="AT125" s="360">
        <f>Assumptions!$Q$29</f>
        <v>0</v>
      </c>
      <c r="AV125" s="15"/>
      <c r="AW125" s="15"/>
      <c r="AX125" s="15"/>
      <c r="AY125" s="15"/>
      <c r="AZ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231"/>
    </row>
    <row r="126" spans="2:98" x14ac:dyDescent="0.3">
      <c r="B126" s="232"/>
      <c r="C126" s="37" t="s">
        <v>277</v>
      </c>
      <c r="D126" s="23"/>
      <c r="E126" s="23"/>
      <c r="F126" s="23"/>
      <c r="G126" s="23"/>
      <c r="H126" s="261"/>
      <c r="I126" s="37" t="s">
        <v>15</v>
      </c>
      <c r="J126" s="23"/>
      <c r="K126" s="23"/>
      <c r="L126" s="15"/>
      <c r="M126" s="37" t="s">
        <v>278</v>
      </c>
      <c r="N126" s="23"/>
      <c r="O126" s="23"/>
      <c r="P126" s="15"/>
      <c r="Q126" s="37" t="s">
        <v>279</v>
      </c>
      <c r="R126" s="23"/>
      <c r="S126" s="23"/>
      <c r="T126" s="23"/>
      <c r="U126" s="15"/>
      <c r="V126" s="37" t="s">
        <v>280</v>
      </c>
      <c r="W126" s="23"/>
      <c r="X126" s="23"/>
      <c r="Y126" s="23"/>
      <c r="Z126" s="23"/>
      <c r="AA126" s="23"/>
      <c r="AB126" s="4"/>
      <c r="AC126" s="15"/>
      <c r="AD126" s="37" t="s">
        <v>281</v>
      </c>
      <c r="AE126" s="23"/>
      <c r="AF126" s="23"/>
      <c r="AG126" s="15"/>
      <c r="AH126" s="37" t="s">
        <v>282</v>
      </c>
      <c r="AI126" s="23"/>
      <c r="AJ126" s="23"/>
      <c r="AK126" s="23"/>
      <c r="AL126" s="233"/>
      <c r="AN126" s="232"/>
      <c r="AO126" s="15" t="s">
        <v>342</v>
      </c>
      <c r="AP126" s="15"/>
      <c r="AQ126" s="245"/>
      <c r="AR126" s="294">
        <v>0.3</v>
      </c>
      <c r="AS126" s="361" t="s">
        <v>355</v>
      </c>
      <c r="AT126" s="12">
        <f>Data!$K$59*Units</f>
        <v>4292.5477980259948</v>
      </c>
      <c r="AV126" s="337"/>
      <c r="AW126" s="15"/>
      <c r="AX126" s="15"/>
      <c r="AY126" s="15"/>
      <c r="BA126" s="338" t="s">
        <v>343</v>
      </c>
      <c r="BB126" s="339">
        <f t="array" aca="1" ref="BB126:CR126" ca="1">TRANSPOSE(AS29:AS71)*$AR$9</f>
        <v>70.759999999999991</v>
      </c>
      <c r="BC126" s="339">
        <f ca="1"/>
        <v>78.3</v>
      </c>
      <c r="BD126" s="339">
        <f ca="1"/>
        <v>80.389471097118019</v>
      </c>
      <c r="BE126" s="339">
        <f ca="1"/>
        <v>0</v>
      </c>
      <c r="BF126" s="339">
        <f ca="1"/>
        <v>0</v>
      </c>
      <c r="BG126" s="339">
        <f ca="1"/>
        <v>0</v>
      </c>
      <c r="BH126" s="339">
        <f ca="1"/>
        <v>0</v>
      </c>
      <c r="BI126" s="339">
        <f ca="1"/>
        <v>0</v>
      </c>
      <c r="BJ126" s="339">
        <f ca="1"/>
        <v>0</v>
      </c>
      <c r="BK126" s="339">
        <f ca="1"/>
        <v>0</v>
      </c>
      <c r="BL126" s="339">
        <f ca="1"/>
        <v>0</v>
      </c>
      <c r="BM126" s="339">
        <f ca="1"/>
        <v>0</v>
      </c>
      <c r="BN126" s="339">
        <f ca="1"/>
        <v>0</v>
      </c>
      <c r="BO126" s="339">
        <f ca="1"/>
        <v>0</v>
      </c>
      <c r="BP126" s="339">
        <f ca="1"/>
        <v>0</v>
      </c>
      <c r="BQ126" s="339">
        <f ca="1"/>
        <v>0</v>
      </c>
      <c r="BR126" s="339">
        <f ca="1"/>
        <v>0</v>
      </c>
      <c r="BS126" s="339">
        <f ca="1"/>
        <v>0</v>
      </c>
      <c r="BT126" s="339">
        <f ca="1"/>
        <v>0</v>
      </c>
      <c r="BU126" s="339">
        <f ca="1"/>
        <v>0</v>
      </c>
      <c r="BV126" s="339">
        <f ca="1"/>
        <v>0</v>
      </c>
      <c r="BW126" s="339">
        <f ca="1"/>
        <v>0</v>
      </c>
      <c r="BX126" s="339">
        <f ca="1"/>
        <v>0</v>
      </c>
      <c r="BY126" s="339">
        <f ca="1"/>
        <v>0</v>
      </c>
      <c r="BZ126" s="339">
        <f ca="1"/>
        <v>0</v>
      </c>
      <c r="CA126" s="339">
        <f ca="1"/>
        <v>0</v>
      </c>
      <c r="CB126" s="339">
        <f ca="1"/>
        <v>0</v>
      </c>
      <c r="CC126" s="339">
        <f ca="1"/>
        <v>0</v>
      </c>
      <c r="CD126" s="339">
        <f ca="1"/>
        <v>0</v>
      </c>
      <c r="CE126" s="339">
        <f ca="1"/>
        <v>0</v>
      </c>
      <c r="CF126" s="339">
        <f ca="1"/>
        <v>0</v>
      </c>
      <c r="CG126" s="339">
        <f ca="1"/>
        <v>0</v>
      </c>
      <c r="CH126" s="339">
        <f ca="1"/>
        <v>0</v>
      </c>
      <c r="CI126" s="339">
        <f ca="1"/>
        <v>0</v>
      </c>
      <c r="CJ126" s="339">
        <f ca="1"/>
        <v>0</v>
      </c>
      <c r="CK126" s="339">
        <f ca="1"/>
        <v>0</v>
      </c>
      <c r="CL126" s="339">
        <f ca="1"/>
        <v>0</v>
      </c>
      <c r="CM126" s="339">
        <f ca="1"/>
        <v>0</v>
      </c>
      <c r="CN126" s="339">
        <f ca="1"/>
        <v>0</v>
      </c>
      <c r="CO126" s="339">
        <f ca="1"/>
        <v>0</v>
      </c>
      <c r="CP126" s="339">
        <f ca="1"/>
        <v>0</v>
      </c>
      <c r="CQ126" s="339">
        <f ca="1"/>
        <v>229.44947109711799</v>
      </c>
      <c r="CR126" s="340">
        <f ca="1"/>
        <v>0</v>
      </c>
      <c r="CS126" s="340">
        <f ca="1">CQ126+CR126</f>
        <v>229.44947109711799</v>
      </c>
      <c r="CT126" s="233"/>
    </row>
    <row r="127" spans="2:98" x14ac:dyDescent="0.3">
      <c r="B127" s="232"/>
      <c r="C127" s="250"/>
      <c r="D127" s="250" t="s">
        <v>10</v>
      </c>
      <c r="E127" s="250" t="s">
        <v>11</v>
      </c>
      <c r="F127" s="250" t="s">
        <v>245</v>
      </c>
      <c r="G127" s="250" t="s">
        <v>12</v>
      </c>
      <c r="H127" s="261"/>
      <c r="I127" s="262" t="s">
        <v>10</v>
      </c>
      <c r="J127" s="262" t="s">
        <v>11</v>
      </c>
      <c r="K127" s="262" t="s">
        <v>245</v>
      </c>
      <c r="L127" s="15"/>
      <c r="M127" s="262" t="s">
        <v>10</v>
      </c>
      <c r="N127" s="262" t="s">
        <v>11</v>
      </c>
      <c r="O127" s="262" t="s">
        <v>245</v>
      </c>
      <c r="P127" s="15"/>
      <c r="Q127" s="262" t="s">
        <v>10</v>
      </c>
      <c r="R127" s="262" t="s">
        <v>11</v>
      </c>
      <c r="S127" s="262" t="s">
        <v>245</v>
      </c>
      <c r="T127" s="262" t="s">
        <v>12</v>
      </c>
      <c r="U127" s="15"/>
      <c r="V127" s="262" t="s">
        <v>283</v>
      </c>
      <c r="W127" s="262" t="s">
        <v>283</v>
      </c>
      <c r="X127" s="262" t="s">
        <v>284</v>
      </c>
      <c r="Y127" s="262" t="s">
        <v>284</v>
      </c>
      <c r="Z127" s="262" t="s">
        <v>285</v>
      </c>
      <c r="AA127" s="262" t="s">
        <v>285</v>
      </c>
      <c r="AB127" s="262" t="s">
        <v>12</v>
      </c>
      <c r="AC127" s="15"/>
      <c r="AD127" s="262" t="s">
        <v>286</v>
      </c>
      <c r="AE127" s="262" t="s">
        <v>287</v>
      </c>
      <c r="AF127" s="262" t="s">
        <v>281</v>
      </c>
      <c r="AG127" s="15"/>
      <c r="AH127" s="262"/>
      <c r="AI127" s="262" t="s">
        <v>288</v>
      </c>
      <c r="AJ127" s="262" t="s">
        <v>288</v>
      </c>
      <c r="AK127" s="262" t="s">
        <v>289</v>
      </c>
      <c r="AL127" s="233"/>
      <c r="AN127" s="341"/>
      <c r="AO127" s="18"/>
      <c r="AP127" s="37" t="s">
        <v>344</v>
      </c>
      <c r="AQ127" s="331"/>
      <c r="AR127" s="331"/>
      <c r="AS127" s="11" t="s">
        <v>12</v>
      </c>
      <c r="AT127" s="236" t="s">
        <v>345</v>
      </c>
      <c r="AU127" s="38" t="s">
        <v>354</v>
      </c>
      <c r="AW127" s="37" t="s">
        <v>346</v>
      </c>
      <c r="AX127" s="331"/>
      <c r="AY127" s="331"/>
      <c r="AZ127" s="11" t="s">
        <v>12</v>
      </c>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233"/>
    </row>
    <row r="128" spans="2:98" x14ac:dyDescent="0.3">
      <c r="B128" s="232"/>
      <c r="C128" s="13" t="s">
        <v>9</v>
      </c>
      <c r="D128" s="13" t="s">
        <v>307</v>
      </c>
      <c r="E128" s="13" t="s">
        <v>308</v>
      </c>
      <c r="F128" s="13" t="s">
        <v>308</v>
      </c>
      <c r="G128" s="13" t="s">
        <v>248</v>
      </c>
      <c r="H128" s="4"/>
      <c r="I128" s="13" t="s">
        <v>24</v>
      </c>
      <c r="J128" s="13" t="s">
        <v>25</v>
      </c>
      <c r="K128" s="13" t="s">
        <v>25</v>
      </c>
      <c r="L128" s="4"/>
      <c r="M128" s="13" t="s">
        <v>24</v>
      </c>
      <c r="N128" s="13" t="s">
        <v>25</v>
      </c>
      <c r="O128" s="13" t="s">
        <v>25</v>
      </c>
      <c r="P128" s="4"/>
      <c r="Q128" s="13" t="s">
        <v>293</v>
      </c>
      <c r="R128" s="13" t="s">
        <v>293</v>
      </c>
      <c r="S128" s="13" t="s">
        <v>293</v>
      </c>
      <c r="T128" s="13" t="s">
        <v>293</v>
      </c>
      <c r="U128" s="4"/>
      <c r="V128" s="13" t="s">
        <v>294</v>
      </c>
      <c r="W128" s="13" t="s">
        <v>293</v>
      </c>
      <c r="X128" s="13" t="s">
        <v>294</v>
      </c>
      <c r="Y128" s="13" t="s">
        <v>293</v>
      </c>
      <c r="Z128" s="13" t="s">
        <v>294</v>
      </c>
      <c r="AA128" s="13" t="s">
        <v>293</v>
      </c>
      <c r="AB128" s="13" t="s">
        <v>293</v>
      </c>
      <c r="AC128" s="4"/>
      <c r="AD128" s="13" t="s">
        <v>293</v>
      </c>
      <c r="AE128" s="13" t="s">
        <v>293</v>
      </c>
      <c r="AF128" s="13" t="s">
        <v>293</v>
      </c>
      <c r="AG128" s="4"/>
      <c r="AH128" s="13" t="s">
        <v>295</v>
      </c>
      <c r="AI128" s="13" t="s">
        <v>296</v>
      </c>
      <c r="AJ128" s="13" t="s">
        <v>297</v>
      </c>
      <c r="AK128" s="13" t="s">
        <v>293</v>
      </c>
      <c r="AL128" s="233"/>
      <c r="AN128" s="342"/>
      <c r="AO128" s="24" t="s">
        <v>296</v>
      </c>
      <c r="AP128" s="24" t="s">
        <v>347</v>
      </c>
      <c r="AQ128" s="24" t="s">
        <v>351</v>
      </c>
      <c r="AR128" s="24" t="s">
        <v>352</v>
      </c>
      <c r="AS128" s="343" t="s">
        <v>169</v>
      </c>
      <c r="AT128" s="344" t="s">
        <v>348</v>
      </c>
      <c r="AU128" s="11" t="s">
        <v>26</v>
      </c>
      <c r="AW128" s="24" t="s">
        <v>347</v>
      </c>
      <c r="AX128" s="24" t="s">
        <v>351</v>
      </c>
      <c r="AY128" s="24" t="s">
        <v>352</v>
      </c>
      <c r="AZ128" s="343" t="s">
        <v>169</v>
      </c>
      <c r="BB128" s="40">
        <v>0</v>
      </c>
      <c r="BC128" s="13">
        <f>BB128+1</f>
        <v>1</v>
      </c>
      <c r="BD128" s="13">
        <f t="shared" ref="BD128:CP128" si="20">BC128+1</f>
        <v>2</v>
      </c>
      <c r="BE128" s="13">
        <f t="shared" si="20"/>
        <v>3</v>
      </c>
      <c r="BF128" s="13">
        <f t="shared" si="20"/>
        <v>4</v>
      </c>
      <c r="BG128" s="13">
        <f t="shared" si="20"/>
        <v>5</v>
      </c>
      <c r="BH128" s="13">
        <f t="shared" si="20"/>
        <v>6</v>
      </c>
      <c r="BI128" s="13">
        <f t="shared" si="20"/>
        <v>7</v>
      </c>
      <c r="BJ128" s="13">
        <f t="shared" si="20"/>
        <v>8</v>
      </c>
      <c r="BK128" s="13">
        <f t="shared" si="20"/>
        <v>9</v>
      </c>
      <c r="BL128" s="13">
        <f t="shared" si="20"/>
        <v>10</v>
      </c>
      <c r="BM128" s="13">
        <f t="shared" si="20"/>
        <v>11</v>
      </c>
      <c r="BN128" s="13">
        <f t="shared" si="20"/>
        <v>12</v>
      </c>
      <c r="BO128" s="13">
        <f t="shared" si="20"/>
        <v>13</v>
      </c>
      <c r="BP128" s="13">
        <f t="shared" si="20"/>
        <v>14</v>
      </c>
      <c r="BQ128" s="13">
        <f t="shared" si="20"/>
        <v>15</v>
      </c>
      <c r="BR128" s="13">
        <f t="shared" si="20"/>
        <v>16</v>
      </c>
      <c r="BS128" s="13">
        <f t="shared" si="20"/>
        <v>17</v>
      </c>
      <c r="BT128" s="13">
        <f t="shared" si="20"/>
        <v>18</v>
      </c>
      <c r="BU128" s="13">
        <f t="shared" si="20"/>
        <v>19</v>
      </c>
      <c r="BV128" s="13">
        <f t="shared" si="20"/>
        <v>20</v>
      </c>
      <c r="BW128" s="13">
        <f t="shared" si="20"/>
        <v>21</v>
      </c>
      <c r="BX128" s="13">
        <f t="shared" si="20"/>
        <v>22</v>
      </c>
      <c r="BY128" s="13">
        <f t="shared" si="20"/>
        <v>23</v>
      </c>
      <c r="BZ128" s="13">
        <f t="shared" si="20"/>
        <v>24</v>
      </c>
      <c r="CA128" s="13">
        <f t="shared" si="20"/>
        <v>25</v>
      </c>
      <c r="CB128" s="13">
        <f t="shared" si="20"/>
        <v>26</v>
      </c>
      <c r="CC128" s="13">
        <f t="shared" si="20"/>
        <v>27</v>
      </c>
      <c r="CD128" s="13">
        <f t="shared" si="20"/>
        <v>28</v>
      </c>
      <c r="CE128" s="13">
        <f t="shared" si="20"/>
        <v>29</v>
      </c>
      <c r="CF128" s="13">
        <f t="shared" si="20"/>
        <v>30</v>
      </c>
      <c r="CG128" s="13">
        <f t="shared" si="20"/>
        <v>31</v>
      </c>
      <c r="CH128" s="13">
        <f t="shared" si="20"/>
        <v>32</v>
      </c>
      <c r="CI128" s="13">
        <f t="shared" si="20"/>
        <v>33</v>
      </c>
      <c r="CJ128" s="13">
        <f t="shared" si="20"/>
        <v>34</v>
      </c>
      <c r="CK128" s="13">
        <f t="shared" si="20"/>
        <v>35</v>
      </c>
      <c r="CL128" s="13">
        <f t="shared" si="20"/>
        <v>36</v>
      </c>
      <c r="CM128" s="13">
        <f t="shared" si="20"/>
        <v>37</v>
      </c>
      <c r="CN128" s="13">
        <f t="shared" si="20"/>
        <v>38</v>
      </c>
      <c r="CO128" s="13">
        <f t="shared" si="20"/>
        <v>39</v>
      </c>
      <c r="CP128" s="13">
        <f t="shared" si="20"/>
        <v>40</v>
      </c>
      <c r="CQ128" s="11" t="s">
        <v>349</v>
      </c>
      <c r="CR128" s="11" t="s">
        <v>350</v>
      </c>
      <c r="CS128" s="11" t="s">
        <v>12</v>
      </c>
      <c r="CT128" s="233"/>
    </row>
    <row r="129" spans="2:98" x14ac:dyDescent="0.3">
      <c r="B129" s="232"/>
      <c r="C129" s="250">
        <f>YEAR(FY_Date)</f>
        <v>2013</v>
      </c>
      <c r="D129" s="263">
        <f ca="1">$G129*$M$12</f>
        <v>57383.916629834246</v>
      </c>
      <c r="E129" s="263">
        <f t="shared" ref="E129:E169" ca="1" si="21">$G129*$M$14/Bbl_to_Mcfe</f>
        <v>379.56289502762405</v>
      </c>
      <c r="F129" s="263">
        <f t="shared" ref="F129:F169" ca="1" si="22">$G129*$M$13/Bbl_to_Mcfe</f>
        <v>0</v>
      </c>
      <c r="G129" s="263">
        <f ca="1">CS129*$AQ$9</f>
        <v>59661.293999999987</v>
      </c>
      <c r="H129" s="15"/>
      <c r="I129" s="264">
        <f ca="1">Assumptions!O$63</f>
        <v>3.7</v>
      </c>
      <c r="J129" s="264">
        <f ca="1">Assumptions!P$63</f>
        <v>101</v>
      </c>
      <c r="K129" s="264">
        <f t="shared" ref="K129:K169" ca="1" si="23">J129*$R$7</f>
        <v>50.5</v>
      </c>
      <c r="L129" s="15"/>
      <c r="M129" s="51">
        <f ca="1">I129*$R$5</f>
        <v>3.4779999999999998</v>
      </c>
      <c r="N129" s="51">
        <f t="shared" ref="N129:N169" ca="1" si="24">J129*$R$6</f>
        <v>93.93</v>
      </c>
      <c r="O129" s="51">
        <f t="shared" ref="O129:O169" ca="1" si="25">N129*$R$7</f>
        <v>46.965000000000003</v>
      </c>
      <c r="P129" s="15"/>
      <c r="Q129" s="265">
        <f ca="1">D129*M129</f>
        <v>199581.26203856349</v>
      </c>
      <c r="R129" s="265">
        <f ca="1">E129*N129</f>
        <v>35652.342729944728</v>
      </c>
      <c r="S129" s="265">
        <f ca="1">F129*O129</f>
        <v>0</v>
      </c>
      <c r="T129" s="265">
        <f ca="1">SUM(Q129:S129)</f>
        <v>235233.60476850823</v>
      </c>
      <c r="U129" s="15"/>
      <c r="V129" s="51">
        <f>$M$18</f>
        <v>0.31</v>
      </c>
      <c r="W129" s="265">
        <f ca="1">V129*$G129/(1-$M$6)</f>
        <v>18495.001139999997</v>
      </c>
      <c r="X129" s="51">
        <f>$M$17</f>
        <v>0.37</v>
      </c>
      <c r="Y129" s="265">
        <f ca="1">X129*$G129/(1-$M$6)</f>
        <v>22074.678779999995</v>
      </c>
      <c r="Z129" s="51">
        <f>$M$19</f>
        <v>0.57999999999999996</v>
      </c>
      <c r="AA129" s="265">
        <f ca="1">Z129*$G129/(1-$M$6)</f>
        <v>34603.55051999999</v>
      </c>
      <c r="AB129" s="265">
        <f ca="1">W129+Y129+AA129</f>
        <v>75173.230439999985</v>
      </c>
      <c r="AC129" s="15"/>
      <c r="AD129" s="265">
        <f ca="1">T129-AB129</f>
        <v>160060.37432850825</v>
      </c>
      <c r="AE129" s="265">
        <f t="array" aca="1" ref="AE129:AE169" ca="1">TRANSPOSE(BB126:CP126)*$M$9*$AQ$9*Units</f>
        <v>290115.99999999994</v>
      </c>
      <c r="AF129" s="265">
        <f ca="1">AD129-AE129</f>
        <v>-130055.6256714917</v>
      </c>
      <c r="AG129" s="15"/>
      <c r="AH129" s="272">
        <f>FY_Date</f>
        <v>41639</v>
      </c>
      <c r="AI129" s="267">
        <f t="shared" ref="AI129:AI169" si="26">DAYS360(Valuation_Date,AH129)/360-MIN(0.5,0.5*DAYS360(Valuation_Date,AH129)/360)</f>
        <v>8.3333333333333329E-2</v>
      </c>
      <c r="AJ129" s="267">
        <f t="shared" ref="AJ129:AJ169" si="27">1/((1+Discount_Rate)^AI129)</f>
        <v>0.99208894344699095</v>
      </c>
      <c r="AK129" s="265">
        <f ca="1">AJ129*AF129*Stub_Per_Adj</f>
        <v>-32256.687065441889</v>
      </c>
      <c r="AL129" s="233"/>
      <c r="AN129" s="345"/>
      <c r="AO129" s="268">
        <v>0</v>
      </c>
      <c r="AP129" s="34">
        <f ca="1">AS129*$M$12</f>
        <v>810.96546961325964</v>
      </c>
      <c r="AQ129" s="34">
        <f t="shared" ref="AQ129:AQ169" ca="1" si="28">AS129*$M$14/Bbl_to_Mcfe</f>
        <v>5.3640883977900522</v>
      </c>
      <c r="AR129" s="34">
        <f t="shared" ref="AR129:AR169" ca="1" si="29">AS129*$M$13/Bbl_to_Mcfe</f>
        <v>0</v>
      </c>
      <c r="AS129" s="34">
        <f ca="1">AU129*(1+$AT$125)</f>
        <v>843.15</v>
      </c>
      <c r="AU129" s="34">
        <f ca="1">MIN(AR125*AR126,$AT$126)</f>
        <v>843.15</v>
      </c>
      <c r="AV129" s="369"/>
      <c r="AW129" s="34">
        <f ca="1">AP129*(1-$M$6)</f>
        <v>810.96546961325964</v>
      </c>
      <c r="AX129" s="34">
        <f t="shared" ref="AX129:AZ169" ca="1" si="30">AQ129*(1-$M$6)</f>
        <v>5.3640883977900522</v>
      </c>
      <c r="AY129" s="34">
        <f t="shared" ca="1" si="30"/>
        <v>0</v>
      </c>
      <c r="AZ129" s="34">
        <f t="shared" ca="1" si="30"/>
        <v>843.15</v>
      </c>
      <c r="BA129" s="365"/>
      <c r="BB129" s="34">
        <f ca="1">IF($AO129&lt;BB$128,0,OFFSET($AZ$128,$AO129-BB$128+1,0)*BB$126)</f>
        <v>59661.293999999987</v>
      </c>
      <c r="BC129" s="34">
        <f t="shared" ref="BC129:BR144" ca="1" si="31">IF($AO129&lt;BC$128,0,OFFSET($AZ$128,$AO129-BC$128+1,0)*BC$126)</f>
        <v>0</v>
      </c>
      <c r="BD129" s="34">
        <f t="shared" ca="1" si="31"/>
        <v>0</v>
      </c>
      <c r="BE129" s="34">
        <f t="shared" ca="1" si="31"/>
        <v>0</v>
      </c>
      <c r="BF129" s="34">
        <f t="shared" ca="1" si="31"/>
        <v>0</v>
      </c>
      <c r="BG129" s="34">
        <f t="shared" ca="1" si="31"/>
        <v>0</v>
      </c>
      <c r="BH129" s="34">
        <f t="shared" ca="1" si="31"/>
        <v>0</v>
      </c>
      <c r="BI129" s="34">
        <f t="shared" ca="1" si="31"/>
        <v>0</v>
      </c>
      <c r="BJ129" s="34">
        <f t="shared" ca="1" si="31"/>
        <v>0</v>
      </c>
      <c r="BK129" s="34">
        <f t="shared" ca="1" si="31"/>
        <v>0</v>
      </c>
      <c r="BL129" s="34">
        <f t="shared" ca="1" si="31"/>
        <v>0</v>
      </c>
      <c r="BM129" s="34">
        <f t="shared" ca="1" si="31"/>
        <v>0</v>
      </c>
      <c r="BN129" s="34">
        <f t="shared" ca="1" si="31"/>
        <v>0</v>
      </c>
      <c r="BO129" s="34">
        <f t="shared" ca="1" si="31"/>
        <v>0</v>
      </c>
      <c r="BP129" s="34">
        <f t="shared" ca="1" si="31"/>
        <v>0</v>
      </c>
      <c r="BQ129" s="34">
        <f t="shared" ca="1" si="31"/>
        <v>0</v>
      </c>
      <c r="BR129" s="34">
        <f t="shared" ca="1" si="31"/>
        <v>0</v>
      </c>
      <c r="BS129" s="34">
        <f t="shared" ref="BS129:CH144" ca="1" si="32">IF($AO129&lt;BS$128,0,OFFSET($AZ$128,$AO129-BS$128+1,0)*BS$126)</f>
        <v>0</v>
      </c>
      <c r="BT129" s="34">
        <f t="shared" ca="1" si="32"/>
        <v>0</v>
      </c>
      <c r="BU129" s="34">
        <f t="shared" ca="1" si="32"/>
        <v>0</v>
      </c>
      <c r="BV129" s="34">
        <f t="shared" ca="1" si="32"/>
        <v>0</v>
      </c>
      <c r="BW129" s="34">
        <f t="shared" ca="1" si="32"/>
        <v>0</v>
      </c>
      <c r="BX129" s="34">
        <f t="shared" ca="1" si="32"/>
        <v>0</v>
      </c>
      <c r="BY129" s="34">
        <f t="shared" ca="1" si="32"/>
        <v>0</v>
      </c>
      <c r="BZ129" s="34">
        <f t="shared" ca="1" si="32"/>
        <v>0</v>
      </c>
      <c r="CA129" s="34">
        <f t="shared" ca="1" si="32"/>
        <v>0</v>
      </c>
      <c r="CB129" s="34">
        <f t="shared" ca="1" si="32"/>
        <v>0</v>
      </c>
      <c r="CC129" s="34">
        <f t="shared" ca="1" si="32"/>
        <v>0</v>
      </c>
      <c r="CD129" s="34">
        <f t="shared" ca="1" si="32"/>
        <v>0</v>
      </c>
      <c r="CE129" s="34">
        <f t="shared" ca="1" si="32"/>
        <v>0</v>
      </c>
      <c r="CF129" s="34">
        <f t="shared" ca="1" si="32"/>
        <v>0</v>
      </c>
      <c r="CG129" s="34">
        <f t="shared" ca="1" si="32"/>
        <v>0</v>
      </c>
      <c r="CH129" s="34">
        <f t="shared" ca="1" si="32"/>
        <v>0</v>
      </c>
      <c r="CI129" s="34">
        <f t="shared" ref="CI129:CP144" ca="1" si="33">IF($AO129&lt;CI$128,0,OFFSET($AZ$128,$AO129-CI$128+1,0)*CI$126)</f>
        <v>0</v>
      </c>
      <c r="CJ129" s="34">
        <f t="shared" ca="1" si="33"/>
        <v>0</v>
      </c>
      <c r="CK129" s="34">
        <f t="shared" ca="1" si="33"/>
        <v>0</v>
      </c>
      <c r="CL129" s="34">
        <f t="shared" ca="1" si="33"/>
        <v>0</v>
      </c>
      <c r="CM129" s="34">
        <f t="shared" ca="1" si="33"/>
        <v>0</v>
      </c>
      <c r="CN129" s="34">
        <f t="shared" ca="1" si="33"/>
        <v>0</v>
      </c>
      <c r="CO129" s="34">
        <f t="shared" ca="1" si="33"/>
        <v>0</v>
      </c>
      <c r="CP129" s="34">
        <f t="shared" ca="1" si="33"/>
        <v>0</v>
      </c>
      <c r="CQ129" s="34">
        <f ca="1">SUM(BB129:CP129)</f>
        <v>59661.293999999987</v>
      </c>
      <c r="CR129" s="363">
        <v>0</v>
      </c>
      <c r="CS129" s="34">
        <f ca="1">CQ129+CR129</f>
        <v>59661.293999999987</v>
      </c>
      <c r="CT129" s="233"/>
    </row>
    <row r="130" spans="2:98" x14ac:dyDescent="0.3">
      <c r="B130" s="232"/>
      <c r="C130" s="270">
        <f>C129+1</f>
        <v>2014</v>
      </c>
      <c r="D130" s="263">
        <f t="shared" ref="D130:D172" ca="1" si="34">$G130*$M$12</f>
        <v>88908.679376651096</v>
      </c>
      <c r="E130" s="263">
        <f t="shared" ca="1" si="21"/>
        <v>588.08177829638646</v>
      </c>
      <c r="F130" s="263">
        <f t="shared" ca="1" si="22"/>
        <v>0</v>
      </c>
      <c r="G130" s="263">
        <f t="shared" ref="G130:G169" ca="1" si="35">CS130*$AQ$9</f>
        <v>92437.170046429412</v>
      </c>
      <c r="H130" s="15"/>
      <c r="I130" s="271">
        <f ca="1">Assumptions!O$64</f>
        <v>3.8</v>
      </c>
      <c r="J130" s="271">
        <f ca="1">Assumptions!P$64</f>
        <v>92</v>
      </c>
      <c r="K130" s="271">
        <f t="shared" ca="1" si="23"/>
        <v>46</v>
      </c>
      <c r="L130" s="15"/>
      <c r="M130" s="35">
        <f t="shared" ref="M130:M169" ca="1" si="36">I130*$R$5</f>
        <v>3.5719999999999996</v>
      </c>
      <c r="N130" s="35">
        <f t="shared" ca="1" si="24"/>
        <v>85.56</v>
      </c>
      <c r="O130" s="35">
        <f t="shared" ca="1" si="25"/>
        <v>42.78</v>
      </c>
      <c r="P130" s="15"/>
      <c r="Q130" s="34">
        <f t="shared" ref="Q130:S169" ca="1" si="37">D130*M130</f>
        <v>317581.80273339769</v>
      </c>
      <c r="R130" s="34">
        <f t="shared" ca="1" si="37"/>
        <v>50316.276951038824</v>
      </c>
      <c r="S130" s="34">
        <f t="shared" ca="1" si="37"/>
        <v>0</v>
      </c>
      <c r="T130" s="34">
        <f t="shared" ref="T130:T170" ca="1" si="38">SUM(Q130:S130)</f>
        <v>367898.0796844365</v>
      </c>
      <c r="U130" s="15"/>
      <c r="V130" s="35">
        <f t="shared" ref="V130:V169" si="39">$M$18</f>
        <v>0.31</v>
      </c>
      <c r="W130" s="34">
        <f t="shared" ref="W130:W169" ca="1" si="40">V130*$G130/(1-$M$6)</f>
        <v>28655.522714393119</v>
      </c>
      <c r="X130" s="35">
        <f t="shared" ref="X130:X169" si="41">$M$17</f>
        <v>0.37</v>
      </c>
      <c r="Y130" s="34">
        <f t="shared" ref="Y130:Y169" ca="1" si="42">X130*$G130/(1-$M$6)</f>
        <v>34201.752917178885</v>
      </c>
      <c r="Z130" s="35">
        <f t="shared" ref="Z130:Z169" si="43">$M$19</f>
        <v>0.57999999999999996</v>
      </c>
      <c r="AA130" s="34">
        <f t="shared" ref="AA130:AA169" ca="1" si="44">Z130*$G130/(1-$M$6)</f>
        <v>53613.558626929058</v>
      </c>
      <c r="AB130" s="34">
        <f t="shared" ref="AB130:AB169" ca="1" si="45">W130+Y130+AA130</f>
        <v>116470.83425850107</v>
      </c>
      <c r="AC130" s="15"/>
      <c r="AD130" s="34">
        <f t="shared" ref="AD130:AD169" ca="1" si="46">T130-AB130</f>
        <v>251427.24542593543</v>
      </c>
      <c r="AE130" s="34">
        <f ca="1"/>
        <v>321030</v>
      </c>
      <c r="AF130" s="34">
        <f t="shared" ref="AF130:AF169" ca="1" si="47">AD130-AE130</f>
        <v>-69602.754574064573</v>
      </c>
      <c r="AG130" s="15"/>
      <c r="AH130" s="272">
        <f>EOMONTH(AH129,12)</f>
        <v>42004</v>
      </c>
      <c r="AI130" s="267">
        <f t="shared" si="26"/>
        <v>0.66666666666666674</v>
      </c>
      <c r="AJ130" s="267">
        <f t="shared" si="27"/>
        <v>0.93843646859669738</v>
      </c>
      <c r="AK130" s="34">
        <f ca="1">AJ130*AF130</f>
        <v>-65317.763207087781</v>
      </c>
      <c r="AL130" s="233"/>
      <c r="AN130" s="346"/>
      <c r="AO130" s="237">
        <f t="shared" ref="AO130:AO169" si="48">AO129+1</f>
        <v>1</v>
      </c>
      <c r="AP130" s="34">
        <f t="shared" ref="AP130:AP169" ca="1" si="49">AS130*$M$12</f>
        <v>359.10236158751934</v>
      </c>
      <c r="AQ130" s="34">
        <f t="shared" ca="1" si="28"/>
        <v>2.3752636623717542</v>
      </c>
      <c r="AR130" s="34">
        <f t="shared" ca="1" si="29"/>
        <v>0</v>
      </c>
      <c r="AS130" s="34">
        <f t="shared" ref="AS130:AS169" ca="1" si="50">AU130*(1+$AT$125)</f>
        <v>373.35394356174987</v>
      </c>
      <c r="AT130" s="347">
        <v>-0.55719155125214981</v>
      </c>
      <c r="AU130" s="34">
        <f ca="1">MIN(AU129*(1+AT130),$AT$126-SUM(AU$129:AU129))</f>
        <v>373.35394356174987</v>
      </c>
      <c r="AV130" s="348"/>
      <c r="AW130" s="34">
        <f t="shared" ref="AW130:AW169" ca="1" si="51">AP130*(1-$M$6)</f>
        <v>359.10236158751934</v>
      </c>
      <c r="AX130" s="34">
        <f t="shared" ca="1" si="30"/>
        <v>2.3752636623717542</v>
      </c>
      <c r="AY130" s="34">
        <f t="shared" ca="1" si="30"/>
        <v>0</v>
      </c>
      <c r="AZ130" s="34">
        <f t="shared" ca="1" si="30"/>
        <v>373.35394356174987</v>
      </c>
      <c r="BA130" s="365"/>
      <c r="BB130" s="34">
        <f t="shared" ref="BB130:BQ145" ca="1" si="52">IF($AO130&lt;BB$128,0,OFFSET($AZ$128,$AO130-BB$128+1,0)*BB$126)</f>
        <v>26418.525046429419</v>
      </c>
      <c r="BC130" s="34">
        <f t="shared" ca="1" si="31"/>
        <v>66018.64499999999</v>
      </c>
      <c r="BD130" s="34">
        <f t="shared" ca="1" si="31"/>
        <v>0</v>
      </c>
      <c r="BE130" s="34">
        <f t="shared" ca="1" si="31"/>
        <v>0</v>
      </c>
      <c r="BF130" s="34">
        <f t="shared" ca="1" si="31"/>
        <v>0</v>
      </c>
      <c r="BG130" s="34">
        <f t="shared" ca="1" si="31"/>
        <v>0</v>
      </c>
      <c r="BH130" s="34">
        <f t="shared" ca="1" si="31"/>
        <v>0</v>
      </c>
      <c r="BI130" s="34">
        <f t="shared" ca="1" si="31"/>
        <v>0</v>
      </c>
      <c r="BJ130" s="34">
        <f t="shared" ca="1" si="31"/>
        <v>0</v>
      </c>
      <c r="BK130" s="34">
        <f t="shared" ca="1" si="31"/>
        <v>0</v>
      </c>
      <c r="BL130" s="34">
        <f t="shared" ca="1" si="31"/>
        <v>0</v>
      </c>
      <c r="BM130" s="34">
        <f t="shared" ca="1" si="31"/>
        <v>0</v>
      </c>
      <c r="BN130" s="34">
        <f t="shared" ca="1" si="31"/>
        <v>0</v>
      </c>
      <c r="BO130" s="34">
        <f t="shared" ca="1" si="31"/>
        <v>0</v>
      </c>
      <c r="BP130" s="34">
        <f t="shared" ca="1" si="31"/>
        <v>0</v>
      </c>
      <c r="BQ130" s="34">
        <f t="shared" ca="1" si="31"/>
        <v>0</v>
      </c>
      <c r="BR130" s="34">
        <f t="shared" ca="1" si="31"/>
        <v>0</v>
      </c>
      <c r="BS130" s="34">
        <f t="shared" ca="1" si="32"/>
        <v>0</v>
      </c>
      <c r="BT130" s="34">
        <f t="shared" ca="1" si="32"/>
        <v>0</v>
      </c>
      <c r="BU130" s="34">
        <f t="shared" ca="1" si="32"/>
        <v>0</v>
      </c>
      <c r="BV130" s="34">
        <f t="shared" ca="1" si="32"/>
        <v>0</v>
      </c>
      <c r="BW130" s="34">
        <f t="shared" ca="1" si="32"/>
        <v>0</v>
      </c>
      <c r="BX130" s="34">
        <f t="shared" ca="1" si="32"/>
        <v>0</v>
      </c>
      <c r="BY130" s="34">
        <f t="shared" ca="1" si="32"/>
        <v>0</v>
      </c>
      <c r="BZ130" s="34">
        <f t="shared" ca="1" si="32"/>
        <v>0</v>
      </c>
      <c r="CA130" s="34">
        <f t="shared" ca="1" si="32"/>
        <v>0</v>
      </c>
      <c r="CB130" s="34">
        <f t="shared" ca="1" si="32"/>
        <v>0</v>
      </c>
      <c r="CC130" s="34">
        <f t="shared" ca="1" si="32"/>
        <v>0</v>
      </c>
      <c r="CD130" s="34">
        <f t="shared" ca="1" si="32"/>
        <v>0</v>
      </c>
      <c r="CE130" s="34">
        <f t="shared" ca="1" si="32"/>
        <v>0</v>
      </c>
      <c r="CF130" s="34">
        <f t="shared" ca="1" si="32"/>
        <v>0</v>
      </c>
      <c r="CG130" s="34">
        <f t="shared" ca="1" si="32"/>
        <v>0</v>
      </c>
      <c r="CH130" s="34">
        <f t="shared" ca="1" si="32"/>
        <v>0</v>
      </c>
      <c r="CI130" s="34">
        <f t="shared" ca="1" si="33"/>
        <v>0</v>
      </c>
      <c r="CJ130" s="34">
        <f t="shared" ca="1" si="33"/>
        <v>0</v>
      </c>
      <c r="CK130" s="34">
        <f t="shared" ca="1" si="33"/>
        <v>0</v>
      </c>
      <c r="CL130" s="34">
        <f t="shared" ca="1" si="33"/>
        <v>0</v>
      </c>
      <c r="CM130" s="34">
        <f t="shared" ca="1" si="33"/>
        <v>0</v>
      </c>
      <c r="CN130" s="34">
        <f t="shared" ca="1" si="33"/>
        <v>0</v>
      </c>
      <c r="CO130" s="34">
        <f t="shared" ca="1" si="33"/>
        <v>0</v>
      </c>
      <c r="CP130" s="34">
        <f t="shared" ca="1" si="33"/>
        <v>0</v>
      </c>
      <c r="CQ130" s="34">
        <f t="shared" ref="CQ130:CQ169" ca="1" si="53">SUM(BB130:CP130)</f>
        <v>92437.170046429412</v>
      </c>
      <c r="CR130" s="363">
        <v>0</v>
      </c>
      <c r="CS130" s="34">
        <f t="shared" ref="CS130:CS169" ca="1" si="54">CQ130+CR130</f>
        <v>92437.170046429412</v>
      </c>
      <c r="CT130" s="233"/>
    </row>
    <row r="131" spans="2:98" x14ac:dyDescent="0.3">
      <c r="B131" s="232"/>
      <c r="C131" s="250">
        <f t="shared" ref="C131:C169" si="55">C130+1</f>
        <v>2015</v>
      </c>
      <c r="D131" s="263">
        <f t="shared" ca="1" si="34"/>
        <v>111458.72340004312</v>
      </c>
      <c r="E131" s="263">
        <f t="shared" ca="1" si="21"/>
        <v>737.23785712822212</v>
      </c>
      <c r="F131" s="263">
        <f t="shared" ca="1" si="22"/>
        <v>0</v>
      </c>
      <c r="G131" s="263">
        <f t="shared" ca="1" si="35"/>
        <v>115882.15054281245</v>
      </c>
      <c r="H131" s="15"/>
      <c r="I131" s="271">
        <f ca="1">Assumptions!O$65</f>
        <v>4</v>
      </c>
      <c r="J131" s="271">
        <f ca="1">Assumptions!P$65</f>
        <v>88</v>
      </c>
      <c r="K131" s="271">
        <f t="shared" ca="1" si="23"/>
        <v>44</v>
      </c>
      <c r="L131" s="15"/>
      <c r="M131" s="35">
        <f t="shared" ca="1" si="36"/>
        <v>3.76</v>
      </c>
      <c r="N131" s="35">
        <f t="shared" ca="1" si="24"/>
        <v>81.84</v>
      </c>
      <c r="O131" s="35">
        <f t="shared" ca="1" si="25"/>
        <v>40.92</v>
      </c>
      <c r="P131" s="15"/>
      <c r="Q131" s="34">
        <f t="shared" ca="1" si="37"/>
        <v>419084.79998416209</v>
      </c>
      <c r="R131" s="34">
        <f t="shared" ca="1" si="37"/>
        <v>60335.546227373699</v>
      </c>
      <c r="S131" s="34">
        <f t="shared" ca="1" si="37"/>
        <v>0</v>
      </c>
      <c r="T131" s="34">
        <f t="shared" ca="1" si="38"/>
        <v>479420.3462115358</v>
      </c>
      <c r="U131" s="15"/>
      <c r="V131" s="35">
        <f t="shared" si="39"/>
        <v>0.31</v>
      </c>
      <c r="W131" s="34">
        <f t="shared" ca="1" si="40"/>
        <v>35923.46666827186</v>
      </c>
      <c r="X131" s="35">
        <f t="shared" si="41"/>
        <v>0.37</v>
      </c>
      <c r="Y131" s="34">
        <f t="shared" ca="1" si="42"/>
        <v>42876.395700840607</v>
      </c>
      <c r="Z131" s="35">
        <f t="shared" si="43"/>
        <v>0.57999999999999996</v>
      </c>
      <c r="AA131" s="34">
        <f t="shared" ca="1" si="44"/>
        <v>67211.647314831222</v>
      </c>
      <c r="AB131" s="34">
        <f t="shared" ca="1" si="45"/>
        <v>146011.5096839437</v>
      </c>
      <c r="AC131" s="15"/>
      <c r="AD131" s="34">
        <f t="shared" ca="1" si="46"/>
        <v>333408.8365275921</v>
      </c>
      <c r="AE131" s="34">
        <f ca="1"/>
        <v>329596.83149818383</v>
      </c>
      <c r="AF131" s="34">
        <f t="shared" ca="1" si="47"/>
        <v>3812.0050294082612</v>
      </c>
      <c r="AG131" s="15"/>
      <c r="AH131" s="272">
        <f t="shared" ref="AH131:AH169" si="56">EOMONTH(AH130,12)</f>
        <v>42369</v>
      </c>
      <c r="AI131" s="267">
        <f t="shared" si="26"/>
        <v>1.6666666666666665</v>
      </c>
      <c r="AJ131" s="267">
        <f t="shared" si="27"/>
        <v>0.85312406236063398</v>
      </c>
      <c r="AK131" s="34">
        <f t="shared" ref="AK131:AK171" ca="1" si="57">AJ131*AF131</f>
        <v>3252.1132164279438</v>
      </c>
      <c r="AL131" s="233"/>
      <c r="AN131" s="349"/>
      <c r="AO131" s="237">
        <f t="shared" si="48"/>
        <v>2</v>
      </c>
      <c r="AP131" s="34">
        <f t="shared" ca="1" si="49"/>
        <v>256.47149954076446</v>
      </c>
      <c r="AQ131" s="34">
        <f t="shared" ca="1" si="28"/>
        <v>1.6964172293383892</v>
      </c>
      <c r="AR131" s="34">
        <f t="shared" ca="1" si="29"/>
        <v>0</v>
      </c>
      <c r="AS131" s="34">
        <f t="shared" ca="1" si="50"/>
        <v>266.65000291679479</v>
      </c>
      <c r="AT131" s="350">
        <v>-0.28579834895277345</v>
      </c>
      <c r="AU131" s="34">
        <f ca="1">MIN(AU130*(1+AT131),$AT$126-SUM(AU$129:AU130))</f>
        <v>266.65000291679479</v>
      </c>
      <c r="AV131" s="348"/>
      <c r="AW131" s="34">
        <f t="shared" ca="1" si="51"/>
        <v>256.47149954076446</v>
      </c>
      <c r="AX131" s="34">
        <f t="shared" ca="1" si="30"/>
        <v>1.6964172293383892</v>
      </c>
      <c r="AY131" s="34">
        <f t="shared" ca="1" si="30"/>
        <v>0</v>
      </c>
      <c r="AZ131" s="34">
        <f t="shared" ca="1" si="30"/>
        <v>266.65000291679479</v>
      </c>
      <c r="BA131" s="365"/>
      <c r="BB131" s="34">
        <f t="shared" ca="1" si="52"/>
        <v>18868.154206392395</v>
      </c>
      <c r="BC131" s="34">
        <f t="shared" ca="1" si="31"/>
        <v>29233.613780885014</v>
      </c>
      <c r="BD131" s="34">
        <f t="shared" ca="1" si="31"/>
        <v>67780.382555535049</v>
      </c>
      <c r="BE131" s="34">
        <f t="shared" ca="1" si="31"/>
        <v>0</v>
      </c>
      <c r="BF131" s="34">
        <f t="shared" ca="1" si="31"/>
        <v>0</v>
      </c>
      <c r="BG131" s="34">
        <f t="shared" ca="1" si="31"/>
        <v>0</v>
      </c>
      <c r="BH131" s="34">
        <f t="shared" ca="1" si="31"/>
        <v>0</v>
      </c>
      <c r="BI131" s="34">
        <f t="shared" ca="1" si="31"/>
        <v>0</v>
      </c>
      <c r="BJ131" s="34">
        <f t="shared" ca="1" si="31"/>
        <v>0</v>
      </c>
      <c r="BK131" s="34">
        <f t="shared" ca="1" si="31"/>
        <v>0</v>
      </c>
      <c r="BL131" s="34">
        <f t="shared" ca="1" si="31"/>
        <v>0</v>
      </c>
      <c r="BM131" s="34">
        <f t="shared" ca="1" si="31"/>
        <v>0</v>
      </c>
      <c r="BN131" s="34">
        <f t="shared" ca="1" si="31"/>
        <v>0</v>
      </c>
      <c r="BO131" s="34">
        <f t="shared" ca="1" si="31"/>
        <v>0</v>
      </c>
      <c r="BP131" s="34">
        <f t="shared" ca="1" si="31"/>
        <v>0</v>
      </c>
      <c r="BQ131" s="34">
        <f t="shared" ca="1" si="31"/>
        <v>0</v>
      </c>
      <c r="BR131" s="34">
        <f t="shared" ca="1" si="31"/>
        <v>0</v>
      </c>
      <c r="BS131" s="34">
        <f t="shared" ca="1" si="32"/>
        <v>0</v>
      </c>
      <c r="BT131" s="34">
        <f t="shared" ca="1" si="32"/>
        <v>0</v>
      </c>
      <c r="BU131" s="34">
        <f t="shared" ca="1" si="32"/>
        <v>0</v>
      </c>
      <c r="BV131" s="34">
        <f t="shared" ca="1" si="32"/>
        <v>0</v>
      </c>
      <c r="BW131" s="34">
        <f t="shared" ca="1" si="32"/>
        <v>0</v>
      </c>
      <c r="BX131" s="34">
        <f t="shared" ca="1" si="32"/>
        <v>0</v>
      </c>
      <c r="BY131" s="34">
        <f t="shared" ca="1" si="32"/>
        <v>0</v>
      </c>
      <c r="BZ131" s="34">
        <f t="shared" ca="1" si="32"/>
        <v>0</v>
      </c>
      <c r="CA131" s="34">
        <f t="shared" ca="1" si="32"/>
        <v>0</v>
      </c>
      <c r="CB131" s="34">
        <f t="shared" ca="1" si="32"/>
        <v>0</v>
      </c>
      <c r="CC131" s="34">
        <f t="shared" ca="1" si="32"/>
        <v>0</v>
      </c>
      <c r="CD131" s="34">
        <f t="shared" ca="1" si="32"/>
        <v>0</v>
      </c>
      <c r="CE131" s="34">
        <f t="shared" ca="1" si="32"/>
        <v>0</v>
      </c>
      <c r="CF131" s="34">
        <f t="shared" ca="1" si="32"/>
        <v>0</v>
      </c>
      <c r="CG131" s="34">
        <f t="shared" ca="1" si="32"/>
        <v>0</v>
      </c>
      <c r="CH131" s="34">
        <f t="shared" ca="1" si="32"/>
        <v>0</v>
      </c>
      <c r="CI131" s="34">
        <f t="shared" ca="1" si="33"/>
        <v>0</v>
      </c>
      <c r="CJ131" s="34">
        <f t="shared" ca="1" si="33"/>
        <v>0</v>
      </c>
      <c r="CK131" s="34">
        <f t="shared" ca="1" si="33"/>
        <v>0</v>
      </c>
      <c r="CL131" s="34">
        <f t="shared" ca="1" si="33"/>
        <v>0</v>
      </c>
      <c r="CM131" s="34">
        <f t="shared" ca="1" si="33"/>
        <v>0</v>
      </c>
      <c r="CN131" s="34">
        <f t="shared" ca="1" si="33"/>
        <v>0</v>
      </c>
      <c r="CO131" s="34">
        <f t="shared" ca="1" si="33"/>
        <v>0</v>
      </c>
      <c r="CP131" s="34">
        <f t="shared" ca="1" si="33"/>
        <v>0</v>
      </c>
      <c r="CQ131" s="34">
        <f t="shared" ca="1" si="53"/>
        <v>115882.15054281245</v>
      </c>
      <c r="CR131" s="363">
        <v>0</v>
      </c>
      <c r="CS131" s="34">
        <f t="shared" ca="1" si="54"/>
        <v>115882.15054281245</v>
      </c>
      <c r="CT131" s="233"/>
    </row>
    <row r="132" spans="2:98" x14ac:dyDescent="0.3">
      <c r="B132" s="232"/>
      <c r="C132" s="250">
        <f t="shared" si="55"/>
        <v>2016</v>
      </c>
      <c r="D132" s="263">
        <f t="shared" ca="1" si="34"/>
        <v>63492.158074482591</v>
      </c>
      <c r="E132" s="263">
        <f t="shared" ca="1" si="21"/>
        <v>419.96553643696035</v>
      </c>
      <c r="F132" s="263">
        <f t="shared" ca="1" si="22"/>
        <v>0</v>
      </c>
      <c r="G132" s="263">
        <f t="shared" ca="1" si="35"/>
        <v>66011.951293104357</v>
      </c>
      <c r="H132" s="15"/>
      <c r="I132" s="271">
        <f ca="1">Assumptions!O$66</f>
        <v>4.0999999999999996</v>
      </c>
      <c r="J132" s="271">
        <f ca="1">Assumptions!P$66</f>
        <v>84</v>
      </c>
      <c r="K132" s="271">
        <f t="shared" ca="1" si="23"/>
        <v>42</v>
      </c>
      <c r="L132" s="15"/>
      <c r="M132" s="35">
        <f t="shared" ca="1" si="36"/>
        <v>3.8539999999999996</v>
      </c>
      <c r="N132" s="35">
        <f t="shared" ca="1" si="24"/>
        <v>78.12</v>
      </c>
      <c r="O132" s="35">
        <f t="shared" ca="1" si="25"/>
        <v>39.06</v>
      </c>
      <c r="P132" s="15"/>
      <c r="Q132" s="34">
        <f t="shared" ca="1" si="37"/>
        <v>244698.77721905589</v>
      </c>
      <c r="R132" s="34">
        <f t="shared" ca="1" si="37"/>
        <v>32807.707706455345</v>
      </c>
      <c r="S132" s="34">
        <f t="shared" ca="1" si="37"/>
        <v>0</v>
      </c>
      <c r="T132" s="34">
        <f t="shared" ca="1" si="38"/>
        <v>277506.48492551123</v>
      </c>
      <c r="U132" s="15"/>
      <c r="V132" s="35">
        <f t="shared" si="39"/>
        <v>0.31</v>
      </c>
      <c r="W132" s="34">
        <f t="shared" ca="1" si="40"/>
        <v>20463.704900862351</v>
      </c>
      <c r="X132" s="35">
        <f t="shared" si="41"/>
        <v>0.37</v>
      </c>
      <c r="Y132" s="34">
        <f t="shared" ca="1" si="42"/>
        <v>24424.421978448612</v>
      </c>
      <c r="Z132" s="35">
        <f t="shared" si="43"/>
        <v>0.57999999999999996</v>
      </c>
      <c r="AA132" s="34">
        <f t="shared" ca="1" si="44"/>
        <v>38286.931750000527</v>
      </c>
      <c r="AB132" s="34">
        <f t="shared" ca="1" si="45"/>
        <v>83175.05862931149</v>
      </c>
      <c r="AC132" s="15"/>
      <c r="AD132" s="34">
        <f t="shared" ca="1" si="46"/>
        <v>194331.42629619973</v>
      </c>
      <c r="AE132" s="34">
        <f ca="1"/>
        <v>0</v>
      </c>
      <c r="AF132" s="34">
        <f t="shared" ca="1" si="47"/>
        <v>194331.42629619973</v>
      </c>
      <c r="AG132" s="15"/>
      <c r="AH132" s="272">
        <f t="shared" si="56"/>
        <v>42735</v>
      </c>
      <c r="AI132" s="267">
        <f t="shared" si="26"/>
        <v>2.6666666666666665</v>
      </c>
      <c r="AJ132" s="267">
        <f t="shared" si="27"/>
        <v>0.77556732941875806</v>
      </c>
      <c r="AK132" s="34">
        <f t="shared" ca="1" si="57"/>
        <v>150717.10531468183</v>
      </c>
      <c r="AL132" s="233"/>
      <c r="AN132" s="349"/>
      <c r="AO132" s="237">
        <f t="shared" si="48"/>
        <v>3</v>
      </c>
      <c r="AP132" s="34">
        <f t="shared" ca="1" si="49"/>
        <v>205.51711055248782</v>
      </c>
      <c r="AQ132" s="34">
        <f t="shared" ca="1" si="28"/>
        <v>1.3593821063523992</v>
      </c>
      <c r="AR132" s="34">
        <f t="shared" ca="1" si="29"/>
        <v>0</v>
      </c>
      <c r="AS132" s="34">
        <f t="shared" ca="1" si="50"/>
        <v>213.67340319060222</v>
      </c>
      <c r="AT132" s="350">
        <v>-0.19867466396662048</v>
      </c>
      <c r="AU132" s="34">
        <f ca="1">MIN(AU131*(1+AT132),$AT$126-SUM(AU$129:AU131))</f>
        <v>213.67340319060222</v>
      </c>
      <c r="AV132" s="348"/>
      <c r="AW132" s="34">
        <f t="shared" ca="1" si="51"/>
        <v>205.51711055248782</v>
      </c>
      <c r="AX132" s="34">
        <f t="shared" ca="1" si="30"/>
        <v>1.3593821063523992</v>
      </c>
      <c r="AY132" s="34">
        <f t="shared" ca="1" si="30"/>
        <v>0</v>
      </c>
      <c r="AZ132" s="34">
        <f t="shared" ca="1" si="30"/>
        <v>213.67340319060222</v>
      </c>
      <c r="BA132" s="365"/>
      <c r="BB132" s="34">
        <f t="shared" ca="1" si="52"/>
        <v>15119.530009767012</v>
      </c>
      <c r="BC132" s="34">
        <f t="shared" ca="1" si="31"/>
        <v>20878.69522838503</v>
      </c>
      <c r="BD132" s="34">
        <f t="shared" ca="1" si="31"/>
        <v>30013.726054952323</v>
      </c>
      <c r="BE132" s="34">
        <f t="shared" ca="1" si="31"/>
        <v>0</v>
      </c>
      <c r="BF132" s="34">
        <f t="shared" ca="1" si="31"/>
        <v>0</v>
      </c>
      <c r="BG132" s="34">
        <f t="shared" ca="1" si="31"/>
        <v>0</v>
      </c>
      <c r="BH132" s="34">
        <f t="shared" ca="1" si="31"/>
        <v>0</v>
      </c>
      <c r="BI132" s="34">
        <f t="shared" ca="1" si="31"/>
        <v>0</v>
      </c>
      <c r="BJ132" s="34">
        <f t="shared" ca="1" si="31"/>
        <v>0</v>
      </c>
      <c r="BK132" s="34">
        <f t="shared" ca="1" si="31"/>
        <v>0</v>
      </c>
      <c r="BL132" s="34">
        <f t="shared" ca="1" si="31"/>
        <v>0</v>
      </c>
      <c r="BM132" s="34">
        <f t="shared" ca="1" si="31"/>
        <v>0</v>
      </c>
      <c r="BN132" s="34">
        <f t="shared" ca="1" si="31"/>
        <v>0</v>
      </c>
      <c r="BO132" s="34">
        <f t="shared" ca="1" si="31"/>
        <v>0</v>
      </c>
      <c r="BP132" s="34">
        <f t="shared" ca="1" si="31"/>
        <v>0</v>
      </c>
      <c r="BQ132" s="34">
        <f t="shared" ca="1" si="31"/>
        <v>0</v>
      </c>
      <c r="BR132" s="34">
        <f t="shared" ca="1" si="31"/>
        <v>0</v>
      </c>
      <c r="BS132" s="34">
        <f t="shared" ca="1" si="32"/>
        <v>0</v>
      </c>
      <c r="BT132" s="34">
        <f t="shared" ca="1" si="32"/>
        <v>0</v>
      </c>
      <c r="BU132" s="34">
        <f t="shared" ca="1" si="32"/>
        <v>0</v>
      </c>
      <c r="BV132" s="34">
        <f t="shared" ca="1" si="32"/>
        <v>0</v>
      </c>
      <c r="BW132" s="34">
        <f t="shared" ca="1" si="32"/>
        <v>0</v>
      </c>
      <c r="BX132" s="34">
        <f t="shared" ca="1" si="32"/>
        <v>0</v>
      </c>
      <c r="BY132" s="34">
        <f t="shared" ca="1" si="32"/>
        <v>0</v>
      </c>
      <c r="BZ132" s="34">
        <f t="shared" ca="1" si="32"/>
        <v>0</v>
      </c>
      <c r="CA132" s="34">
        <f t="shared" ca="1" si="32"/>
        <v>0</v>
      </c>
      <c r="CB132" s="34">
        <f t="shared" ca="1" si="32"/>
        <v>0</v>
      </c>
      <c r="CC132" s="34">
        <f t="shared" ca="1" si="32"/>
        <v>0</v>
      </c>
      <c r="CD132" s="34">
        <f t="shared" ca="1" si="32"/>
        <v>0</v>
      </c>
      <c r="CE132" s="34">
        <f t="shared" ca="1" si="32"/>
        <v>0</v>
      </c>
      <c r="CF132" s="34">
        <f t="shared" ca="1" si="32"/>
        <v>0</v>
      </c>
      <c r="CG132" s="34">
        <f t="shared" ca="1" si="32"/>
        <v>0</v>
      </c>
      <c r="CH132" s="34">
        <f t="shared" ca="1" si="32"/>
        <v>0</v>
      </c>
      <c r="CI132" s="34">
        <f t="shared" ca="1" si="33"/>
        <v>0</v>
      </c>
      <c r="CJ132" s="34">
        <f t="shared" ca="1" si="33"/>
        <v>0</v>
      </c>
      <c r="CK132" s="34">
        <f t="shared" ca="1" si="33"/>
        <v>0</v>
      </c>
      <c r="CL132" s="34">
        <f t="shared" ca="1" si="33"/>
        <v>0</v>
      </c>
      <c r="CM132" s="34">
        <f t="shared" ca="1" si="33"/>
        <v>0</v>
      </c>
      <c r="CN132" s="34">
        <f t="shared" ca="1" si="33"/>
        <v>0</v>
      </c>
      <c r="CO132" s="34">
        <f t="shared" ca="1" si="33"/>
        <v>0</v>
      </c>
      <c r="CP132" s="34">
        <f t="shared" ca="1" si="33"/>
        <v>0</v>
      </c>
      <c r="CQ132" s="34">
        <f t="shared" ca="1" si="53"/>
        <v>66011.951293104357</v>
      </c>
      <c r="CR132" s="363">
        <v>0</v>
      </c>
      <c r="CS132" s="34">
        <f t="shared" ca="1" si="54"/>
        <v>66011.951293104357</v>
      </c>
      <c r="CT132" s="233"/>
    </row>
    <row r="133" spans="2:98" x14ac:dyDescent="0.3">
      <c r="B133" s="232"/>
      <c r="C133" s="250">
        <f t="shared" si="55"/>
        <v>2017</v>
      </c>
      <c r="D133" s="263">
        <f t="shared" ca="1" si="34"/>
        <v>49029.200716956926</v>
      </c>
      <c r="E133" s="263">
        <f t="shared" ca="1" si="21"/>
        <v>324.30106653513707</v>
      </c>
      <c r="F133" s="263">
        <f t="shared" ca="1" si="22"/>
        <v>0</v>
      </c>
      <c r="G133" s="263">
        <f t="shared" ca="1" si="35"/>
        <v>50975.007116167748</v>
      </c>
      <c r="H133" s="15"/>
      <c r="I133" s="271">
        <f ca="1">Assumptions!O$67</f>
        <v>4.2</v>
      </c>
      <c r="J133" s="271">
        <f ca="1">Assumptions!P$67</f>
        <v>82</v>
      </c>
      <c r="K133" s="271">
        <f t="shared" ca="1" si="23"/>
        <v>41</v>
      </c>
      <c r="L133" s="15"/>
      <c r="M133" s="35">
        <f t="shared" ca="1" si="36"/>
        <v>3.948</v>
      </c>
      <c r="N133" s="35">
        <f t="shared" ca="1" si="24"/>
        <v>76.260000000000005</v>
      </c>
      <c r="O133" s="35">
        <f t="shared" ca="1" si="25"/>
        <v>38.130000000000003</v>
      </c>
      <c r="P133" s="15"/>
      <c r="Q133" s="34">
        <f t="shared" ca="1" si="37"/>
        <v>193567.28443054593</v>
      </c>
      <c r="R133" s="34">
        <f t="shared" ca="1" si="37"/>
        <v>24731.199333969555</v>
      </c>
      <c r="S133" s="34">
        <f t="shared" ca="1" si="37"/>
        <v>0</v>
      </c>
      <c r="T133" s="34">
        <f t="shared" ca="1" si="38"/>
        <v>218298.48376451549</v>
      </c>
      <c r="U133" s="15"/>
      <c r="V133" s="35">
        <f t="shared" si="39"/>
        <v>0.31</v>
      </c>
      <c r="W133" s="34">
        <f t="shared" ca="1" si="40"/>
        <v>15802.252206012001</v>
      </c>
      <c r="X133" s="35">
        <f t="shared" si="41"/>
        <v>0.37</v>
      </c>
      <c r="Y133" s="34">
        <f t="shared" ca="1" si="42"/>
        <v>18860.752632982065</v>
      </c>
      <c r="Z133" s="35">
        <f t="shared" si="43"/>
        <v>0.57999999999999996</v>
      </c>
      <c r="AA133" s="34">
        <f t="shared" ca="1" si="44"/>
        <v>29565.504127377291</v>
      </c>
      <c r="AB133" s="34">
        <f t="shared" ca="1" si="45"/>
        <v>64228.508966371359</v>
      </c>
      <c r="AC133" s="15"/>
      <c r="AD133" s="34">
        <f t="shared" ca="1" si="46"/>
        <v>154069.97479814413</v>
      </c>
      <c r="AE133" s="34">
        <f ca="1"/>
        <v>0</v>
      </c>
      <c r="AF133" s="34">
        <f t="shared" ca="1" si="47"/>
        <v>154069.97479814413</v>
      </c>
      <c r="AG133" s="15"/>
      <c r="AH133" s="272">
        <f t="shared" si="56"/>
        <v>43100</v>
      </c>
      <c r="AI133" s="267">
        <f t="shared" si="26"/>
        <v>3.666666666666667</v>
      </c>
      <c r="AJ133" s="267">
        <f t="shared" si="27"/>
        <v>0.7050612085625072</v>
      </c>
      <c r="AK133" s="34">
        <f t="shared" ca="1" si="57"/>
        <v>108628.76263437452</v>
      </c>
      <c r="AL133" s="233"/>
      <c r="AN133" s="349"/>
      <c r="AO133" s="237">
        <f t="shared" si="48"/>
        <v>4</v>
      </c>
      <c r="AP133" s="34">
        <f t="shared" ca="1" si="49"/>
        <v>174.10405258804877</v>
      </c>
      <c r="AQ133" s="34">
        <f t="shared" ca="1" si="28"/>
        <v>1.1516020884849174</v>
      </c>
      <c r="AR133" s="34">
        <f t="shared" ca="1" si="29"/>
        <v>0</v>
      </c>
      <c r="AS133" s="34">
        <f t="shared" ca="1" si="50"/>
        <v>181.01366511895827</v>
      </c>
      <c r="AT133" s="350">
        <v>-0.15284886927415386</v>
      </c>
      <c r="AU133" s="34">
        <f ca="1">MIN(AU132*(1+AT133),$AT$126-SUM(AU$129:AU132))</f>
        <v>181.01366511895827</v>
      </c>
      <c r="AV133" s="348"/>
      <c r="AW133" s="34">
        <f t="shared" ca="1" si="51"/>
        <v>174.10405258804877</v>
      </c>
      <c r="AX133" s="34">
        <f t="shared" ca="1" si="30"/>
        <v>1.1516020884849174</v>
      </c>
      <c r="AY133" s="34">
        <f t="shared" ca="1" si="30"/>
        <v>0</v>
      </c>
      <c r="AZ133" s="34">
        <f t="shared" ca="1" si="30"/>
        <v>181.01366511895827</v>
      </c>
      <c r="BA133" s="365"/>
      <c r="BB133" s="34">
        <f t="shared" ca="1" si="52"/>
        <v>12808.526943817486</v>
      </c>
      <c r="BC133" s="34">
        <f t="shared" ca="1" si="31"/>
        <v>16730.627469824154</v>
      </c>
      <c r="BD133" s="34">
        <f t="shared" ca="1" si="31"/>
        <v>21435.85270252611</v>
      </c>
      <c r="BE133" s="34">
        <f t="shared" ca="1" si="31"/>
        <v>0</v>
      </c>
      <c r="BF133" s="34">
        <f t="shared" ca="1" si="31"/>
        <v>0</v>
      </c>
      <c r="BG133" s="34">
        <f t="shared" ca="1" si="31"/>
        <v>0</v>
      </c>
      <c r="BH133" s="34">
        <f t="shared" ca="1" si="31"/>
        <v>0</v>
      </c>
      <c r="BI133" s="34">
        <f t="shared" ca="1" si="31"/>
        <v>0</v>
      </c>
      <c r="BJ133" s="34">
        <f t="shared" ca="1" si="31"/>
        <v>0</v>
      </c>
      <c r="BK133" s="34">
        <f t="shared" ca="1" si="31"/>
        <v>0</v>
      </c>
      <c r="BL133" s="34">
        <f t="shared" ca="1" si="31"/>
        <v>0</v>
      </c>
      <c r="BM133" s="34">
        <f t="shared" ca="1" si="31"/>
        <v>0</v>
      </c>
      <c r="BN133" s="34">
        <f t="shared" ca="1" si="31"/>
        <v>0</v>
      </c>
      <c r="BO133" s="34">
        <f t="shared" ca="1" si="31"/>
        <v>0</v>
      </c>
      <c r="BP133" s="34">
        <f t="shared" ca="1" si="31"/>
        <v>0</v>
      </c>
      <c r="BQ133" s="34">
        <f t="shared" ca="1" si="31"/>
        <v>0</v>
      </c>
      <c r="BR133" s="34">
        <f t="shared" ca="1" si="31"/>
        <v>0</v>
      </c>
      <c r="BS133" s="34">
        <f t="shared" ca="1" si="32"/>
        <v>0</v>
      </c>
      <c r="BT133" s="34">
        <f t="shared" ca="1" si="32"/>
        <v>0</v>
      </c>
      <c r="BU133" s="34">
        <f t="shared" ca="1" si="32"/>
        <v>0</v>
      </c>
      <c r="BV133" s="34">
        <f t="shared" ca="1" si="32"/>
        <v>0</v>
      </c>
      <c r="BW133" s="34">
        <f t="shared" ca="1" si="32"/>
        <v>0</v>
      </c>
      <c r="BX133" s="34">
        <f t="shared" ca="1" si="32"/>
        <v>0</v>
      </c>
      <c r="BY133" s="34">
        <f t="shared" ca="1" si="32"/>
        <v>0</v>
      </c>
      <c r="BZ133" s="34">
        <f t="shared" ca="1" si="32"/>
        <v>0</v>
      </c>
      <c r="CA133" s="34">
        <f t="shared" ca="1" si="32"/>
        <v>0</v>
      </c>
      <c r="CB133" s="34">
        <f t="shared" ca="1" si="32"/>
        <v>0</v>
      </c>
      <c r="CC133" s="34">
        <f t="shared" ca="1" si="32"/>
        <v>0</v>
      </c>
      <c r="CD133" s="34">
        <f t="shared" ca="1" si="32"/>
        <v>0</v>
      </c>
      <c r="CE133" s="34">
        <f t="shared" ca="1" si="32"/>
        <v>0</v>
      </c>
      <c r="CF133" s="34">
        <f t="shared" ca="1" si="32"/>
        <v>0</v>
      </c>
      <c r="CG133" s="34">
        <f t="shared" ca="1" si="32"/>
        <v>0</v>
      </c>
      <c r="CH133" s="34">
        <f t="shared" ca="1" si="32"/>
        <v>0</v>
      </c>
      <c r="CI133" s="34">
        <f t="shared" ca="1" si="33"/>
        <v>0</v>
      </c>
      <c r="CJ133" s="34">
        <f t="shared" ca="1" si="33"/>
        <v>0</v>
      </c>
      <c r="CK133" s="34">
        <f t="shared" ca="1" si="33"/>
        <v>0</v>
      </c>
      <c r="CL133" s="34">
        <f t="shared" ca="1" si="33"/>
        <v>0</v>
      </c>
      <c r="CM133" s="34">
        <f t="shared" ca="1" si="33"/>
        <v>0</v>
      </c>
      <c r="CN133" s="34">
        <f t="shared" ca="1" si="33"/>
        <v>0</v>
      </c>
      <c r="CO133" s="34">
        <f t="shared" ca="1" si="33"/>
        <v>0</v>
      </c>
      <c r="CP133" s="34">
        <f t="shared" ca="1" si="33"/>
        <v>0</v>
      </c>
      <c r="CQ133" s="34">
        <f t="shared" ca="1" si="53"/>
        <v>50975.007116167748</v>
      </c>
      <c r="CR133" s="363">
        <v>0</v>
      </c>
      <c r="CS133" s="34">
        <f t="shared" ca="1" si="54"/>
        <v>50975.007116167748</v>
      </c>
      <c r="CT133" s="233"/>
    </row>
    <row r="134" spans="2:98" x14ac:dyDescent="0.3">
      <c r="B134" s="232"/>
      <c r="C134" s="250">
        <f t="shared" si="55"/>
        <v>2018</v>
      </c>
      <c r="D134" s="263">
        <f t="shared" ca="1" si="34"/>
        <v>40941.467135402287</v>
      </c>
      <c r="E134" s="263">
        <f t="shared" ca="1" si="21"/>
        <v>270.80517861536748</v>
      </c>
      <c r="F134" s="263">
        <f t="shared" ca="1" si="22"/>
        <v>0</v>
      </c>
      <c r="G134" s="263">
        <f t="shared" ca="1" si="35"/>
        <v>42566.298207094493</v>
      </c>
      <c r="H134" s="15"/>
      <c r="I134" s="271">
        <f ca="1">Assumptions!O$68</f>
        <v>4.5</v>
      </c>
      <c r="J134" s="271">
        <f ca="1">Assumptions!P$68</f>
        <v>80</v>
      </c>
      <c r="K134" s="271">
        <f t="shared" ca="1" si="23"/>
        <v>40</v>
      </c>
      <c r="L134" s="15"/>
      <c r="M134" s="35">
        <f t="shared" ca="1" si="36"/>
        <v>4.2299999999999995</v>
      </c>
      <c r="N134" s="35">
        <f t="shared" ca="1" si="24"/>
        <v>74.400000000000006</v>
      </c>
      <c r="O134" s="35">
        <f t="shared" ca="1" si="25"/>
        <v>37.200000000000003</v>
      </c>
      <c r="P134" s="15"/>
      <c r="Q134" s="34">
        <f t="shared" ca="1" si="37"/>
        <v>173182.40598275166</v>
      </c>
      <c r="R134" s="34">
        <f t="shared" ca="1" si="37"/>
        <v>20147.905288983344</v>
      </c>
      <c r="S134" s="34">
        <f t="shared" ca="1" si="37"/>
        <v>0</v>
      </c>
      <c r="T134" s="34">
        <f t="shared" ca="1" si="38"/>
        <v>193330.311271735</v>
      </c>
      <c r="U134" s="15"/>
      <c r="V134" s="35">
        <f t="shared" si="39"/>
        <v>0.31</v>
      </c>
      <c r="W134" s="34">
        <f t="shared" ca="1" si="40"/>
        <v>13195.552444199293</v>
      </c>
      <c r="X134" s="35">
        <f t="shared" si="41"/>
        <v>0.37</v>
      </c>
      <c r="Y134" s="34">
        <f t="shared" ca="1" si="42"/>
        <v>15749.530336624963</v>
      </c>
      <c r="Z134" s="35">
        <f t="shared" si="43"/>
        <v>0.57999999999999996</v>
      </c>
      <c r="AA134" s="34">
        <f t="shared" ca="1" si="44"/>
        <v>24688.452960114802</v>
      </c>
      <c r="AB134" s="34">
        <f t="shared" ca="1" si="45"/>
        <v>53633.535740939056</v>
      </c>
      <c r="AC134" s="15"/>
      <c r="AD134" s="34">
        <f t="shared" ca="1" si="46"/>
        <v>139696.77553079595</v>
      </c>
      <c r="AE134" s="34">
        <f ca="1"/>
        <v>0</v>
      </c>
      <c r="AF134" s="34">
        <f t="shared" ca="1" si="47"/>
        <v>139696.77553079595</v>
      </c>
      <c r="AG134" s="15"/>
      <c r="AH134" s="272">
        <f t="shared" si="56"/>
        <v>43465</v>
      </c>
      <c r="AI134" s="267">
        <f t="shared" si="26"/>
        <v>4.666666666666667</v>
      </c>
      <c r="AJ134" s="267">
        <f t="shared" si="27"/>
        <v>0.64096473505682472</v>
      </c>
      <c r="AK134" s="34">
        <f t="shared" ca="1" si="57"/>
        <v>89540.706716389337</v>
      </c>
      <c r="AL134" s="233"/>
      <c r="AN134" s="349"/>
      <c r="AO134" s="237">
        <f t="shared" si="48"/>
        <v>5</v>
      </c>
      <c r="AP134" s="34">
        <f t="shared" ca="1" si="49"/>
        <v>152.45488975460211</v>
      </c>
      <c r="AQ134" s="34">
        <f t="shared" ca="1" si="28"/>
        <v>1.0084048408485426</v>
      </c>
      <c r="AR134" s="34">
        <f t="shared" ca="1" si="29"/>
        <v>0</v>
      </c>
      <c r="AS134" s="34">
        <f t="shared" ca="1" si="50"/>
        <v>158.50531879969336</v>
      </c>
      <c r="AT134" s="350">
        <v>-0.12434611665629169</v>
      </c>
      <c r="AU134" s="34">
        <f ca="1">MIN(AU133*(1+AT134),$AT$126-SUM(AU$129:AU133))</f>
        <v>158.50531879969336</v>
      </c>
      <c r="AV134" s="348"/>
      <c r="AW134" s="34">
        <f t="shared" ca="1" si="51"/>
        <v>152.45488975460211</v>
      </c>
      <c r="AX134" s="34">
        <f t="shared" ca="1" si="30"/>
        <v>1.0084048408485426</v>
      </c>
      <c r="AY134" s="34">
        <f t="shared" ca="1" si="30"/>
        <v>0</v>
      </c>
      <c r="AZ134" s="34">
        <f t="shared" ca="1" si="30"/>
        <v>158.50531879969336</v>
      </c>
      <c r="BA134" s="365"/>
      <c r="BB134" s="34">
        <f t="shared" ca="1" si="52"/>
        <v>11215.836358266301</v>
      </c>
      <c r="BC134" s="34">
        <f t="shared" ca="1" si="31"/>
        <v>14173.369978814431</v>
      </c>
      <c r="BD134" s="34">
        <f t="shared" ca="1" si="31"/>
        <v>17177.091870013763</v>
      </c>
      <c r="BE134" s="34">
        <f t="shared" ca="1" si="31"/>
        <v>0</v>
      </c>
      <c r="BF134" s="34">
        <f t="shared" ca="1" si="31"/>
        <v>0</v>
      </c>
      <c r="BG134" s="34">
        <f t="shared" ca="1" si="31"/>
        <v>0</v>
      </c>
      <c r="BH134" s="34">
        <f t="shared" ca="1" si="31"/>
        <v>0</v>
      </c>
      <c r="BI134" s="34">
        <f t="shared" ca="1" si="31"/>
        <v>0</v>
      </c>
      <c r="BJ134" s="34">
        <f t="shared" ca="1" si="31"/>
        <v>0</v>
      </c>
      <c r="BK134" s="34">
        <f t="shared" ca="1" si="31"/>
        <v>0</v>
      </c>
      <c r="BL134" s="34">
        <f t="shared" ca="1" si="31"/>
        <v>0</v>
      </c>
      <c r="BM134" s="34">
        <f t="shared" ca="1" si="31"/>
        <v>0</v>
      </c>
      <c r="BN134" s="34">
        <f t="shared" ca="1" si="31"/>
        <v>0</v>
      </c>
      <c r="BO134" s="34">
        <f t="shared" ca="1" si="31"/>
        <v>0</v>
      </c>
      <c r="BP134" s="34">
        <f t="shared" ca="1" si="31"/>
        <v>0</v>
      </c>
      <c r="BQ134" s="34">
        <f t="shared" ca="1" si="31"/>
        <v>0</v>
      </c>
      <c r="BR134" s="34">
        <f t="shared" ca="1" si="31"/>
        <v>0</v>
      </c>
      <c r="BS134" s="34">
        <f t="shared" ca="1" si="32"/>
        <v>0</v>
      </c>
      <c r="BT134" s="34">
        <f t="shared" ca="1" si="32"/>
        <v>0</v>
      </c>
      <c r="BU134" s="34">
        <f t="shared" ca="1" si="32"/>
        <v>0</v>
      </c>
      <c r="BV134" s="34">
        <f t="shared" ca="1" si="32"/>
        <v>0</v>
      </c>
      <c r="BW134" s="34">
        <f t="shared" ca="1" si="32"/>
        <v>0</v>
      </c>
      <c r="BX134" s="34">
        <f t="shared" ca="1" si="32"/>
        <v>0</v>
      </c>
      <c r="BY134" s="34">
        <f t="shared" ca="1" si="32"/>
        <v>0</v>
      </c>
      <c r="BZ134" s="34">
        <f t="shared" ca="1" si="32"/>
        <v>0</v>
      </c>
      <c r="CA134" s="34">
        <f t="shared" ca="1" si="32"/>
        <v>0</v>
      </c>
      <c r="CB134" s="34">
        <f t="shared" ca="1" si="32"/>
        <v>0</v>
      </c>
      <c r="CC134" s="34">
        <f t="shared" ca="1" si="32"/>
        <v>0</v>
      </c>
      <c r="CD134" s="34">
        <f t="shared" ca="1" si="32"/>
        <v>0</v>
      </c>
      <c r="CE134" s="34">
        <f t="shared" ca="1" si="32"/>
        <v>0</v>
      </c>
      <c r="CF134" s="34">
        <f t="shared" ca="1" si="32"/>
        <v>0</v>
      </c>
      <c r="CG134" s="34">
        <f t="shared" ca="1" si="32"/>
        <v>0</v>
      </c>
      <c r="CH134" s="34">
        <f t="shared" ca="1" si="32"/>
        <v>0</v>
      </c>
      <c r="CI134" s="34">
        <f t="shared" ca="1" si="33"/>
        <v>0</v>
      </c>
      <c r="CJ134" s="34">
        <f t="shared" ca="1" si="33"/>
        <v>0</v>
      </c>
      <c r="CK134" s="34">
        <f t="shared" ca="1" si="33"/>
        <v>0</v>
      </c>
      <c r="CL134" s="34">
        <f t="shared" ca="1" si="33"/>
        <v>0</v>
      </c>
      <c r="CM134" s="34">
        <f t="shared" ca="1" si="33"/>
        <v>0</v>
      </c>
      <c r="CN134" s="34">
        <f t="shared" ca="1" si="33"/>
        <v>0</v>
      </c>
      <c r="CO134" s="34">
        <f t="shared" ca="1" si="33"/>
        <v>0</v>
      </c>
      <c r="CP134" s="34">
        <f t="shared" ca="1" si="33"/>
        <v>0</v>
      </c>
      <c r="CQ134" s="34">
        <f t="shared" ca="1" si="53"/>
        <v>42566.298207094493</v>
      </c>
      <c r="CR134" s="363">
        <v>0</v>
      </c>
      <c r="CS134" s="34">
        <f t="shared" ca="1" si="54"/>
        <v>42566.298207094493</v>
      </c>
      <c r="CT134" s="233"/>
    </row>
    <row r="135" spans="2:98" x14ac:dyDescent="0.3">
      <c r="B135" s="232"/>
      <c r="C135" s="250">
        <f t="shared" si="55"/>
        <v>2019</v>
      </c>
      <c r="D135" s="263">
        <f t="shared" ca="1" si="34"/>
        <v>35589.932133788403</v>
      </c>
      <c r="E135" s="263">
        <f t="shared" ca="1" si="21"/>
        <v>235.40773212949674</v>
      </c>
      <c r="F135" s="263">
        <f t="shared" ca="1" si="22"/>
        <v>0</v>
      </c>
      <c r="G135" s="263">
        <f t="shared" ca="1" si="35"/>
        <v>37002.378526565386</v>
      </c>
      <c r="H135" s="15"/>
      <c r="I135" s="271">
        <f ca="1">Assumptions!O$68</f>
        <v>4.5</v>
      </c>
      <c r="J135" s="271">
        <f ca="1">Assumptions!P$68</f>
        <v>80</v>
      </c>
      <c r="K135" s="271">
        <f t="shared" ca="1" si="23"/>
        <v>40</v>
      </c>
      <c r="L135" s="15"/>
      <c r="M135" s="35">
        <f t="shared" ca="1" si="36"/>
        <v>4.2299999999999995</v>
      </c>
      <c r="N135" s="35">
        <f t="shared" ca="1" si="24"/>
        <v>74.400000000000006</v>
      </c>
      <c r="O135" s="35">
        <f t="shared" ca="1" si="25"/>
        <v>37.200000000000003</v>
      </c>
      <c r="P135" s="15"/>
      <c r="Q135" s="34">
        <f t="shared" ca="1" si="37"/>
        <v>150545.41292592493</v>
      </c>
      <c r="R135" s="34">
        <f t="shared" ca="1" si="37"/>
        <v>17514.33527043456</v>
      </c>
      <c r="S135" s="34">
        <f t="shared" ca="1" si="37"/>
        <v>0</v>
      </c>
      <c r="T135" s="34">
        <f t="shared" ca="1" si="38"/>
        <v>168059.74819635949</v>
      </c>
      <c r="U135" s="15"/>
      <c r="V135" s="35">
        <f t="shared" si="39"/>
        <v>0.31</v>
      </c>
      <c r="W135" s="34">
        <f t="shared" ca="1" si="40"/>
        <v>11470.737343235269</v>
      </c>
      <c r="X135" s="35">
        <f t="shared" si="41"/>
        <v>0.37</v>
      </c>
      <c r="Y135" s="34">
        <f t="shared" ca="1" si="42"/>
        <v>13690.880054829193</v>
      </c>
      <c r="Z135" s="35">
        <f t="shared" si="43"/>
        <v>0.57999999999999996</v>
      </c>
      <c r="AA135" s="34">
        <f t="shared" ca="1" si="44"/>
        <v>21461.379545407923</v>
      </c>
      <c r="AB135" s="34">
        <f t="shared" ca="1" si="45"/>
        <v>46622.996943472383</v>
      </c>
      <c r="AC135" s="15"/>
      <c r="AD135" s="34">
        <f t="shared" ca="1" si="46"/>
        <v>121436.7512528871</v>
      </c>
      <c r="AE135" s="34">
        <f ca="1"/>
        <v>0</v>
      </c>
      <c r="AF135" s="34">
        <f t="shared" ca="1" si="47"/>
        <v>121436.7512528871</v>
      </c>
      <c r="AG135" s="15"/>
      <c r="AH135" s="272">
        <f t="shared" si="56"/>
        <v>43830</v>
      </c>
      <c r="AI135" s="267">
        <f t="shared" si="26"/>
        <v>5.666666666666667</v>
      </c>
      <c r="AJ135" s="267">
        <f t="shared" si="27"/>
        <v>0.58269521368802246</v>
      </c>
      <c r="AK135" s="34">
        <f t="shared" ca="1" si="57"/>
        <v>70760.613720880283</v>
      </c>
      <c r="AL135" s="233"/>
      <c r="AN135" s="349"/>
      <c r="AO135" s="237">
        <f t="shared" si="48"/>
        <v>6</v>
      </c>
      <c r="AP135" s="34">
        <f t="shared" ca="1" si="49"/>
        <v>136.46949636213967</v>
      </c>
      <c r="AQ135" s="34">
        <f t="shared" ca="1" si="28"/>
        <v>0.90267029795671105</v>
      </c>
      <c r="AR135" s="34">
        <f t="shared" ca="1" si="29"/>
        <v>0</v>
      </c>
      <c r="AS135" s="34">
        <f t="shared" ca="1" si="50"/>
        <v>141.88551814987994</v>
      </c>
      <c r="AT135" s="350">
        <v>-0.10485326786299347</v>
      </c>
      <c r="AU135" s="34">
        <f ca="1">MIN(AU134*(1+AT135),$AT$126-SUM(AU$129:AU134))</f>
        <v>141.88551814987994</v>
      </c>
      <c r="AV135" s="348"/>
      <c r="AW135" s="34">
        <f t="shared" ca="1" si="51"/>
        <v>136.46949636213967</v>
      </c>
      <c r="AX135" s="34">
        <f t="shared" ca="1" si="30"/>
        <v>0.90267029795671105</v>
      </c>
      <c r="AY135" s="34">
        <f t="shared" ca="1" si="30"/>
        <v>0</v>
      </c>
      <c r="AZ135" s="34">
        <f t="shared" ca="1" si="30"/>
        <v>141.88551814987994</v>
      </c>
      <c r="BA135" s="365"/>
      <c r="BB135" s="34">
        <f t="shared" ca="1" si="52"/>
        <v>10039.819264285503</v>
      </c>
      <c r="BC135" s="34">
        <f t="shared" ca="1" si="31"/>
        <v>12410.966462015989</v>
      </c>
      <c r="BD135" s="34">
        <f t="shared" ca="1" si="31"/>
        <v>14551.592800263896</v>
      </c>
      <c r="BE135" s="34">
        <f t="shared" ca="1" si="31"/>
        <v>0</v>
      </c>
      <c r="BF135" s="34">
        <f t="shared" ca="1" si="31"/>
        <v>0</v>
      </c>
      <c r="BG135" s="34">
        <f t="shared" ca="1" si="31"/>
        <v>0</v>
      </c>
      <c r="BH135" s="34">
        <f t="shared" ca="1" si="31"/>
        <v>0</v>
      </c>
      <c r="BI135" s="34">
        <f t="shared" ca="1" si="31"/>
        <v>0</v>
      </c>
      <c r="BJ135" s="34">
        <f t="shared" ca="1" si="31"/>
        <v>0</v>
      </c>
      <c r="BK135" s="34">
        <f t="shared" ca="1" si="31"/>
        <v>0</v>
      </c>
      <c r="BL135" s="34">
        <f t="shared" ca="1" si="31"/>
        <v>0</v>
      </c>
      <c r="BM135" s="34">
        <f t="shared" ca="1" si="31"/>
        <v>0</v>
      </c>
      <c r="BN135" s="34">
        <f t="shared" ca="1" si="31"/>
        <v>0</v>
      </c>
      <c r="BO135" s="34">
        <f t="shared" ca="1" si="31"/>
        <v>0</v>
      </c>
      <c r="BP135" s="34">
        <f t="shared" ca="1" si="31"/>
        <v>0</v>
      </c>
      <c r="BQ135" s="34">
        <f t="shared" ca="1" si="31"/>
        <v>0</v>
      </c>
      <c r="BR135" s="34">
        <f t="shared" ca="1" si="31"/>
        <v>0</v>
      </c>
      <c r="BS135" s="34">
        <f t="shared" ca="1" si="32"/>
        <v>0</v>
      </c>
      <c r="BT135" s="34">
        <f t="shared" ca="1" si="32"/>
        <v>0</v>
      </c>
      <c r="BU135" s="34">
        <f t="shared" ca="1" si="32"/>
        <v>0</v>
      </c>
      <c r="BV135" s="34">
        <f t="shared" ca="1" si="32"/>
        <v>0</v>
      </c>
      <c r="BW135" s="34">
        <f t="shared" ca="1" si="32"/>
        <v>0</v>
      </c>
      <c r="BX135" s="34">
        <f t="shared" ca="1" si="32"/>
        <v>0</v>
      </c>
      <c r="BY135" s="34">
        <f t="shared" ca="1" si="32"/>
        <v>0</v>
      </c>
      <c r="BZ135" s="34">
        <f t="shared" ca="1" si="32"/>
        <v>0</v>
      </c>
      <c r="CA135" s="34">
        <f t="shared" ca="1" si="32"/>
        <v>0</v>
      </c>
      <c r="CB135" s="34">
        <f t="shared" ca="1" si="32"/>
        <v>0</v>
      </c>
      <c r="CC135" s="34">
        <f t="shared" ca="1" si="32"/>
        <v>0</v>
      </c>
      <c r="CD135" s="34">
        <f t="shared" ca="1" si="32"/>
        <v>0</v>
      </c>
      <c r="CE135" s="34">
        <f t="shared" ca="1" si="32"/>
        <v>0</v>
      </c>
      <c r="CF135" s="34">
        <f t="shared" ca="1" si="32"/>
        <v>0</v>
      </c>
      <c r="CG135" s="34">
        <f t="shared" ca="1" si="32"/>
        <v>0</v>
      </c>
      <c r="CH135" s="34">
        <f t="shared" ca="1" si="32"/>
        <v>0</v>
      </c>
      <c r="CI135" s="34">
        <f t="shared" ca="1" si="33"/>
        <v>0</v>
      </c>
      <c r="CJ135" s="34">
        <f t="shared" ca="1" si="33"/>
        <v>0</v>
      </c>
      <c r="CK135" s="34">
        <f t="shared" ca="1" si="33"/>
        <v>0</v>
      </c>
      <c r="CL135" s="34">
        <f t="shared" ca="1" si="33"/>
        <v>0</v>
      </c>
      <c r="CM135" s="34">
        <f t="shared" ca="1" si="33"/>
        <v>0</v>
      </c>
      <c r="CN135" s="34">
        <f t="shared" ca="1" si="33"/>
        <v>0</v>
      </c>
      <c r="CO135" s="34">
        <f t="shared" ca="1" si="33"/>
        <v>0</v>
      </c>
      <c r="CP135" s="34">
        <f t="shared" ca="1" si="33"/>
        <v>0</v>
      </c>
      <c r="CQ135" s="34">
        <f t="shared" ca="1" si="53"/>
        <v>37002.378526565386</v>
      </c>
      <c r="CR135" s="363">
        <v>0</v>
      </c>
      <c r="CS135" s="34">
        <f t="shared" ca="1" si="54"/>
        <v>37002.378526565386</v>
      </c>
      <c r="CT135" s="233"/>
    </row>
    <row r="136" spans="2:98" x14ac:dyDescent="0.3">
      <c r="B136" s="232"/>
      <c r="C136" s="250">
        <f t="shared" si="55"/>
        <v>2020</v>
      </c>
      <c r="D136" s="263">
        <f t="shared" ca="1" si="34"/>
        <v>31722.397223828695</v>
      </c>
      <c r="E136" s="263">
        <f t="shared" ca="1" si="21"/>
        <v>209.82612611061617</v>
      </c>
      <c r="F136" s="263">
        <f t="shared" ca="1" si="22"/>
        <v>0</v>
      </c>
      <c r="G136" s="263">
        <f t="shared" ca="1" si="35"/>
        <v>32981.353980492393</v>
      </c>
      <c r="H136" s="15"/>
      <c r="I136" s="271">
        <f ca="1">Assumptions!O$68</f>
        <v>4.5</v>
      </c>
      <c r="J136" s="271">
        <f ca="1">Assumptions!P$68</f>
        <v>80</v>
      </c>
      <c r="K136" s="271">
        <f t="shared" ca="1" si="23"/>
        <v>40</v>
      </c>
      <c r="L136" s="15"/>
      <c r="M136" s="35">
        <f t="shared" ca="1" si="36"/>
        <v>4.2299999999999995</v>
      </c>
      <c r="N136" s="35">
        <f t="shared" ca="1" si="24"/>
        <v>74.400000000000006</v>
      </c>
      <c r="O136" s="35">
        <f t="shared" ca="1" si="25"/>
        <v>37.200000000000003</v>
      </c>
      <c r="P136" s="15"/>
      <c r="Q136" s="34">
        <f t="shared" ca="1" si="37"/>
        <v>134185.74025679537</v>
      </c>
      <c r="R136" s="34">
        <f t="shared" ca="1" si="37"/>
        <v>15611.063782629844</v>
      </c>
      <c r="S136" s="34">
        <f t="shared" ca="1" si="37"/>
        <v>0</v>
      </c>
      <c r="T136" s="34">
        <f t="shared" ca="1" si="38"/>
        <v>149796.80403942522</v>
      </c>
      <c r="U136" s="15"/>
      <c r="V136" s="35">
        <f t="shared" si="39"/>
        <v>0.31</v>
      </c>
      <c r="W136" s="34">
        <f t="shared" ca="1" si="40"/>
        <v>10224.219733952641</v>
      </c>
      <c r="X136" s="35">
        <f t="shared" si="41"/>
        <v>0.37</v>
      </c>
      <c r="Y136" s="34">
        <f t="shared" ca="1" si="42"/>
        <v>12203.100972782186</v>
      </c>
      <c r="Z136" s="35">
        <f t="shared" si="43"/>
        <v>0.57999999999999996</v>
      </c>
      <c r="AA136" s="34">
        <f t="shared" ca="1" si="44"/>
        <v>19129.185308685588</v>
      </c>
      <c r="AB136" s="34">
        <f t="shared" ca="1" si="45"/>
        <v>41556.506015420411</v>
      </c>
      <c r="AC136" s="15"/>
      <c r="AD136" s="34">
        <f t="shared" ca="1" si="46"/>
        <v>108240.29802400481</v>
      </c>
      <c r="AE136" s="34">
        <f ca="1"/>
        <v>0</v>
      </c>
      <c r="AF136" s="34">
        <f t="shared" ca="1" si="47"/>
        <v>108240.29802400481</v>
      </c>
      <c r="AG136" s="15"/>
      <c r="AH136" s="272">
        <f t="shared" si="56"/>
        <v>44196</v>
      </c>
      <c r="AI136" s="267">
        <f t="shared" si="26"/>
        <v>6.666666666666667</v>
      </c>
      <c r="AJ136" s="267">
        <f t="shared" si="27"/>
        <v>0.52972292153456579</v>
      </c>
      <c r="AK136" s="34">
        <f t="shared" ca="1" si="57"/>
        <v>57337.366897047912</v>
      </c>
      <c r="AL136" s="233"/>
      <c r="AN136" s="349"/>
      <c r="AO136" s="237">
        <f t="shared" si="48"/>
        <v>7</v>
      </c>
      <c r="AP136" s="34">
        <f t="shared" ca="1" si="49"/>
        <v>124.09649102785842</v>
      </c>
      <c r="AQ136" s="34">
        <f t="shared" ca="1" si="28"/>
        <v>0.82082970566729641</v>
      </c>
      <c r="AR136" s="34">
        <f t="shared" ca="1" si="29"/>
        <v>0</v>
      </c>
      <c r="AS136" s="34">
        <f t="shared" ca="1" si="50"/>
        <v>129.02146926186219</v>
      </c>
      <c r="AT136" s="350">
        <v>-9.0664988617294245E-2</v>
      </c>
      <c r="AU136" s="34">
        <f ca="1">MIN(AU135*(1+AT136),$AT$126-SUM(AU$129:AU135))</f>
        <v>129.02146926186219</v>
      </c>
      <c r="AV136" s="348"/>
      <c r="AW136" s="34">
        <f t="shared" ca="1" si="51"/>
        <v>124.09649102785842</v>
      </c>
      <c r="AX136" s="34">
        <f t="shared" ca="1" si="30"/>
        <v>0.82082970566729641</v>
      </c>
      <c r="AY136" s="34">
        <f t="shared" ca="1" si="30"/>
        <v>0</v>
      </c>
      <c r="AZ136" s="34">
        <f t="shared" ca="1" si="30"/>
        <v>129.02146926186219</v>
      </c>
      <c r="BA136" s="365"/>
      <c r="BB136" s="34">
        <f t="shared" ca="1" si="52"/>
        <v>9129.559164969367</v>
      </c>
      <c r="BC136" s="34">
        <f t="shared" ca="1" si="31"/>
        <v>11109.636071135599</v>
      </c>
      <c r="BD136" s="34">
        <f t="shared" ca="1" si="31"/>
        <v>12742.158744387427</v>
      </c>
      <c r="BE136" s="34">
        <f t="shared" ca="1" si="31"/>
        <v>0</v>
      </c>
      <c r="BF136" s="34">
        <f t="shared" ca="1" si="31"/>
        <v>0</v>
      </c>
      <c r="BG136" s="34">
        <f t="shared" ca="1" si="31"/>
        <v>0</v>
      </c>
      <c r="BH136" s="34">
        <f t="shared" ca="1" si="31"/>
        <v>0</v>
      </c>
      <c r="BI136" s="34">
        <f t="shared" ca="1" si="31"/>
        <v>0</v>
      </c>
      <c r="BJ136" s="34">
        <f t="shared" ca="1" si="31"/>
        <v>0</v>
      </c>
      <c r="BK136" s="34">
        <f t="shared" ca="1" si="31"/>
        <v>0</v>
      </c>
      <c r="BL136" s="34">
        <f t="shared" ca="1" si="31"/>
        <v>0</v>
      </c>
      <c r="BM136" s="34">
        <f t="shared" ca="1" si="31"/>
        <v>0</v>
      </c>
      <c r="BN136" s="34">
        <f t="shared" ca="1" si="31"/>
        <v>0</v>
      </c>
      <c r="BO136" s="34">
        <f t="shared" ca="1" si="31"/>
        <v>0</v>
      </c>
      <c r="BP136" s="34">
        <f t="shared" ca="1" si="31"/>
        <v>0</v>
      </c>
      <c r="BQ136" s="34">
        <f t="shared" ca="1" si="31"/>
        <v>0</v>
      </c>
      <c r="BR136" s="34">
        <f t="shared" ca="1" si="31"/>
        <v>0</v>
      </c>
      <c r="BS136" s="34">
        <f t="shared" ca="1" si="32"/>
        <v>0</v>
      </c>
      <c r="BT136" s="34">
        <f t="shared" ca="1" si="32"/>
        <v>0</v>
      </c>
      <c r="BU136" s="34">
        <f t="shared" ca="1" si="32"/>
        <v>0</v>
      </c>
      <c r="BV136" s="34">
        <f t="shared" ca="1" si="32"/>
        <v>0</v>
      </c>
      <c r="BW136" s="34">
        <f t="shared" ca="1" si="32"/>
        <v>0</v>
      </c>
      <c r="BX136" s="34">
        <f t="shared" ca="1" si="32"/>
        <v>0</v>
      </c>
      <c r="BY136" s="34">
        <f t="shared" ca="1" si="32"/>
        <v>0</v>
      </c>
      <c r="BZ136" s="34">
        <f t="shared" ca="1" si="32"/>
        <v>0</v>
      </c>
      <c r="CA136" s="34">
        <f t="shared" ca="1" si="32"/>
        <v>0</v>
      </c>
      <c r="CB136" s="34">
        <f t="shared" ca="1" si="32"/>
        <v>0</v>
      </c>
      <c r="CC136" s="34">
        <f t="shared" ca="1" si="32"/>
        <v>0</v>
      </c>
      <c r="CD136" s="34">
        <f t="shared" ca="1" si="32"/>
        <v>0</v>
      </c>
      <c r="CE136" s="34">
        <f t="shared" ca="1" si="32"/>
        <v>0</v>
      </c>
      <c r="CF136" s="34">
        <f t="shared" ca="1" si="32"/>
        <v>0</v>
      </c>
      <c r="CG136" s="34">
        <f t="shared" ca="1" si="32"/>
        <v>0</v>
      </c>
      <c r="CH136" s="34">
        <f t="shared" ca="1" si="32"/>
        <v>0</v>
      </c>
      <c r="CI136" s="34">
        <f t="shared" ca="1" si="33"/>
        <v>0</v>
      </c>
      <c r="CJ136" s="34">
        <f t="shared" ca="1" si="33"/>
        <v>0</v>
      </c>
      <c r="CK136" s="34">
        <f t="shared" ca="1" si="33"/>
        <v>0</v>
      </c>
      <c r="CL136" s="34">
        <f t="shared" ca="1" si="33"/>
        <v>0</v>
      </c>
      <c r="CM136" s="34">
        <f t="shared" ca="1" si="33"/>
        <v>0</v>
      </c>
      <c r="CN136" s="34">
        <f t="shared" ca="1" si="33"/>
        <v>0</v>
      </c>
      <c r="CO136" s="34">
        <f t="shared" ca="1" si="33"/>
        <v>0</v>
      </c>
      <c r="CP136" s="34">
        <f t="shared" ca="1" si="33"/>
        <v>0</v>
      </c>
      <c r="CQ136" s="34">
        <f t="shared" ca="1" si="53"/>
        <v>32981.353980492393</v>
      </c>
      <c r="CR136" s="363">
        <v>0</v>
      </c>
      <c r="CS136" s="34">
        <f t="shared" ca="1" si="54"/>
        <v>32981.353980492393</v>
      </c>
      <c r="CT136" s="233"/>
    </row>
    <row r="137" spans="2:98" x14ac:dyDescent="0.3">
      <c r="B137" s="232"/>
      <c r="C137" s="250">
        <f t="shared" si="55"/>
        <v>2021</v>
      </c>
      <c r="D137" s="263">
        <f t="shared" ca="1" si="34"/>
        <v>28767.197133775655</v>
      </c>
      <c r="E137" s="263">
        <f t="shared" ca="1" si="21"/>
        <v>190.27911071949077</v>
      </c>
      <c r="F137" s="263">
        <f t="shared" ca="1" si="22"/>
        <v>0</v>
      </c>
      <c r="G137" s="263">
        <f t="shared" ca="1" si="35"/>
        <v>29908.871798092601</v>
      </c>
      <c r="H137" s="15"/>
      <c r="I137" s="271">
        <f ca="1">Assumptions!O$68</f>
        <v>4.5</v>
      </c>
      <c r="J137" s="271">
        <f ca="1">Assumptions!P$68</f>
        <v>80</v>
      </c>
      <c r="K137" s="271">
        <f t="shared" ca="1" si="23"/>
        <v>40</v>
      </c>
      <c r="L137" s="15"/>
      <c r="M137" s="35">
        <f t="shared" ca="1" si="36"/>
        <v>4.2299999999999995</v>
      </c>
      <c r="N137" s="35">
        <f t="shared" ca="1" si="24"/>
        <v>74.400000000000006</v>
      </c>
      <c r="O137" s="35">
        <f t="shared" ca="1" si="25"/>
        <v>37.200000000000003</v>
      </c>
      <c r="P137" s="15"/>
      <c r="Q137" s="34">
        <f t="shared" ca="1" si="37"/>
        <v>121685.24387587101</v>
      </c>
      <c r="R137" s="34">
        <f t="shared" ca="1" si="37"/>
        <v>14156.765837530114</v>
      </c>
      <c r="S137" s="34">
        <f t="shared" ca="1" si="37"/>
        <v>0</v>
      </c>
      <c r="T137" s="34">
        <f t="shared" ca="1" si="38"/>
        <v>135842.00971340112</v>
      </c>
      <c r="U137" s="15"/>
      <c r="V137" s="35">
        <f t="shared" si="39"/>
        <v>0.31</v>
      </c>
      <c r="W137" s="34">
        <f t="shared" ca="1" si="40"/>
        <v>9271.7502574087066</v>
      </c>
      <c r="X137" s="35">
        <f t="shared" si="41"/>
        <v>0.37</v>
      </c>
      <c r="Y137" s="34">
        <f t="shared" ca="1" si="42"/>
        <v>11066.282565294263</v>
      </c>
      <c r="Z137" s="35">
        <f t="shared" si="43"/>
        <v>0.57999999999999996</v>
      </c>
      <c r="AA137" s="34">
        <f t="shared" ca="1" si="44"/>
        <v>17347.145642893709</v>
      </c>
      <c r="AB137" s="34">
        <f t="shared" ca="1" si="45"/>
        <v>37685.178465596677</v>
      </c>
      <c r="AC137" s="15"/>
      <c r="AD137" s="34">
        <f t="shared" ca="1" si="46"/>
        <v>98156.831247804439</v>
      </c>
      <c r="AE137" s="34">
        <f ca="1"/>
        <v>0</v>
      </c>
      <c r="AF137" s="34">
        <f t="shared" ca="1" si="47"/>
        <v>98156.831247804439</v>
      </c>
      <c r="AG137" s="15"/>
      <c r="AH137" s="272">
        <f t="shared" si="56"/>
        <v>44561</v>
      </c>
      <c r="AI137" s="267">
        <f t="shared" si="26"/>
        <v>7.6666666666666661</v>
      </c>
      <c r="AJ137" s="267">
        <f t="shared" si="27"/>
        <v>0.48156629230415066</v>
      </c>
      <c r="AK137" s="34">
        <f t="shared" ca="1" si="57"/>
        <v>47269.021288329379</v>
      </c>
      <c r="AL137" s="233"/>
      <c r="AN137" s="349"/>
      <c r="AO137" s="237">
        <f t="shared" si="48"/>
        <v>8</v>
      </c>
      <c r="AP137" s="34">
        <f t="shared" ca="1" si="49"/>
        <v>114.18500922628409</v>
      </c>
      <c r="AQ137" s="34">
        <f t="shared" ca="1" si="28"/>
        <v>0.75527073117472476</v>
      </c>
      <c r="AR137" s="34">
        <f t="shared" ca="1" si="29"/>
        <v>0</v>
      </c>
      <c r="AS137" s="34">
        <f t="shared" ca="1" si="50"/>
        <v>118.71663361333245</v>
      </c>
      <c r="AT137" s="350">
        <v>-7.9869154393328382E-2</v>
      </c>
      <c r="AU137" s="34">
        <f ca="1">MIN(AU136*(1+AT137),$AT$126-SUM(AU$129:AU136))</f>
        <v>118.71663361333245</v>
      </c>
      <c r="AV137" s="348"/>
      <c r="AW137" s="34">
        <f t="shared" ca="1" si="51"/>
        <v>114.18500922628409</v>
      </c>
      <c r="AX137" s="34">
        <f t="shared" ca="1" si="30"/>
        <v>0.75527073117472476</v>
      </c>
      <c r="AY137" s="34">
        <f t="shared" ca="1" si="30"/>
        <v>0</v>
      </c>
      <c r="AZ137" s="34">
        <f t="shared" ca="1" si="30"/>
        <v>118.71663361333245</v>
      </c>
      <c r="BA137" s="365"/>
      <c r="BB137" s="34">
        <f t="shared" ca="1" si="52"/>
        <v>8400.3889944794028</v>
      </c>
      <c r="BC137" s="34">
        <f t="shared" ca="1" si="31"/>
        <v>10102.38104320381</v>
      </c>
      <c r="BD137" s="34">
        <f t="shared" ca="1" si="31"/>
        <v>11406.101760409389</v>
      </c>
      <c r="BE137" s="34">
        <f t="shared" ca="1" si="31"/>
        <v>0</v>
      </c>
      <c r="BF137" s="34">
        <f t="shared" ca="1" si="31"/>
        <v>0</v>
      </c>
      <c r="BG137" s="34">
        <f t="shared" ca="1" si="31"/>
        <v>0</v>
      </c>
      <c r="BH137" s="34">
        <f t="shared" ca="1" si="31"/>
        <v>0</v>
      </c>
      <c r="BI137" s="34">
        <f t="shared" ca="1" si="31"/>
        <v>0</v>
      </c>
      <c r="BJ137" s="34">
        <f t="shared" ca="1" si="31"/>
        <v>0</v>
      </c>
      <c r="BK137" s="34">
        <f t="shared" ca="1" si="31"/>
        <v>0</v>
      </c>
      <c r="BL137" s="34">
        <f t="shared" ca="1" si="31"/>
        <v>0</v>
      </c>
      <c r="BM137" s="34">
        <f t="shared" ca="1" si="31"/>
        <v>0</v>
      </c>
      <c r="BN137" s="34">
        <f t="shared" ca="1" si="31"/>
        <v>0</v>
      </c>
      <c r="BO137" s="34">
        <f t="shared" ca="1" si="31"/>
        <v>0</v>
      </c>
      <c r="BP137" s="34">
        <f t="shared" ca="1" si="31"/>
        <v>0</v>
      </c>
      <c r="BQ137" s="34">
        <f t="shared" ca="1" si="31"/>
        <v>0</v>
      </c>
      <c r="BR137" s="34">
        <f t="shared" ca="1" si="31"/>
        <v>0</v>
      </c>
      <c r="BS137" s="34">
        <f t="shared" ca="1" si="32"/>
        <v>0</v>
      </c>
      <c r="BT137" s="34">
        <f t="shared" ca="1" si="32"/>
        <v>0</v>
      </c>
      <c r="BU137" s="34">
        <f t="shared" ca="1" si="32"/>
        <v>0</v>
      </c>
      <c r="BV137" s="34">
        <f t="shared" ca="1" si="32"/>
        <v>0</v>
      </c>
      <c r="BW137" s="34">
        <f t="shared" ca="1" si="32"/>
        <v>0</v>
      </c>
      <c r="BX137" s="34">
        <f t="shared" ca="1" si="32"/>
        <v>0</v>
      </c>
      <c r="BY137" s="34">
        <f t="shared" ca="1" si="32"/>
        <v>0</v>
      </c>
      <c r="BZ137" s="34">
        <f t="shared" ca="1" si="32"/>
        <v>0</v>
      </c>
      <c r="CA137" s="34">
        <f t="shared" ca="1" si="32"/>
        <v>0</v>
      </c>
      <c r="CB137" s="34">
        <f t="shared" ca="1" si="32"/>
        <v>0</v>
      </c>
      <c r="CC137" s="34">
        <f t="shared" ca="1" si="32"/>
        <v>0</v>
      </c>
      <c r="CD137" s="34">
        <f t="shared" ca="1" si="32"/>
        <v>0</v>
      </c>
      <c r="CE137" s="34">
        <f t="shared" ca="1" si="32"/>
        <v>0</v>
      </c>
      <c r="CF137" s="34">
        <f t="shared" ca="1" si="32"/>
        <v>0</v>
      </c>
      <c r="CG137" s="34">
        <f t="shared" ca="1" si="32"/>
        <v>0</v>
      </c>
      <c r="CH137" s="34">
        <f t="shared" ca="1" si="32"/>
        <v>0</v>
      </c>
      <c r="CI137" s="34">
        <f t="shared" ca="1" si="33"/>
        <v>0</v>
      </c>
      <c r="CJ137" s="34">
        <f t="shared" ca="1" si="33"/>
        <v>0</v>
      </c>
      <c r="CK137" s="34">
        <f t="shared" ca="1" si="33"/>
        <v>0</v>
      </c>
      <c r="CL137" s="34">
        <f t="shared" ca="1" si="33"/>
        <v>0</v>
      </c>
      <c r="CM137" s="34">
        <f t="shared" ca="1" si="33"/>
        <v>0</v>
      </c>
      <c r="CN137" s="34">
        <f t="shared" ca="1" si="33"/>
        <v>0</v>
      </c>
      <c r="CO137" s="34">
        <f t="shared" ca="1" si="33"/>
        <v>0</v>
      </c>
      <c r="CP137" s="34">
        <f t="shared" ca="1" si="33"/>
        <v>0</v>
      </c>
      <c r="CQ137" s="34">
        <f t="shared" ca="1" si="53"/>
        <v>29908.871798092601</v>
      </c>
      <c r="CR137" s="363">
        <v>0</v>
      </c>
      <c r="CS137" s="34">
        <f t="shared" ca="1" si="54"/>
        <v>29908.871798092601</v>
      </c>
      <c r="CT137" s="233"/>
    </row>
    <row r="138" spans="2:98" x14ac:dyDescent="0.3">
      <c r="B138" s="232"/>
      <c r="C138" s="250">
        <f t="shared" si="55"/>
        <v>2022</v>
      </c>
      <c r="D138" s="263">
        <f t="shared" ca="1" si="34"/>
        <v>26419.767972950929</v>
      </c>
      <c r="E138" s="263">
        <f t="shared" ca="1" si="21"/>
        <v>174.75216413788249</v>
      </c>
      <c r="F138" s="263">
        <f t="shared" ca="1" si="22"/>
        <v>0</v>
      </c>
      <c r="G138" s="263">
        <f t="shared" ca="1" si="35"/>
        <v>27468.280957778225</v>
      </c>
      <c r="H138" s="15"/>
      <c r="I138" s="271">
        <f ca="1">Assumptions!O$68</f>
        <v>4.5</v>
      </c>
      <c r="J138" s="271">
        <f ca="1">Assumptions!P$68</f>
        <v>80</v>
      </c>
      <c r="K138" s="271">
        <f t="shared" ca="1" si="23"/>
        <v>40</v>
      </c>
      <c r="L138" s="15"/>
      <c r="M138" s="35">
        <f t="shared" ca="1" si="36"/>
        <v>4.2299999999999995</v>
      </c>
      <c r="N138" s="35">
        <f t="shared" ca="1" si="24"/>
        <v>74.400000000000006</v>
      </c>
      <c r="O138" s="35">
        <f t="shared" ca="1" si="25"/>
        <v>37.200000000000003</v>
      </c>
      <c r="P138" s="15"/>
      <c r="Q138" s="34">
        <f t="shared" ca="1" si="37"/>
        <v>111755.61852558242</v>
      </c>
      <c r="R138" s="34">
        <f t="shared" ca="1" si="37"/>
        <v>13001.561011858457</v>
      </c>
      <c r="S138" s="34">
        <f t="shared" ca="1" si="37"/>
        <v>0</v>
      </c>
      <c r="T138" s="34">
        <f t="shared" ca="1" si="38"/>
        <v>124757.17953744088</v>
      </c>
      <c r="U138" s="15"/>
      <c r="V138" s="35">
        <f t="shared" si="39"/>
        <v>0.31</v>
      </c>
      <c r="W138" s="34">
        <f t="shared" ca="1" si="40"/>
        <v>8515.1670969112492</v>
      </c>
      <c r="X138" s="35">
        <f t="shared" si="41"/>
        <v>0.37</v>
      </c>
      <c r="Y138" s="34">
        <f t="shared" ca="1" si="42"/>
        <v>10163.263954377942</v>
      </c>
      <c r="Z138" s="35">
        <f t="shared" si="43"/>
        <v>0.57999999999999996</v>
      </c>
      <c r="AA138" s="34">
        <f t="shared" ca="1" si="44"/>
        <v>15931.602955511369</v>
      </c>
      <c r="AB138" s="34">
        <f t="shared" ca="1" si="45"/>
        <v>34610.034006800561</v>
      </c>
      <c r="AC138" s="15"/>
      <c r="AD138" s="34">
        <f t="shared" ca="1" si="46"/>
        <v>90147.145530640322</v>
      </c>
      <c r="AE138" s="34">
        <f ca="1"/>
        <v>0</v>
      </c>
      <c r="AF138" s="34">
        <f t="shared" ca="1" si="47"/>
        <v>90147.145530640322</v>
      </c>
      <c r="AG138" s="15"/>
      <c r="AH138" s="272">
        <f t="shared" si="56"/>
        <v>44926</v>
      </c>
      <c r="AI138" s="267">
        <f t="shared" si="26"/>
        <v>8.6666666666666661</v>
      </c>
      <c r="AJ138" s="267">
        <f t="shared" si="27"/>
        <v>0.4377875384583188</v>
      </c>
      <c r="AK138" s="34">
        <f t="shared" ca="1" si="57"/>
        <v>39465.296940902859</v>
      </c>
      <c r="AL138" s="233"/>
      <c r="AN138" s="349"/>
      <c r="AO138" s="237">
        <f t="shared" si="48"/>
        <v>9</v>
      </c>
      <c r="AP138" s="34">
        <f t="shared" ca="1" si="49"/>
        <v>106.0349133945039</v>
      </c>
      <c r="AQ138" s="34">
        <f t="shared" ca="1" si="28"/>
        <v>0.70136235143449033</v>
      </c>
      <c r="AR138" s="34">
        <f t="shared" ca="1" si="29"/>
        <v>0</v>
      </c>
      <c r="AS138" s="34">
        <f t="shared" ca="1" si="50"/>
        <v>110.24308750311084</v>
      </c>
      <c r="AT138" s="350">
        <v>-7.137623307126853E-2</v>
      </c>
      <c r="AU138" s="34">
        <f ca="1">MIN(AU137*(1+AT138),$AT$126-SUM(AU$129:AU137))</f>
        <v>110.24308750311084</v>
      </c>
      <c r="AV138" s="348"/>
      <c r="AW138" s="34">
        <f t="shared" ca="1" si="51"/>
        <v>106.0349133945039</v>
      </c>
      <c r="AX138" s="34">
        <f t="shared" ca="1" si="30"/>
        <v>0.70136235143449033</v>
      </c>
      <c r="AY138" s="34">
        <f t="shared" ca="1" si="30"/>
        <v>0</v>
      </c>
      <c r="AZ138" s="34">
        <f t="shared" ca="1" si="30"/>
        <v>110.24308750311084</v>
      </c>
      <c r="BA138" s="365"/>
      <c r="BB138" s="34">
        <f t="shared" ca="1" si="52"/>
        <v>7800.8008717201219</v>
      </c>
      <c r="BC138" s="34">
        <f t="shared" ca="1" si="31"/>
        <v>9295.5124119239299</v>
      </c>
      <c r="BD138" s="34">
        <f t="shared" ca="1" si="31"/>
        <v>10371.967674134172</v>
      </c>
      <c r="BE138" s="34">
        <f t="shared" ca="1" si="31"/>
        <v>0</v>
      </c>
      <c r="BF138" s="34">
        <f t="shared" ca="1" si="31"/>
        <v>0</v>
      </c>
      <c r="BG138" s="34">
        <f t="shared" ca="1" si="31"/>
        <v>0</v>
      </c>
      <c r="BH138" s="34">
        <f t="shared" ca="1" si="31"/>
        <v>0</v>
      </c>
      <c r="BI138" s="34">
        <f t="shared" ca="1" si="31"/>
        <v>0</v>
      </c>
      <c r="BJ138" s="34">
        <f t="shared" ca="1" si="31"/>
        <v>0</v>
      </c>
      <c r="BK138" s="34">
        <f t="shared" ca="1" si="31"/>
        <v>0</v>
      </c>
      <c r="BL138" s="34">
        <f t="shared" ca="1" si="31"/>
        <v>0</v>
      </c>
      <c r="BM138" s="34">
        <f t="shared" ca="1" si="31"/>
        <v>0</v>
      </c>
      <c r="BN138" s="34">
        <f t="shared" ca="1" si="31"/>
        <v>0</v>
      </c>
      <c r="BO138" s="34">
        <f t="shared" ca="1" si="31"/>
        <v>0</v>
      </c>
      <c r="BP138" s="34">
        <f t="shared" ca="1" si="31"/>
        <v>0</v>
      </c>
      <c r="BQ138" s="34">
        <f t="shared" ca="1" si="31"/>
        <v>0</v>
      </c>
      <c r="BR138" s="34">
        <f t="shared" ca="1" si="31"/>
        <v>0</v>
      </c>
      <c r="BS138" s="34">
        <f t="shared" ca="1" si="32"/>
        <v>0</v>
      </c>
      <c r="BT138" s="34">
        <f t="shared" ca="1" si="32"/>
        <v>0</v>
      </c>
      <c r="BU138" s="34">
        <f t="shared" ca="1" si="32"/>
        <v>0</v>
      </c>
      <c r="BV138" s="34">
        <f t="shared" ca="1" si="32"/>
        <v>0</v>
      </c>
      <c r="BW138" s="34">
        <f t="shared" ca="1" si="32"/>
        <v>0</v>
      </c>
      <c r="BX138" s="34">
        <f t="shared" ca="1" si="32"/>
        <v>0</v>
      </c>
      <c r="BY138" s="34">
        <f t="shared" ca="1" si="32"/>
        <v>0</v>
      </c>
      <c r="BZ138" s="34">
        <f t="shared" ca="1" si="32"/>
        <v>0</v>
      </c>
      <c r="CA138" s="34">
        <f t="shared" ca="1" si="32"/>
        <v>0</v>
      </c>
      <c r="CB138" s="34">
        <f t="shared" ca="1" si="32"/>
        <v>0</v>
      </c>
      <c r="CC138" s="34">
        <f t="shared" ca="1" si="32"/>
        <v>0</v>
      </c>
      <c r="CD138" s="34">
        <f t="shared" ca="1" si="32"/>
        <v>0</v>
      </c>
      <c r="CE138" s="34">
        <f t="shared" ca="1" si="32"/>
        <v>0</v>
      </c>
      <c r="CF138" s="34">
        <f t="shared" ca="1" si="32"/>
        <v>0</v>
      </c>
      <c r="CG138" s="34">
        <f t="shared" ca="1" si="32"/>
        <v>0</v>
      </c>
      <c r="CH138" s="34">
        <f t="shared" ca="1" si="32"/>
        <v>0</v>
      </c>
      <c r="CI138" s="34">
        <f t="shared" ca="1" si="33"/>
        <v>0</v>
      </c>
      <c r="CJ138" s="34">
        <f t="shared" ca="1" si="33"/>
        <v>0</v>
      </c>
      <c r="CK138" s="34">
        <f t="shared" ca="1" si="33"/>
        <v>0</v>
      </c>
      <c r="CL138" s="34">
        <f t="shared" ca="1" si="33"/>
        <v>0</v>
      </c>
      <c r="CM138" s="34">
        <f t="shared" ca="1" si="33"/>
        <v>0</v>
      </c>
      <c r="CN138" s="34">
        <f t="shared" ca="1" si="33"/>
        <v>0</v>
      </c>
      <c r="CO138" s="34">
        <f t="shared" ca="1" si="33"/>
        <v>0</v>
      </c>
      <c r="CP138" s="34">
        <f t="shared" ca="1" si="33"/>
        <v>0</v>
      </c>
      <c r="CQ138" s="34">
        <f t="shared" ca="1" si="53"/>
        <v>27468.280957778225</v>
      </c>
      <c r="CR138" s="363">
        <v>0</v>
      </c>
      <c r="CS138" s="34">
        <f t="shared" ca="1" si="54"/>
        <v>27468.280957778225</v>
      </c>
      <c r="CT138" s="233"/>
    </row>
    <row r="139" spans="2:98" x14ac:dyDescent="0.3">
      <c r="B139" s="232"/>
      <c r="C139" s="250">
        <f t="shared" si="55"/>
        <v>2023</v>
      </c>
      <c r="D139" s="263">
        <f t="shared" ca="1" si="34"/>
        <v>24500.748619462112</v>
      </c>
      <c r="E139" s="263">
        <f t="shared" ca="1" si="21"/>
        <v>162.05891166920102</v>
      </c>
      <c r="F139" s="263">
        <f t="shared" ca="1" si="22"/>
        <v>0</v>
      </c>
      <c r="G139" s="263">
        <f t="shared" ca="1" si="35"/>
        <v>25473.102089477317</v>
      </c>
      <c r="H139" s="15"/>
      <c r="I139" s="271">
        <f ca="1">Assumptions!O$68</f>
        <v>4.5</v>
      </c>
      <c r="J139" s="271">
        <f ca="1">Assumptions!P$68</f>
        <v>80</v>
      </c>
      <c r="K139" s="271">
        <f t="shared" ca="1" si="23"/>
        <v>40</v>
      </c>
      <c r="L139" s="15"/>
      <c r="M139" s="35">
        <f t="shared" ca="1" si="36"/>
        <v>4.2299999999999995</v>
      </c>
      <c r="N139" s="35">
        <f t="shared" ca="1" si="24"/>
        <v>74.400000000000006</v>
      </c>
      <c r="O139" s="35">
        <f t="shared" ca="1" si="25"/>
        <v>37.200000000000003</v>
      </c>
      <c r="P139" s="15"/>
      <c r="Q139" s="34">
        <f t="shared" ca="1" si="37"/>
        <v>103638.16666032473</v>
      </c>
      <c r="R139" s="34">
        <f t="shared" ca="1" si="37"/>
        <v>12057.183028188558</v>
      </c>
      <c r="S139" s="34">
        <f t="shared" ca="1" si="37"/>
        <v>0</v>
      </c>
      <c r="T139" s="34">
        <f t="shared" ca="1" si="38"/>
        <v>115695.34968851329</v>
      </c>
      <c r="U139" s="15"/>
      <c r="V139" s="35">
        <f t="shared" si="39"/>
        <v>0.31</v>
      </c>
      <c r="W139" s="34">
        <f t="shared" ca="1" si="40"/>
        <v>7896.6616477379685</v>
      </c>
      <c r="X139" s="35">
        <f t="shared" si="41"/>
        <v>0.37</v>
      </c>
      <c r="Y139" s="34">
        <f t="shared" ca="1" si="42"/>
        <v>9425.0477731066076</v>
      </c>
      <c r="Z139" s="35">
        <f t="shared" si="43"/>
        <v>0.57999999999999996</v>
      </c>
      <c r="AA139" s="34">
        <f t="shared" ca="1" si="44"/>
        <v>14774.399211896844</v>
      </c>
      <c r="AB139" s="34">
        <f t="shared" ca="1" si="45"/>
        <v>32096.108632741423</v>
      </c>
      <c r="AC139" s="15"/>
      <c r="AD139" s="34">
        <f t="shared" ca="1" si="46"/>
        <v>83599.241055771869</v>
      </c>
      <c r="AE139" s="34">
        <f ca="1"/>
        <v>0</v>
      </c>
      <c r="AF139" s="34">
        <f t="shared" ca="1" si="47"/>
        <v>83599.241055771869</v>
      </c>
      <c r="AG139" s="15"/>
      <c r="AH139" s="272">
        <f t="shared" si="56"/>
        <v>45291</v>
      </c>
      <c r="AI139" s="267">
        <f t="shared" si="26"/>
        <v>9.6666666666666661</v>
      </c>
      <c r="AJ139" s="267">
        <f t="shared" si="27"/>
        <v>0.39798867132574434</v>
      </c>
      <c r="AK139" s="34">
        <f t="shared" ca="1" si="57"/>
        <v>33271.55087162726</v>
      </c>
      <c r="AL139" s="233"/>
      <c r="AN139" s="349"/>
      <c r="AO139" s="237">
        <f t="shared" si="48"/>
        <v>10</v>
      </c>
      <c r="AP139" s="34">
        <f t="shared" ca="1" si="49"/>
        <v>99.193646152514688</v>
      </c>
      <c r="AQ139" s="34">
        <f t="shared" ca="1" si="28"/>
        <v>0.65611114948573646</v>
      </c>
      <c r="AR139" s="34">
        <f t="shared" ca="1" si="29"/>
        <v>0</v>
      </c>
      <c r="AS139" s="34">
        <f t="shared" ca="1" si="50"/>
        <v>103.13031304942911</v>
      </c>
      <c r="AT139" s="350">
        <v>-6.451900626858828E-2</v>
      </c>
      <c r="AU139" s="34">
        <f ca="1">MIN(AU138*(1+AT139),$AT$126-SUM(AU$129:AU138))</f>
        <v>103.13031304942911</v>
      </c>
      <c r="AV139" s="348"/>
      <c r="AW139" s="34">
        <f t="shared" ca="1" si="51"/>
        <v>99.193646152514688</v>
      </c>
      <c r="AX139" s="34">
        <f t="shared" ca="1" si="30"/>
        <v>0.65611114948573646</v>
      </c>
      <c r="AY139" s="34">
        <f t="shared" ca="1" si="30"/>
        <v>0</v>
      </c>
      <c r="AZ139" s="34">
        <f t="shared" ca="1" si="30"/>
        <v>103.13031304942911</v>
      </c>
      <c r="BB139" s="34">
        <f t="shared" ca="1" si="52"/>
        <v>7297.5009513776022</v>
      </c>
      <c r="BC139" s="34">
        <f t="shared" ca="1" si="31"/>
        <v>8632.0337514935782</v>
      </c>
      <c r="BD139" s="34">
        <f t="shared" ca="1" si="31"/>
        <v>9543.5673866061388</v>
      </c>
      <c r="BE139" s="34">
        <f t="shared" ca="1" si="31"/>
        <v>0</v>
      </c>
      <c r="BF139" s="34">
        <f t="shared" ca="1" si="31"/>
        <v>0</v>
      </c>
      <c r="BG139" s="34">
        <f t="shared" ca="1" si="31"/>
        <v>0</v>
      </c>
      <c r="BH139" s="34">
        <f t="shared" ca="1" si="31"/>
        <v>0</v>
      </c>
      <c r="BI139" s="34">
        <f t="shared" ca="1" si="31"/>
        <v>0</v>
      </c>
      <c r="BJ139" s="34">
        <f t="shared" ca="1" si="31"/>
        <v>0</v>
      </c>
      <c r="BK139" s="34">
        <f t="shared" ca="1" si="31"/>
        <v>0</v>
      </c>
      <c r="BL139" s="34">
        <f t="shared" ca="1" si="31"/>
        <v>0</v>
      </c>
      <c r="BM139" s="34">
        <f t="shared" ca="1" si="31"/>
        <v>0</v>
      </c>
      <c r="BN139" s="34">
        <f t="shared" ca="1" si="31"/>
        <v>0</v>
      </c>
      <c r="BO139" s="34">
        <f t="shared" ca="1" si="31"/>
        <v>0</v>
      </c>
      <c r="BP139" s="34">
        <f t="shared" ca="1" si="31"/>
        <v>0</v>
      </c>
      <c r="BQ139" s="34">
        <f t="shared" ca="1" si="31"/>
        <v>0</v>
      </c>
      <c r="BR139" s="34">
        <f t="shared" ca="1" si="31"/>
        <v>0</v>
      </c>
      <c r="BS139" s="34">
        <f t="shared" ca="1" si="32"/>
        <v>0</v>
      </c>
      <c r="BT139" s="34">
        <f t="shared" ca="1" si="32"/>
        <v>0</v>
      </c>
      <c r="BU139" s="34">
        <f t="shared" ca="1" si="32"/>
        <v>0</v>
      </c>
      <c r="BV139" s="34">
        <f t="shared" ca="1" si="32"/>
        <v>0</v>
      </c>
      <c r="BW139" s="34">
        <f t="shared" ca="1" si="32"/>
        <v>0</v>
      </c>
      <c r="BX139" s="34">
        <f t="shared" ca="1" si="32"/>
        <v>0</v>
      </c>
      <c r="BY139" s="34">
        <f t="shared" ca="1" si="32"/>
        <v>0</v>
      </c>
      <c r="BZ139" s="34">
        <f t="shared" ca="1" si="32"/>
        <v>0</v>
      </c>
      <c r="CA139" s="34">
        <f t="shared" ca="1" si="32"/>
        <v>0</v>
      </c>
      <c r="CB139" s="34">
        <f t="shared" ca="1" si="32"/>
        <v>0</v>
      </c>
      <c r="CC139" s="34">
        <f t="shared" ca="1" si="32"/>
        <v>0</v>
      </c>
      <c r="CD139" s="34">
        <f t="shared" ca="1" si="32"/>
        <v>0</v>
      </c>
      <c r="CE139" s="34">
        <f t="shared" ca="1" si="32"/>
        <v>0</v>
      </c>
      <c r="CF139" s="34">
        <f t="shared" ca="1" si="32"/>
        <v>0</v>
      </c>
      <c r="CG139" s="34">
        <f t="shared" ca="1" si="32"/>
        <v>0</v>
      </c>
      <c r="CH139" s="34">
        <f t="shared" ca="1" si="32"/>
        <v>0</v>
      </c>
      <c r="CI139" s="34">
        <f t="shared" ca="1" si="33"/>
        <v>0</v>
      </c>
      <c r="CJ139" s="34">
        <f t="shared" ca="1" si="33"/>
        <v>0</v>
      </c>
      <c r="CK139" s="34">
        <f t="shared" ca="1" si="33"/>
        <v>0</v>
      </c>
      <c r="CL139" s="34">
        <f t="shared" ca="1" si="33"/>
        <v>0</v>
      </c>
      <c r="CM139" s="34">
        <f t="shared" ca="1" si="33"/>
        <v>0</v>
      </c>
      <c r="CN139" s="34">
        <f t="shared" ca="1" si="33"/>
        <v>0</v>
      </c>
      <c r="CO139" s="34">
        <f t="shared" ca="1" si="33"/>
        <v>0</v>
      </c>
      <c r="CP139" s="34">
        <f t="shared" ca="1" si="33"/>
        <v>0</v>
      </c>
      <c r="CQ139" s="34">
        <f t="shared" ca="1" si="53"/>
        <v>25473.102089477317</v>
      </c>
      <c r="CR139" s="363">
        <v>0</v>
      </c>
      <c r="CS139" s="34">
        <f t="shared" ca="1" si="54"/>
        <v>25473.102089477317</v>
      </c>
      <c r="CT139" s="233"/>
    </row>
    <row r="140" spans="2:98" x14ac:dyDescent="0.3">
      <c r="B140" s="232"/>
      <c r="C140" s="250">
        <f t="shared" si="55"/>
        <v>2024</v>
      </c>
      <c r="D140" s="263">
        <f t="shared" ca="1" si="34"/>
        <v>22896.719957136651</v>
      </c>
      <c r="E140" s="263">
        <f t="shared" ca="1" si="21"/>
        <v>151.44914854154783</v>
      </c>
      <c r="F140" s="263">
        <f t="shared" ca="1" si="22"/>
        <v>0</v>
      </c>
      <c r="G140" s="263">
        <f t="shared" ca="1" si="35"/>
        <v>23805.414848385939</v>
      </c>
      <c r="H140" s="15"/>
      <c r="I140" s="271">
        <f ca="1">Assumptions!O$68</f>
        <v>4.5</v>
      </c>
      <c r="J140" s="271">
        <f ca="1">Assumptions!P$68</f>
        <v>80</v>
      </c>
      <c r="K140" s="271">
        <f t="shared" ca="1" si="23"/>
        <v>40</v>
      </c>
      <c r="L140" s="15"/>
      <c r="M140" s="35">
        <f t="shared" ca="1" si="36"/>
        <v>4.2299999999999995</v>
      </c>
      <c r="N140" s="35">
        <f t="shared" ca="1" si="24"/>
        <v>74.400000000000006</v>
      </c>
      <c r="O140" s="35">
        <f t="shared" ca="1" si="25"/>
        <v>37.200000000000003</v>
      </c>
      <c r="P140" s="15"/>
      <c r="Q140" s="34">
        <f t="shared" ca="1" si="37"/>
        <v>96853.125418688025</v>
      </c>
      <c r="R140" s="34">
        <f t="shared" ca="1" si="37"/>
        <v>11267.816651491159</v>
      </c>
      <c r="S140" s="34">
        <f t="shared" ca="1" si="37"/>
        <v>0</v>
      </c>
      <c r="T140" s="34">
        <f t="shared" ca="1" si="38"/>
        <v>108120.94207017918</v>
      </c>
      <c r="U140" s="15"/>
      <c r="V140" s="35">
        <f t="shared" si="39"/>
        <v>0.31</v>
      </c>
      <c r="W140" s="34">
        <f t="shared" ca="1" si="40"/>
        <v>7379.678602999641</v>
      </c>
      <c r="X140" s="35">
        <f t="shared" si="41"/>
        <v>0.37</v>
      </c>
      <c r="Y140" s="34">
        <f t="shared" ca="1" si="42"/>
        <v>8808.0034939027973</v>
      </c>
      <c r="Z140" s="35">
        <f t="shared" si="43"/>
        <v>0.57999999999999996</v>
      </c>
      <c r="AA140" s="34">
        <f t="shared" ca="1" si="44"/>
        <v>13807.140612063844</v>
      </c>
      <c r="AB140" s="34">
        <f t="shared" ca="1" si="45"/>
        <v>29994.822708966283</v>
      </c>
      <c r="AC140" s="15"/>
      <c r="AD140" s="34">
        <f t="shared" ca="1" si="46"/>
        <v>78126.119361212899</v>
      </c>
      <c r="AE140" s="34">
        <f ca="1"/>
        <v>0</v>
      </c>
      <c r="AF140" s="34">
        <f t="shared" ca="1" si="47"/>
        <v>78126.119361212899</v>
      </c>
      <c r="AG140" s="15"/>
      <c r="AH140" s="272">
        <f t="shared" si="56"/>
        <v>45657</v>
      </c>
      <c r="AI140" s="267">
        <f t="shared" si="26"/>
        <v>10.666666666666666</v>
      </c>
      <c r="AJ140" s="267">
        <f t="shared" si="27"/>
        <v>0.36180788302340394</v>
      </c>
      <c r="AK140" s="34">
        <f t="shared" ca="1" si="57"/>
        <v>28266.645854914212</v>
      </c>
      <c r="AL140" s="233"/>
      <c r="AN140" s="349"/>
      <c r="AO140" s="237">
        <f t="shared" si="48"/>
        <v>11</v>
      </c>
      <c r="AP140" s="34">
        <f t="shared" ca="1" si="49"/>
        <v>93.354534451411368</v>
      </c>
      <c r="AQ140" s="34">
        <f t="shared" ca="1" si="28"/>
        <v>0.6174886525941915</v>
      </c>
      <c r="AR140" s="34">
        <f t="shared" ca="1" si="29"/>
        <v>0</v>
      </c>
      <c r="AS140" s="34">
        <f t="shared" ca="1" si="50"/>
        <v>97.059466366976523</v>
      </c>
      <c r="AT140" s="350">
        <v>-5.8865783521309577E-2</v>
      </c>
      <c r="AU140" s="34">
        <f ca="1">MIN(AU139*(1+AT140),$AT$126-SUM(AU$129:AU139))</f>
        <v>97.059466366976523</v>
      </c>
      <c r="AV140" s="348"/>
      <c r="AW140" s="34">
        <f t="shared" ca="1" si="51"/>
        <v>93.354534451411368</v>
      </c>
      <c r="AX140" s="34">
        <f t="shared" ca="1" si="30"/>
        <v>0.6174886525941915</v>
      </c>
      <c r="AY140" s="34">
        <f t="shared" ca="1" si="30"/>
        <v>0</v>
      </c>
      <c r="AZ140" s="34">
        <f t="shared" ca="1" si="30"/>
        <v>97.059466366976523</v>
      </c>
      <c r="BB140" s="34">
        <f t="shared" ca="1" si="52"/>
        <v>6867.9278401272577</v>
      </c>
      <c r="BC140" s="34">
        <f t="shared" ca="1" si="31"/>
        <v>8075.1035117702986</v>
      </c>
      <c r="BD140" s="34">
        <f t="shared" ca="1" si="31"/>
        <v>8862.3834964883827</v>
      </c>
      <c r="BE140" s="34">
        <f t="shared" ca="1" si="31"/>
        <v>0</v>
      </c>
      <c r="BF140" s="34">
        <f t="shared" ca="1" si="31"/>
        <v>0</v>
      </c>
      <c r="BG140" s="34">
        <f t="shared" ca="1" si="31"/>
        <v>0</v>
      </c>
      <c r="BH140" s="34">
        <f t="shared" ca="1" si="31"/>
        <v>0</v>
      </c>
      <c r="BI140" s="34">
        <f t="shared" ca="1" si="31"/>
        <v>0</v>
      </c>
      <c r="BJ140" s="34">
        <f t="shared" ca="1" si="31"/>
        <v>0</v>
      </c>
      <c r="BK140" s="34">
        <f t="shared" ca="1" si="31"/>
        <v>0</v>
      </c>
      <c r="BL140" s="34">
        <f t="shared" ca="1" si="31"/>
        <v>0</v>
      </c>
      <c r="BM140" s="34">
        <f t="shared" ca="1" si="31"/>
        <v>0</v>
      </c>
      <c r="BN140" s="34">
        <f t="shared" ca="1" si="31"/>
        <v>0</v>
      </c>
      <c r="BO140" s="34">
        <f t="shared" ca="1" si="31"/>
        <v>0</v>
      </c>
      <c r="BP140" s="34">
        <f t="shared" ca="1" si="31"/>
        <v>0</v>
      </c>
      <c r="BQ140" s="34">
        <f t="shared" ca="1" si="31"/>
        <v>0</v>
      </c>
      <c r="BR140" s="34">
        <f t="shared" ca="1" si="31"/>
        <v>0</v>
      </c>
      <c r="BS140" s="34">
        <f t="shared" ca="1" si="32"/>
        <v>0</v>
      </c>
      <c r="BT140" s="34">
        <f t="shared" ca="1" si="32"/>
        <v>0</v>
      </c>
      <c r="BU140" s="34">
        <f t="shared" ca="1" si="32"/>
        <v>0</v>
      </c>
      <c r="BV140" s="34">
        <f t="shared" ca="1" si="32"/>
        <v>0</v>
      </c>
      <c r="BW140" s="34">
        <f t="shared" ca="1" si="32"/>
        <v>0</v>
      </c>
      <c r="BX140" s="34">
        <f t="shared" ca="1" si="32"/>
        <v>0</v>
      </c>
      <c r="BY140" s="34">
        <f t="shared" ca="1" si="32"/>
        <v>0</v>
      </c>
      <c r="BZ140" s="34">
        <f t="shared" ca="1" si="32"/>
        <v>0</v>
      </c>
      <c r="CA140" s="34">
        <f t="shared" ca="1" si="32"/>
        <v>0</v>
      </c>
      <c r="CB140" s="34">
        <f t="shared" ca="1" si="32"/>
        <v>0</v>
      </c>
      <c r="CC140" s="34">
        <f t="shared" ca="1" si="32"/>
        <v>0</v>
      </c>
      <c r="CD140" s="34">
        <f t="shared" ca="1" si="32"/>
        <v>0</v>
      </c>
      <c r="CE140" s="34">
        <f t="shared" ca="1" si="32"/>
        <v>0</v>
      </c>
      <c r="CF140" s="34">
        <f t="shared" ca="1" si="32"/>
        <v>0</v>
      </c>
      <c r="CG140" s="34">
        <f t="shared" ca="1" si="32"/>
        <v>0</v>
      </c>
      <c r="CH140" s="34">
        <f t="shared" ca="1" si="32"/>
        <v>0</v>
      </c>
      <c r="CI140" s="34">
        <f t="shared" ca="1" si="33"/>
        <v>0</v>
      </c>
      <c r="CJ140" s="34">
        <f t="shared" ca="1" si="33"/>
        <v>0</v>
      </c>
      <c r="CK140" s="34">
        <f t="shared" ca="1" si="33"/>
        <v>0</v>
      </c>
      <c r="CL140" s="34">
        <f t="shared" ca="1" si="33"/>
        <v>0</v>
      </c>
      <c r="CM140" s="34">
        <f t="shared" ca="1" si="33"/>
        <v>0</v>
      </c>
      <c r="CN140" s="34">
        <f t="shared" ca="1" si="33"/>
        <v>0</v>
      </c>
      <c r="CO140" s="34">
        <f t="shared" ca="1" si="33"/>
        <v>0</v>
      </c>
      <c r="CP140" s="34">
        <f t="shared" ca="1" si="33"/>
        <v>0</v>
      </c>
      <c r="CQ140" s="34">
        <f t="shared" ca="1" si="53"/>
        <v>23805.414848385939</v>
      </c>
      <c r="CR140" s="363">
        <v>0</v>
      </c>
      <c r="CS140" s="34">
        <f t="shared" ca="1" si="54"/>
        <v>23805.414848385939</v>
      </c>
      <c r="CT140" s="233"/>
    </row>
    <row r="141" spans="2:98" x14ac:dyDescent="0.3">
      <c r="B141" s="232"/>
      <c r="C141" s="250">
        <f t="shared" si="55"/>
        <v>2025</v>
      </c>
      <c r="D141" s="263">
        <f t="shared" ca="1" si="34"/>
        <v>21532.017111922745</v>
      </c>
      <c r="E141" s="263">
        <f t="shared" ca="1" si="21"/>
        <v>142.4223934296021</v>
      </c>
      <c r="F141" s="263">
        <f t="shared" ca="1" si="22"/>
        <v>0</v>
      </c>
      <c r="G141" s="263">
        <f t="shared" ca="1" si="35"/>
        <v>22386.55147250036</v>
      </c>
      <c r="H141" s="15"/>
      <c r="I141" s="271">
        <f ca="1">Assumptions!O$68</f>
        <v>4.5</v>
      </c>
      <c r="J141" s="271">
        <f ca="1">Assumptions!P$68</f>
        <v>80</v>
      </c>
      <c r="K141" s="271">
        <f t="shared" ca="1" si="23"/>
        <v>40</v>
      </c>
      <c r="L141" s="15"/>
      <c r="M141" s="35">
        <f t="shared" ca="1" si="36"/>
        <v>4.2299999999999995</v>
      </c>
      <c r="N141" s="35">
        <f t="shared" ca="1" si="24"/>
        <v>74.400000000000006</v>
      </c>
      <c r="O141" s="35">
        <f t="shared" ca="1" si="25"/>
        <v>37.200000000000003</v>
      </c>
      <c r="P141" s="15"/>
      <c r="Q141" s="34">
        <f t="shared" ca="1" si="37"/>
        <v>91080.432383433203</v>
      </c>
      <c r="R141" s="34">
        <f t="shared" ca="1" si="37"/>
        <v>10596.226071162397</v>
      </c>
      <c r="S141" s="34">
        <f t="shared" ca="1" si="37"/>
        <v>0</v>
      </c>
      <c r="T141" s="34">
        <f t="shared" ca="1" si="38"/>
        <v>101676.6584545956</v>
      </c>
      <c r="U141" s="15"/>
      <c r="V141" s="35">
        <f t="shared" si="39"/>
        <v>0.31</v>
      </c>
      <c r="W141" s="34">
        <f t="shared" ca="1" si="40"/>
        <v>6939.8309564751116</v>
      </c>
      <c r="X141" s="35">
        <f t="shared" si="41"/>
        <v>0.37</v>
      </c>
      <c r="Y141" s="34">
        <f t="shared" ca="1" si="42"/>
        <v>8283.0240448251334</v>
      </c>
      <c r="Z141" s="35">
        <f t="shared" si="43"/>
        <v>0.57999999999999996</v>
      </c>
      <c r="AA141" s="34">
        <f t="shared" ca="1" si="44"/>
        <v>12984.199854050208</v>
      </c>
      <c r="AB141" s="34">
        <f t="shared" ca="1" si="45"/>
        <v>28207.054855350456</v>
      </c>
      <c r="AC141" s="15"/>
      <c r="AD141" s="34">
        <f t="shared" ca="1" si="46"/>
        <v>73469.603599245136</v>
      </c>
      <c r="AE141" s="34">
        <f ca="1"/>
        <v>0</v>
      </c>
      <c r="AF141" s="34">
        <f t="shared" ca="1" si="47"/>
        <v>73469.603599245136</v>
      </c>
      <c r="AG141" s="15"/>
      <c r="AH141" s="272">
        <f t="shared" si="56"/>
        <v>46022</v>
      </c>
      <c r="AI141" s="267">
        <f t="shared" si="26"/>
        <v>11.666666666666666</v>
      </c>
      <c r="AJ141" s="267">
        <f t="shared" si="27"/>
        <v>0.32891625729400353</v>
      </c>
      <c r="AK141" s="34">
        <f t="shared" ca="1" si="57"/>
        <v>24165.347040737761</v>
      </c>
      <c r="AL141" s="233"/>
      <c r="AN141" s="349"/>
      <c r="AO141" s="237">
        <f t="shared" si="48"/>
        <v>12</v>
      </c>
      <c r="AP141" s="34">
        <f t="shared" ca="1" si="49"/>
        <v>88.301756839766909</v>
      </c>
      <c r="AQ141" s="34">
        <f t="shared" ca="1" si="28"/>
        <v>0.58406732113335791</v>
      </c>
      <c r="AR141" s="34">
        <f t="shared" ca="1" si="29"/>
        <v>0</v>
      </c>
      <c r="AS141" s="34">
        <f t="shared" ca="1" si="50"/>
        <v>91.806160766567061</v>
      </c>
      <c r="AT141" s="350">
        <v>-5.4124608315349661E-2</v>
      </c>
      <c r="AU141" s="34">
        <f ca="1">MIN(AU140*(1+AT141),$AT$126-SUM(AU$129:AU140))</f>
        <v>91.806160766567061</v>
      </c>
      <c r="AV141" s="348"/>
      <c r="AW141" s="34">
        <f t="shared" ca="1" si="51"/>
        <v>88.301756839766909</v>
      </c>
      <c r="AX141" s="34">
        <f t="shared" ca="1" si="30"/>
        <v>0.58406732113335791</v>
      </c>
      <c r="AY141" s="34">
        <f t="shared" ca="1" si="30"/>
        <v>0</v>
      </c>
      <c r="AZ141" s="34">
        <f t="shared" ca="1" si="30"/>
        <v>91.806160766567061</v>
      </c>
      <c r="BB141" s="34">
        <f t="shared" ca="1" si="52"/>
        <v>6496.2039358422844</v>
      </c>
      <c r="BC141" s="34">
        <f t="shared" ca="1" si="31"/>
        <v>7599.7562165342615</v>
      </c>
      <c r="BD141" s="34">
        <f t="shared" ca="1" si="31"/>
        <v>8290.5913201238145</v>
      </c>
      <c r="BE141" s="34">
        <f t="shared" ca="1" si="31"/>
        <v>0</v>
      </c>
      <c r="BF141" s="34">
        <f t="shared" ca="1" si="31"/>
        <v>0</v>
      </c>
      <c r="BG141" s="34">
        <f t="shared" ca="1" si="31"/>
        <v>0</v>
      </c>
      <c r="BH141" s="34">
        <f t="shared" ca="1" si="31"/>
        <v>0</v>
      </c>
      <c r="BI141" s="34">
        <f t="shared" ca="1" si="31"/>
        <v>0</v>
      </c>
      <c r="BJ141" s="34">
        <f t="shared" ca="1" si="31"/>
        <v>0</v>
      </c>
      <c r="BK141" s="34">
        <f t="shared" ca="1" si="31"/>
        <v>0</v>
      </c>
      <c r="BL141" s="34">
        <f t="shared" ca="1" si="31"/>
        <v>0</v>
      </c>
      <c r="BM141" s="34">
        <f t="shared" ca="1" si="31"/>
        <v>0</v>
      </c>
      <c r="BN141" s="34">
        <f t="shared" ca="1" si="31"/>
        <v>0</v>
      </c>
      <c r="BO141" s="34">
        <f t="shared" ca="1" si="31"/>
        <v>0</v>
      </c>
      <c r="BP141" s="34">
        <f t="shared" ca="1" si="31"/>
        <v>0</v>
      </c>
      <c r="BQ141" s="34">
        <f t="shared" ca="1" si="31"/>
        <v>0</v>
      </c>
      <c r="BR141" s="34">
        <f t="shared" ca="1" si="31"/>
        <v>0</v>
      </c>
      <c r="BS141" s="34">
        <f t="shared" ca="1" si="32"/>
        <v>0</v>
      </c>
      <c r="BT141" s="34">
        <f t="shared" ca="1" si="32"/>
        <v>0</v>
      </c>
      <c r="BU141" s="34">
        <f t="shared" ca="1" si="32"/>
        <v>0</v>
      </c>
      <c r="BV141" s="34">
        <f t="shared" ca="1" si="32"/>
        <v>0</v>
      </c>
      <c r="BW141" s="34">
        <f t="shared" ca="1" si="32"/>
        <v>0</v>
      </c>
      <c r="BX141" s="34">
        <f t="shared" ca="1" si="32"/>
        <v>0</v>
      </c>
      <c r="BY141" s="34">
        <f t="shared" ca="1" si="32"/>
        <v>0</v>
      </c>
      <c r="BZ141" s="34">
        <f t="shared" ca="1" si="32"/>
        <v>0</v>
      </c>
      <c r="CA141" s="34">
        <f t="shared" ca="1" si="32"/>
        <v>0</v>
      </c>
      <c r="CB141" s="34">
        <f t="shared" ca="1" si="32"/>
        <v>0</v>
      </c>
      <c r="CC141" s="34">
        <f t="shared" ca="1" si="32"/>
        <v>0</v>
      </c>
      <c r="CD141" s="34">
        <f t="shared" ca="1" si="32"/>
        <v>0</v>
      </c>
      <c r="CE141" s="34">
        <f t="shared" ca="1" si="32"/>
        <v>0</v>
      </c>
      <c r="CF141" s="34">
        <f t="shared" ca="1" si="32"/>
        <v>0</v>
      </c>
      <c r="CG141" s="34">
        <f t="shared" ca="1" si="32"/>
        <v>0</v>
      </c>
      <c r="CH141" s="34">
        <f t="shared" ca="1" si="32"/>
        <v>0</v>
      </c>
      <c r="CI141" s="34">
        <f t="shared" ca="1" si="33"/>
        <v>0</v>
      </c>
      <c r="CJ141" s="34">
        <f t="shared" ca="1" si="33"/>
        <v>0</v>
      </c>
      <c r="CK141" s="34">
        <f t="shared" ca="1" si="33"/>
        <v>0</v>
      </c>
      <c r="CL141" s="34">
        <f t="shared" ca="1" si="33"/>
        <v>0</v>
      </c>
      <c r="CM141" s="34">
        <f t="shared" ca="1" si="33"/>
        <v>0</v>
      </c>
      <c r="CN141" s="34">
        <f t="shared" ca="1" si="33"/>
        <v>0</v>
      </c>
      <c r="CO141" s="34">
        <f t="shared" ca="1" si="33"/>
        <v>0</v>
      </c>
      <c r="CP141" s="34">
        <f t="shared" ca="1" si="33"/>
        <v>0</v>
      </c>
      <c r="CQ141" s="34">
        <f t="shared" ca="1" si="53"/>
        <v>22386.55147250036</v>
      </c>
      <c r="CR141" s="363">
        <v>0</v>
      </c>
      <c r="CS141" s="34">
        <f t="shared" ca="1" si="54"/>
        <v>22386.55147250036</v>
      </c>
      <c r="CT141" s="233"/>
    </row>
    <row r="142" spans="2:98" x14ac:dyDescent="0.3">
      <c r="B142" s="232"/>
      <c r="C142" s="250">
        <f t="shared" si="55"/>
        <v>2026</v>
      </c>
      <c r="D142" s="263">
        <f t="shared" ca="1" si="34"/>
        <v>20354.00100539589</v>
      </c>
      <c r="E142" s="263">
        <f t="shared" ca="1" si="21"/>
        <v>134.63046792080829</v>
      </c>
      <c r="F142" s="263">
        <f t="shared" ca="1" si="22"/>
        <v>0</v>
      </c>
      <c r="G142" s="263">
        <f t="shared" ca="1" si="35"/>
        <v>21161.783812920741</v>
      </c>
      <c r="H142" s="15"/>
      <c r="I142" s="271">
        <f ca="1">Assumptions!O$68</f>
        <v>4.5</v>
      </c>
      <c r="J142" s="271">
        <f ca="1">Assumptions!P$68</f>
        <v>80</v>
      </c>
      <c r="K142" s="271">
        <f t="shared" ca="1" si="23"/>
        <v>40</v>
      </c>
      <c r="L142" s="15"/>
      <c r="M142" s="35">
        <f t="shared" ca="1" si="36"/>
        <v>4.2299999999999995</v>
      </c>
      <c r="N142" s="35">
        <f t="shared" ca="1" si="24"/>
        <v>74.400000000000006</v>
      </c>
      <c r="O142" s="35">
        <f t="shared" ca="1" si="25"/>
        <v>37.200000000000003</v>
      </c>
      <c r="P142" s="15"/>
      <c r="Q142" s="34">
        <f t="shared" ca="1" si="37"/>
        <v>86097.42425282461</v>
      </c>
      <c r="R142" s="34">
        <f t="shared" ca="1" si="37"/>
        <v>10016.506813308137</v>
      </c>
      <c r="S142" s="34">
        <f t="shared" ca="1" si="37"/>
        <v>0</v>
      </c>
      <c r="T142" s="34">
        <f t="shared" ca="1" si="38"/>
        <v>96113.931066132747</v>
      </c>
      <c r="U142" s="15"/>
      <c r="V142" s="35">
        <f t="shared" si="39"/>
        <v>0.31</v>
      </c>
      <c r="W142" s="34">
        <f t="shared" ca="1" si="40"/>
        <v>6560.1529820054293</v>
      </c>
      <c r="X142" s="35">
        <f t="shared" si="41"/>
        <v>0.37</v>
      </c>
      <c r="Y142" s="34">
        <f t="shared" ca="1" si="42"/>
        <v>7829.8600107806742</v>
      </c>
      <c r="Z142" s="35">
        <f t="shared" si="43"/>
        <v>0.57999999999999996</v>
      </c>
      <c r="AA142" s="34">
        <f t="shared" ca="1" si="44"/>
        <v>12273.834611494029</v>
      </c>
      <c r="AB142" s="34">
        <f t="shared" ca="1" si="45"/>
        <v>26663.847604280134</v>
      </c>
      <c r="AC142" s="15"/>
      <c r="AD142" s="34">
        <f t="shared" ca="1" si="46"/>
        <v>69450.083461852613</v>
      </c>
      <c r="AE142" s="34">
        <f ca="1"/>
        <v>0</v>
      </c>
      <c r="AF142" s="34">
        <f t="shared" ca="1" si="47"/>
        <v>69450.083461852613</v>
      </c>
      <c r="AG142" s="15"/>
      <c r="AH142" s="272">
        <f t="shared" si="56"/>
        <v>46387</v>
      </c>
      <c r="AI142" s="267">
        <f t="shared" si="26"/>
        <v>12.666666666666666</v>
      </c>
      <c r="AJ142" s="267">
        <f t="shared" si="27"/>
        <v>0.29901477935818499</v>
      </c>
      <c r="AK142" s="34">
        <f t="shared" ca="1" si="57"/>
        <v>20766.60138275339</v>
      </c>
      <c r="AL142" s="233"/>
      <c r="AN142" s="349"/>
      <c r="AO142" s="237">
        <f t="shared" si="48"/>
        <v>13</v>
      </c>
      <c r="AP142" s="34">
        <f t="shared" ca="1" si="49"/>
        <v>83.878629109320258</v>
      </c>
      <c r="AQ142" s="34">
        <f t="shared" ca="1" si="28"/>
        <v>0.55481077565781867</v>
      </c>
      <c r="AR142" s="34">
        <f t="shared" ca="1" si="29"/>
        <v>0</v>
      </c>
      <c r="AS142" s="34">
        <f t="shared" ca="1" si="50"/>
        <v>87.207493763267166</v>
      </c>
      <c r="AT142" s="350">
        <v>-5.0091050152862741E-2</v>
      </c>
      <c r="AU142" s="34">
        <f ca="1">MIN(AU141*(1+AT142),$AT$126-SUM(AU$129:AU141))</f>
        <v>87.207493763267166</v>
      </c>
      <c r="AV142" s="348"/>
      <c r="AW142" s="34">
        <f t="shared" ca="1" si="51"/>
        <v>83.878629109320258</v>
      </c>
      <c r="AX142" s="34">
        <f t="shared" ca="1" si="30"/>
        <v>0.55481077565781867</v>
      </c>
      <c r="AY142" s="34">
        <f t="shared" ca="1" si="30"/>
        <v>0</v>
      </c>
      <c r="AZ142" s="34">
        <f t="shared" ca="1" si="30"/>
        <v>87.207493763267166</v>
      </c>
      <c r="BB142" s="34">
        <f t="shared" ca="1" si="52"/>
        <v>6170.8022586887837</v>
      </c>
      <c r="BC142" s="34">
        <f t="shared" ca="1" si="31"/>
        <v>7188.4223880222007</v>
      </c>
      <c r="BD142" s="34">
        <f t="shared" ca="1" si="31"/>
        <v>7802.5591662097577</v>
      </c>
      <c r="BE142" s="34">
        <f t="shared" ca="1" si="31"/>
        <v>0</v>
      </c>
      <c r="BF142" s="34">
        <f t="shared" ca="1" si="31"/>
        <v>0</v>
      </c>
      <c r="BG142" s="34">
        <f t="shared" ca="1" si="31"/>
        <v>0</v>
      </c>
      <c r="BH142" s="34">
        <f t="shared" ca="1" si="31"/>
        <v>0</v>
      </c>
      <c r="BI142" s="34">
        <f t="shared" ca="1" si="31"/>
        <v>0</v>
      </c>
      <c r="BJ142" s="34">
        <f t="shared" ca="1" si="31"/>
        <v>0</v>
      </c>
      <c r="BK142" s="34">
        <f t="shared" ca="1" si="31"/>
        <v>0</v>
      </c>
      <c r="BL142" s="34">
        <f t="shared" ca="1" si="31"/>
        <v>0</v>
      </c>
      <c r="BM142" s="34">
        <f t="shared" ca="1" si="31"/>
        <v>0</v>
      </c>
      <c r="BN142" s="34">
        <f t="shared" ca="1" si="31"/>
        <v>0</v>
      </c>
      <c r="BO142" s="34">
        <f t="shared" ca="1" si="31"/>
        <v>0</v>
      </c>
      <c r="BP142" s="34">
        <f t="shared" ca="1" si="31"/>
        <v>0</v>
      </c>
      <c r="BQ142" s="34">
        <f t="shared" ca="1" si="31"/>
        <v>0</v>
      </c>
      <c r="BR142" s="34">
        <f t="shared" ca="1" si="31"/>
        <v>0</v>
      </c>
      <c r="BS142" s="34">
        <f t="shared" ca="1" si="32"/>
        <v>0</v>
      </c>
      <c r="BT142" s="34">
        <f t="shared" ca="1" si="32"/>
        <v>0</v>
      </c>
      <c r="BU142" s="34">
        <f t="shared" ca="1" si="32"/>
        <v>0</v>
      </c>
      <c r="BV142" s="34">
        <f t="shared" ca="1" si="32"/>
        <v>0</v>
      </c>
      <c r="BW142" s="34">
        <f t="shared" ca="1" si="32"/>
        <v>0</v>
      </c>
      <c r="BX142" s="34">
        <f t="shared" ca="1" si="32"/>
        <v>0</v>
      </c>
      <c r="BY142" s="34">
        <f t="shared" ca="1" si="32"/>
        <v>0</v>
      </c>
      <c r="BZ142" s="34">
        <f t="shared" ca="1" si="32"/>
        <v>0</v>
      </c>
      <c r="CA142" s="34">
        <f t="shared" ca="1" si="32"/>
        <v>0</v>
      </c>
      <c r="CB142" s="34">
        <f t="shared" ca="1" si="32"/>
        <v>0</v>
      </c>
      <c r="CC142" s="34">
        <f t="shared" ca="1" si="32"/>
        <v>0</v>
      </c>
      <c r="CD142" s="34">
        <f t="shared" ca="1" si="32"/>
        <v>0</v>
      </c>
      <c r="CE142" s="34">
        <f t="shared" ca="1" si="32"/>
        <v>0</v>
      </c>
      <c r="CF142" s="34">
        <f t="shared" ca="1" si="32"/>
        <v>0</v>
      </c>
      <c r="CG142" s="34">
        <f t="shared" ca="1" si="32"/>
        <v>0</v>
      </c>
      <c r="CH142" s="34">
        <f t="shared" ca="1" si="32"/>
        <v>0</v>
      </c>
      <c r="CI142" s="34">
        <f t="shared" ca="1" si="33"/>
        <v>0</v>
      </c>
      <c r="CJ142" s="34">
        <f t="shared" ca="1" si="33"/>
        <v>0</v>
      </c>
      <c r="CK142" s="34">
        <f t="shared" ca="1" si="33"/>
        <v>0</v>
      </c>
      <c r="CL142" s="34">
        <f t="shared" ca="1" si="33"/>
        <v>0</v>
      </c>
      <c r="CM142" s="34">
        <f t="shared" ca="1" si="33"/>
        <v>0</v>
      </c>
      <c r="CN142" s="34">
        <f t="shared" ca="1" si="33"/>
        <v>0</v>
      </c>
      <c r="CO142" s="34">
        <f t="shared" ca="1" si="33"/>
        <v>0</v>
      </c>
      <c r="CP142" s="34">
        <f t="shared" ca="1" si="33"/>
        <v>0</v>
      </c>
      <c r="CQ142" s="34">
        <f t="shared" ca="1" si="53"/>
        <v>21161.783812920741</v>
      </c>
      <c r="CR142" s="363">
        <v>0</v>
      </c>
      <c r="CS142" s="34">
        <f t="shared" ca="1" si="54"/>
        <v>21161.783812920741</v>
      </c>
      <c r="CT142" s="233"/>
    </row>
    <row r="143" spans="2:98" x14ac:dyDescent="0.3">
      <c r="B143" s="232"/>
      <c r="C143" s="250">
        <f t="shared" si="55"/>
        <v>2027</v>
      </c>
      <c r="D143" s="263">
        <f t="shared" ca="1" si="34"/>
        <v>19324.793349728505</v>
      </c>
      <c r="E143" s="263">
        <f t="shared" ca="1" si="21"/>
        <v>127.82282807479248</v>
      </c>
      <c r="F143" s="263">
        <f t="shared" ca="1" si="22"/>
        <v>0</v>
      </c>
      <c r="G143" s="263">
        <f t="shared" ca="1" si="35"/>
        <v>20091.730318177259</v>
      </c>
      <c r="H143" s="15"/>
      <c r="I143" s="271">
        <f ca="1">Assumptions!O$68</f>
        <v>4.5</v>
      </c>
      <c r="J143" s="271">
        <f ca="1">Assumptions!P$68</f>
        <v>80</v>
      </c>
      <c r="K143" s="271">
        <f t="shared" ca="1" si="23"/>
        <v>40</v>
      </c>
      <c r="L143" s="15"/>
      <c r="M143" s="35">
        <f t="shared" ca="1" si="36"/>
        <v>4.2299999999999995</v>
      </c>
      <c r="N143" s="35">
        <f t="shared" ca="1" si="24"/>
        <v>74.400000000000006</v>
      </c>
      <c r="O143" s="35">
        <f t="shared" ca="1" si="25"/>
        <v>37.200000000000003</v>
      </c>
      <c r="P143" s="15"/>
      <c r="Q143" s="34">
        <f t="shared" ca="1" si="37"/>
        <v>81743.87586935157</v>
      </c>
      <c r="R143" s="34">
        <f t="shared" ca="1" si="37"/>
        <v>9510.0184087645612</v>
      </c>
      <c r="S143" s="34">
        <f t="shared" ca="1" si="37"/>
        <v>0</v>
      </c>
      <c r="T143" s="34">
        <f t="shared" ca="1" si="38"/>
        <v>91253.894278116131</v>
      </c>
      <c r="U143" s="15"/>
      <c r="V143" s="35">
        <f t="shared" si="39"/>
        <v>0.31</v>
      </c>
      <c r="W143" s="34">
        <f t="shared" ca="1" si="40"/>
        <v>6228.4363986349499</v>
      </c>
      <c r="X143" s="35">
        <f t="shared" si="41"/>
        <v>0.37</v>
      </c>
      <c r="Y143" s="34">
        <f t="shared" ca="1" si="42"/>
        <v>7433.9402177255852</v>
      </c>
      <c r="Z143" s="35">
        <f t="shared" si="43"/>
        <v>0.57999999999999996</v>
      </c>
      <c r="AA143" s="34">
        <f t="shared" ca="1" si="44"/>
        <v>11653.203584542809</v>
      </c>
      <c r="AB143" s="34">
        <f t="shared" ca="1" si="45"/>
        <v>25315.580200903343</v>
      </c>
      <c r="AC143" s="15"/>
      <c r="AD143" s="34">
        <f t="shared" ca="1" si="46"/>
        <v>65938.314077212795</v>
      </c>
      <c r="AE143" s="34">
        <f ca="1"/>
        <v>0</v>
      </c>
      <c r="AF143" s="34">
        <f t="shared" ca="1" si="47"/>
        <v>65938.314077212795</v>
      </c>
      <c r="AG143" s="15"/>
      <c r="AH143" s="272">
        <f t="shared" si="56"/>
        <v>46752</v>
      </c>
      <c r="AI143" s="267">
        <f t="shared" si="26"/>
        <v>13.666666666666666</v>
      </c>
      <c r="AJ143" s="267">
        <f t="shared" si="27"/>
        <v>0.27183161759835001</v>
      </c>
      <c r="AK143" s="34">
        <f t="shared" ca="1" si="57"/>
        <v>17924.118577316807</v>
      </c>
      <c r="AL143" s="233"/>
      <c r="AN143" s="349"/>
      <c r="AO143" s="237">
        <f t="shared" si="48"/>
        <v>14</v>
      </c>
      <c r="AP143" s="34">
        <f t="shared" ca="1" si="49"/>
        <v>79.9684166361439</v>
      </c>
      <c r="AQ143" s="34">
        <f t="shared" ca="1" si="28"/>
        <v>0.52894688114420652</v>
      </c>
      <c r="AR143" s="34">
        <f t="shared" ca="1" si="29"/>
        <v>0</v>
      </c>
      <c r="AS143" s="34">
        <f t="shared" ca="1" si="50"/>
        <v>83.142097923009132</v>
      </c>
      <c r="AT143" s="350">
        <v>-4.6617505730573258E-2</v>
      </c>
      <c r="AU143" s="34">
        <f ca="1">MIN(AU142*(1+AT143),$AT$126-SUM(AU$129:AU142))</f>
        <v>83.142097923009132</v>
      </c>
      <c r="AV143" s="348"/>
      <c r="AW143" s="34">
        <f t="shared" ca="1" si="51"/>
        <v>79.9684166361439</v>
      </c>
      <c r="AX143" s="34">
        <f t="shared" ca="1" si="30"/>
        <v>0.52894688114420652</v>
      </c>
      <c r="AY143" s="34">
        <f t="shared" ca="1" si="30"/>
        <v>0</v>
      </c>
      <c r="AZ143" s="34">
        <f t="shared" ca="1" si="30"/>
        <v>83.142097923009132</v>
      </c>
      <c r="BB143" s="34">
        <f t="shared" ca="1" si="52"/>
        <v>5883.1348490321252</v>
      </c>
      <c r="BC143" s="34">
        <f t="shared" ca="1" si="31"/>
        <v>6828.3467616638191</v>
      </c>
      <c r="BD143" s="34">
        <f t="shared" ca="1" si="31"/>
        <v>7380.2487074813125</v>
      </c>
      <c r="BE143" s="34">
        <f t="shared" ca="1" si="31"/>
        <v>0</v>
      </c>
      <c r="BF143" s="34">
        <f t="shared" ca="1" si="31"/>
        <v>0</v>
      </c>
      <c r="BG143" s="34">
        <f t="shared" ca="1" si="31"/>
        <v>0</v>
      </c>
      <c r="BH143" s="34">
        <f t="shared" ca="1" si="31"/>
        <v>0</v>
      </c>
      <c r="BI143" s="34">
        <f t="shared" ca="1" si="31"/>
        <v>0</v>
      </c>
      <c r="BJ143" s="34">
        <f t="shared" ca="1" si="31"/>
        <v>0</v>
      </c>
      <c r="BK143" s="34">
        <f t="shared" ca="1" si="31"/>
        <v>0</v>
      </c>
      <c r="BL143" s="34">
        <f t="shared" ca="1" si="31"/>
        <v>0</v>
      </c>
      <c r="BM143" s="34">
        <f t="shared" ca="1" si="31"/>
        <v>0</v>
      </c>
      <c r="BN143" s="34">
        <f t="shared" ca="1" si="31"/>
        <v>0</v>
      </c>
      <c r="BO143" s="34">
        <f t="shared" ca="1" si="31"/>
        <v>0</v>
      </c>
      <c r="BP143" s="34">
        <f t="shared" ca="1" si="31"/>
        <v>0</v>
      </c>
      <c r="BQ143" s="34">
        <f t="shared" ca="1" si="31"/>
        <v>0</v>
      </c>
      <c r="BR143" s="34">
        <f t="shared" ca="1" si="31"/>
        <v>0</v>
      </c>
      <c r="BS143" s="34">
        <f t="shared" ca="1" si="32"/>
        <v>0</v>
      </c>
      <c r="BT143" s="34">
        <f t="shared" ca="1" si="32"/>
        <v>0</v>
      </c>
      <c r="BU143" s="34">
        <f t="shared" ca="1" si="32"/>
        <v>0</v>
      </c>
      <c r="BV143" s="34">
        <f t="shared" ca="1" si="32"/>
        <v>0</v>
      </c>
      <c r="BW143" s="34">
        <f t="shared" ca="1" si="32"/>
        <v>0</v>
      </c>
      <c r="BX143" s="34">
        <f t="shared" ca="1" si="32"/>
        <v>0</v>
      </c>
      <c r="BY143" s="34">
        <f t="shared" ca="1" si="32"/>
        <v>0</v>
      </c>
      <c r="BZ143" s="34">
        <f t="shared" ca="1" si="32"/>
        <v>0</v>
      </c>
      <c r="CA143" s="34">
        <f t="shared" ca="1" si="32"/>
        <v>0</v>
      </c>
      <c r="CB143" s="34">
        <f t="shared" ca="1" si="32"/>
        <v>0</v>
      </c>
      <c r="CC143" s="34">
        <f t="shared" ca="1" si="32"/>
        <v>0</v>
      </c>
      <c r="CD143" s="34">
        <f t="shared" ca="1" si="32"/>
        <v>0</v>
      </c>
      <c r="CE143" s="34">
        <f t="shared" ca="1" si="32"/>
        <v>0</v>
      </c>
      <c r="CF143" s="34">
        <f t="shared" ca="1" si="32"/>
        <v>0</v>
      </c>
      <c r="CG143" s="34">
        <f t="shared" ca="1" si="32"/>
        <v>0</v>
      </c>
      <c r="CH143" s="34">
        <f t="shared" ca="1" si="32"/>
        <v>0</v>
      </c>
      <c r="CI143" s="34">
        <f t="shared" ca="1" si="33"/>
        <v>0</v>
      </c>
      <c r="CJ143" s="34">
        <f t="shared" ca="1" si="33"/>
        <v>0</v>
      </c>
      <c r="CK143" s="34">
        <f t="shared" ca="1" si="33"/>
        <v>0</v>
      </c>
      <c r="CL143" s="34">
        <f t="shared" ca="1" si="33"/>
        <v>0</v>
      </c>
      <c r="CM143" s="34">
        <f t="shared" ca="1" si="33"/>
        <v>0</v>
      </c>
      <c r="CN143" s="34">
        <f t="shared" ca="1" si="33"/>
        <v>0</v>
      </c>
      <c r="CO143" s="34">
        <f t="shared" ca="1" si="33"/>
        <v>0</v>
      </c>
      <c r="CP143" s="34">
        <f t="shared" ca="1" si="33"/>
        <v>0</v>
      </c>
      <c r="CQ143" s="34">
        <f t="shared" ca="1" si="53"/>
        <v>20091.730318177259</v>
      </c>
      <c r="CR143" s="363">
        <v>0</v>
      </c>
      <c r="CS143" s="34">
        <f t="shared" ca="1" si="54"/>
        <v>20091.730318177259</v>
      </c>
      <c r="CT143" s="233"/>
    </row>
    <row r="144" spans="2:98" x14ac:dyDescent="0.3">
      <c r="B144" s="232"/>
      <c r="C144" s="250">
        <f t="shared" si="55"/>
        <v>2028</v>
      </c>
      <c r="D144" s="263">
        <f t="shared" ca="1" si="34"/>
        <v>18416.366590886522</v>
      </c>
      <c r="E144" s="263">
        <f t="shared" ca="1" si="21"/>
        <v>121.81408711117278</v>
      </c>
      <c r="F144" s="263">
        <f t="shared" ca="1" si="22"/>
        <v>0</v>
      </c>
      <c r="G144" s="263">
        <f t="shared" ca="1" si="35"/>
        <v>19147.251113553561</v>
      </c>
      <c r="H144" s="15"/>
      <c r="I144" s="271">
        <f ca="1">Assumptions!O$68</f>
        <v>4.5</v>
      </c>
      <c r="J144" s="271">
        <f ca="1">Assumptions!P$68</f>
        <v>80</v>
      </c>
      <c r="K144" s="271">
        <f t="shared" ca="1" si="23"/>
        <v>40</v>
      </c>
      <c r="L144" s="15"/>
      <c r="M144" s="35">
        <f t="shared" ca="1" si="36"/>
        <v>4.2299999999999995</v>
      </c>
      <c r="N144" s="35">
        <f t="shared" ca="1" si="24"/>
        <v>74.400000000000006</v>
      </c>
      <c r="O144" s="35">
        <f t="shared" ca="1" si="25"/>
        <v>37.200000000000003</v>
      </c>
      <c r="P144" s="15"/>
      <c r="Q144" s="34">
        <f t="shared" ca="1" si="37"/>
        <v>77901.230679449975</v>
      </c>
      <c r="R144" s="34">
        <f t="shared" ca="1" si="37"/>
        <v>9062.9680810712562</v>
      </c>
      <c r="S144" s="34">
        <f t="shared" ca="1" si="37"/>
        <v>0</v>
      </c>
      <c r="T144" s="34">
        <f t="shared" ca="1" si="38"/>
        <v>86964.198760521234</v>
      </c>
      <c r="U144" s="15"/>
      <c r="V144" s="35">
        <f t="shared" si="39"/>
        <v>0.31</v>
      </c>
      <c r="W144" s="34">
        <f t="shared" ca="1" si="40"/>
        <v>5935.6478452016036</v>
      </c>
      <c r="X144" s="35">
        <f t="shared" si="41"/>
        <v>0.37</v>
      </c>
      <c r="Y144" s="34">
        <f t="shared" ca="1" si="42"/>
        <v>7084.482912014817</v>
      </c>
      <c r="Z144" s="35">
        <f t="shared" si="43"/>
        <v>0.57999999999999996</v>
      </c>
      <c r="AA144" s="34">
        <f t="shared" ca="1" si="44"/>
        <v>11105.405645861065</v>
      </c>
      <c r="AB144" s="34">
        <f t="shared" ca="1" si="45"/>
        <v>24125.536403077487</v>
      </c>
      <c r="AC144" s="15"/>
      <c r="AD144" s="34">
        <f t="shared" ca="1" si="46"/>
        <v>62838.662357443747</v>
      </c>
      <c r="AE144" s="34">
        <f ca="1"/>
        <v>0</v>
      </c>
      <c r="AF144" s="34">
        <f t="shared" ca="1" si="47"/>
        <v>62838.662357443747</v>
      </c>
      <c r="AG144" s="15"/>
      <c r="AH144" s="272">
        <f t="shared" si="56"/>
        <v>47118</v>
      </c>
      <c r="AI144" s="267">
        <f t="shared" si="26"/>
        <v>14.666666666666666</v>
      </c>
      <c r="AJ144" s="267">
        <f t="shared" si="27"/>
        <v>0.24711965236213634</v>
      </c>
      <c r="AK144" s="34">
        <f t="shared" ca="1" si="57"/>
        <v>15528.668396673162</v>
      </c>
      <c r="AL144" s="233"/>
      <c r="AN144" s="349"/>
      <c r="AO144" s="237">
        <f t="shared" si="48"/>
        <v>15</v>
      </c>
      <c r="AP144" s="34">
        <f t="shared" ca="1" si="49"/>
        <v>76.482206583194937</v>
      </c>
      <c r="AQ144" s="34">
        <f t="shared" ca="1" si="28"/>
        <v>0.50588752831356076</v>
      </c>
      <c r="AR144" s="34">
        <f t="shared" ca="1" si="29"/>
        <v>0</v>
      </c>
      <c r="AS144" s="34">
        <f t="shared" ca="1" si="50"/>
        <v>79.517531753076298</v>
      </c>
      <c r="AT144" s="350">
        <v>-4.3594836556677161E-2</v>
      </c>
      <c r="AU144" s="34">
        <f ca="1">MIN(AU143*(1+AT144),$AT$126-SUM(AU$129:AU143))</f>
        <v>79.517531753076298</v>
      </c>
      <c r="AV144" s="348"/>
      <c r="AW144" s="34">
        <f t="shared" ca="1" si="51"/>
        <v>76.482206583194937</v>
      </c>
      <c r="AX144" s="34">
        <f t="shared" ca="1" si="30"/>
        <v>0.50588752831356076</v>
      </c>
      <c r="AY144" s="34">
        <f t="shared" ca="1" si="30"/>
        <v>0</v>
      </c>
      <c r="AZ144" s="34">
        <f t="shared" ca="1" si="30"/>
        <v>79.517531753076298</v>
      </c>
      <c r="BB144" s="34">
        <f t="shared" ca="1" si="52"/>
        <v>5626.6605468476782</v>
      </c>
      <c r="BC144" s="34">
        <f t="shared" ca="1" si="31"/>
        <v>6510.0262673716152</v>
      </c>
      <c r="BD144" s="34">
        <f t="shared" ca="1" si="31"/>
        <v>7010.5642993342653</v>
      </c>
      <c r="BE144" s="34">
        <f t="shared" ca="1" si="31"/>
        <v>0</v>
      </c>
      <c r="BF144" s="34">
        <f t="shared" ca="1" si="31"/>
        <v>0</v>
      </c>
      <c r="BG144" s="34">
        <f t="shared" ca="1" si="31"/>
        <v>0</v>
      </c>
      <c r="BH144" s="34">
        <f t="shared" ca="1" si="31"/>
        <v>0</v>
      </c>
      <c r="BI144" s="34">
        <f t="shared" ca="1" si="31"/>
        <v>0</v>
      </c>
      <c r="BJ144" s="34">
        <f t="shared" ca="1" si="31"/>
        <v>0</v>
      </c>
      <c r="BK144" s="34">
        <f t="shared" ca="1" si="31"/>
        <v>0</v>
      </c>
      <c r="BL144" s="34">
        <f t="shared" ca="1" si="31"/>
        <v>0</v>
      </c>
      <c r="BM144" s="34">
        <f t="shared" ca="1" si="31"/>
        <v>0</v>
      </c>
      <c r="BN144" s="34">
        <f t="shared" ca="1" si="31"/>
        <v>0</v>
      </c>
      <c r="BO144" s="34">
        <f t="shared" ca="1" si="31"/>
        <v>0</v>
      </c>
      <c r="BP144" s="34">
        <f t="shared" ca="1" si="31"/>
        <v>0</v>
      </c>
      <c r="BQ144" s="34">
        <f t="shared" ca="1" si="31"/>
        <v>0</v>
      </c>
      <c r="BR144" s="34">
        <f t="shared" ref="BR144:CG159" ca="1" si="58">IF($AO144&lt;BR$128,0,OFFSET($AZ$128,$AO144-BR$128+1,0)*BR$126)</f>
        <v>0</v>
      </c>
      <c r="BS144" s="34">
        <f t="shared" ca="1" si="32"/>
        <v>0</v>
      </c>
      <c r="BT144" s="34">
        <f t="shared" ca="1" si="32"/>
        <v>0</v>
      </c>
      <c r="BU144" s="34">
        <f t="shared" ca="1" si="32"/>
        <v>0</v>
      </c>
      <c r="BV144" s="34">
        <f t="shared" ca="1" si="32"/>
        <v>0</v>
      </c>
      <c r="BW144" s="34">
        <f t="shared" ca="1" si="32"/>
        <v>0</v>
      </c>
      <c r="BX144" s="34">
        <f t="shared" ca="1" si="32"/>
        <v>0</v>
      </c>
      <c r="BY144" s="34">
        <f t="shared" ca="1" si="32"/>
        <v>0</v>
      </c>
      <c r="BZ144" s="34">
        <f t="shared" ca="1" si="32"/>
        <v>0</v>
      </c>
      <c r="CA144" s="34">
        <f t="shared" ca="1" si="32"/>
        <v>0</v>
      </c>
      <c r="CB144" s="34">
        <f t="shared" ca="1" si="32"/>
        <v>0</v>
      </c>
      <c r="CC144" s="34">
        <f t="shared" ca="1" si="32"/>
        <v>0</v>
      </c>
      <c r="CD144" s="34">
        <f t="shared" ca="1" si="32"/>
        <v>0</v>
      </c>
      <c r="CE144" s="34">
        <f t="shared" ca="1" si="32"/>
        <v>0</v>
      </c>
      <c r="CF144" s="34">
        <f t="shared" ca="1" si="32"/>
        <v>0</v>
      </c>
      <c r="CG144" s="34">
        <f t="shared" ca="1" si="32"/>
        <v>0</v>
      </c>
      <c r="CH144" s="34">
        <f t="shared" ref="CH144:CP159" ca="1" si="59">IF($AO144&lt;CH$128,0,OFFSET($AZ$128,$AO144-CH$128+1,0)*CH$126)</f>
        <v>0</v>
      </c>
      <c r="CI144" s="34">
        <f t="shared" ca="1" si="33"/>
        <v>0</v>
      </c>
      <c r="CJ144" s="34">
        <f t="shared" ca="1" si="33"/>
        <v>0</v>
      </c>
      <c r="CK144" s="34">
        <f t="shared" ca="1" si="33"/>
        <v>0</v>
      </c>
      <c r="CL144" s="34">
        <f t="shared" ca="1" si="33"/>
        <v>0</v>
      </c>
      <c r="CM144" s="34">
        <f t="shared" ca="1" si="33"/>
        <v>0</v>
      </c>
      <c r="CN144" s="34">
        <f t="shared" ca="1" si="33"/>
        <v>0</v>
      </c>
      <c r="CO144" s="34">
        <f t="shared" ca="1" si="33"/>
        <v>0</v>
      </c>
      <c r="CP144" s="34">
        <f t="shared" ca="1" si="33"/>
        <v>0</v>
      </c>
      <c r="CQ144" s="34">
        <f t="shared" ca="1" si="53"/>
        <v>19147.251113553561</v>
      </c>
      <c r="CR144" s="363">
        <v>0</v>
      </c>
      <c r="CS144" s="34">
        <f t="shared" ca="1" si="54"/>
        <v>19147.251113553561</v>
      </c>
      <c r="CT144" s="233"/>
    </row>
    <row r="145" spans="2:98" x14ac:dyDescent="0.3">
      <c r="B145" s="232"/>
      <c r="C145" s="250">
        <f t="shared" si="55"/>
        <v>2029</v>
      </c>
      <c r="D145" s="263">
        <f t="shared" ca="1" si="34"/>
        <v>17606.481531898542</v>
      </c>
      <c r="E145" s="263">
        <f t="shared" ca="1" si="21"/>
        <v>116.45714503257517</v>
      </c>
      <c r="F145" s="263">
        <f t="shared" ca="1" si="22"/>
        <v>0</v>
      </c>
      <c r="G145" s="263">
        <f t="shared" ca="1" si="35"/>
        <v>18305.224402093994</v>
      </c>
      <c r="H145" s="15"/>
      <c r="I145" s="271">
        <f ca="1">Assumptions!O$68</f>
        <v>4.5</v>
      </c>
      <c r="J145" s="271">
        <f ca="1">Assumptions!P$68</f>
        <v>80</v>
      </c>
      <c r="K145" s="271">
        <f t="shared" ca="1" si="23"/>
        <v>40</v>
      </c>
      <c r="L145" s="15"/>
      <c r="M145" s="35">
        <f t="shared" ca="1" si="36"/>
        <v>4.2299999999999995</v>
      </c>
      <c r="N145" s="35">
        <f t="shared" ca="1" si="24"/>
        <v>74.400000000000006</v>
      </c>
      <c r="O145" s="35">
        <f t="shared" ca="1" si="25"/>
        <v>37.200000000000003</v>
      </c>
      <c r="P145" s="15"/>
      <c r="Q145" s="34">
        <f t="shared" ca="1" si="37"/>
        <v>74475.416879930825</v>
      </c>
      <c r="R145" s="34">
        <f t="shared" ca="1" si="37"/>
        <v>8664.4115904235932</v>
      </c>
      <c r="S145" s="34">
        <f t="shared" ca="1" si="37"/>
        <v>0</v>
      </c>
      <c r="T145" s="34">
        <f t="shared" ca="1" si="38"/>
        <v>83139.82847035442</v>
      </c>
      <c r="U145" s="15"/>
      <c r="V145" s="35">
        <f t="shared" si="39"/>
        <v>0.31</v>
      </c>
      <c r="W145" s="34">
        <f t="shared" ca="1" si="40"/>
        <v>5674.6195646491378</v>
      </c>
      <c r="X145" s="35">
        <f t="shared" si="41"/>
        <v>0.37</v>
      </c>
      <c r="Y145" s="34">
        <f t="shared" ca="1" si="42"/>
        <v>6772.933028774778</v>
      </c>
      <c r="Z145" s="35">
        <f t="shared" si="43"/>
        <v>0.57999999999999996</v>
      </c>
      <c r="AA145" s="34">
        <f t="shared" ca="1" si="44"/>
        <v>10617.030153214517</v>
      </c>
      <c r="AB145" s="34">
        <f t="shared" ca="1" si="45"/>
        <v>23064.582746638433</v>
      </c>
      <c r="AC145" s="15"/>
      <c r="AD145" s="34">
        <f t="shared" ca="1" si="46"/>
        <v>60075.245723715983</v>
      </c>
      <c r="AE145" s="34">
        <f ca="1"/>
        <v>0</v>
      </c>
      <c r="AF145" s="34">
        <f t="shared" ca="1" si="47"/>
        <v>60075.245723715983</v>
      </c>
      <c r="AG145" s="15"/>
      <c r="AH145" s="272">
        <f t="shared" si="56"/>
        <v>47483</v>
      </c>
      <c r="AI145" s="267">
        <f t="shared" si="26"/>
        <v>15.666666666666668</v>
      </c>
      <c r="AJ145" s="267">
        <f t="shared" si="27"/>
        <v>0.22465422942012386</v>
      </c>
      <c r="AK145" s="34">
        <f t="shared" ca="1" si="57"/>
        <v>13496.158035286006</v>
      </c>
      <c r="AL145" s="233"/>
      <c r="AN145" s="349"/>
      <c r="AO145" s="237">
        <f t="shared" si="48"/>
        <v>16</v>
      </c>
      <c r="AP145" s="34">
        <f t="shared" ca="1" si="49"/>
        <v>73.33671620379873</v>
      </c>
      <c r="AQ145" s="34">
        <f t="shared" ca="1" si="28"/>
        <v>0.48508184782321156</v>
      </c>
      <c r="AR145" s="34">
        <f t="shared" ca="1" si="29"/>
        <v>0</v>
      </c>
      <c r="AS145" s="34">
        <f t="shared" ca="1" si="50"/>
        <v>76.247207290738004</v>
      </c>
      <c r="AT145" s="350">
        <v>-4.1127087200009536E-2</v>
      </c>
      <c r="AU145" s="34">
        <f ca="1">MIN(AU144*(1+AT145),$AT$126-SUM(AU$129:AU144))</f>
        <v>76.247207290738004</v>
      </c>
      <c r="AV145" s="348"/>
      <c r="AW145" s="34">
        <f t="shared" ca="1" si="51"/>
        <v>73.33671620379873</v>
      </c>
      <c r="AX145" s="34">
        <f t="shared" ca="1" si="30"/>
        <v>0.48508184782321156</v>
      </c>
      <c r="AY145" s="34">
        <f t="shared" ca="1" si="30"/>
        <v>0</v>
      </c>
      <c r="AZ145" s="34">
        <f t="shared" ca="1" si="30"/>
        <v>76.247207290738004</v>
      </c>
      <c r="BB145" s="34">
        <f t="shared" ca="1" si="52"/>
        <v>5395.2523878926204</v>
      </c>
      <c r="BC145" s="34">
        <f t="shared" ca="1" si="52"/>
        <v>6226.2227362658741</v>
      </c>
      <c r="BD145" s="34">
        <f t="shared" ca="1" si="52"/>
        <v>6683.7492779354989</v>
      </c>
      <c r="BE145" s="34">
        <f t="shared" ca="1" si="52"/>
        <v>0</v>
      </c>
      <c r="BF145" s="34">
        <f t="shared" ca="1" si="52"/>
        <v>0</v>
      </c>
      <c r="BG145" s="34">
        <f t="shared" ca="1" si="52"/>
        <v>0</v>
      </c>
      <c r="BH145" s="34">
        <f t="shared" ca="1" si="52"/>
        <v>0</v>
      </c>
      <c r="BI145" s="34">
        <f t="shared" ca="1" si="52"/>
        <v>0</v>
      </c>
      <c r="BJ145" s="34">
        <f t="shared" ca="1" si="52"/>
        <v>0</v>
      </c>
      <c r="BK145" s="34">
        <f t="shared" ca="1" si="52"/>
        <v>0</v>
      </c>
      <c r="BL145" s="34">
        <f t="shared" ca="1" si="52"/>
        <v>0</v>
      </c>
      <c r="BM145" s="34">
        <f t="shared" ca="1" si="52"/>
        <v>0</v>
      </c>
      <c r="BN145" s="34">
        <f t="shared" ca="1" si="52"/>
        <v>0</v>
      </c>
      <c r="BO145" s="34">
        <f t="shared" ca="1" si="52"/>
        <v>0</v>
      </c>
      <c r="BP145" s="34">
        <f t="shared" ca="1" si="52"/>
        <v>0</v>
      </c>
      <c r="BQ145" s="34">
        <f t="shared" ca="1" si="52"/>
        <v>0</v>
      </c>
      <c r="BR145" s="34">
        <f t="shared" ca="1" si="58"/>
        <v>0</v>
      </c>
      <c r="BS145" s="34">
        <f t="shared" ca="1" si="58"/>
        <v>0</v>
      </c>
      <c r="BT145" s="34">
        <f t="shared" ca="1" si="58"/>
        <v>0</v>
      </c>
      <c r="BU145" s="34">
        <f t="shared" ca="1" si="58"/>
        <v>0</v>
      </c>
      <c r="BV145" s="34">
        <f t="shared" ca="1" si="58"/>
        <v>0</v>
      </c>
      <c r="BW145" s="34">
        <f t="shared" ca="1" si="58"/>
        <v>0</v>
      </c>
      <c r="BX145" s="34">
        <f t="shared" ca="1" si="58"/>
        <v>0</v>
      </c>
      <c r="BY145" s="34">
        <f t="shared" ca="1" si="58"/>
        <v>0</v>
      </c>
      <c r="BZ145" s="34">
        <f t="shared" ca="1" si="58"/>
        <v>0</v>
      </c>
      <c r="CA145" s="34">
        <f t="shared" ca="1" si="58"/>
        <v>0</v>
      </c>
      <c r="CB145" s="34">
        <f t="shared" ca="1" si="58"/>
        <v>0</v>
      </c>
      <c r="CC145" s="34">
        <f t="shared" ca="1" si="58"/>
        <v>0</v>
      </c>
      <c r="CD145" s="34">
        <f t="shared" ca="1" si="58"/>
        <v>0</v>
      </c>
      <c r="CE145" s="34">
        <f t="shared" ca="1" si="58"/>
        <v>0</v>
      </c>
      <c r="CF145" s="34">
        <f t="shared" ca="1" si="58"/>
        <v>0</v>
      </c>
      <c r="CG145" s="34">
        <f t="shared" ca="1" si="58"/>
        <v>0</v>
      </c>
      <c r="CH145" s="34">
        <f t="shared" ca="1" si="59"/>
        <v>0</v>
      </c>
      <c r="CI145" s="34">
        <f t="shared" ca="1" si="59"/>
        <v>0</v>
      </c>
      <c r="CJ145" s="34">
        <f t="shared" ca="1" si="59"/>
        <v>0</v>
      </c>
      <c r="CK145" s="34">
        <f t="shared" ca="1" si="59"/>
        <v>0</v>
      </c>
      <c r="CL145" s="34">
        <f t="shared" ca="1" si="59"/>
        <v>0</v>
      </c>
      <c r="CM145" s="34">
        <f t="shared" ca="1" si="59"/>
        <v>0</v>
      </c>
      <c r="CN145" s="34">
        <f t="shared" ca="1" si="59"/>
        <v>0</v>
      </c>
      <c r="CO145" s="34">
        <f t="shared" ca="1" si="59"/>
        <v>0</v>
      </c>
      <c r="CP145" s="34">
        <f t="shared" ca="1" si="59"/>
        <v>0</v>
      </c>
      <c r="CQ145" s="34">
        <f t="shared" ca="1" si="53"/>
        <v>18305.224402093994</v>
      </c>
      <c r="CR145" s="363">
        <v>0</v>
      </c>
      <c r="CS145" s="34">
        <f t="shared" ca="1" si="54"/>
        <v>18305.224402093994</v>
      </c>
      <c r="CT145" s="233"/>
    </row>
    <row r="146" spans="2:98" x14ac:dyDescent="0.3">
      <c r="B146" s="232"/>
      <c r="C146" s="250">
        <f t="shared" si="55"/>
        <v>2030</v>
      </c>
      <c r="D146" s="263">
        <f t="shared" ca="1" si="34"/>
        <v>16870.390118859745</v>
      </c>
      <c r="E146" s="263">
        <f t="shared" ca="1" si="21"/>
        <v>111.58830713954221</v>
      </c>
      <c r="F146" s="263">
        <f t="shared" ca="1" si="22"/>
        <v>0</v>
      </c>
      <c r="G146" s="263">
        <f t="shared" ca="1" si="35"/>
        <v>17539.919961696996</v>
      </c>
      <c r="H146" s="15"/>
      <c r="I146" s="271">
        <f ca="1">Assumptions!O$68</f>
        <v>4.5</v>
      </c>
      <c r="J146" s="271">
        <f ca="1">Assumptions!P$68</f>
        <v>80</v>
      </c>
      <c r="K146" s="271">
        <f t="shared" ca="1" si="23"/>
        <v>40</v>
      </c>
      <c r="L146" s="15"/>
      <c r="M146" s="35">
        <f t="shared" ca="1" si="36"/>
        <v>4.2299999999999995</v>
      </c>
      <c r="N146" s="35">
        <f t="shared" ca="1" si="24"/>
        <v>74.400000000000006</v>
      </c>
      <c r="O146" s="35">
        <f t="shared" ca="1" si="25"/>
        <v>37.200000000000003</v>
      </c>
      <c r="P146" s="15"/>
      <c r="Q146" s="34">
        <f t="shared" ca="1" si="37"/>
        <v>71361.750202776719</v>
      </c>
      <c r="R146" s="34">
        <f t="shared" ca="1" si="37"/>
        <v>8302.1700511819417</v>
      </c>
      <c r="S146" s="34">
        <f t="shared" ca="1" si="37"/>
        <v>0</v>
      </c>
      <c r="T146" s="34">
        <f t="shared" ca="1" si="38"/>
        <v>79663.920253958655</v>
      </c>
      <c r="U146" s="15"/>
      <c r="V146" s="35">
        <f t="shared" si="39"/>
        <v>0.31</v>
      </c>
      <c r="W146" s="34">
        <f t="shared" ca="1" si="40"/>
        <v>5437.3751881260687</v>
      </c>
      <c r="X146" s="35">
        <f t="shared" si="41"/>
        <v>0.37</v>
      </c>
      <c r="Y146" s="34">
        <f t="shared" ca="1" si="42"/>
        <v>6489.7703858278883</v>
      </c>
      <c r="Z146" s="35">
        <f t="shared" si="43"/>
        <v>0.57999999999999996</v>
      </c>
      <c r="AA146" s="34">
        <f t="shared" ca="1" si="44"/>
        <v>10173.153577784256</v>
      </c>
      <c r="AB146" s="34">
        <f t="shared" ca="1" si="45"/>
        <v>22100.299151738211</v>
      </c>
      <c r="AC146" s="15"/>
      <c r="AD146" s="34">
        <f t="shared" ca="1" si="46"/>
        <v>57563.621102220444</v>
      </c>
      <c r="AE146" s="34">
        <f ca="1"/>
        <v>0</v>
      </c>
      <c r="AF146" s="34">
        <f t="shared" ca="1" si="47"/>
        <v>57563.621102220444</v>
      </c>
      <c r="AG146" s="15"/>
      <c r="AH146" s="272">
        <f t="shared" si="56"/>
        <v>47848</v>
      </c>
      <c r="AI146" s="267">
        <f t="shared" si="26"/>
        <v>16.666666666666668</v>
      </c>
      <c r="AJ146" s="267">
        <f t="shared" si="27"/>
        <v>0.2042311176546581</v>
      </c>
      <c r="AK146" s="34">
        <f t="shared" ca="1" si="57"/>
        <v>11756.282673955742</v>
      </c>
      <c r="AL146" s="233"/>
      <c r="AN146" s="349"/>
      <c r="AO146" s="237">
        <f t="shared" si="48"/>
        <v>17</v>
      </c>
      <c r="AP146" s="34">
        <f t="shared" ca="1" si="49"/>
        <v>70.375368916601815</v>
      </c>
      <c r="AQ146" s="34">
        <f t="shared" ca="1" si="28"/>
        <v>0.46549417212025546</v>
      </c>
      <c r="AR146" s="34">
        <f t="shared" ca="1" si="29"/>
        <v>0</v>
      </c>
      <c r="AS146" s="34">
        <f t="shared" ca="1" si="50"/>
        <v>73.16833394932334</v>
      </c>
      <c r="AT146" s="350">
        <v>-4.0380145723562265E-2</v>
      </c>
      <c r="AU146" s="34">
        <f ca="1">MIN(AU145*(1+AT146),$AT$126-SUM(AU$129:AU145))</f>
        <v>73.16833394932334</v>
      </c>
      <c r="AV146" s="348"/>
      <c r="AW146" s="34">
        <f t="shared" ca="1" si="51"/>
        <v>70.375368916601815</v>
      </c>
      <c r="AX146" s="34">
        <f t="shared" ca="1" si="30"/>
        <v>0.46549417212025546</v>
      </c>
      <c r="AY146" s="34">
        <f t="shared" ca="1" si="30"/>
        <v>0</v>
      </c>
      <c r="AZ146" s="34">
        <f t="shared" ca="1" si="30"/>
        <v>73.16833394932334</v>
      </c>
      <c r="BB146" s="34">
        <f t="shared" ref="BB146:BQ161" ca="1" si="60">IF($AO146&lt;BB$128,0,OFFSET($AZ$128,$AO146-BB$128+1,0)*BB$126)</f>
        <v>5177.3913102541192</v>
      </c>
      <c r="BC146" s="34">
        <f t="shared" ca="1" si="60"/>
        <v>5970.1563308647856</v>
      </c>
      <c r="BD146" s="34">
        <f t="shared" ca="1" si="60"/>
        <v>6392.3723205780916</v>
      </c>
      <c r="BE146" s="34">
        <f t="shared" ca="1" si="60"/>
        <v>0</v>
      </c>
      <c r="BF146" s="34">
        <f t="shared" ca="1" si="60"/>
        <v>0</v>
      </c>
      <c r="BG146" s="34">
        <f t="shared" ca="1" si="60"/>
        <v>0</v>
      </c>
      <c r="BH146" s="34">
        <f t="shared" ca="1" si="60"/>
        <v>0</v>
      </c>
      <c r="BI146" s="34">
        <f t="shared" ca="1" si="60"/>
        <v>0</v>
      </c>
      <c r="BJ146" s="34">
        <f t="shared" ca="1" si="60"/>
        <v>0</v>
      </c>
      <c r="BK146" s="34">
        <f t="shared" ca="1" si="60"/>
        <v>0</v>
      </c>
      <c r="BL146" s="34">
        <f t="shared" ca="1" si="60"/>
        <v>0</v>
      </c>
      <c r="BM146" s="34">
        <f t="shared" ca="1" si="60"/>
        <v>0</v>
      </c>
      <c r="BN146" s="34">
        <f t="shared" ca="1" si="60"/>
        <v>0</v>
      </c>
      <c r="BO146" s="34">
        <f t="shared" ca="1" si="60"/>
        <v>0</v>
      </c>
      <c r="BP146" s="34">
        <f t="shared" ca="1" si="60"/>
        <v>0</v>
      </c>
      <c r="BQ146" s="34">
        <f t="shared" ca="1" si="60"/>
        <v>0</v>
      </c>
      <c r="BR146" s="34">
        <f t="shared" ca="1" si="58"/>
        <v>0</v>
      </c>
      <c r="BS146" s="34">
        <f t="shared" ca="1" si="58"/>
        <v>0</v>
      </c>
      <c r="BT146" s="34">
        <f t="shared" ca="1" si="58"/>
        <v>0</v>
      </c>
      <c r="BU146" s="34">
        <f t="shared" ca="1" si="58"/>
        <v>0</v>
      </c>
      <c r="BV146" s="34">
        <f t="shared" ca="1" si="58"/>
        <v>0</v>
      </c>
      <c r="BW146" s="34">
        <f t="shared" ca="1" si="58"/>
        <v>0</v>
      </c>
      <c r="BX146" s="34">
        <f t="shared" ca="1" si="58"/>
        <v>0</v>
      </c>
      <c r="BY146" s="34">
        <f t="shared" ca="1" si="58"/>
        <v>0</v>
      </c>
      <c r="BZ146" s="34">
        <f t="shared" ca="1" si="58"/>
        <v>0</v>
      </c>
      <c r="CA146" s="34">
        <f t="shared" ca="1" si="58"/>
        <v>0</v>
      </c>
      <c r="CB146" s="34">
        <f t="shared" ca="1" si="58"/>
        <v>0</v>
      </c>
      <c r="CC146" s="34">
        <f t="shared" ca="1" si="58"/>
        <v>0</v>
      </c>
      <c r="CD146" s="34">
        <f t="shared" ca="1" si="58"/>
        <v>0</v>
      </c>
      <c r="CE146" s="34">
        <f t="shared" ca="1" si="58"/>
        <v>0</v>
      </c>
      <c r="CF146" s="34">
        <f t="shared" ca="1" si="58"/>
        <v>0</v>
      </c>
      <c r="CG146" s="34">
        <f t="shared" ca="1" si="58"/>
        <v>0</v>
      </c>
      <c r="CH146" s="34">
        <f t="shared" ca="1" si="59"/>
        <v>0</v>
      </c>
      <c r="CI146" s="34">
        <f t="shared" ca="1" si="59"/>
        <v>0</v>
      </c>
      <c r="CJ146" s="34">
        <f t="shared" ca="1" si="59"/>
        <v>0</v>
      </c>
      <c r="CK146" s="34">
        <f t="shared" ca="1" si="59"/>
        <v>0</v>
      </c>
      <c r="CL146" s="34">
        <f t="shared" ca="1" si="59"/>
        <v>0</v>
      </c>
      <c r="CM146" s="34">
        <f t="shared" ca="1" si="59"/>
        <v>0</v>
      </c>
      <c r="CN146" s="34">
        <f t="shared" ca="1" si="59"/>
        <v>0</v>
      </c>
      <c r="CO146" s="34">
        <f t="shared" ca="1" si="59"/>
        <v>0</v>
      </c>
      <c r="CP146" s="34">
        <f t="shared" ca="1" si="59"/>
        <v>0</v>
      </c>
      <c r="CQ146" s="34">
        <f t="shared" ca="1" si="53"/>
        <v>17539.919961696996</v>
      </c>
      <c r="CR146" s="363">
        <v>0</v>
      </c>
      <c r="CS146" s="34">
        <f t="shared" ca="1" si="54"/>
        <v>17539.919961696996</v>
      </c>
      <c r="CT146" s="233"/>
    </row>
    <row r="147" spans="2:98" x14ac:dyDescent="0.3">
      <c r="B147" s="232"/>
      <c r="C147" s="250">
        <f t="shared" si="55"/>
        <v>2031</v>
      </c>
      <c r="D147" s="263">
        <f t="shared" ca="1" si="34"/>
        <v>16184.588527142148</v>
      </c>
      <c r="E147" s="263">
        <f t="shared" ca="1" si="21"/>
        <v>107.05210862165386</v>
      </c>
      <c r="F147" s="263">
        <f t="shared" ca="1" si="22"/>
        <v>0</v>
      </c>
      <c r="G147" s="263">
        <f t="shared" ca="1" si="35"/>
        <v>16826.901178872071</v>
      </c>
      <c r="H147" s="15"/>
      <c r="I147" s="271">
        <f ca="1">Assumptions!O$68</f>
        <v>4.5</v>
      </c>
      <c r="J147" s="271">
        <f ca="1">Assumptions!P$68</f>
        <v>80</v>
      </c>
      <c r="K147" s="271">
        <f t="shared" ca="1" si="23"/>
        <v>40</v>
      </c>
      <c r="L147" s="15"/>
      <c r="M147" s="35">
        <f t="shared" ca="1" si="36"/>
        <v>4.2299999999999995</v>
      </c>
      <c r="N147" s="35">
        <f t="shared" ca="1" si="24"/>
        <v>74.400000000000006</v>
      </c>
      <c r="O147" s="35">
        <f t="shared" ca="1" si="25"/>
        <v>37.200000000000003</v>
      </c>
      <c r="P147" s="15"/>
      <c r="Q147" s="34">
        <f t="shared" ca="1" si="37"/>
        <v>68460.809469811284</v>
      </c>
      <c r="R147" s="34">
        <f t="shared" ca="1" si="37"/>
        <v>7964.6768814510478</v>
      </c>
      <c r="S147" s="34">
        <f t="shared" ca="1" si="37"/>
        <v>0</v>
      </c>
      <c r="T147" s="34">
        <f t="shared" ca="1" si="38"/>
        <v>76425.486351262327</v>
      </c>
      <c r="U147" s="15"/>
      <c r="V147" s="35">
        <f t="shared" si="39"/>
        <v>0.31</v>
      </c>
      <c r="W147" s="34">
        <f t="shared" ca="1" si="40"/>
        <v>5216.3393654503416</v>
      </c>
      <c r="X147" s="35">
        <f t="shared" si="41"/>
        <v>0.37</v>
      </c>
      <c r="Y147" s="34">
        <f t="shared" ca="1" si="42"/>
        <v>6225.9534361826663</v>
      </c>
      <c r="Z147" s="35">
        <f t="shared" si="43"/>
        <v>0.57999999999999996</v>
      </c>
      <c r="AA147" s="34">
        <f t="shared" ca="1" si="44"/>
        <v>9759.6026837458012</v>
      </c>
      <c r="AB147" s="34">
        <f t="shared" ca="1" si="45"/>
        <v>21201.895485378809</v>
      </c>
      <c r="AC147" s="15"/>
      <c r="AD147" s="34">
        <f t="shared" ca="1" si="46"/>
        <v>55223.590865883518</v>
      </c>
      <c r="AE147" s="34">
        <f ca="1"/>
        <v>0</v>
      </c>
      <c r="AF147" s="34">
        <f t="shared" ca="1" si="47"/>
        <v>55223.590865883518</v>
      </c>
      <c r="AG147" s="15"/>
      <c r="AH147" s="272">
        <f t="shared" si="56"/>
        <v>48213</v>
      </c>
      <c r="AI147" s="267">
        <f t="shared" si="26"/>
        <v>17.666666666666668</v>
      </c>
      <c r="AJ147" s="267">
        <f t="shared" si="27"/>
        <v>0.1856646524133255</v>
      </c>
      <c r="AK147" s="34">
        <f t="shared" ca="1" si="57"/>
        <v>10253.06880312996</v>
      </c>
      <c r="AL147" s="233"/>
      <c r="AN147" s="349"/>
      <c r="AO147" s="237">
        <f t="shared" si="48"/>
        <v>18</v>
      </c>
      <c r="AP147" s="34">
        <f t="shared" ca="1" si="49"/>
        <v>67.533879499002282</v>
      </c>
      <c r="AQ147" s="34">
        <f t="shared" ca="1" si="28"/>
        <v>0.44669928998469727</v>
      </c>
      <c r="AR147" s="34">
        <f t="shared" ca="1" si="29"/>
        <v>0</v>
      </c>
      <c r="AS147" s="34">
        <f t="shared" ca="1" si="50"/>
        <v>70.214075238910468</v>
      </c>
      <c r="AT147" s="350">
        <v>-4.0376192144254738E-2</v>
      </c>
      <c r="AU147" s="34">
        <f ca="1">MIN(AU146*(1+AT147),$AT$126-SUM(AU$129:AU146))</f>
        <v>70.214075238910468</v>
      </c>
      <c r="AV147" s="348"/>
      <c r="AW147" s="34">
        <f t="shared" ca="1" si="51"/>
        <v>67.533879499002282</v>
      </c>
      <c r="AX147" s="34">
        <f t="shared" ca="1" si="30"/>
        <v>0.44669928998469727</v>
      </c>
      <c r="AY147" s="34">
        <f t="shared" ca="1" si="30"/>
        <v>0</v>
      </c>
      <c r="AZ147" s="34">
        <f t="shared" ca="1" si="30"/>
        <v>70.214075238910468</v>
      </c>
      <c r="BB147" s="34">
        <f t="shared" ca="1" si="60"/>
        <v>4968.3479639053039</v>
      </c>
      <c r="BC147" s="34">
        <f t="shared" ca="1" si="60"/>
        <v>5729.0805482320175</v>
      </c>
      <c r="BD147" s="34">
        <f t="shared" ca="1" si="60"/>
        <v>6129.4726667347486</v>
      </c>
      <c r="BE147" s="34">
        <f t="shared" ca="1" si="60"/>
        <v>0</v>
      </c>
      <c r="BF147" s="34">
        <f t="shared" ca="1" si="60"/>
        <v>0</v>
      </c>
      <c r="BG147" s="34">
        <f t="shared" ca="1" si="60"/>
        <v>0</v>
      </c>
      <c r="BH147" s="34">
        <f t="shared" ca="1" si="60"/>
        <v>0</v>
      </c>
      <c r="BI147" s="34">
        <f t="shared" ca="1" si="60"/>
        <v>0</v>
      </c>
      <c r="BJ147" s="34">
        <f t="shared" ca="1" si="60"/>
        <v>0</v>
      </c>
      <c r="BK147" s="34">
        <f t="shared" ca="1" si="60"/>
        <v>0</v>
      </c>
      <c r="BL147" s="34">
        <f t="shared" ca="1" si="60"/>
        <v>0</v>
      </c>
      <c r="BM147" s="34">
        <f t="shared" ca="1" si="60"/>
        <v>0</v>
      </c>
      <c r="BN147" s="34">
        <f t="shared" ca="1" si="60"/>
        <v>0</v>
      </c>
      <c r="BO147" s="34">
        <f t="shared" ca="1" si="60"/>
        <v>0</v>
      </c>
      <c r="BP147" s="34">
        <f t="shared" ca="1" si="60"/>
        <v>0</v>
      </c>
      <c r="BQ147" s="34">
        <f t="shared" ca="1" si="60"/>
        <v>0</v>
      </c>
      <c r="BR147" s="34">
        <f t="shared" ca="1" si="58"/>
        <v>0</v>
      </c>
      <c r="BS147" s="34">
        <f t="shared" ca="1" si="58"/>
        <v>0</v>
      </c>
      <c r="BT147" s="34">
        <f t="shared" ca="1" si="58"/>
        <v>0</v>
      </c>
      <c r="BU147" s="34">
        <f t="shared" ca="1" si="58"/>
        <v>0</v>
      </c>
      <c r="BV147" s="34">
        <f t="shared" ca="1" si="58"/>
        <v>0</v>
      </c>
      <c r="BW147" s="34">
        <f t="shared" ca="1" si="58"/>
        <v>0</v>
      </c>
      <c r="BX147" s="34">
        <f t="shared" ca="1" si="58"/>
        <v>0</v>
      </c>
      <c r="BY147" s="34">
        <f t="shared" ca="1" si="58"/>
        <v>0</v>
      </c>
      <c r="BZ147" s="34">
        <f t="shared" ca="1" si="58"/>
        <v>0</v>
      </c>
      <c r="CA147" s="34">
        <f t="shared" ca="1" si="58"/>
        <v>0</v>
      </c>
      <c r="CB147" s="34">
        <f t="shared" ca="1" si="58"/>
        <v>0</v>
      </c>
      <c r="CC147" s="34">
        <f t="shared" ca="1" si="58"/>
        <v>0</v>
      </c>
      <c r="CD147" s="34">
        <f t="shared" ca="1" si="58"/>
        <v>0</v>
      </c>
      <c r="CE147" s="34">
        <f t="shared" ca="1" si="58"/>
        <v>0</v>
      </c>
      <c r="CF147" s="34">
        <f t="shared" ca="1" si="58"/>
        <v>0</v>
      </c>
      <c r="CG147" s="34">
        <f t="shared" ca="1" si="58"/>
        <v>0</v>
      </c>
      <c r="CH147" s="34">
        <f t="shared" ca="1" si="59"/>
        <v>0</v>
      </c>
      <c r="CI147" s="34">
        <f t="shared" ca="1" si="59"/>
        <v>0</v>
      </c>
      <c r="CJ147" s="34">
        <f t="shared" ca="1" si="59"/>
        <v>0</v>
      </c>
      <c r="CK147" s="34">
        <f t="shared" ca="1" si="59"/>
        <v>0</v>
      </c>
      <c r="CL147" s="34">
        <f t="shared" ca="1" si="59"/>
        <v>0</v>
      </c>
      <c r="CM147" s="34">
        <f t="shared" ca="1" si="59"/>
        <v>0</v>
      </c>
      <c r="CN147" s="34">
        <f t="shared" ca="1" si="59"/>
        <v>0</v>
      </c>
      <c r="CO147" s="34">
        <f t="shared" ca="1" si="59"/>
        <v>0</v>
      </c>
      <c r="CP147" s="34">
        <f t="shared" ca="1" si="59"/>
        <v>0</v>
      </c>
      <c r="CQ147" s="34">
        <f t="shared" ca="1" si="53"/>
        <v>16826.901178872071</v>
      </c>
      <c r="CR147" s="363">
        <v>0</v>
      </c>
      <c r="CS147" s="34">
        <f t="shared" ca="1" si="54"/>
        <v>16826.901178872071</v>
      </c>
      <c r="CT147" s="233"/>
    </row>
    <row r="148" spans="2:98" x14ac:dyDescent="0.3">
      <c r="B148" s="232"/>
      <c r="C148" s="250">
        <f t="shared" si="55"/>
        <v>2032</v>
      </c>
      <c r="D148" s="263">
        <f t="shared" ca="1" si="34"/>
        <v>15531.093048947982</v>
      </c>
      <c r="E148" s="263">
        <f t="shared" ca="1" si="21"/>
        <v>102.72959719060452</v>
      </c>
      <c r="F148" s="263">
        <f t="shared" ca="1" si="22"/>
        <v>0</v>
      </c>
      <c r="G148" s="263">
        <f t="shared" ca="1" si="35"/>
        <v>16147.470632091608</v>
      </c>
      <c r="H148" s="15"/>
      <c r="I148" s="271">
        <f ca="1">Assumptions!O$68</f>
        <v>4.5</v>
      </c>
      <c r="J148" s="271">
        <f ca="1">Assumptions!P$68</f>
        <v>80</v>
      </c>
      <c r="K148" s="271">
        <f t="shared" ca="1" si="23"/>
        <v>40</v>
      </c>
      <c r="L148" s="15"/>
      <c r="M148" s="35">
        <f t="shared" ca="1" si="36"/>
        <v>4.2299999999999995</v>
      </c>
      <c r="N148" s="35">
        <f t="shared" ca="1" si="24"/>
        <v>74.400000000000006</v>
      </c>
      <c r="O148" s="35">
        <f t="shared" ca="1" si="25"/>
        <v>37.200000000000003</v>
      </c>
      <c r="P148" s="15"/>
      <c r="Q148" s="34">
        <f t="shared" ca="1" si="37"/>
        <v>65696.523597049949</v>
      </c>
      <c r="R148" s="34">
        <f t="shared" ca="1" si="37"/>
        <v>7643.0820309809769</v>
      </c>
      <c r="S148" s="34">
        <f t="shared" ca="1" si="37"/>
        <v>0</v>
      </c>
      <c r="T148" s="34">
        <f t="shared" ca="1" si="38"/>
        <v>73339.605628030928</v>
      </c>
      <c r="U148" s="15"/>
      <c r="V148" s="35">
        <f t="shared" si="39"/>
        <v>0.31</v>
      </c>
      <c r="W148" s="34">
        <f t="shared" ca="1" si="40"/>
        <v>5005.7158959483986</v>
      </c>
      <c r="X148" s="35">
        <f t="shared" si="41"/>
        <v>0.37</v>
      </c>
      <c r="Y148" s="34">
        <f t="shared" ca="1" si="42"/>
        <v>5974.5641338738951</v>
      </c>
      <c r="Z148" s="35">
        <f t="shared" si="43"/>
        <v>0.57999999999999996</v>
      </c>
      <c r="AA148" s="34">
        <f t="shared" ca="1" si="44"/>
        <v>9365.5329666131329</v>
      </c>
      <c r="AB148" s="34">
        <f t="shared" ca="1" si="45"/>
        <v>20345.812996435427</v>
      </c>
      <c r="AC148" s="15"/>
      <c r="AD148" s="34">
        <f t="shared" ca="1" si="46"/>
        <v>52993.792631595497</v>
      </c>
      <c r="AE148" s="34">
        <f ca="1"/>
        <v>0</v>
      </c>
      <c r="AF148" s="34">
        <f t="shared" ca="1" si="47"/>
        <v>52993.792631595497</v>
      </c>
      <c r="AG148" s="15"/>
      <c r="AH148" s="272">
        <f t="shared" si="56"/>
        <v>48579</v>
      </c>
      <c r="AI148" s="267">
        <f t="shared" si="26"/>
        <v>18.666666666666668</v>
      </c>
      <c r="AJ148" s="267">
        <f t="shared" si="27"/>
        <v>0.16878604764847771</v>
      </c>
      <c r="AK148" s="34">
        <f t="shared" ca="1" si="57"/>
        <v>8944.6128081900242</v>
      </c>
      <c r="AL148" s="233"/>
      <c r="AN148" s="349"/>
      <c r="AO148" s="237">
        <f t="shared" si="48"/>
        <v>19</v>
      </c>
      <c r="AP148" s="34">
        <f t="shared" ca="1" si="49"/>
        <v>64.807116996974614</v>
      </c>
      <c r="AQ148" s="34">
        <f t="shared" ca="1" si="28"/>
        <v>0.42866326299130275</v>
      </c>
      <c r="AR148" s="34">
        <f t="shared" ca="1" si="29"/>
        <v>0</v>
      </c>
      <c r="AS148" s="34">
        <f t="shared" ca="1" si="50"/>
        <v>67.379096574922428</v>
      </c>
      <c r="AT148" s="350">
        <v>-4.0376215941629136E-2</v>
      </c>
      <c r="AU148" s="34">
        <f ca="1">MIN(AU147*(1+AT148),$AT$126-SUM(AU$129:AU147))</f>
        <v>67.379096574922428</v>
      </c>
      <c r="AV148" s="348"/>
      <c r="AW148" s="34">
        <f t="shared" ca="1" si="51"/>
        <v>64.807116996974614</v>
      </c>
      <c r="AX148" s="34">
        <f t="shared" ca="1" si="30"/>
        <v>0.42866326299130275</v>
      </c>
      <c r="AY148" s="34">
        <f t="shared" ca="1" si="30"/>
        <v>0</v>
      </c>
      <c r="AZ148" s="34">
        <f t="shared" ca="1" si="30"/>
        <v>67.379096574922428</v>
      </c>
      <c r="BB148" s="34">
        <f t="shared" ca="1" si="60"/>
        <v>4767.7448736415108</v>
      </c>
      <c r="BC148" s="34">
        <f t="shared" ca="1" si="60"/>
        <v>5497.7620912066895</v>
      </c>
      <c r="BD148" s="34">
        <f t="shared" ca="1" si="60"/>
        <v>5881.9636672434081</v>
      </c>
      <c r="BE148" s="34">
        <f t="shared" ca="1" si="60"/>
        <v>0</v>
      </c>
      <c r="BF148" s="34">
        <f t="shared" ca="1" si="60"/>
        <v>0</v>
      </c>
      <c r="BG148" s="34">
        <f t="shared" ca="1" si="60"/>
        <v>0</v>
      </c>
      <c r="BH148" s="34">
        <f t="shared" ca="1" si="60"/>
        <v>0</v>
      </c>
      <c r="BI148" s="34">
        <f t="shared" ca="1" si="60"/>
        <v>0</v>
      </c>
      <c r="BJ148" s="34">
        <f t="shared" ca="1" si="60"/>
        <v>0</v>
      </c>
      <c r="BK148" s="34">
        <f t="shared" ca="1" si="60"/>
        <v>0</v>
      </c>
      <c r="BL148" s="34">
        <f t="shared" ca="1" si="60"/>
        <v>0</v>
      </c>
      <c r="BM148" s="34">
        <f t="shared" ca="1" si="60"/>
        <v>0</v>
      </c>
      <c r="BN148" s="34">
        <f t="shared" ca="1" si="60"/>
        <v>0</v>
      </c>
      <c r="BO148" s="34">
        <f t="shared" ca="1" si="60"/>
        <v>0</v>
      </c>
      <c r="BP148" s="34">
        <f t="shared" ca="1" si="60"/>
        <v>0</v>
      </c>
      <c r="BQ148" s="34">
        <f t="shared" ca="1" si="60"/>
        <v>0</v>
      </c>
      <c r="BR148" s="34">
        <f t="shared" ca="1" si="58"/>
        <v>0</v>
      </c>
      <c r="BS148" s="34">
        <f t="shared" ca="1" si="58"/>
        <v>0</v>
      </c>
      <c r="BT148" s="34">
        <f t="shared" ca="1" si="58"/>
        <v>0</v>
      </c>
      <c r="BU148" s="34">
        <f t="shared" ca="1" si="58"/>
        <v>0</v>
      </c>
      <c r="BV148" s="34">
        <f t="shared" ca="1" si="58"/>
        <v>0</v>
      </c>
      <c r="BW148" s="34">
        <f t="shared" ca="1" si="58"/>
        <v>0</v>
      </c>
      <c r="BX148" s="34">
        <f t="shared" ca="1" si="58"/>
        <v>0</v>
      </c>
      <c r="BY148" s="34">
        <f t="shared" ca="1" si="58"/>
        <v>0</v>
      </c>
      <c r="BZ148" s="34">
        <f t="shared" ca="1" si="58"/>
        <v>0</v>
      </c>
      <c r="CA148" s="34">
        <f t="shared" ca="1" si="58"/>
        <v>0</v>
      </c>
      <c r="CB148" s="34">
        <f t="shared" ca="1" si="58"/>
        <v>0</v>
      </c>
      <c r="CC148" s="34">
        <f t="shared" ca="1" si="58"/>
        <v>0</v>
      </c>
      <c r="CD148" s="34">
        <f t="shared" ca="1" si="58"/>
        <v>0</v>
      </c>
      <c r="CE148" s="34">
        <f t="shared" ca="1" si="58"/>
        <v>0</v>
      </c>
      <c r="CF148" s="34">
        <f t="shared" ca="1" si="58"/>
        <v>0</v>
      </c>
      <c r="CG148" s="34">
        <f t="shared" ca="1" si="58"/>
        <v>0</v>
      </c>
      <c r="CH148" s="34">
        <f t="shared" ca="1" si="59"/>
        <v>0</v>
      </c>
      <c r="CI148" s="34">
        <f t="shared" ca="1" si="59"/>
        <v>0</v>
      </c>
      <c r="CJ148" s="34">
        <f t="shared" ca="1" si="59"/>
        <v>0</v>
      </c>
      <c r="CK148" s="34">
        <f t="shared" ca="1" si="59"/>
        <v>0</v>
      </c>
      <c r="CL148" s="34">
        <f t="shared" ca="1" si="59"/>
        <v>0</v>
      </c>
      <c r="CM148" s="34">
        <f t="shared" ca="1" si="59"/>
        <v>0</v>
      </c>
      <c r="CN148" s="34">
        <f t="shared" ca="1" si="59"/>
        <v>0</v>
      </c>
      <c r="CO148" s="34">
        <f t="shared" ca="1" si="59"/>
        <v>0</v>
      </c>
      <c r="CP148" s="34">
        <f t="shared" ca="1" si="59"/>
        <v>0</v>
      </c>
      <c r="CQ148" s="34">
        <f t="shared" ca="1" si="53"/>
        <v>16147.470632091608</v>
      </c>
      <c r="CR148" s="363">
        <v>0</v>
      </c>
      <c r="CS148" s="34">
        <f t="shared" ca="1" si="54"/>
        <v>16147.470632091608</v>
      </c>
      <c r="CT148" s="233"/>
    </row>
    <row r="149" spans="2:98" x14ac:dyDescent="0.3">
      <c r="B149" s="232"/>
      <c r="C149" s="250">
        <f t="shared" si="55"/>
        <v>2033</v>
      </c>
      <c r="D149" s="263">
        <f t="shared" ca="1" si="34"/>
        <v>14904.006615482233</v>
      </c>
      <c r="E149" s="263">
        <f t="shared" ca="1" si="21"/>
        <v>98.581766995356759</v>
      </c>
      <c r="F149" s="263">
        <f t="shared" ca="1" si="22"/>
        <v>0</v>
      </c>
      <c r="G149" s="263">
        <f t="shared" ca="1" si="35"/>
        <v>15495.497217454373</v>
      </c>
      <c r="H149" s="15"/>
      <c r="I149" s="271">
        <f ca="1">Assumptions!O$68</f>
        <v>4.5</v>
      </c>
      <c r="J149" s="271">
        <f ca="1">Assumptions!P$68</f>
        <v>80</v>
      </c>
      <c r="K149" s="271">
        <f t="shared" ca="1" si="23"/>
        <v>40</v>
      </c>
      <c r="L149" s="15"/>
      <c r="M149" s="35">
        <f t="shared" ca="1" si="36"/>
        <v>4.2299999999999995</v>
      </c>
      <c r="N149" s="35">
        <f t="shared" ca="1" si="24"/>
        <v>74.400000000000006</v>
      </c>
      <c r="O149" s="35">
        <f t="shared" ca="1" si="25"/>
        <v>37.200000000000003</v>
      </c>
      <c r="P149" s="15"/>
      <c r="Q149" s="34">
        <f t="shared" ca="1" si="37"/>
        <v>63043.947983489837</v>
      </c>
      <c r="R149" s="34">
        <f t="shared" ca="1" si="37"/>
        <v>7334.4834644545435</v>
      </c>
      <c r="S149" s="34">
        <f t="shared" ca="1" si="37"/>
        <v>0</v>
      </c>
      <c r="T149" s="34">
        <f t="shared" ca="1" si="38"/>
        <v>70378.431447944386</v>
      </c>
      <c r="U149" s="15"/>
      <c r="V149" s="35">
        <f t="shared" si="39"/>
        <v>0.31</v>
      </c>
      <c r="W149" s="34">
        <f t="shared" ca="1" si="40"/>
        <v>4803.6041374108554</v>
      </c>
      <c r="X149" s="35">
        <f t="shared" si="41"/>
        <v>0.37</v>
      </c>
      <c r="Y149" s="34">
        <f t="shared" ca="1" si="42"/>
        <v>5733.3339704581176</v>
      </c>
      <c r="Z149" s="35">
        <f t="shared" si="43"/>
        <v>0.57999999999999996</v>
      </c>
      <c r="AA149" s="34">
        <f t="shared" ca="1" si="44"/>
        <v>8987.3883861235354</v>
      </c>
      <c r="AB149" s="34">
        <f t="shared" ca="1" si="45"/>
        <v>19524.326493992507</v>
      </c>
      <c r="AC149" s="15"/>
      <c r="AD149" s="34">
        <f t="shared" ca="1" si="46"/>
        <v>50854.104953951879</v>
      </c>
      <c r="AE149" s="34">
        <f ca="1"/>
        <v>0</v>
      </c>
      <c r="AF149" s="34">
        <f t="shared" ca="1" si="47"/>
        <v>50854.104953951879</v>
      </c>
      <c r="AG149" s="15"/>
      <c r="AH149" s="272">
        <f t="shared" si="56"/>
        <v>48944</v>
      </c>
      <c r="AI149" s="267">
        <f t="shared" si="26"/>
        <v>19.666666666666668</v>
      </c>
      <c r="AJ149" s="267">
        <f t="shared" si="27"/>
        <v>0.15344186149861608</v>
      </c>
      <c r="AK149" s="34">
        <f t="shared" ca="1" si="57"/>
        <v>7803.1485289803695</v>
      </c>
      <c r="AL149" s="233"/>
      <c r="AN149" s="349"/>
      <c r="AO149" s="237">
        <f t="shared" si="48"/>
        <v>20</v>
      </c>
      <c r="AP149" s="34">
        <f t="shared" ca="1" si="49"/>
        <v>62.190453654011122</v>
      </c>
      <c r="AQ149" s="34">
        <f t="shared" ca="1" si="28"/>
        <v>0.41135548108832404</v>
      </c>
      <c r="AR149" s="34">
        <f t="shared" ca="1" si="29"/>
        <v>0</v>
      </c>
      <c r="AS149" s="34">
        <f t="shared" ca="1" si="50"/>
        <v>64.658586540541066</v>
      </c>
      <c r="AT149" s="350">
        <v>-4.0376172621374891E-2</v>
      </c>
      <c r="AU149" s="34">
        <f ca="1">MIN(AU148*(1+AT149),$AT$126-SUM(AU$129:AU148))</f>
        <v>64.658586540541066</v>
      </c>
      <c r="AV149" s="348"/>
      <c r="AW149" s="34">
        <f t="shared" ca="1" si="51"/>
        <v>62.190453654011122</v>
      </c>
      <c r="AX149" s="34">
        <f t="shared" ca="1" si="30"/>
        <v>0.41135548108832404</v>
      </c>
      <c r="AY149" s="34">
        <f t="shared" ca="1" si="30"/>
        <v>0</v>
      </c>
      <c r="AZ149" s="34">
        <f t="shared" ca="1" si="30"/>
        <v>64.658586540541066</v>
      </c>
      <c r="BB149" s="34">
        <f t="shared" ca="1" si="60"/>
        <v>4575.2415836086848</v>
      </c>
      <c r="BC149" s="34">
        <f t="shared" ca="1" si="60"/>
        <v>5275.7832618164257</v>
      </c>
      <c r="BD149" s="34">
        <f t="shared" ca="1" si="60"/>
        <v>5644.4723720292632</v>
      </c>
      <c r="BE149" s="34">
        <f t="shared" ca="1" si="60"/>
        <v>0</v>
      </c>
      <c r="BF149" s="34">
        <f t="shared" ca="1" si="60"/>
        <v>0</v>
      </c>
      <c r="BG149" s="34">
        <f t="shared" ca="1" si="60"/>
        <v>0</v>
      </c>
      <c r="BH149" s="34">
        <f t="shared" ca="1" si="60"/>
        <v>0</v>
      </c>
      <c r="BI149" s="34">
        <f t="shared" ca="1" si="60"/>
        <v>0</v>
      </c>
      <c r="BJ149" s="34">
        <f t="shared" ca="1" si="60"/>
        <v>0</v>
      </c>
      <c r="BK149" s="34">
        <f t="shared" ca="1" si="60"/>
        <v>0</v>
      </c>
      <c r="BL149" s="34">
        <f t="shared" ca="1" si="60"/>
        <v>0</v>
      </c>
      <c r="BM149" s="34">
        <f t="shared" ca="1" si="60"/>
        <v>0</v>
      </c>
      <c r="BN149" s="34">
        <f t="shared" ca="1" si="60"/>
        <v>0</v>
      </c>
      <c r="BO149" s="34">
        <f t="shared" ca="1" si="60"/>
        <v>0</v>
      </c>
      <c r="BP149" s="34">
        <f t="shared" ca="1" si="60"/>
        <v>0</v>
      </c>
      <c r="BQ149" s="34">
        <f t="shared" ca="1" si="60"/>
        <v>0</v>
      </c>
      <c r="BR149" s="34">
        <f t="shared" ca="1" si="58"/>
        <v>0</v>
      </c>
      <c r="BS149" s="34">
        <f t="shared" ca="1" si="58"/>
        <v>0</v>
      </c>
      <c r="BT149" s="34">
        <f t="shared" ca="1" si="58"/>
        <v>0</v>
      </c>
      <c r="BU149" s="34">
        <f t="shared" ca="1" si="58"/>
        <v>0</v>
      </c>
      <c r="BV149" s="34">
        <f t="shared" ca="1" si="58"/>
        <v>0</v>
      </c>
      <c r="BW149" s="34">
        <f t="shared" ca="1" si="58"/>
        <v>0</v>
      </c>
      <c r="BX149" s="34">
        <f t="shared" ca="1" si="58"/>
        <v>0</v>
      </c>
      <c r="BY149" s="34">
        <f t="shared" ca="1" si="58"/>
        <v>0</v>
      </c>
      <c r="BZ149" s="34">
        <f t="shared" ca="1" si="58"/>
        <v>0</v>
      </c>
      <c r="CA149" s="34">
        <f t="shared" ca="1" si="58"/>
        <v>0</v>
      </c>
      <c r="CB149" s="34">
        <f t="shared" ca="1" si="58"/>
        <v>0</v>
      </c>
      <c r="CC149" s="34">
        <f t="shared" ca="1" si="58"/>
        <v>0</v>
      </c>
      <c r="CD149" s="34">
        <f t="shared" ca="1" si="58"/>
        <v>0</v>
      </c>
      <c r="CE149" s="34">
        <f t="shared" ca="1" si="58"/>
        <v>0</v>
      </c>
      <c r="CF149" s="34">
        <f t="shared" ca="1" si="58"/>
        <v>0</v>
      </c>
      <c r="CG149" s="34">
        <f t="shared" ca="1" si="58"/>
        <v>0</v>
      </c>
      <c r="CH149" s="34">
        <f t="shared" ca="1" si="59"/>
        <v>0</v>
      </c>
      <c r="CI149" s="34">
        <f t="shared" ca="1" si="59"/>
        <v>0</v>
      </c>
      <c r="CJ149" s="34">
        <f t="shared" ca="1" si="59"/>
        <v>0</v>
      </c>
      <c r="CK149" s="34">
        <f t="shared" ca="1" si="59"/>
        <v>0</v>
      </c>
      <c r="CL149" s="34">
        <f t="shared" ca="1" si="59"/>
        <v>0</v>
      </c>
      <c r="CM149" s="34">
        <f t="shared" ca="1" si="59"/>
        <v>0</v>
      </c>
      <c r="CN149" s="34">
        <f t="shared" ca="1" si="59"/>
        <v>0</v>
      </c>
      <c r="CO149" s="34">
        <f t="shared" ca="1" si="59"/>
        <v>0</v>
      </c>
      <c r="CP149" s="34">
        <f t="shared" ca="1" si="59"/>
        <v>0</v>
      </c>
      <c r="CQ149" s="34">
        <f t="shared" ca="1" si="53"/>
        <v>15495.497217454373</v>
      </c>
      <c r="CR149" s="363">
        <v>0</v>
      </c>
      <c r="CS149" s="34">
        <f t="shared" ca="1" si="54"/>
        <v>15495.497217454373</v>
      </c>
      <c r="CT149" s="233"/>
    </row>
    <row r="150" spans="2:98" x14ac:dyDescent="0.3">
      <c r="B150" s="232"/>
      <c r="C150" s="250">
        <f t="shared" si="55"/>
        <v>2034</v>
      </c>
      <c r="D150" s="263">
        <f t="shared" ca="1" si="34"/>
        <v>14302.24002336623</v>
      </c>
      <c r="E150" s="263">
        <f t="shared" ca="1" si="21"/>
        <v>94.601413557513752</v>
      </c>
      <c r="F150" s="263">
        <f t="shared" ca="1" si="22"/>
        <v>0</v>
      </c>
      <c r="G150" s="263">
        <f t="shared" ca="1" si="35"/>
        <v>14869.848504711314</v>
      </c>
      <c r="H150" s="15"/>
      <c r="I150" s="271">
        <f ca="1">Assumptions!O$68</f>
        <v>4.5</v>
      </c>
      <c r="J150" s="271">
        <f ca="1">Assumptions!P$68</f>
        <v>80</v>
      </c>
      <c r="K150" s="271">
        <f t="shared" ca="1" si="23"/>
        <v>40</v>
      </c>
      <c r="L150" s="15"/>
      <c r="M150" s="35">
        <f t="shared" ca="1" si="36"/>
        <v>4.2299999999999995</v>
      </c>
      <c r="N150" s="35">
        <f t="shared" ca="1" si="24"/>
        <v>74.400000000000006</v>
      </c>
      <c r="O150" s="35">
        <f t="shared" ca="1" si="25"/>
        <v>37.200000000000003</v>
      </c>
      <c r="P150" s="15"/>
      <c r="Q150" s="34">
        <f t="shared" ca="1" si="37"/>
        <v>60498.475298839148</v>
      </c>
      <c r="R150" s="34">
        <f t="shared" ca="1" si="37"/>
        <v>7038.345168679024</v>
      </c>
      <c r="S150" s="34">
        <f t="shared" ca="1" si="37"/>
        <v>0</v>
      </c>
      <c r="T150" s="34">
        <f t="shared" ca="1" si="38"/>
        <v>67536.820467518177</v>
      </c>
      <c r="U150" s="15"/>
      <c r="V150" s="35">
        <f t="shared" si="39"/>
        <v>0.31</v>
      </c>
      <c r="W150" s="34">
        <f t="shared" ca="1" si="40"/>
        <v>4609.6530364605069</v>
      </c>
      <c r="X150" s="35">
        <f t="shared" si="41"/>
        <v>0.37</v>
      </c>
      <c r="Y150" s="34">
        <f t="shared" ca="1" si="42"/>
        <v>5501.8439467431863</v>
      </c>
      <c r="Z150" s="35">
        <f t="shared" si="43"/>
        <v>0.57999999999999996</v>
      </c>
      <c r="AA150" s="34">
        <f t="shared" ca="1" si="44"/>
        <v>8624.5121327325614</v>
      </c>
      <c r="AB150" s="34">
        <f t="shared" ca="1" si="45"/>
        <v>18736.009115936256</v>
      </c>
      <c r="AC150" s="15"/>
      <c r="AD150" s="34">
        <f t="shared" ca="1" si="46"/>
        <v>48800.81135158192</v>
      </c>
      <c r="AE150" s="34">
        <f ca="1"/>
        <v>0</v>
      </c>
      <c r="AF150" s="34">
        <f t="shared" ca="1" si="47"/>
        <v>48800.81135158192</v>
      </c>
      <c r="AG150" s="15"/>
      <c r="AH150" s="272">
        <f t="shared" si="56"/>
        <v>49309</v>
      </c>
      <c r="AI150" s="267">
        <f t="shared" si="26"/>
        <v>20.666666666666668</v>
      </c>
      <c r="AJ150" s="267">
        <f t="shared" si="27"/>
        <v>0.13949260136237826</v>
      </c>
      <c r="AK150" s="34">
        <f t="shared" ca="1" si="57"/>
        <v>6807.352124026841</v>
      </c>
      <c r="AL150" s="233"/>
      <c r="AN150" s="349"/>
      <c r="AO150" s="237">
        <f t="shared" si="48"/>
        <v>21</v>
      </c>
      <c r="AP150" s="34">
        <f t="shared" ca="1" si="49"/>
        <v>59.67944663003567</v>
      </c>
      <c r="AQ150" s="34">
        <f t="shared" ca="1" si="28"/>
        <v>0.39474655734401298</v>
      </c>
      <c r="AR150" s="34">
        <f t="shared" ca="1" si="29"/>
        <v>0</v>
      </c>
      <c r="AS150" s="34">
        <f t="shared" ca="1" si="50"/>
        <v>62.047925974099748</v>
      </c>
      <c r="AT150" s="350">
        <v>-4.0376084695331667E-2</v>
      </c>
      <c r="AU150" s="34">
        <f ca="1">MIN(AU149*(1+AT150),$AT$126-SUM(AU$129:AU149))</f>
        <v>62.047925974099748</v>
      </c>
      <c r="AV150" s="348"/>
      <c r="AW150" s="34">
        <f t="shared" ca="1" si="51"/>
        <v>59.67944663003567</v>
      </c>
      <c r="AX150" s="34">
        <f t="shared" ca="1" si="30"/>
        <v>0.39474655734401298</v>
      </c>
      <c r="AY150" s="34">
        <f t="shared" ca="1" si="30"/>
        <v>0</v>
      </c>
      <c r="AZ150" s="34">
        <f t="shared" ca="1" si="30"/>
        <v>62.047925974099748</v>
      </c>
      <c r="BB150" s="34">
        <f t="shared" ca="1" si="60"/>
        <v>4390.5112419272973</v>
      </c>
      <c r="BC150" s="34">
        <f t="shared" ca="1" si="60"/>
        <v>5062.7673261243654</v>
      </c>
      <c r="BD150" s="34">
        <f t="shared" ca="1" si="60"/>
        <v>5416.56993665965</v>
      </c>
      <c r="BE150" s="34">
        <f t="shared" ca="1" si="60"/>
        <v>0</v>
      </c>
      <c r="BF150" s="34">
        <f t="shared" ca="1" si="60"/>
        <v>0</v>
      </c>
      <c r="BG150" s="34">
        <f t="shared" ca="1" si="60"/>
        <v>0</v>
      </c>
      <c r="BH150" s="34">
        <f t="shared" ca="1" si="60"/>
        <v>0</v>
      </c>
      <c r="BI150" s="34">
        <f t="shared" ca="1" si="60"/>
        <v>0</v>
      </c>
      <c r="BJ150" s="34">
        <f t="shared" ca="1" si="60"/>
        <v>0</v>
      </c>
      <c r="BK150" s="34">
        <f t="shared" ca="1" si="60"/>
        <v>0</v>
      </c>
      <c r="BL150" s="34">
        <f t="shared" ca="1" si="60"/>
        <v>0</v>
      </c>
      <c r="BM150" s="34">
        <f t="shared" ca="1" si="60"/>
        <v>0</v>
      </c>
      <c r="BN150" s="34">
        <f t="shared" ca="1" si="60"/>
        <v>0</v>
      </c>
      <c r="BO150" s="34">
        <f t="shared" ca="1" si="60"/>
        <v>0</v>
      </c>
      <c r="BP150" s="34">
        <f t="shared" ca="1" si="60"/>
        <v>0</v>
      </c>
      <c r="BQ150" s="34">
        <f t="shared" ca="1" si="60"/>
        <v>0</v>
      </c>
      <c r="BR150" s="34">
        <f t="shared" ca="1" si="58"/>
        <v>0</v>
      </c>
      <c r="BS150" s="34">
        <f t="shared" ca="1" si="58"/>
        <v>0</v>
      </c>
      <c r="BT150" s="34">
        <f t="shared" ca="1" si="58"/>
        <v>0</v>
      </c>
      <c r="BU150" s="34">
        <f t="shared" ca="1" si="58"/>
        <v>0</v>
      </c>
      <c r="BV150" s="34">
        <f t="shared" ca="1" si="58"/>
        <v>0</v>
      </c>
      <c r="BW150" s="34">
        <f t="shared" ca="1" si="58"/>
        <v>0</v>
      </c>
      <c r="BX150" s="34">
        <f t="shared" ca="1" si="58"/>
        <v>0</v>
      </c>
      <c r="BY150" s="34">
        <f t="shared" ca="1" si="58"/>
        <v>0</v>
      </c>
      <c r="BZ150" s="34">
        <f t="shared" ca="1" si="58"/>
        <v>0</v>
      </c>
      <c r="CA150" s="34">
        <f t="shared" ca="1" si="58"/>
        <v>0</v>
      </c>
      <c r="CB150" s="34">
        <f t="shared" ca="1" si="58"/>
        <v>0</v>
      </c>
      <c r="CC150" s="34">
        <f t="shared" ca="1" si="58"/>
        <v>0</v>
      </c>
      <c r="CD150" s="34">
        <f t="shared" ca="1" si="58"/>
        <v>0</v>
      </c>
      <c r="CE150" s="34">
        <f t="shared" ca="1" si="58"/>
        <v>0</v>
      </c>
      <c r="CF150" s="34">
        <f t="shared" ca="1" si="58"/>
        <v>0</v>
      </c>
      <c r="CG150" s="34">
        <f t="shared" ca="1" si="58"/>
        <v>0</v>
      </c>
      <c r="CH150" s="34">
        <f t="shared" ca="1" si="59"/>
        <v>0</v>
      </c>
      <c r="CI150" s="34">
        <f t="shared" ca="1" si="59"/>
        <v>0</v>
      </c>
      <c r="CJ150" s="34">
        <f t="shared" ca="1" si="59"/>
        <v>0</v>
      </c>
      <c r="CK150" s="34">
        <f t="shared" ca="1" si="59"/>
        <v>0</v>
      </c>
      <c r="CL150" s="34">
        <f t="shared" ca="1" si="59"/>
        <v>0</v>
      </c>
      <c r="CM150" s="34">
        <f t="shared" ca="1" si="59"/>
        <v>0</v>
      </c>
      <c r="CN150" s="34">
        <f t="shared" ca="1" si="59"/>
        <v>0</v>
      </c>
      <c r="CO150" s="34">
        <f t="shared" ca="1" si="59"/>
        <v>0</v>
      </c>
      <c r="CP150" s="34">
        <f t="shared" ca="1" si="59"/>
        <v>0</v>
      </c>
      <c r="CQ150" s="34">
        <f t="shared" ca="1" si="53"/>
        <v>14869.848504711314</v>
      </c>
      <c r="CR150" s="363">
        <v>0</v>
      </c>
      <c r="CS150" s="34">
        <f t="shared" ca="1" si="54"/>
        <v>14869.848504711314</v>
      </c>
      <c r="CT150" s="233"/>
    </row>
    <row r="151" spans="2:98" x14ac:dyDescent="0.3">
      <c r="B151" s="232"/>
      <c r="C151" s="250">
        <f t="shared" si="55"/>
        <v>2035</v>
      </c>
      <c r="D151" s="263">
        <f t="shared" ca="1" si="34"/>
        <v>13724.770779790879</v>
      </c>
      <c r="E151" s="263">
        <f t="shared" ca="1" si="21"/>
        <v>90.78177365222858</v>
      </c>
      <c r="F151" s="263">
        <f t="shared" ca="1" si="22"/>
        <v>0</v>
      </c>
      <c r="G151" s="263">
        <f t="shared" ca="1" si="35"/>
        <v>14269.461421704251</v>
      </c>
      <c r="H151" s="15"/>
      <c r="I151" s="271">
        <f ca="1">Assumptions!O$68</f>
        <v>4.5</v>
      </c>
      <c r="J151" s="271">
        <f ca="1">Assumptions!P$68</f>
        <v>80</v>
      </c>
      <c r="K151" s="271">
        <f t="shared" ca="1" si="23"/>
        <v>40</v>
      </c>
      <c r="L151" s="15"/>
      <c r="M151" s="35">
        <f t="shared" ca="1" si="36"/>
        <v>4.2299999999999995</v>
      </c>
      <c r="N151" s="35">
        <f t="shared" ca="1" si="24"/>
        <v>74.400000000000006</v>
      </c>
      <c r="O151" s="35">
        <f t="shared" ca="1" si="25"/>
        <v>37.200000000000003</v>
      </c>
      <c r="P151" s="15"/>
      <c r="Q151" s="34">
        <f t="shared" ca="1" si="37"/>
        <v>58055.78039851541</v>
      </c>
      <c r="R151" s="34">
        <f t="shared" ca="1" si="37"/>
        <v>6754.1639597258072</v>
      </c>
      <c r="S151" s="34">
        <f t="shared" ca="1" si="37"/>
        <v>0</v>
      </c>
      <c r="T151" s="34">
        <f t="shared" ca="1" si="38"/>
        <v>64809.94435824122</v>
      </c>
      <c r="U151" s="15"/>
      <c r="V151" s="35">
        <f t="shared" si="39"/>
        <v>0.31</v>
      </c>
      <c r="W151" s="34">
        <f t="shared" ca="1" si="40"/>
        <v>4423.5330407283182</v>
      </c>
      <c r="X151" s="35">
        <f t="shared" si="41"/>
        <v>0.37</v>
      </c>
      <c r="Y151" s="34">
        <f t="shared" ca="1" si="42"/>
        <v>5279.7007260305727</v>
      </c>
      <c r="Z151" s="35">
        <f t="shared" si="43"/>
        <v>0.57999999999999996</v>
      </c>
      <c r="AA151" s="34">
        <f t="shared" ca="1" si="44"/>
        <v>8276.2876245884654</v>
      </c>
      <c r="AB151" s="34">
        <f t="shared" ca="1" si="45"/>
        <v>17979.521391347356</v>
      </c>
      <c r="AC151" s="15"/>
      <c r="AD151" s="34">
        <f t="shared" ca="1" si="46"/>
        <v>46830.422966893864</v>
      </c>
      <c r="AE151" s="34">
        <f ca="1"/>
        <v>0</v>
      </c>
      <c r="AF151" s="34">
        <f t="shared" ca="1" si="47"/>
        <v>46830.422966893864</v>
      </c>
      <c r="AG151" s="15"/>
      <c r="AH151" s="272">
        <f t="shared" si="56"/>
        <v>49674</v>
      </c>
      <c r="AI151" s="267">
        <f t="shared" si="26"/>
        <v>21.666666666666668</v>
      </c>
      <c r="AJ151" s="267">
        <f t="shared" si="27"/>
        <v>0.12681145578398023</v>
      </c>
      <c r="AK151" s="34">
        <f t="shared" ca="1" si="57"/>
        <v>5938.6341114113538</v>
      </c>
      <c r="AL151" s="233"/>
      <c r="AN151" s="349"/>
      <c r="AO151" s="237">
        <f t="shared" si="48"/>
        <v>22</v>
      </c>
      <c r="AP151" s="34">
        <f t="shared" ca="1" si="49"/>
        <v>57.269819560815456</v>
      </c>
      <c r="AQ151" s="34">
        <f t="shared" ca="1" si="28"/>
        <v>0.3788082059723214</v>
      </c>
      <c r="AR151" s="34">
        <f t="shared" ca="1" si="29"/>
        <v>0</v>
      </c>
      <c r="AS151" s="34">
        <f t="shared" ca="1" si="50"/>
        <v>59.542668796649387</v>
      </c>
      <c r="AT151" s="350">
        <v>-4.0376163072656374E-2</v>
      </c>
      <c r="AU151" s="34">
        <f ca="1">MIN(AU150*(1+AT151),$AT$126-SUM(AU$129:AU150))</f>
        <v>59.542668796649387</v>
      </c>
      <c r="AV151" s="348"/>
      <c r="AW151" s="34">
        <f t="shared" ca="1" si="51"/>
        <v>57.269819560815456</v>
      </c>
      <c r="AX151" s="34">
        <f t="shared" ca="1" si="30"/>
        <v>0.3788082059723214</v>
      </c>
      <c r="AY151" s="34">
        <f t="shared" ca="1" si="30"/>
        <v>0</v>
      </c>
      <c r="AZ151" s="34">
        <f t="shared" ca="1" si="30"/>
        <v>59.542668796649387</v>
      </c>
      <c r="BB151" s="34">
        <f t="shared" ca="1" si="60"/>
        <v>4213.2392440509102</v>
      </c>
      <c r="BC151" s="34">
        <f t="shared" ca="1" si="60"/>
        <v>4858.3526037720103</v>
      </c>
      <c r="BD151" s="34">
        <f t="shared" ca="1" si="60"/>
        <v>5197.8695738813303</v>
      </c>
      <c r="BE151" s="34">
        <f t="shared" ca="1" si="60"/>
        <v>0</v>
      </c>
      <c r="BF151" s="34">
        <f t="shared" ca="1" si="60"/>
        <v>0</v>
      </c>
      <c r="BG151" s="34">
        <f t="shared" ca="1" si="60"/>
        <v>0</v>
      </c>
      <c r="BH151" s="34">
        <f t="shared" ca="1" si="60"/>
        <v>0</v>
      </c>
      <c r="BI151" s="34">
        <f t="shared" ca="1" si="60"/>
        <v>0</v>
      </c>
      <c r="BJ151" s="34">
        <f t="shared" ca="1" si="60"/>
        <v>0</v>
      </c>
      <c r="BK151" s="34">
        <f t="shared" ca="1" si="60"/>
        <v>0</v>
      </c>
      <c r="BL151" s="34">
        <f t="shared" ca="1" si="60"/>
        <v>0</v>
      </c>
      <c r="BM151" s="34">
        <f t="shared" ca="1" si="60"/>
        <v>0</v>
      </c>
      <c r="BN151" s="34">
        <f t="shared" ca="1" si="60"/>
        <v>0</v>
      </c>
      <c r="BO151" s="34">
        <f t="shared" ca="1" si="60"/>
        <v>0</v>
      </c>
      <c r="BP151" s="34">
        <f t="shared" ca="1" si="60"/>
        <v>0</v>
      </c>
      <c r="BQ151" s="34">
        <f t="shared" ca="1" si="60"/>
        <v>0</v>
      </c>
      <c r="BR151" s="34">
        <f t="shared" ca="1" si="58"/>
        <v>0</v>
      </c>
      <c r="BS151" s="34">
        <f t="shared" ca="1" si="58"/>
        <v>0</v>
      </c>
      <c r="BT151" s="34">
        <f t="shared" ca="1" si="58"/>
        <v>0</v>
      </c>
      <c r="BU151" s="34">
        <f t="shared" ca="1" si="58"/>
        <v>0</v>
      </c>
      <c r="BV151" s="34">
        <f t="shared" ca="1" si="58"/>
        <v>0</v>
      </c>
      <c r="BW151" s="34">
        <f t="shared" ca="1" si="58"/>
        <v>0</v>
      </c>
      <c r="BX151" s="34">
        <f t="shared" ca="1" si="58"/>
        <v>0</v>
      </c>
      <c r="BY151" s="34">
        <f t="shared" ca="1" si="58"/>
        <v>0</v>
      </c>
      <c r="BZ151" s="34">
        <f t="shared" ca="1" si="58"/>
        <v>0</v>
      </c>
      <c r="CA151" s="34">
        <f t="shared" ca="1" si="58"/>
        <v>0</v>
      </c>
      <c r="CB151" s="34">
        <f t="shared" ca="1" si="58"/>
        <v>0</v>
      </c>
      <c r="CC151" s="34">
        <f t="shared" ca="1" si="58"/>
        <v>0</v>
      </c>
      <c r="CD151" s="34">
        <f t="shared" ca="1" si="58"/>
        <v>0</v>
      </c>
      <c r="CE151" s="34">
        <f t="shared" ca="1" si="58"/>
        <v>0</v>
      </c>
      <c r="CF151" s="34">
        <f t="shared" ca="1" si="58"/>
        <v>0</v>
      </c>
      <c r="CG151" s="34">
        <f t="shared" ca="1" si="58"/>
        <v>0</v>
      </c>
      <c r="CH151" s="34">
        <f t="shared" ca="1" si="59"/>
        <v>0</v>
      </c>
      <c r="CI151" s="34">
        <f t="shared" ca="1" si="59"/>
        <v>0</v>
      </c>
      <c r="CJ151" s="34">
        <f t="shared" ca="1" si="59"/>
        <v>0</v>
      </c>
      <c r="CK151" s="34">
        <f t="shared" ca="1" si="59"/>
        <v>0</v>
      </c>
      <c r="CL151" s="34">
        <f t="shared" ca="1" si="59"/>
        <v>0</v>
      </c>
      <c r="CM151" s="34">
        <f t="shared" ca="1" si="59"/>
        <v>0</v>
      </c>
      <c r="CN151" s="34">
        <f t="shared" ca="1" si="59"/>
        <v>0</v>
      </c>
      <c r="CO151" s="34">
        <f t="shared" ca="1" si="59"/>
        <v>0</v>
      </c>
      <c r="CP151" s="34">
        <f t="shared" ca="1" si="59"/>
        <v>0</v>
      </c>
      <c r="CQ151" s="34">
        <f t="shared" ca="1" si="53"/>
        <v>14269.461421704251</v>
      </c>
      <c r="CR151" s="363">
        <v>0</v>
      </c>
      <c r="CS151" s="34">
        <f t="shared" ca="1" si="54"/>
        <v>14269.461421704251</v>
      </c>
      <c r="CT151" s="233"/>
    </row>
    <row r="152" spans="2:98" x14ac:dyDescent="0.3">
      <c r="B152" s="232"/>
      <c r="C152" s="250">
        <f t="shared" si="55"/>
        <v>2036</v>
      </c>
      <c r="D152" s="263">
        <f t="shared" ca="1" si="34"/>
        <v>13170.617914274739</v>
      </c>
      <c r="E152" s="263">
        <f t="shared" ca="1" si="21"/>
        <v>87.116358701904232</v>
      </c>
      <c r="F152" s="263">
        <f t="shared" ca="1" si="22"/>
        <v>0</v>
      </c>
      <c r="G152" s="263">
        <f t="shared" ca="1" si="35"/>
        <v>13693.316066486164</v>
      </c>
      <c r="H152" s="15"/>
      <c r="I152" s="271">
        <f ca="1">Assumptions!O$68</f>
        <v>4.5</v>
      </c>
      <c r="J152" s="271">
        <f ca="1">Assumptions!P$68</f>
        <v>80</v>
      </c>
      <c r="K152" s="271">
        <f t="shared" ca="1" si="23"/>
        <v>40</v>
      </c>
      <c r="L152" s="15"/>
      <c r="M152" s="35">
        <f t="shared" ca="1" si="36"/>
        <v>4.2299999999999995</v>
      </c>
      <c r="N152" s="35">
        <f t="shared" ca="1" si="24"/>
        <v>74.400000000000006</v>
      </c>
      <c r="O152" s="35">
        <f t="shared" ca="1" si="25"/>
        <v>37.200000000000003</v>
      </c>
      <c r="P152" s="15"/>
      <c r="Q152" s="34">
        <f t="shared" ca="1" si="37"/>
        <v>55711.713777382138</v>
      </c>
      <c r="R152" s="34">
        <f t="shared" ca="1" si="37"/>
        <v>6481.4570874216752</v>
      </c>
      <c r="S152" s="34">
        <f t="shared" ca="1" si="37"/>
        <v>0</v>
      </c>
      <c r="T152" s="34">
        <f t="shared" ca="1" si="38"/>
        <v>62193.170864803811</v>
      </c>
      <c r="U152" s="15"/>
      <c r="V152" s="35">
        <f t="shared" si="39"/>
        <v>0.31</v>
      </c>
      <c r="W152" s="34">
        <f t="shared" ca="1" si="40"/>
        <v>4244.9279806107106</v>
      </c>
      <c r="X152" s="35">
        <f t="shared" si="41"/>
        <v>0.37</v>
      </c>
      <c r="Y152" s="34">
        <f t="shared" ca="1" si="42"/>
        <v>5066.5269445998811</v>
      </c>
      <c r="Z152" s="35">
        <f t="shared" si="43"/>
        <v>0.57999999999999996</v>
      </c>
      <c r="AA152" s="34">
        <f t="shared" ca="1" si="44"/>
        <v>7942.1233185619749</v>
      </c>
      <c r="AB152" s="34">
        <f t="shared" ca="1" si="45"/>
        <v>17253.578243772565</v>
      </c>
      <c r="AC152" s="15"/>
      <c r="AD152" s="34">
        <f t="shared" ca="1" si="46"/>
        <v>44939.592621031246</v>
      </c>
      <c r="AE152" s="34">
        <f ca="1"/>
        <v>0</v>
      </c>
      <c r="AF152" s="34">
        <f t="shared" ca="1" si="47"/>
        <v>44939.592621031246</v>
      </c>
      <c r="AG152" s="15"/>
      <c r="AH152" s="272">
        <f t="shared" si="56"/>
        <v>50040</v>
      </c>
      <c r="AI152" s="267">
        <f t="shared" si="26"/>
        <v>22.666666666666668</v>
      </c>
      <c r="AJ152" s="267">
        <f t="shared" si="27"/>
        <v>0.11528314162180023</v>
      </c>
      <c r="AK152" s="34">
        <f t="shared" ca="1" si="57"/>
        <v>5180.7774205563537</v>
      </c>
      <c r="AL152" s="233"/>
      <c r="AN152" s="349"/>
      <c r="AO152" s="237">
        <f t="shared" si="48"/>
        <v>23</v>
      </c>
      <c r="AP152" s="34">
        <f t="shared" ca="1" si="49"/>
        <v>54.957488591091561</v>
      </c>
      <c r="AQ152" s="34">
        <f t="shared" ca="1" si="28"/>
        <v>0.36351341452767244</v>
      </c>
      <c r="AR152" s="34">
        <f t="shared" ca="1" si="29"/>
        <v>0</v>
      </c>
      <c r="AS152" s="34">
        <f t="shared" ca="1" si="50"/>
        <v>57.138569078257596</v>
      </c>
      <c r="AT152" s="350">
        <v>-4.037608268118268E-2</v>
      </c>
      <c r="AU152" s="34">
        <f ca="1">MIN(AU151*(1+AT152),$AT$126-SUM(AU$129:AU151))</f>
        <v>57.138569078257596</v>
      </c>
      <c r="AV152" s="348"/>
      <c r="AW152" s="34">
        <f t="shared" ca="1" si="51"/>
        <v>54.957488591091561</v>
      </c>
      <c r="AX152" s="34">
        <f t="shared" ca="1" si="30"/>
        <v>0.36351341452767244</v>
      </c>
      <c r="AY152" s="34">
        <f t="shared" ca="1" si="30"/>
        <v>0</v>
      </c>
      <c r="AZ152" s="34">
        <f t="shared" ca="1" si="30"/>
        <v>57.138569078257596</v>
      </c>
      <c r="BB152" s="34">
        <f t="shared" ca="1" si="60"/>
        <v>4043.1251479775069</v>
      </c>
      <c r="BC152" s="34">
        <f t="shared" ca="1" si="60"/>
        <v>4662.1909667776472</v>
      </c>
      <c r="BD152" s="34">
        <f t="shared" ca="1" si="60"/>
        <v>4987.9999517310098</v>
      </c>
      <c r="BE152" s="34">
        <f t="shared" ca="1" si="60"/>
        <v>0</v>
      </c>
      <c r="BF152" s="34">
        <f t="shared" ca="1" si="60"/>
        <v>0</v>
      </c>
      <c r="BG152" s="34">
        <f t="shared" ca="1" si="60"/>
        <v>0</v>
      </c>
      <c r="BH152" s="34">
        <f t="shared" ca="1" si="60"/>
        <v>0</v>
      </c>
      <c r="BI152" s="34">
        <f t="shared" ca="1" si="60"/>
        <v>0</v>
      </c>
      <c r="BJ152" s="34">
        <f t="shared" ca="1" si="60"/>
        <v>0</v>
      </c>
      <c r="BK152" s="34">
        <f t="shared" ca="1" si="60"/>
        <v>0</v>
      </c>
      <c r="BL152" s="34">
        <f t="shared" ca="1" si="60"/>
        <v>0</v>
      </c>
      <c r="BM152" s="34">
        <f t="shared" ca="1" si="60"/>
        <v>0</v>
      </c>
      <c r="BN152" s="34">
        <f t="shared" ca="1" si="60"/>
        <v>0</v>
      </c>
      <c r="BO152" s="34">
        <f t="shared" ca="1" si="60"/>
        <v>0</v>
      </c>
      <c r="BP152" s="34">
        <f t="shared" ca="1" si="60"/>
        <v>0</v>
      </c>
      <c r="BQ152" s="34">
        <f t="shared" ca="1" si="60"/>
        <v>0</v>
      </c>
      <c r="BR152" s="34">
        <f t="shared" ca="1" si="58"/>
        <v>0</v>
      </c>
      <c r="BS152" s="34">
        <f t="shared" ca="1" si="58"/>
        <v>0</v>
      </c>
      <c r="BT152" s="34">
        <f t="shared" ca="1" si="58"/>
        <v>0</v>
      </c>
      <c r="BU152" s="34">
        <f t="shared" ca="1" si="58"/>
        <v>0</v>
      </c>
      <c r="BV152" s="34">
        <f t="shared" ca="1" si="58"/>
        <v>0</v>
      </c>
      <c r="BW152" s="34">
        <f t="shared" ca="1" si="58"/>
        <v>0</v>
      </c>
      <c r="BX152" s="34">
        <f t="shared" ca="1" si="58"/>
        <v>0</v>
      </c>
      <c r="BY152" s="34">
        <f t="shared" ca="1" si="58"/>
        <v>0</v>
      </c>
      <c r="BZ152" s="34">
        <f t="shared" ca="1" si="58"/>
        <v>0</v>
      </c>
      <c r="CA152" s="34">
        <f t="shared" ca="1" si="58"/>
        <v>0</v>
      </c>
      <c r="CB152" s="34">
        <f t="shared" ca="1" si="58"/>
        <v>0</v>
      </c>
      <c r="CC152" s="34">
        <f t="shared" ca="1" si="58"/>
        <v>0</v>
      </c>
      <c r="CD152" s="34">
        <f t="shared" ca="1" si="58"/>
        <v>0</v>
      </c>
      <c r="CE152" s="34">
        <f t="shared" ca="1" si="58"/>
        <v>0</v>
      </c>
      <c r="CF152" s="34">
        <f t="shared" ca="1" si="58"/>
        <v>0</v>
      </c>
      <c r="CG152" s="34">
        <f t="shared" ca="1" si="58"/>
        <v>0</v>
      </c>
      <c r="CH152" s="34">
        <f t="shared" ca="1" si="59"/>
        <v>0</v>
      </c>
      <c r="CI152" s="34">
        <f t="shared" ca="1" si="59"/>
        <v>0</v>
      </c>
      <c r="CJ152" s="34">
        <f t="shared" ca="1" si="59"/>
        <v>0</v>
      </c>
      <c r="CK152" s="34">
        <f t="shared" ca="1" si="59"/>
        <v>0</v>
      </c>
      <c r="CL152" s="34">
        <f t="shared" ca="1" si="59"/>
        <v>0</v>
      </c>
      <c r="CM152" s="34">
        <f t="shared" ca="1" si="59"/>
        <v>0</v>
      </c>
      <c r="CN152" s="34">
        <f t="shared" ca="1" si="59"/>
        <v>0</v>
      </c>
      <c r="CO152" s="34">
        <f t="shared" ca="1" si="59"/>
        <v>0</v>
      </c>
      <c r="CP152" s="34">
        <f t="shared" ca="1" si="59"/>
        <v>0</v>
      </c>
      <c r="CQ152" s="34">
        <f t="shared" ca="1" si="53"/>
        <v>13693.316066486164</v>
      </c>
      <c r="CR152" s="363">
        <v>0</v>
      </c>
      <c r="CS152" s="34">
        <f t="shared" ca="1" si="54"/>
        <v>13693.316066486164</v>
      </c>
      <c r="CT152" s="233"/>
    </row>
    <row r="153" spans="2:98" x14ac:dyDescent="0.3">
      <c r="B153" s="232"/>
      <c r="C153" s="250">
        <f t="shared" si="55"/>
        <v>2037</v>
      </c>
      <c r="D153" s="263">
        <f t="shared" ca="1" si="34"/>
        <v>12638.839853172003</v>
      </c>
      <c r="E153" s="263">
        <f t="shared" ca="1" si="21"/>
        <v>83.598940717238619</v>
      </c>
      <c r="F153" s="263">
        <f t="shared" ca="1" si="22"/>
        <v>0</v>
      </c>
      <c r="G153" s="263">
        <f t="shared" ca="1" si="35"/>
        <v>13140.433497475435</v>
      </c>
      <c r="H153" s="15"/>
      <c r="I153" s="271">
        <f ca="1">Assumptions!O$68</f>
        <v>4.5</v>
      </c>
      <c r="J153" s="271">
        <f ca="1">Assumptions!P$68</f>
        <v>80</v>
      </c>
      <c r="K153" s="271">
        <f t="shared" ca="1" si="23"/>
        <v>40</v>
      </c>
      <c r="L153" s="15"/>
      <c r="M153" s="35">
        <f t="shared" ca="1" si="36"/>
        <v>4.2299999999999995</v>
      </c>
      <c r="N153" s="35">
        <f t="shared" ca="1" si="24"/>
        <v>74.400000000000006</v>
      </c>
      <c r="O153" s="35">
        <f t="shared" ca="1" si="25"/>
        <v>37.200000000000003</v>
      </c>
      <c r="P153" s="15"/>
      <c r="Q153" s="34">
        <f t="shared" ca="1" si="37"/>
        <v>53462.292578917564</v>
      </c>
      <c r="R153" s="34">
        <f t="shared" ca="1" si="37"/>
        <v>6219.7611893625535</v>
      </c>
      <c r="S153" s="34">
        <f t="shared" ca="1" si="37"/>
        <v>0</v>
      </c>
      <c r="T153" s="34">
        <f t="shared" ca="1" si="38"/>
        <v>59682.053768280115</v>
      </c>
      <c r="U153" s="15"/>
      <c r="V153" s="35">
        <f t="shared" si="39"/>
        <v>0.31</v>
      </c>
      <c r="W153" s="34">
        <f t="shared" ca="1" si="40"/>
        <v>4073.5343842173847</v>
      </c>
      <c r="X153" s="35">
        <f t="shared" si="41"/>
        <v>0.37</v>
      </c>
      <c r="Y153" s="34">
        <f t="shared" ca="1" si="42"/>
        <v>4861.9603940659108</v>
      </c>
      <c r="Z153" s="35">
        <f t="shared" si="43"/>
        <v>0.57999999999999996</v>
      </c>
      <c r="AA153" s="34">
        <f t="shared" ca="1" si="44"/>
        <v>7621.4514285357518</v>
      </c>
      <c r="AB153" s="34">
        <f t="shared" ca="1" si="45"/>
        <v>16556.946206819048</v>
      </c>
      <c r="AC153" s="15"/>
      <c r="AD153" s="34">
        <f t="shared" ca="1" si="46"/>
        <v>43125.107561461067</v>
      </c>
      <c r="AE153" s="34">
        <f ca="1"/>
        <v>0</v>
      </c>
      <c r="AF153" s="34">
        <f t="shared" ca="1" si="47"/>
        <v>43125.107561461067</v>
      </c>
      <c r="AG153" s="15"/>
      <c r="AH153" s="272">
        <f t="shared" si="56"/>
        <v>50405</v>
      </c>
      <c r="AI153" s="267">
        <f t="shared" si="26"/>
        <v>23.666666666666668</v>
      </c>
      <c r="AJ153" s="267">
        <f t="shared" si="27"/>
        <v>0.10480285601981834</v>
      </c>
      <c r="AK153" s="34">
        <f t="shared" ca="1" si="57"/>
        <v>4519.6344386029832</v>
      </c>
      <c r="AL153" s="233"/>
      <c r="AN153" s="349"/>
      <c r="AO153" s="237">
        <f t="shared" si="48"/>
        <v>24</v>
      </c>
      <c r="AP153" s="34">
        <f t="shared" ca="1" si="49"/>
        <v>52.73852447948272</v>
      </c>
      <c r="AQ153" s="34">
        <f t="shared" ca="1" si="28"/>
        <v>0.34883619324984205</v>
      </c>
      <c r="AR153" s="34">
        <f t="shared" ca="1" si="29"/>
        <v>0</v>
      </c>
      <c r="AS153" s="34">
        <f t="shared" ca="1" si="50"/>
        <v>54.831541638981776</v>
      </c>
      <c r="AT153" s="350">
        <v>-4.0376010048765718E-2</v>
      </c>
      <c r="AU153" s="34">
        <f ca="1">MIN(AU152*(1+AT153),$AT$126-SUM(AU$129:AU152))</f>
        <v>54.831541638981776</v>
      </c>
      <c r="AV153" s="348"/>
      <c r="AW153" s="34">
        <f t="shared" ca="1" si="51"/>
        <v>52.73852447948272</v>
      </c>
      <c r="AX153" s="34">
        <f t="shared" ca="1" si="30"/>
        <v>0.34883619324984205</v>
      </c>
      <c r="AY153" s="34">
        <f t="shared" ca="1" si="30"/>
        <v>0</v>
      </c>
      <c r="AZ153" s="34">
        <f t="shared" ca="1" si="30"/>
        <v>54.831541638981776</v>
      </c>
      <c r="BB153" s="34">
        <f t="shared" ca="1" si="60"/>
        <v>3879.87988637435</v>
      </c>
      <c r="BC153" s="34">
        <f t="shared" ca="1" si="60"/>
        <v>4473.9499588275694</v>
      </c>
      <c r="BD153" s="34">
        <f t="shared" ca="1" si="60"/>
        <v>4786.6036522735167</v>
      </c>
      <c r="BE153" s="34">
        <f t="shared" ca="1" si="60"/>
        <v>0</v>
      </c>
      <c r="BF153" s="34">
        <f t="shared" ca="1" si="60"/>
        <v>0</v>
      </c>
      <c r="BG153" s="34">
        <f t="shared" ca="1" si="60"/>
        <v>0</v>
      </c>
      <c r="BH153" s="34">
        <f t="shared" ca="1" si="60"/>
        <v>0</v>
      </c>
      <c r="BI153" s="34">
        <f t="shared" ca="1" si="60"/>
        <v>0</v>
      </c>
      <c r="BJ153" s="34">
        <f t="shared" ca="1" si="60"/>
        <v>0</v>
      </c>
      <c r="BK153" s="34">
        <f t="shared" ca="1" si="60"/>
        <v>0</v>
      </c>
      <c r="BL153" s="34">
        <f t="shared" ca="1" si="60"/>
        <v>0</v>
      </c>
      <c r="BM153" s="34">
        <f t="shared" ca="1" si="60"/>
        <v>0</v>
      </c>
      <c r="BN153" s="34">
        <f t="shared" ca="1" si="60"/>
        <v>0</v>
      </c>
      <c r="BO153" s="34">
        <f t="shared" ca="1" si="60"/>
        <v>0</v>
      </c>
      <c r="BP153" s="34">
        <f t="shared" ca="1" si="60"/>
        <v>0</v>
      </c>
      <c r="BQ153" s="34">
        <f t="shared" ca="1" si="60"/>
        <v>0</v>
      </c>
      <c r="BR153" s="34">
        <f t="shared" ca="1" si="58"/>
        <v>0</v>
      </c>
      <c r="BS153" s="34">
        <f t="shared" ca="1" si="58"/>
        <v>0</v>
      </c>
      <c r="BT153" s="34">
        <f t="shared" ca="1" si="58"/>
        <v>0</v>
      </c>
      <c r="BU153" s="34">
        <f t="shared" ca="1" si="58"/>
        <v>0</v>
      </c>
      <c r="BV153" s="34">
        <f t="shared" ca="1" si="58"/>
        <v>0</v>
      </c>
      <c r="BW153" s="34">
        <f t="shared" ca="1" si="58"/>
        <v>0</v>
      </c>
      <c r="BX153" s="34">
        <f t="shared" ca="1" si="58"/>
        <v>0</v>
      </c>
      <c r="BY153" s="34">
        <f t="shared" ca="1" si="58"/>
        <v>0</v>
      </c>
      <c r="BZ153" s="34">
        <f t="shared" ca="1" si="58"/>
        <v>0</v>
      </c>
      <c r="CA153" s="34">
        <f t="shared" ca="1" si="58"/>
        <v>0</v>
      </c>
      <c r="CB153" s="34">
        <f t="shared" ca="1" si="58"/>
        <v>0</v>
      </c>
      <c r="CC153" s="34">
        <f t="shared" ca="1" si="58"/>
        <v>0</v>
      </c>
      <c r="CD153" s="34">
        <f t="shared" ca="1" si="58"/>
        <v>0</v>
      </c>
      <c r="CE153" s="34">
        <f t="shared" ca="1" si="58"/>
        <v>0</v>
      </c>
      <c r="CF153" s="34">
        <f t="shared" ca="1" si="58"/>
        <v>0</v>
      </c>
      <c r="CG153" s="34">
        <f t="shared" ca="1" si="58"/>
        <v>0</v>
      </c>
      <c r="CH153" s="34">
        <f t="shared" ca="1" si="59"/>
        <v>0</v>
      </c>
      <c r="CI153" s="34">
        <f t="shared" ca="1" si="59"/>
        <v>0</v>
      </c>
      <c r="CJ153" s="34">
        <f t="shared" ca="1" si="59"/>
        <v>0</v>
      </c>
      <c r="CK153" s="34">
        <f t="shared" ca="1" si="59"/>
        <v>0</v>
      </c>
      <c r="CL153" s="34">
        <f t="shared" ca="1" si="59"/>
        <v>0</v>
      </c>
      <c r="CM153" s="34">
        <f t="shared" ca="1" si="59"/>
        <v>0</v>
      </c>
      <c r="CN153" s="34">
        <f t="shared" ca="1" si="59"/>
        <v>0</v>
      </c>
      <c r="CO153" s="34">
        <f t="shared" ca="1" si="59"/>
        <v>0</v>
      </c>
      <c r="CP153" s="34">
        <f t="shared" ca="1" si="59"/>
        <v>0</v>
      </c>
      <c r="CQ153" s="34">
        <f t="shared" ca="1" si="53"/>
        <v>13140.433497475435</v>
      </c>
      <c r="CR153" s="363">
        <v>0</v>
      </c>
      <c r="CS153" s="34">
        <f t="shared" ca="1" si="54"/>
        <v>13140.433497475435</v>
      </c>
      <c r="CT153" s="233"/>
    </row>
    <row r="154" spans="2:98" x14ac:dyDescent="0.3">
      <c r="B154" s="232"/>
      <c r="C154" s="250">
        <f t="shared" si="55"/>
        <v>2038</v>
      </c>
      <c r="D154" s="263">
        <f t="shared" ca="1" si="34"/>
        <v>12128.532990487485</v>
      </c>
      <c r="E154" s="263">
        <f t="shared" ca="1" si="21"/>
        <v>80.223542843955471</v>
      </c>
      <c r="F154" s="263">
        <f t="shared" ca="1" si="22"/>
        <v>0</v>
      </c>
      <c r="G154" s="263">
        <f t="shared" ca="1" si="35"/>
        <v>12609.874247551217</v>
      </c>
      <c r="H154" s="15"/>
      <c r="I154" s="271">
        <f ca="1">Assumptions!O$68</f>
        <v>4.5</v>
      </c>
      <c r="J154" s="271">
        <f ca="1">Assumptions!P$68</f>
        <v>80</v>
      </c>
      <c r="K154" s="271">
        <f t="shared" ca="1" si="23"/>
        <v>40</v>
      </c>
      <c r="L154" s="15"/>
      <c r="M154" s="35">
        <f t="shared" ca="1" si="36"/>
        <v>4.2299999999999995</v>
      </c>
      <c r="N154" s="35">
        <f t="shared" ca="1" si="24"/>
        <v>74.400000000000006</v>
      </c>
      <c r="O154" s="35">
        <f t="shared" ca="1" si="25"/>
        <v>37.200000000000003</v>
      </c>
      <c r="P154" s="15"/>
      <c r="Q154" s="34">
        <f t="shared" ca="1" si="37"/>
        <v>51303.694549762055</v>
      </c>
      <c r="R154" s="34">
        <f t="shared" ca="1" si="37"/>
        <v>5968.6315875902874</v>
      </c>
      <c r="S154" s="34">
        <f t="shared" ca="1" si="37"/>
        <v>0</v>
      </c>
      <c r="T154" s="34">
        <f t="shared" ca="1" si="38"/>
        <v>57272.326137352342</v>
      </c>
      <c r="U154" s="15"/>
      <c r="V154" s="35">
        <f t="shared" si="39"/>
        <v>0.31</v>
      </c>
      <c r="W154" s="34">
        <f t="shared" ca="1" si="40"/>
        <v>3909.0610167408772</v>
      </c>
      <c r="X154" s="35">
        <f t="shared" si="41"/>
        <v>0.37</v>
      </c>
      <c r="Y154" s="34">
        <f t="shared" ca="1" si="42"/>
        <v>4665.6534715939506</v>
      </c>
      <c r="Z154" s="35">
        <f t="shared" si="43"/>
        <v>0.57999999999999996</v>
      </c>
      <c r="AA154" s="34">
        <f t="shared" ca="1" si="44"/>
        <v>7313.7270635797058</v>
      </c>
      <c r="AB154" s="34">
        <f t="shared" ca="1" si="45"/>
        <v>15888.441551914533</v>
      </c>
      <c r="AC154" s="15"/>
      <c r="AD154" s="34">
        <f t="shared" ca="1" si="46"/>
        <v>41383.884585437809</v>
      </c>
      <c r="AE154" s="34">
        <f ca="1"/>
        <v>0</v>
      </c>
      <c r="AF154" s="34">
        <f t="shared" ca="1" si="47"/>
        <v>41383.884585437809</v>
      </c>
      <c r="AG154" s="15"/>
      <c r="AH154" s="272">
        <f t="shared" si="56"/>
        <v>50770</v>
      </c>
      <c r="AI154" s="267">
        <f t="shared" si="26"/>
        <v>24.666666666666668</v>
      </c>
      <c r="AJ154" s="267">
        <f t="shared" si="27"/>
        <v>9.5275323654380323E-2</v>
      </c>
      <c r="AK154" s="34">
        <f t="shared" ca="1" si="57"/>
        <v>3942.8629979531079</v>
      </c>
      <c r="AL154" s="233"/>
      <c r="AN154" s="349"/>
      <c r="AO154" s="237">
        <f t="shared" si="48"/>
        <v>25</v>
      </c>
      <c r="AP154" s="34">
        <f t="shared" ca="1" si="49"/>
        <v>50.60914475805879</v>
      </c>
      <c r="AQ154" s="34">
        <f t="shared" ca="1" si="28"/>
        <v>0.33475152320387003</v>
      </c>
      <c r="AR154" s="34">
        <f t="shared" ca="1" si="29"/>
        <v>0</v>
      </c>
      <c r="AS154" s="34">
        <f t="shared" ca="1" si="50"/>
        <v>52.617653897282011</v>
      </c>
      <c r="AT154" s="350">
        <v>-4.0376171734807322E-2</v>
      </c>
      <c r="AU154" s="34">
        <f ca="1">MIN(AU153*(1+AT154),$AT$126-SUM(AU$129:AU153))</f>
        <v>52.617653897282011</v>
      </c>
      <c r="AV154" s="348"/>
      <c r="AW154" s="34">
        <f t="shared" ca="1" si="51"/>
        <v>50.60914475805879</v>
      </c>
      <c r="AX154" s="34">
        <f t="shared" ca="1" si="30"/>
        <v>0.33475152320387003</v>
      </c>
      <c r="AY154" s="34">
        <f t="shared" ca="1" si="30"/>
        <v>0</v>
      </c>
      <c r="AZ154" s="34">
        <f t="shared" ca="1" si="30"/>
        <v>52.617653897282011</v>
      </c>
      <c r="BB154" s="34">
        <f t="shared" ca="1" si="60"/>
        <v>3723.2251897716746</v>
      </c>
      <c r="BC154" s="34">
        <f t="shared" ca="1" si="60"/>
        <v>4293.3097103322725</v>
      </c>
      <c r="BD154" s="34">
        <f t="shared" ca="1" si="60"/>
        <v>4593.3393474472705</v>
      </c>
      <c r="BE154" s="34">
        <f t="shared" ca="1" si="60"/>
        <v>0</v>
      </c>
      <c r="BF154" s="34">
        <f t="shared" ca="1" si="60"/>
        <v>0</v>
      </c>
      <c r="BG154" s="34">
        <f t="shared" ca="1" si="60"/>
        <v>0</v>
      </c>
      <c r="BH154" s="34">
        <f t="shared" ca="1" si="60"/>
        <v>0</v>
      </c>
      <c r="BI154" s="34">
        <f t="shared" ca="1" si="60"/>
        <v>0</v>
      </c>
      <c r="BJ154" s="34">
        <f t="shared" ca="1" si="60"/>
        <v>0</v>
      </c>
      <c r="BK154" s="34">
        <f t="shared" ca="1" si="60"/>
        <v>0</v>
      </c>
      <c r="BL154" s="34">
        <f t="shared" ca="1" si="60"/>
        <v>0</v>
      </c>
      <c r="BM154" s="34">
        <f t="shared" ca="1" si="60"/>
        <v>0</v>
      </c>
      <c r="BN154" s="34">
        <f t="shared" ca="1" si="60"/>
        <v>0</v>
      </c>
      <c r="BO154" s="34">
        <f t="shared" ca="1" si="60"/>
        <v>0</v>
      </c>
      <c r="BP154" s="34">
        <f t="shared" ca="1" si="60"/>
        <v>0</v>
      </c>
      <c r="BQ154" s="34">
        <f t="shared" ca="1" si="60"/>
        <v>0</v>
      </c>
      <c r="BR154" s="34">
        <f t="shared" ca="1" si="58"/>
        <v>0</v>
      </c>
      <c r="BS154" s="34">
        <f t="shared" ca="1" si="58"/>
        <v>0</v>
      </c>
      <c r="BT154" s="34">
        <f t="shared" ca="1" si="58"/>
        <v>0</v>
      </c>
      <c r="BU154" s="34">
        <f t="shared" ca="1" si="58"/>
        <v>0</v>
      </c>
      <c r="BV154" s="34">
        <f t="shared" ca="1" si="58"/>
        <v>0</v>
      </c>
      <c r="BW154" s="34">
        <f t="shared" ca="1" si="58"/>
        <v>0</v>
      </c>
      <c r="BX154" s="34">
        <f t="shared" ca="1" si="58"/>
        <v>0</v>
      </c>
      <c r="BY154" s="34">
        <f t="shared" ca="1" si="58"/>
        <v>0</v>
      </c>
      <c r="BZ154" s="34">
        <f t="shared" ca="1" si="58"/>
        <v>0</v>
      </c>
      <c r="CA154" s="34">
        <f t="shared" ca="1" si="58"/>
        <v>0</v>
      </c>
      <c r="CB154" s="34">
        <f t="shared" ca="1" si="58"/>
        <v>0</v>
      </c>
      <c r="CC154" s="34">
        <f t="shared" ca="1" si="58"/>
        <v>0</v>
      </c>
      <c r="CD154" s="34">
        <f t="shared" ca="1" si="58"/>
        <v>0</v>
      </c>
      <c r="CE154" s="34">
        <f t="shared" ca="1" si="58"/>
        <v>0</v>
      </c>
      <c r="CF154" s="34">
        <f t="shared" ca="1" si="58"/>
        <v>0</v>
      </c>
      <c r="CG154" s="34">
        <f t="shared" ca="1" si="58"/>
        <v>0</v>
      </c>
      <c r="CH154" s="34">
        <f t="shared" ca="1" si="59"/>
        <v>0</v>
      </c>
      <c r="CI154" s="34">
        <f t="shared" ca="1" si="59"/>
        <v>0</v>
      </c>
      <c r="CJ154" s="34">
        <f t="shared" ca="1" si="59"/>
        <v>0</v>
      </c>
      <c r="CK154" s="34">
        <f t="shared" ca="1" si="59"/>
        <v>0</v>
      </c>
      <c r="CL154" s="34">
        <f t="shared" ca="1" si="59"/>
        <v>0</v>
      </c>
      <c r="CM154" s="34">
        <f t="shared" ca="1" si="59"/>
        <v>0</v>
      </c>
      <c r="CN154" s="34">
        <f t="shared" ca="1" si="59"/>
        <v>0</v>
      </c>
      <c r="CO154" s="34">
        <f t="shared" ca="1" si="59"/>
        <v>0</v>
      </c>
      <c r="CP154" s="34">
        <f t="shared" ca="1" si="59"/>
        <v>0</v>
      </c>
      <c r="CQ154" s="34">
        <f t="shared" ca="1" si="53"/>
        <v>12609.874247551217</v>
      </c>
      <c r="CR154" s="363">
        <v>0</v>
      </c>
      <c r="CS154" s="34">
        <f t="shared" ca="1" si="54"/>
        <v>12609.874247551217</v>
      </c>
      <c r="CT154" s="233"/>
    </row>
    <row r="155" spans="2:98" x14ac:dyDescent="0.3">
      <c r="B155" s="232"/>
      <c r="C155" s="250">
        <f t="shared" si="55"/>
        <v>2039</v>
      </c>
      <c r="D155" s="263">
        <f t="shared" ca="1" si="34"/>
        <v>11638.830371123289</v>
      </c>
      <c r="E155" s="263">
        <f t="shared" ca="1" si="21"/>
        <v>76.984430653208847</v>
      </c>
      <c r="F155" s="263">
        <f t="shared" ca="1" si="22"/>
        <v>0</v>
      </c>
      <c r="G155" s="263">
        <f t="shared" ca="1" si="35"/>
        <v>12100.736955042543</v>
      </c>
      <c r="H155" s="15"/>
      <c r="I155" s="271">
        <f ca="1">Assumptions!O$68</f>
        <v>4.5</v>
      </c>
      <c r="J155" s="271">
        <f ca="1">Assumptions!P$68</f>
        <v>80</v>
      </c>
      <c r="K155" s="271">
        <f t="shared" ca="1" si="23"/>
        <v>40</v>
      </c>
      <c r="L155" s="15"/>
      <c r="M155" s="35">
        <f t="shared" ca="1" si="36"/>
        <v>4.2299999999999995</v>
      </c>
      <c r="N155" s="35">
        <f t="shared" ca="1" si="24"/>
        <v>74.400000000000006</v>
      </c>
      <c r="O155" s="35">
        <f t="shared" ca="1" si="25"/>
        <v>37.200000000000003</v>
      </c>
      <c r="P155" s="15"/>
      <c r="Q155" s="34">
        <f t="shared" ca="1" si="37"/>
        <v>49232.252469851512</v>
      </c>
      <c r="R155" s="34">
        <f t="shared" ca="1" si="37"/>
        <v>5727.6416405987384</v>
      </c>
      <c r="S155" s="34">
        <f t="shared" ca="1" si="37"/>
        <v>0</v>
      </c>
      <c r="T155" s="34">
        <f t="shared" ca="1" si="38"/>
        <v>54959.894110450252</v>
      </c>
      <c r="U155" s="15"/>
      <c r="V155" s="35">
        <f t="shared" si="39"/>
        <v>0.31</v>
      </c>
      <c r="W155" s="34">
        <f t="shared" ca="1" si="40"/>
        <v>3751.2284560631883</v>
      </c>
      <c r="X155" s="35">
        <f t="shared" si="41"/>
        <v>0.37</v>
      </c>
      <c r="Y155" s="34">
        <f t="shared" ca="1" si="42"/>
        <v>4477.272673365741</v>
      </c>
      <c r="Z155" s="35">
        <f t="shared" si="43"/>
        <v>0.57999999999999996</v>
      </c>
      <c r="AA155" s="34">
        <f t="shared" ca="1" si="44"/>
        <v>7018.427433924674</v>
      </c>
      <c r="AB155" s="34">
        <f t="shared" ca="1" si="45"/>
        <v>15246.928563353602</v>
      </c>
      <c r="AC155" s="15"/>
      <c r="AD155" s="34">
        <f t="shared" ca="1" si="46"/>
        <v>39712.965547096654</v>
      </c>
      <c r="AE155" s="34">
        <f ca="1"/>
        <v>0</v>
      </c>
      <c r="AF155" s="34">
        <f t="shared" ca="1" si="47"/>
        <v>39712.965547096654</v>
      </c>
      <c r="AG155" s="15"/>
      <c r="AH155" s="272">
        <f t="shared" si="56"/>
        <v>51135</v>
      </c>
      <c r="AI155" s="267">
        <f t="shared" si="26"/>
        <v>25.666666666666668</v>
      </c>
      <c r="AJ155" s="267">
        <f t="shared" si="27"/>
        <v>8.661393059489117E-2</v>
      </c>
      <c r="AK155" s="34">
        <f t="shared" ca="1" si="57"/>
        <v>3439.6960416135339</v>
      </c>
      <c r="AL155" s="233"/>
      <c r="AN155" s="349"/>
      <c r="AO155" s="237">
        <f t="shared" si="48"/>
        <v>26</v>
      </c>
      <c r="AP155" s="34">
        <f t="shared" ca="1" si="49"/>
        <v>48.565746851600586</v>
      </c>
      <c r="AQ155" s="34">
        <f t="shared" ca="1" si="28"/>
        <v>0.32123557534566083</v>
      </c>
      <c r="AR155" s="34">
        <f t="shared" ca="1" si="29"/>
        <v>0</v>
      </c>
      <c r="AS155" s="34">
        <f t="shared" ca="1" si="50"/>
        <v>50.49316030367455</v>
      </c>
      <c r="AT155" s="350">
        <v>-4.0376060813254976E-2</v>
      </c>
      <c r="AU155" s="34">
        <f ca="1">MIN(AU154*(1+AT155),$AT$126-SUM(AU$129:AU154))</f>
        <v>50.49316030367455</v>
      </c>
      <c r="AV155" s="348"/>
      <c r="AW155" s="34">
        <f t="shared" ca="1" si="51"/>
        <v>48.565746851600586</v>
      </c>
      <c r="AX155" s="34">
        <f t="shared" ca="1" si="30"/>
        <v>0.32123557534566083</v>
      </c>
      <c r="AY155" s="34">
        <f t="shared" ca="1" si="30"/>
        <v>0</v>
      </c>
      <c r="AZ155" s="34">
        <f t="shared" ca="1" si="30"/>
        <v>50.49316030367455</v>
      </c>
      <c r="BB155" s="34">
        <f t="shared" ca="1" si="60"/>
        <v>3572.8960230880107</v>
      </c>
      <c r="BC155" s="34">
        <f t="shared" ca="1" si="60"/>
        <v>4119.9623001571817</v>
      </c>
      <c r="BD155" s="34">
        <f t="shared" ca="1" si="60"/>
        <v>4407.878631797349</v>
      </c>
      <c r="BE155" s="34">
        <f t="shared" ca="1" si="60"/>
        <v>0</v>
      </c>
      <c r="BF155" s="34">
        <f t="shared" ca="1" si="60"/>
        <v>0</v>
      </c>
      <c r="BG155" s="34">
        <f t="shared" ca="1" si="60"/>
        <v>0</v>
      </c>
      <c r="BH155" s="34">
        <f t="shared" ca="1" si="60"/>
        <v>0</v>
      </c>
      <c r="BI155" s="34">
        <f t="shared" ca="1" si="60"/>
        <v>0</v>
      </c>
      <c r="BJ155" s="34">
        <f t="shared" ca="1" si="60"/>
        <v>0</v>
      </c>
      <c r="BK155" s="34">
        <f t="shared" ca="1" si="60"/>
        <v>0</v>
      </c>
      <c r="BL155" s="34">
        <f t="shared" ca="1" si="60"/>
        <v>0</v>
      </c>
      <c r="BM155" s="34">
        <f t="shared" ca="1" si="60"/>
        <v>0</v>
      </c>
      <c r="BN155" s="34">
        <f t="shared" ca="1" si="60"/>
        <v>0</v>
      </c>
      <c r="BO155" s="34">
        <f t="shared" ca="1" si="60"/>
        <v>0</v>
      </c>
      <c r="BP155" s="34">
        <f t="shared" ca="1" si="60"/>
        <v>0</v>
      </c>
      <c r="BQ155" s="34">
        <f t="shared" ca="1" si="60"/>
        <v>0</v>
      </c>
      <c r="BR155" s="34">
        <f t="shared" ca="1" si="58"/>
        <v>0</v>
      </c>
      <c r="BS155" s="34">
        <f t="shared" ca="1" si="58"/>
        <v>0</v>
      </c>
      <c r="BT155" s="34">
        <f t="shared" ca="1" si="58"/>
        <v>0</v>
      </c>
      <c r="BU155" s="34">
        <f t="shared" ca="1" si="58"/>
        <v>0</v>
      </c>
      <c r="BV155" s="34">
        <f t="shared" ca="1" si="58"/>
        <v>0</v>
      </c>
      <c r="BW155" s="34">
        <f t="shared" ca="1" si="58"/>
        <v>0</v>
      </c>
      <c r="BX155" s="34">
        <f t="shared" ca="1" si="58"/>
        <v>0</v>
      </c>
      <c r="BY155" s="34">
        <f t="shared" ca="1" si="58"/>
        <v>0</v>
      </c>
      <c r="BZ155" s="34">
        <f t="shared" ca="1" si="58"/>
        <v>0</v>
      </c>
      <c r="CA155" s="34">
        <f t="shared" ca="1" si="58"/>
        <v>0</v>
      </c>
      <c r="CB155" s="34">
        <f t="shared" ca="1" si="58"/>
        <v>0</v>
      </c>
      <c r="CC155" s="34">
        <f t="shared" ca="1" si="58"/>
        <v>0</v>
      </c>
      <c r="CD155" s="34">
        <f t="shared" ca="1" si="58"/>
        <v>0</v>
      </c>
      <c r="CE155" s="34">
        <f t="shared" ca="1" si="58"/>
        <v>0</v>
      </c>
      <c r="CF155" s="34">
        <f t="shared" ca="1" si="58"/>
        <v>0</v>
      </c>
      <c r="CG155" s="34">
        <f t="shared" ca="1" si="58"/>
        <v>0</v>
      </c>
      <c r="CH155" s="34">
        <f t="shared" ca="1" si="59"/>
        <v>0</v>
      </c>
      <c r="CI155" s="34">
        <f t="shared" ca="1" si="59"/>
        <v>0</v>
      </c>
      <c r="CJ155" s="34">
        <f t="shared" ca="1" si="59"/>
        <v>0</v>
      </c>
      <c r="CK155" s="34">
        <f t="shared" ca="1" si="59"/>
        <v>0</v>
      </c>
      <c r="CL155" s="34">
        <f t="shared" ca="1" si="59"/>
        <v>0</v>
      </c>
      <c r="CM155" s="34">
        <f t="shared" ca="1" si="59"/>
        <v>0</v>
      </c>
      <c r="CN155" s="34">
        <f t="shared" ca="1" si="59"/>
        <v>0</v>
      </c>
      <c r="CO155" s="34">
        <f t="shared" ca="1" si="59"/>
        <v>0</v>
      </c>
      <c r="CP155" s="34">
        <f t="shared" ca="1" si="59"/>
        <v>0</v>
      </c>
      <c r="CQ155" s="34">
        <f t="shared" ca="1" si="53"/>
        <v>12100.736955042543</v>
      </c>
      <c r="CR155" s="363">
        <v>0</v>
      </c>
      <c r="CS155" s="34">
        <f t="shared" ca="1" si="54"/>
        <v>12100.736955042543</v>
      </c>
      <c r="CT155" s="233"/>
    </row>
    <row r="156" spans="2:98" x14ac:dyDescent="0.3">
      <c r="B156" s="232"/>
      <c r="C156" s="250">
        <f t="shared" si="55"/>
        <v>2040</v>
      </c>
      <c r="D156" s="263">
        <f t="shared" ca="1" si="34"/>
        <v>11168.899796441126</v>
      </c>
      <c r="E156" s="263">
        <f t="shared" ca="1" si="21"/>
        <v>73.876099610924726</v>
      </c>
      <c r="F156" s="263">
        <f t="shared" ca="1" si="22"/>
        <v>0</v>
      </c>
      <c r="G156" s="263">
        <f t="shared" ca="1" si="35"/>
        <v>11612.156394106674</v>
      </c>
      <c r="H156" s="15"/>
      <c r="I156" s="271">
        <f ca="1">Assumptions!O$68</f>
        <v>4.5</v>
      </c>
      <c r="J156" s="271">
        <f ca="1">Assumptions!P$68</f>
        <v>80</v>
      </c>
      <c r="K156" s="271">
        <f t="shared" ca="1" si="23"/>
        <v>40</v>
      </c>
      <c r="L156" s="15"/>
      <c r="M156" s="35">
        <f t="shared" ca="1" si="36"/>
        <v>4.2299999999999995</v>
      </c>
      <c r="N156" s="35">
        <f t="shared" ca="1" si="24"/>
        <v>74.400000000000006</v>
      </c>
      <c r="O156" s="35">
        <f t="shared" ca="1" si="25"/>
        <v>37.200000000000003</v>
      </c>
      <c r="P156" s="15"/>
      <c r="Q156" s="34">
        <f t="shared" ca="1" si="37"/>
        <v>47244.446138945961</v>
      </c>
      <c r="R156" s="34">
        <f t="shared" ca="1" si="37"/>
        <v>5496.3818110528</v>
      </c>
      <c r="S156" s="34">
        <f t="shared" ca="1" si="37"/>
        <v>0</v>
      </c>
      <c r="T156" s="34">
        <f t="shared" ca="1" si="38"/>
        <v>52740.827949998762</v>
      </c>
      <c r="U156" s="15"/>
      <c r="V156" s="35">
        <f t="shared" si="39"/>
        <v>0.31</v>
      </c>
      <c r="W156" s="34">
        <f t="shared" ca="1" si="40"/>
        <v>3599.7684821730691</v>
      </c>
      <c r="X156" s="35">
        <f t="shared" si="41"/>
        <v>0.37</v>
      </c>
      <c r="Y156" s="34">
        <f t="shared" ca="1" si="42"/>
        <v>4296.4978658194696</v>
      </c>
      <c r="Z156" s="35">
        <f t="shared" si="43"/>
        <v>0.57999999999999996</v>
      </c>
      <c r="AA156" s="34">
        <f t="shared" ca="1" si="44"/>
        <v>6735.0507085818708</v>
      </c>
      <c r="AB156" s="34">
        <f t="shared" ca="1" si="45"/>
        <v>14631.317056574409</v>
      </c>
      <c r="AC156" s="15"/>
      <c r="AD156" s="34">
        <f t="shared" ca="1" si="46"/>
        <v>38109.510893424354</v>
      </c>
      <c r="AE156" s="34">
        <f ca="1"/>
        <v>0</v>
      </c>
      <c r="AF156" s="34">
        <f t="shared" ca="1" si="47"/>
        <v>38109.510893424354</v>
      </c>
      <c r="AG156" s="15"/>
      <c r="AH156" s="272">
        <f t="shared" si="56"/>
        <v>51501</v>
      </c>
      <c r="AI156" s="267">
        <f t="shared" si="26"/>
        <v>26.666666666666668</v>
      </c>
      <c r="AJ156" s="267">
        <f t="shared" si="27"/>
        <v>7.8739936904446528E-2</v>
      </c>
      <c r="AK156" s="34">
        <f t="shared" ca="1" si="57"/>
        <v>3000.7404832075513</v>
      </c>
      <c r="AL156" s="233"/>
      <c r="AN156" s="349"/>
      <c r="AO156" s="237">
        <f t="shared" si="48"/>
        <v>27</v>
      </c>
      <c r="AP156" s="34">
        <f t="shared" ca="1" si="49"/>
        <v>46.604853563919889</v>
      </c>
      <c r="AQ156" s="34">
        <f t="shared" ca="1" si="28"/>
        <v>0.30826534994411747</v>
      </c>
      <c r="AR156" s="34">
        <f t="shared" ca="1" si="29"/>
        <v>0</v>
      </c>
      <c r="AS156" s="34">
        <f t="shared" ca="1" si="50"/>
        <v>48.454445663584593</v>
      </c>
      <c r="AT156" s="350">
        <v>-4.0376055446495716E-2</v>
      </c>
      <c r="AU156" s="34">
        <f ca="1">MIN(AU155*(1+AT156),$AT$126-SUM(AU$129:AU155))</f>
        <v>48.454445663584593</v>
      </c>
      <c r="AV156" s="348"/>
      <c r="AW156" s="34">
        <f t="shared" ca="1" si="51"/>
        <v>46.604853563919889</v>
      </c>
      <c r="AX156" s="34">
        <f t="shared" ca="1" si="30"/>
        <v>0.30826534994411747</v>
      </c>
      <c r="AY156" s="34">
        <f t="shared" ca="1" si="30"/>
        <v>0</v>
      </c>
      <c r="AZ156" s="34">
        <f t="shared" ca="1" si="30"/>
        <v>48.454445663584593</v>
      </c>
      <c r="BB156" s="34">
        <f t="shared" ca="1" si="60"/>
        <v>3428.6365751552453</v>
      </c>
      <c r="BC156" s="34">
        <f t="shared" ca="1" si="60"/>
        <v>3953.614451777717</v>
      </c>
      <c r="BD156" s="34">
        <f t="shared" ca="1" si="60"/>
        <v>4229.905367173712</v>
      </c>
      <c r="BE156" s="34">
        <f t="shared" ca="1" si="60"/>
        <v>0</v>
      </c>
      <c r="BF156" s="34">
        <f t="shared" ca="1" si="60"/>
        <v>0</v>
      </c>
      <c r="BG156" s="34">
        <f t="shared" ca="1" si="60"/>
        <v>0</v>
      </c>
      <c r="BH156" s="34">
        <f t="shared" ca="1" si="60"/>
        <v>0</v>
      </c>
      <c r="BI156" s="34">
        <f t="shared" ca="1" si="60"/>
        <v>0</v>
      </c>
      <c r="BJ156" s="34">
        <f t="shared" ca="1" si="60"/>
        <v>0</v>
      </c>
      <c r="BK156" s="34">
        <f t="shared" ca="1" si="60"/>
        <v>0</v>
      </c>
      <c r="BL156" s="34">
        <f t="shared" ca="1" si="60"/>
        <v>0</v>
      </c>
      <c r="BM156" s="34">
        <f t="shared" ca="1" si="60"/>
        <v>0</v>
      </c>
      <c r="BN156" s="34">
        <f t="shared" ca="1" si="60"/>
        <v>0</v>
      </c>
      <c r="BO156" s="34">
        <f t="shared" ca="1" si="60"/>
        <v>0</v>
      </c>
      <c r="BP156" s="34">
        <f t="shared" ca="1" si="60"/>
        <v>0</v>
      </c>
      <c r="BQ156" s="34">
        <f t="shared" ca="1" si="60"/>
        <v>0</v>
      </c>
      <c r="BR156" s="34">
        <f t="shared" ca="1" si="58"/>
        <v>0</v>
      </c>
      <c r="BS156" s="34">
        <f t="shared" ca="1" si="58"/>
        <v>0</v>
      </c>
      <c r="BT156" s="34">
        <f t="shared" ca="1" si="58"/>
        <v>0</v>
      </c>
      <c r="BU156" s="34">
        <f t="shared" ca="1" si="58"/>
        <v>0</v>
      </c>
      <c r="BV156" s="34">
        <f t="shared" ca="1" si="58"/>
        <v>0</v>
      </c>
      <c r="BW156" s="34">
        <f t="shared" ca="1" si="58"/>
        <v>0</v>
      </c>
      <c r="BX156" s="34">
        <f t="shared" ca="1" si="58"/>
        <v>0</v>
      </c>
      <c r="BY156" s="34">
        <f t="shared" ca="1" si="58"/>
        <v>0</v>
      </c>
      <c r="BZ156" s="34">
        <f t="shared" ca="1" si="58"/>
        <v>0</v>
      </c>
      <c r="CA156" s="34">
        <f t="shared" ca="1" si="58"/>
        <v>0</v>
      </c>
      <c r="CB156" s="34">
        <f t="shared" ca="1" si="58"/>
        <v>0</v>
      </c>
      <c r="CC156" s="34">
        <f t="shared" ca="1" si="58"/>
        <v>0</v>
      </c>
      <c r="CD156" s="34">
        <f t="shared" ca="1" si="58"/>
        <v>0</v>
      </c>
      <c r="CE156" s="34">
        <f t="shared" ca="1" si="58"/>
        <v>0</v>
      </c>
      <c r="CF156" s="34">
        <f t="shared" ca="1" si="58"/>
        <v>0</v>
      </c>
      <c r="CG156" s="34">
        <f t="shared" ca="1" si="58"/>
        <v>0</v>
      </c>
      <c r="CH156" s="34">
        <f t="shared" ca="1" si="59"/>
        <v>0</v>
      </c>
      <c r="CI156" s="34">
        <f t="shared" ca="1" si="59"/>
        <v>0</v>
      </c>
      <c r="CJ156" s="34">
        <f t="shared" ca="1" si="59"/>
        <v>0</v>
      </c>
      <c r="CK156" s="34">
        <f t="shared" ca="1" si="59"/>
        <v>0</v>
      </c>
      <c r="CL156" s="34">
        <f t="shared" ca="1" si="59"/>
        <v>0</v>
      </c>
      <c r="CM156" s="34">
        <f t="shared" ca="1" si="59"/>
        <v>0</v>
      </c>
      <c r="CN156" s="34">
        <f t="shared" ca="1" si="59"/>
        <v>0</v>
      </c>
      <c r="CO156" s="34">
        <f t="shared" ca="1" si="59"/>
        <v>0</v>
      </c>
      <c r="CP156" s="34">
        <f t="shared" ca="1" si="59"/>
        <v>0</v>
      </c>
      <c r="CQ156" s="34">
        <f t="shared" ca="1" si="53"/>
        <v>11612.156394106674</v>
      </c>
      <c r="CR156" s="363">
        <v>0</v>
      </c>
      <c r="CS156" s="34">
        <f t="shared" ca="1" si="54"/>
        <v>11612.156394106674</v>
      </c>
      <c r="CT156" s="233"/>
    </row>
    <row r="157" spans="2:98" x14ac:dyDescent="0.3">
      <c r="B157" s="232"/>
      <c r="C157" s="250">
        <f t="shared" si="55"/>
        <v>2041</v>
      </c>
      <c r="D157" s="263">
        <f t="shared" ca="1" si="34"/>
        <v>10717.943481507249</v>
      </c>
      <c r="E157" s="263">
        <f t="shared" ca="1" si="21"/>
        <v>70.893272810665849</v>
      </c>
      <c r="F157" s="263">
        <f t="shared" ca="1" si="22"/>
        <v>0</v>
      </c>
      <c r="G157" s="263">
        <f t="shared" ca="1" si="35"/>
        <v>11143.303118371245</v>
      </c>
      <c r="H157" s="15"/>
      <c r="I157" s="271">
        <f ca="1">Assumptions!O$68</f>
        <v>4.5</v>
      </c>
      <c r="J157" s="271">
        <f ca="1">Assumptions!P$68</f>
        <v>80</v>
      </c>
      <c r="K157" s="271">
        <f t="shared" ca="1" si="23"/>
        <v>40</v>
      </c>
      <c r="L157" s="15"/>
      <c r="M157" s="35">
        <f t="shared" ca="1" si="36"/>
        <v>4.2299999999999995</v>
      </c>
      <c r="N157" s="35">
        <f t="shared" ca="1" si="24"/>
        <v>74.400000000000006</v>
      </c>
      <c r="O157" s="35">
        <f t="shared" ca="1" si="25"/>
        <v>37.200000000000003</v>
      </c>
      <c r="P157" s="15"/>
      <c r="Q157" s="34">
        <f t="shared" ca="1" si="37"/>
        <v>45336.900926775656</v>
      </c>
      <c r="R157" s="34">
        <f t="shared" ca="1" si="37"/>
        <v>5274.4594971135393</v>
      </c>
      <c r="S157" s="34">
        <f t="shared" ca="1" si="37"/>
        <v>0</v>
      </c>
      <c r="T157" s="34">
        <f t="shared" ca="1" si="38"/>
        <v>50611.360423889193</v>
      </c>
      <c r="U157" s="15"/>
      <c r="V157" s="35">
        <f t="shared" si="39"/>
        <v>0.31</v>
      </c>
      <c r="W157" s="34">
        <f t="shared" ca="1" si="40"/>
        <v>3454.4239666950857</v>
      </c>
      <c r="X157" s="35">
        <f t="shared" si="41"/>
        <v>0.37</v>
      </c>
      <c r="Y157" s="34">
        <f t="shared" ca="1" si="42"/>
        <v>4123.0221537973603</v>
      </c>
      <c r="Z157" s="35">
        <f t="shared" si="43"/>
        <v>0.57999999999999996</v>
      </c>
      <c r="AA157" s="34">
        <f t="shared" ca="1" si="44"/>
        <v>6463.1158086553214</v>
      </c>
      <c r="AB157" s="34">
        <f t="shared" ca="1" si="45"/>
        <v>14040.561929147767</v>
      </c>
      <c r="AC157" s="15"/>
      <c r="AD157" s="34">
        <f t="shared" ca="1" si="46"/>
        <v>36570.798494741422</v>
      </c>
      <c r="AE157" s="34">
        <f ca="1"/>
        <v>0</v>
      </c>
      <c r="AF157" s="34">
        <f t="shared" ca="1" si="47"/>
        <v>36570.798494741422</v>
      </c>
      <c r="AG157" s="15"/>
      <c r="AH157" s="272">
        <f t="shared" si="56"/>
        <v>51866</v>
      </c>
      <c r="AI157" s="267">
        <f t="shared" si="26"/>
        <v>27.666666666666668</v>
      </c>
      <c r="AJ157" s="267">
        <f t="shared" si="27"/>
        <v>7.1581760822224116E-2</v>
      </c>
      <c r="AK157" s="34">
        <f t="shared" ca="1" si="57"/>
        <v>2617.8021509283344</v>
      </c>
      <c r="AL157" s="233"/>
      <c r="AN157" s="349"/>
      <c r="AO157" s="237">
        <f t="shared" si="48"/>
        <v>28</v>
      </c>
      <c r="AP157" s="34">
        <f t="shared" ca="1" si="49"/>
        <v>44.723130930124739</v>
      </c>
      <c r="AQ157" s="34">
        <f t="shared" ca="1" si="28"/>
        <v>0.29581879466401034</v>
      </c>
      <c r="AR157" s="34">
        <f t="shared" ca="1" si="29"/>
        <v>0</v>
      </c>
      <c r="AS157" s="34">
        <f t="shared" ca="1" si="50"/>
        <v>46.498043698108802</v>
      </c>
      <c r="AT157" s="350">
        <v>-4.037610870752574E-2</v>
      </c>
      <c r="AU157" s="34">
        <f ca="1">MIN(AU156*(1+AT157),$AT$126-SUM(AU$129:AU156))</f>
        <v>46.498043698108802</v>
      </c>
      <c r="AV157" s="348"/>
      <c r="AW157" s="34">
        <f t="shared" ca="1" si="51"/>
        <v>44.723130930124739</v>
      </c>
      <c r="AX157" s="34">
        <f t="shared" ca="1" si="30"/>
        <v>0.29581879466401034</v>
      </c>
      <c r="AY157" s="34">
        <f t="shared" ca="1" si="30"/>
        <v>0</v>
      </c>
      <c r="AZ157" s="34">
        <f t="shared" ca="1" si="30"/>
        <v>46.498043698108802</v>
      </c>
      <c r="BB157" s="34">
        <f t="shared" ca="1" si="60"/>
        <v>3290.2015720781783</v>
      </c>
      <c r="BC157" s="34">
        <f t="shared" ca="1" si="60"/>
        <v>3793.9830954586737</v>
      </c>
      <c r="BD157" s="34">
        <f t="shared" ca="1" si="60"/>
        <v>4059.1184508343922</v>
      </c>
      <c r="BE157" s="34">
        <f t="shared" ca="1" si="60"/>
        <v>0</v>
      </c>
      <c r="BF157" s="34">
        <f t="shared" ca="1" si="60"/>
        <v>0</v>
      </c>
      <c r="BG157" s="34">
        <f t="shared" ca="1" si="60"/>
        <v>0</v>
      </c>
      <c r="BH157" s="34">
        <f t="shared" ca="1" si="60"/>
        <v>0</v>
      </c>
      <c r="BI157" s="34">
        <f t="shared" ca="1" si="60"/>
        <v>0</v>
      </c>
      <c r="BJ157" s="34">
        <f t="shared" ca="1" si="60"/>
        <v>0</v>
      </c>
      <c r="BK157" s="34">
        <f t="shared" ca="1" si="60"/>
        <v>0</v>
      </c>
      <c r="BL157" s="34">
        <f t="shared" ca="1" si="60"/>
        <v>0</v>
      </c>
      <c r="BM157" s="34">
        <f t="shared" ca="1" si="60"/>
        <v>0</v>
      </c>
      <c r="BN157" s="34">
        <f t="shared" ca="1" si="60"/>
        <v>0</v>
      </c>
      <c r="BO157" s="34">
        <f t="shared" ca="1" si="60"/>
        <v>0</v>
      </c>
      <c r="BP157" s="34">
        <f t="shared" ca="1" si="60"/>
        <v>0</v>
      </c>
      <c r="BQ157" s="34">
        <f t="shared" ca="1" si="60"/>
        <v>0</v>
      </c>
      <c r="BR157" s="34">
        <f t="shared" ca="1" si="58"/>
        <v>0</v>
      </c>
      <c r="BS157" s="34">
        <f t="shared" ca="1" si="58"/>
        <v>0</v>
      </c>
      <c r="BT157" s="34">
        <f t="shared" ca="1" si="58"/>
        <v>0</v>
      </c>
      <c r="BU157" s="34">
        <f t="shared" ca="1" si="58"/>
        <v>0</v>
      </c>
      <c r="BV157" s="34">
        <f t="shared" ca="1" si="58"/>
        <v>0</v>
      </c>
      <c r="BW157" s="34">
        <f t="shared" ca="1" si="58"/>
        <v>0</v>
      </c>
      <c r="BX157" s="34">
        <f t="shared" ca="1" si="58"/>
        <v>0</v>
      </c>
      <c r="BY157" s="34">
        <f t="shared" ca="1" si="58"/>
        <v>0</v>
      </c>
      <c r="BZ157" s="34">
        <f t="shared" ca="1" si="58"/>
        <v>0</v>
      </c>
      <c r="CA157" s="34">
        <f t="shared" ca="1" si="58"/>
        <v>0</v>
      </c>
      <c r="CB157" s="34">
        <f t="shared" ca="1" si="58"/>
        <v>0</v>
      </c>
      <c r="CC157" s="34">
        <f t="shared" ca="1" si="58"/>
        <v>0</v>
      </c>
      <c r="CD157" s="34">
        <f t="shared" ca="1" si="58"/>
        <v>0</v>
      </c>
      <c r="CE157" s="34">
        <f t="shared" ca="1" si="58"/>
        <v>0</v>
      </c>
      <c r="CF157" s="34">
        <f t="shared" ca="1" si="58"/>
        <v>0</v>
      </c>
      <c r="CG157" s="34">
        <f t="shared" ca="1" si="58"/>
        <v>0</v>
      </c>
      <c r="CH157" s="34">
        <f t="shared" ca="1" si="59"/>
        <v>0</v>
      </c>
      <c r="CI157" s="34">
        <f t="shared" ca="1" si="59"/>
        <v>0</v>
      </c>
      <c r="CJ157" s="34">
        <f t="shared" ca="1" si="59"/>
        <v>0</v>
      </c>
      <c r="CK157" s="34">
        <f t="shared" ca="1" si="59"/>
        <v>0</v>
      </c>
      <c r="CL157" s="34">
        <f t="shared" ca="1" si="59"/>
        <v>0</v>
      </c>
      <c r="CM157" s="34">
        <f t="shared" ca="1" si="59"/>
        <v>0</v>
      </c>
      <c r="CN157" s="34">
        <f t="shared" ca="1" si="59"/>
        <v>0</v>
      </c>
      <c r="CO157" s="34">
        <f t="shared" ca="1" si="59"/>
        <v>0</v>
      </c>
      <c r="CP157" s="34">
        <f t="shared" ca="1" si="59"/>
        <v>0</v>
      </c>
      <c r="CQ157" s="34">
        <f t="shared" ca="1" si="53"/>
        <v>11143.303118371245</v>
      </c>
      <c r="CR157" s="363">
        <v>0</v>
      </c>
      <c r="CS157" s="34">
        <f t="shared" ca="1" si="54"/>
        <v>11143.303118371245</v>
      </c>
      <c r="CT157" s="233"/>
    </row>
    <row r="158" spans="2:98" x14ac:dyDescent="0.3">
      <c r="B158" s="232"/>
      <c r="C158" s="250">
        <f t="shared" si="55"/>
        <v>2042</v>
      </c>
      <c r="D158" s="263">
        <f t="shared" ca="1" si="34"/>
        <v>10285.194691789195</v>
      </c>
      <c r="E158" s="263">
        <f t="shared" ca="1" si="21"/>
        <v>68.030878727239198</v>
      </c>
      <c r="F158" s="263">
        <f t="shared" ca="1" si="22"/>
        <v>0</v>
      </c>
      <c r="G158" s="263">
        <f t="shared" ca="1" si="35"/>
        <v>10693.379964152629</v>
      </c>
      <c r="H158" s="15"/>
      <c r="I158" s="271">
        <f ca="1">Assumptions!O$68</f>
        <v>4.5</v>
      </c>
      <c r="J158" s="271">
        <f ca="1">Assumptions!P$68</f>
        <v>80</v>
      </c>
      <c r="K158" s="271">
        <f t="shared" ca="1" si="23"/>
        <v>40</v>
      </c>
      <c r="L158" s="15"/>
      <c r="M158" s="35">
        <f t="shared" ca="1" si="36"/>
        <v>4.2299999999999995</v>
      </c>
      <c r="N158" s="35">
        <f t="shared" ca="1" si="24"/>
        <v>74.400000000000006</v>
      </c>
      <c r="O158" s="35">
        <f t="shared" ca="1" si="25"/>
        <v>37.200000000000003</v>
      </c>
      <c r="P158" s="15"/>
      <c r="Q158" s="34">
        <f t="shared" ca="1" si="37"/>
        <v>43506.373546268289</v>
      </c>
      <c r="R158" s="34">
        <f t="shared" ca="1" si="37"/>
        <v>5061.4973773065967</v>
      </c>
      <c r="S158" s="34">
        <f t="shared" ca="1" si="37"/>
        <v>0</v>
      </c>
      <c r="T158" s="34">
        <f t="shared" ca="1" si="38"/>
        <v>48567.870923574883</v>
      </c>
      <c r="U158" s="15"/>
      <c r="V158" s="35">
        <f t="shared" si="39"/>
        <v>0.31</v>
      </c>
      <c r="W158" s="34">
        <f t="shared" ca="1" si="40"/>
        <v>3314.9477888873153</v>
      </c>
      <c r="X158" s="35">
        <f t="shared" si="41"/>
        <v>0.37</v>
      </c>
      <c r="Y158" s="34">
        <f t="shared" ca="1" si="42"/>
        <v>3956.5505867364727</v>
      </c>
      <c r="Z158" s="35">
        <f t="shared" si="43"/>
        <v>0.57999999999999996</v>
      </c>
      <c r="AA158" s="34">
        <f t="shared" ca="1" si="44"/>
        <v>6202.1603792085243</v>
      </c>
      <c r="AB158" s="34">
        <f t="shared" ca="1" si="45"/>
        <v>13473.658754832311</v>
      </c>
      <c r="AC158" s="15"/>
      <c r="AD158" s="34">
        <f t="shared" ca="1" si="46"/>
        <v>35094.212168742568</v>
      </c>
      <c r="AE158" s="34">
        <f ca="1"/>
        <v>0</v>
      </c>
      <c r="AF158" s="34">
        <f t="shared" ca="1" si="47"/>
        <v>35094.212168742568</v>
      </c>
      <c r="AG158" s="15"/>
      <c r="AH158" s="272">
        <f t="shared" si="56"/>
        <v>52231</v>
      </c>
      <c r="AI158" s="267">
        <f t="shared" si="26"/>
        <v>28.666666666666668</v>
      </c>
      <c r="AJ158" s="267">
        <f t="shared" si="27"/>
        <v>6.5074328020203728E-2</v>
      </c>
      <c r="AK158" s="34">
        <f t="shared" ca="1" si="57"/>
        <v>2283.732274279379</v>
      </c>
      <c r="AL158" s="233"/>
      <c r="AN158" s="349"/>
      <c r="AO158" s="237">
        <f t="shared" si="48"/>
        <v>29</v>
      </c>
      <c r="AP158" s="34">
        <f t="shared" ca="1" si="49"/>
        <v>42.917382863175128</v>
      </c>
      <c r="AQ158" s="34">
        <f t="shared" ca="1" si="28"/>
        <v>0.28387476915590154</v>
      </c>
      <c r="AR158" s="34">
        <f t="shared" ca="1" si="29"/>
        <v>0</v>
      </c>
      <c r="AS158" s="34">
        <f t="shared" ca="1" si="50"/>
        <v>44.620631478110539</v>
      </c>
      <c r="AT158" s="350">
        <v>-4.0376155009605653E-2</v>
      </c>
      <c r="AU158" s="34">
        <f ca="1">MIN(AU157*(1+AT158),$AT$126-SUM(AU$129:AU157))</f>
        <v>44.620631478110539</v>
      </c>
      <c r="AV158" s="348"/>
      <c r="AW158" s="34">
        <f t="shared" ca="1" si="51"/>
        <v>42.917382863175128</v>
      </c>
      <c r="AX158" s="34">
        <f t="shared" ca="1" si="30"/>
        <v>0.28387476915590154</v>
      </c>
      <c r="AY158" s="34">
        <f t="shared" ca="1" si="30"/>
        <v>0</v>
      </c>
      <c r="AZ158" s="34">
        <f t="shared" ca="1" si="30"/>
        <v>44.620631478110539</v>
      </c>
      <c r="BB158" s="34">
        <f t="shared" ca="1" si="60"/>
        <v>3157.3558833911015</v>
      </c>
      <c r="BC158" s="34">
        <f t="shared" ca="1" si="60"/>
        <v>3640.7968215619189</v>
      </c>
      <c r="BD158" s="34">
        <f t="shared" ca="1" si="60"/>
        <v>3895.2272591996093</v>
      </c>
      <c r="BE158" s="34">
        <f t="shared" ca="1" si="60"/>
        <v>0</v>
      </c>
      <c r="BF158" s="34">
        <f t="shared" ca="1" si="60"/>
        <v>0</v>
      </c>
      <c r="BG158" s="34">
        <f t="shared" ca="1" si="60"/>
        <v>0</v>
      </c>
      <c r="BH158" s="34">
        <f t="shared" ca="1" si="60"/>
        <v>0</v>
      </c>
      <c r="BI158" s="34">
        <f t="shared" ca="1" si="60"/>
        <v>0</v>
      </c>
      <c r="BJ158" s="34">
        <f t="shared" ca="1" si="60"/>
        <v>0</v>
      </c>
      <c r="BK158" s="34">
        <f t="shared" ca="1" si="60"/>
        <v>0</v>
      </c>
      <c r="BL158" s="34">
        <f t="shared" ca="1" si="60"/>
        <v>0</v>
      </c>
      <c r="BM158" s="34">
        <f t="shared" ca="1" si="60"/>
        <v>0</v>
      </c>
      <c r="BN158" s="34">
        <f t="shared" ca="1" si="60"/>
        <v>0</v>
      </c>
      <c r="BO158" s="34">
        <f t="shared" ca="1" si="60"/>
        <v>0</v>
      </c>
      <c r="BP158" s="34">
        <f t="shared" ca="1" si="60"/>
        <v>0</v>
      </c>
      <c r="BQ158" s="34">
        <f t="shared" ca="1" si="60"/>
        <v>0</v>
      </c>
      <c r="BR158" s="34">
        <f t="shared" ca="1" si="58"/>
        <v>0</v>
      </c>
      <c r="BS158" s="34">
        <f t="shared" ca="1" si="58"/>
        <v>0</v>
      </c>
      <c r="BT158" s="34">
        <f t="shared" ca="1" si="58"/>
        <v>0</v>
      </c>
      <c r="BU158" s="34">
        <f t="shared" ca="1" si="58"/>
        <v>0</v>
      </c>
      <c r="BV158" s="34">
        <f t="shared" ca="1" si="58"/>
        <v>0</v>
      </c>
      <c r="BW158" s="34">
        <f t="shared" ca="1" si="58"/>
        <v>0</v>
      </c>
      <c r="BX158" s="34">
        <f t="shared" ca="1" si="58"/>
        <v>0</v>
      </c>
      <c r="BY158" s="34">
        <f t="shared" ca="1" si="58"/>
        <v>0</v>
      </c>
      <c r="BZ158" s="34">
        <f t="shared" ca="1" si="58"/>
        <v>0</v>
      </c>
      <c r="CA158" s="34">
        <f t="shared" ca="1" si="58"/>
        <v>0</v>
      </c>
      <c r="CB158" s="34">
        <f t="shared" ca="1" si="58"/>
        <v>0</v>
      </c>
      <c r="CC158" s="34">
        <f t="shared" ca="1" si="58"/>
        <v>0</v>
      </c>
      <c r="CD158" s="34">
        <f t="shared" ca="1" si="58"/>
        <v>0</v>
      </c>
      <c r="CE158" s="34">
        <f t="shared" ca="1" si="58"/>
        <v>0</v>
      </c>
      <c r="CF158" s="34">
        <f t="shared" ca="1" si="58"/>
        <v>0</v>
      </c>
      <c r="CG158" s="34">
        <f t="shared" ca="1" si="58"/>
        <v>0</v>
      </c>
      <c r="CH158" s="34">
        <f t="shared" ca="1" si="59"/>
        <v>0</v>
      </c>
      <c r="CI158" s="34">
        <f t="shared" ca="1" si="59"/>
        <v>0</v>
      </c>
      <c r="CJ158" s="34">
        <f t="shared" ca="1" si="59"/>
        <v>0</v>
      </c>
      <c r="CK158" s="34">
        <f t="shared" ca="1" si="59"/>
        <v>0</v>
      </c>
      <c r="CL158" s="34">
        <f t="shared" ca="1" si="59"/>
        <v>0</v>
      </c>
      <c r="CM158" s="34">
        <f t="shared" ca="1" si="59"/>
        <v>0</v>
      </c>
      <c r="CN158" s="34">
        <f t="shared" ca="1" si="59"/>
        <v>0</v>
      </c>
      <c r="CO158" s="34">
        <f t="shared" ca="1" si="59"/>
        <v>0</v>
      </c>
      <c r="CP158" s="34">
        <f t="shared" ca="1" si="59"/>
        <v>0</v>
      </c>
      <c r="CQ158" s="34">
        <f t="shared" ca="1" si="53"/>
        <v>10693.379964152629</v>
      </c>
      <c r="CR158" s="363">
        <v>0</v>
      </c>
      <c r="CS158" s="34">
        <f t="shared" ca="1" si="54"/>
        <v>10693.379964152629</v>
      </c>
      <c r="CT158" s="233"/>
    </row>
    <row r="159" spans="2:98" x14ac:dyDescent="0.3">
      <c r="B159" s="232"/>
      <c r="C159" s="250">
        <f t="shared" si="55"/>
        <v>2043</v>
      </c>
      <c r="D159" s="263">
        <f t="shared" ca="1" si="34"/>
        <v>9869.9178996273495</v>
      </c>
      <c r="E159" s="263">
        <f t="shared" ca="1" si="21"/>
        <v>65.28405225166911</v>
      </c>
      <c r="F159" s="263">
        <f t="shared" ca="1" si="22"/>
        <v>0</v>
      </c>
      <c r="G159" s="263">
        <f t="shared" ca="1" si="35"/>
        <v>10261.622213137363</v>
      </c>
      <c r="H159" s="15"/>
      <c r="I159" s="271">
        <f ca="1">Assumptions!O$68</f>
        <v>4.5</v>
      </c>
      <c r="J159" s="271">
        <f ca="1">Assumptions!P$68</f>
        <v>80</v>
      </c>
      <c r="K159" s="271">
        <f t="shared" ca="1" si="23"/>
        <v>40</v>
      </c>
      <c r="L159" s="15"/>
      <c r="M159" s="35">
        <f t="shared" ca="1" si="36"/>
        <v>4.2299999999999995</v>
      </c>
      <c r="N159" s="35">
        <f t="shared" ca="1" si="24"/>
        <v>74.400000000000006</v>
      </c>
      <c r="O159" s="35">
        <f t="shared" ca="1" si="25"/>
        <v>37.200000000000003</v>
      </c>
      <c r="P159" s="15"/>
      <c r="Q159" s="34">
        <f t="shared" ca="1" si="37"/>
        <v>41749.752715423681</v>
      </c>
      <c r="R159" s="34">
        <f t="shared" ca="1" si="37"/>
        <v>4857.1334875241819</v>
      </c>
      <c r="S159" s="34">
        <f t="shared" ca="1" si="37"/>
        <v>0</v>
      </c>
      <c r="T159" s="34">
        <f t="shared" ca="1" si="38"/>
        <v>46606.886202947862</v>
      </c>
      <c r="U159" s="15"/>
      <c r="V159" s="35">
        <f t="shared" si="39"/>
        <v>0.31</v>
      </c>
      <c r="W159" s="34">
        <f t="shared" ca="1" si="40"/>
        <v>3181.1028860725828</v>
      </c>
      <c r="X159" s="35">
        <f t="shared" si="41"/>
        <v>0.37</v>
      </c>
      <c r="Y159" s="34">
        <f t="shared" ca="1" si="42"/>
        <v>3796.8002188608243</v>
      </c>
      <c r="Z159" s="35">
        <f t="shared" si="43"/>
        <v>0.57999999999999996</v>
      </c>
      <c r="AA159" s="34">
        <f t="shared" ca="1" si="44"/>
        <v>5951.7408836196701</v>
      </c>
      <c r="AB159" s="34">
        <f t="shared" ca="1" si="45"/>
        <v>12929.643988553078</v>
      </c>
      <c r="AC159" s="15"/>
      <c r="AD159" s="34">
        <f t="shared" ca="1" si="46"/>
        <v>33677.242214394784</v>
      </c>
      <c r="AE159" s="34">
        <f ca="1"/>
        <v>0</v>
      </c>
      <c r="AF159" s="34">
        <f t="shared" ca="1" si="47"/>
        <v>33677.242214394784</v>
      </c>
      <c r="AG159" s="15"/>
      <c r="AH159" s="272">
        <f t="shared" si="56"/>
        <v>52596</v>
      </c>
      <c r="AI159" s="267">
        <f t="shared" si="26"/>
        <v>29.666666666666668</v>
      </c>
      <c r="AJ159" s="267">
        <f t="shared" si="27"/>
        <v>5.915848001836703E-2</v>
      </c>
      <c r="AK159" s="34">
        <f t="shared" ca="1" si="57"/>
        <v>1992.2944606139804</v>
      </c>
      <c r="AL159" s="233"/>
      <c r="AN159" s="349"/>
      <c r="AO159" s="237">
        <f t="shared" si="48"/>
        <v>30</v>
      </c>
      <c r="AP159" s="34">
        <f t="shared" ca="1" si="49"/>
        <v>41.184539007360783</v>
      </c>
      <c r="AQ159" s="34">
        <f t="shared" ca="1" si="28"/>
        <v>0.27241296471361337</v>
      </c>
      <c r="AR159" s="34">
        <f t="shared" ca="1" si="29"/>
        <v>0</v>
      </c>
      <c r="AS159" s="34">
        <f t="shared" ca="1" si="50"/>
        <v>42.819016795642462</v>
      </c>
      <c r="AT159" s="350">
        <v>-4.0376270410962159E-2</v>
      </c>
      <c r="AU159" s="34">
        <f ca="1">MIN(AU158*(1+AT159),$AT$126-SUM(AU$129:AU158))</f>
        <v>42.819016795642462</v>
      </c>
      <c r="AV159" s="348"/>
      <c r="AW159" s="34">
        <f t="shared" ca="1" si="51"/>
        <v>41.184539007360783</v>
      </c>
      <c r="AX159" s="34">
        <f t="shared" ca="1" si="30"/>
        <v>0.27241296471361337</v>
      </c>
      <c r="AY159" s="34">
        <f t="shared" ca="1" si="30"/>
        <v>0</v>
      </c>
      <c r="AZ159" s="34">
        <f t="shared" ca="1" si="30"/>
        <v>42.819016795642462</v>
      </c>
      <c r="BB159" s="34">
        <f t="shared" ca="1" si="60"/>
        <v>3029.8736284596603</v>
      </c>
      <c r="BC159" s="34">
        <f t="shared" ca="1" si="60"/>
        <v>3493.7954447360553</v>
      </c>
      <c r="BD159" s="34">
        <f t="shared" ca="1" si="60"/>
        <v>3737.9531399416483</v>
      </c>
      <c r="BE159" s="34">
        <f t="shared" ca="1" si="60"/>
        <v>0</v>
      </c>
      <c r="BF159" s="34">
        <f t="shared" ca="1" si="60"/>
        <v>0</v>
      </c>
      <c r="BG159" s="34">
        <f t="shared" ca="1" si="60"/>
        <v>0</v>
      </c>
      <c r="BH159" s="34">
        <f t="shared" ca="1" si="60"/>
        <v>0</v>
      </c>
      <c r="BI159" s="34">
        <f t="shared" ca="1" si="60"/>
        <v>0</v>
      </c>
      <c r="BJ159" s="34">
        <f t="shared" ca="1" si="60"/>
        <v>0</v>
      </c>
      <c r="BK159" s="34">
        <f t="shared" ca="1" si="60"/>
        <v>0</v>
      </c>
      <c r="BL159" s="34">
        <f t="shared" ca="1" si="60"/>
        <v>0</v>
      </c>
      <c r="BM159" s="34">
        <f t="shared" ca="1" si="60"/>
        <v>0</v>
      </c>
      <c r="BN159" s="34">
        <f t="shared" ca="1" si="60"/>
        <v>0</v>
      </c>
      <c r="BO159" s="34">
        <f t="shared" ca="1" si="60"/>
        <v>0</v>
      </c>
      <c r="BP159" s="34">
        <f t="shared" ca="1" si="60"/>
        <v>0</v>
      </c>
      <c r="BQ159" s="34">
        <f t="shared" ca="1" si="60"/>
        <v>0</v>
      </c>
      <c r="BR159" s="34">
        <f t="shared" ca="1" si="58"/>
        <v>0</v>
      </c>
      <c r="BS159" s="34">
        <f t="shared" ca="1" si="58"/>
        <v>0</v>
      </c>
      <c r="BT159" s="34">
        <f t="shared" ca="1" si="58"/>
        <v>0</v>
      </c>
      <c r="BU159" s="34">
        <f t="shared" ca="1" si="58"/>
        <v>0</v>
      </c>
      <c r="BV159" s="34">
        <f t="shared" ca="1" si="58"/>
        <v>0</v>
      </c>
      <c r="BW159" s="34">
        <f t="shared" ca="1" si="58"/>
        <v>0</v>
      </c>
      <c r="BX159" s="34">
        <f t="shared" ca="1" si="58"/>
        <v>0</v>
      </c>
      <c r="BY159" s="34">
        <f t="shared" ca="1" si="58"/>
        <v>0</v>
      </c>
      <c r="BZ159" s="34">
        <f t="shared" ca="1" si="58"/>
        <v>0</v>
      </c>
      <c r="CA159" s="34">
        <f t="shared" ca="1" si="58"/>
        <v>0</v>
      </c>
      <c r="CB159" s="34">
        <f t="shared" ca="1" si="58"/>
        <v>0</v>
      </c>
      <c r="CC159" s="34">
        <f t="shared" ca="1" si="58"/>
        <v>0</v>
      </c>
      <c r="CD159" s="34">
        <f t="shared" ca="1" si="58"/>
        <v>0</v>
      </c>
      <c r="CE159" s="34">
        <f t="shared" ca="1" si="58"/>
        <v>0</v>
      </c>
      <c r="CF159" s="34">
        <f t="shared" ca="1" si="58"/>
        <v>0</v>
      </c>
      <c r="CG159" s="34">
        <f t="shared" ca="1" si="58"/>
        <v>0</v>
      </c>
      <c r="CH159" s="34">
        <f t="shared" ca="1" si="59"/>
        <v>0</v>
      </c>
      <c r="CI159" s="34">
        <f t="shared" ca="1" si="59"/>
        <v>0</v>
      </c>
      <c r="CJ159" s="34">
        <f t="shared" ca="1" si="59"/>
        <v>0</v>
      </c>
      <c r="CK159" s="34">
        <f t="shared" ca="1" si="59"/>
        <v>0</v>
      </c>
      <c r="CL159" s="34">
        <f t="shared" ca="1" si="59"/>
        <v>0</v>
      </c>
      <c r="CM159" s="34">
        <f t="shared" ca="1" si="59"/>
        <v>0</v>
      </c>
      <c r="CN159" s="34">
        <f t="shared" ca="1" si="59"/>
        <v>0</v>
      </c>
      <c r="CO159" s="34">
        <f t="shared" ca="1" si="59"/>
        <v>0</v>
      </c>
      <c r="CP159" s="34">
        <f t="shared" ca="1" si="59"/>
        <v>0</v>
      </c>
      <c r="CQ159" s="34">
        <f t="shared" ca="1" si="53"/>
        <v>10261.622213137363</v>
      </c>
      <c r="CR159" s="363">
        <v>0</v>
      </c>
      <c r="CS159" s="34">
        <f t="shared" ca="1" si="54"/>
        <v>10261.622213137363</v>
      </c>
      <c r="CT159" s="233"/>
    </row>
    <row r="160" spans="2:98" x14ac:dyDescent="0.3">
      <c r="B160" s="232"/>
      <c r="C160" s="250">
        <f t="shared" si="55"/>
        <v>2044</v>
      </c>
      <c r="D160" s="263">
        <f t="shared" ca="1" si="34"/>
        <v>9471.4080788171777</v>
      </c>
      <c r="E160" s="263">
        <f t="shared" ca="1" si="21"/>
        <v>62.648130025248491</v>
      </c>
      <c r="F160" s="263">
        <f t="shared" ca="1" si="22"/>
        <v>0</v>
      </c>
      <c r="G160" s="263">
        <f t="shared" ca="1" si="35"/>
        <v>9847.2968589686679</v>
      </c>
      <c r="H160" s="15"/>
      <c r="I160" s="271">
        <f ca="1">Assumptions!O$68</f>
        <v>4.5</v>
      </c>
      <c r="J160" s="271">
        <f ca="1">Assumptions!P$68</f>
        <v>80</v>
      </c>
      <c r="K160" s="271">
        <f t="shared" ca="1" si="23"/>
        <v>40</v>
      </c>
      <c r="L160" s="15"/>
      <c r="M160" s="35">
        <f t="shared" ca="1" si="36"/>
        <v>4.2299999999999995</v>
      </c>
      <c r="N160" s="35">
        <f t="shared" ca="1" si="24"/>
        <v>74.400000000000006</v>
      </c>
      <c r="O160" s="35">
        <f t="shared" ca="1" si="25"/>
        <v>37.200000000000003</v>
      </c>
      <c r="P160" s="15"/>
      <c r="Q160" s="34">
        <f t="shared" ca="1" si="37"/>
        <v>40064.056173396661</v>
      </c>
      <c r="R160" s="34">
        <f t="shared" ca="1" si="37"/>
        <v>4661.0208738784877</v>
      </c>
      <c r="S160" s="34">
        <f t="shared" ca="1" si="37"/>
        <v>0</v>
      </c>
      <c r="T160" s="34">
        <f t="shared" ca="1" si="38"/>
        <v>44725.077047275146</v>
      </c>
      <c r="U160" s="15"/>
      <c r="V160" s="35">
        <f t="shared" si="39"/>
        <v>0.31</v>
      </c>
      <c r="W160" s="34">
        <f t="shared" ca="1" si="40"/>
        <v>3052.6620262802871</v>
      </c>
      <c r="X160" s="35">
        <f t="shared" si="41"/>
        <v>0.37</v>
      </c>
      <c r="Y160" s="34">
        <f t="shared" ca="1" si="42"/>
        <v>3643.4998378184073</v>
      </c>
      <c r="Z160" s="35">
        <f t="shared" si="43"/>
        <v>0.57999999999999996</v>
      </c>
      <c r="AA160" s="34">
        <f t="shared" ca="1" si="44"/>
        <v>5711.4321782018269</v>
      </c>
      <c r="AB160" s="34">
        <f t="shared" ca="1" si="45"/>
        <v>12407.594042300521</v>
      </c>
      <c r="AC160" s="15"/>
      <c r="AD160" s="34">
        <f t="shared" ca="1" si="46"/>
        <v>32317.483004974623</v>
      </c>
      <c r="AE160" s="34">
        <f ca="1"/>
        <v>0</v>
      </c>
      <c r="AF160" s="34">
        <f t="shared" ca="1" si="47"/>
        <v>32317.483004974623</v>
      </c>
      <c r="AG160" s="15"/>
      <c r="AH160" s="272">
        <f t="shared" si="56"/>
        <v>52962</v>
      </c>
      <c r="AI160" s="267">
        <f t="shared" si="26"/>
        <v>30.666666666666668</v>
      </c>
      <c r="AJ160" s="267">
        <f t="shared" si="27"/>
        <v>5.3780436380333668E-2</v>
      </c>
      <c r="AK160" s="34">
        <f t="shared" ca="1" si="57"/>
        <v>1738.0483387215522</v>
      </c>
      <c r="AL160" s="233"/>
      <c r="AN160" s="349"/>
      <c r="AO160" s="237">
        <f t="shared" si="48"/>
        <v>31</v>
      </c>
      <c r="AP160" s="34">
        <f t="shared" ca="1" si="49"/>
        <v>39.521664291939835</v>
      </c>
      <c r="AQ160" s="34">
        <f t="shared" ca="1" si="28"/>
        <v>0.2614139674662686</v>
      </c>
      <c r="AR160" s="34">
        <f t="shared" ca="1" si="29"/>
        <v>0</v>
      </c>
      <c r="AS160" s="34">
        <f t="shared" ca="1" si="50"/>
        <v>41.090148096737444</v>
      </c>
      <c r="AT160" s="350">
        <v>-4.037618862563324E-2</v>
      </c>
      <c r="AU160" s="34">
        <f ca="1">MIN(AU159*(1+AT160),$AT$126-SUM(AU$129:AU159))</f>
        <v>41.090148096737444</v>
      </c>
      <c r="AV160" s="348"/>
      <c r="AW160" s="34">
        <f t="shared" ca="1" si="51"/>
        <v>39.521664291939835</v>
      </c>
      <c r="AX160" s="34">
        <f t="shared" ca="1" si="30"/>
        <v>0.2614139674662686</v>
      </c>
      <c r="AY160" s="34">
        <f t="shared" ca="1" si="30"/>
        <v>0</v>
      </c>
      <c r="AZ160" s="34">
        <f t="shared" ca="1" si="30"/>
        <v>41.090148096737444</v>
      </c>
      <c r="BB160" s="34">
        <f t="shared" ca="1" si="60"/>
        <v>2907.5388793251414</v>
      </c>
      <c r="BC160" s="34">
        <f t="shared" ca="1" si="60"/>
        <v>3352.7290150988047</v>
      </c>
      <c r="BD160" s="34">
        <f t="shared" ca="1" si="60"/>
        <v>3587.0289645447215</v>
      </c>
      <c r="BE160" s="34">
        <f t="shared" ca="1" si="60"/>
        <v>0</v>
      </c>
      <c r="BF160" s="34">
        <f t="shared" ca="1" si="60"/>
        <v>0</v>
      </c>
      <c r="BG160" s="34">
        <f t="shared" ca="1" si="60"/>
        <v>0</v>
      </c>
      <c r="BH160" s="34">
        <f t="shared" ca="1" si="60"/>
        <v>0</v>
      </c>
      <c r="BI160" s="34">
        <f t="shared" ca="1" si="60"/>
        <v>0</v>
      </c>
      <c r="BJ160" s="34">
        <f t="shared" ca="1" si="60"/>
        <v>0</v>
      </c>
      <c r="BK160" s="34">
        <f t="shared" ca="1" si="60"/>
        <v>0</v>
      </c>
      <c r="BL160" s="34">
        <f t="shared" ca="1" si="60"/>
        <v>0</v>
      </c>
      <c r="BM160" s="34">
        <f t="shared" ca="1" si="60"/>
        <v>0</v>
      </c>
      <c r="BN160" s="34">
        <f t="shared" ca="1" si="60"/>
        <v>0</v>
      </c>
      <c r="BO160" s="34">
        <f t="shared" ca="1" si="60"/>
        <v>0</v>
      </c>
      <c r="BP160" s="34">
        <f t="shared" ca="1" si="60"/>
        <v>0</v>
      </c>
      <c r="BQ160" s="34">
        <f t="shared" ca="1" si="60"/>
        <v>0</v>
      </c>
      <c r="BR160" s="34">
        <f t="shared" ref="BR160:CG169" ca="1" si="61">IF($AO160&lt;BR$128,0,OFFSET($AZ$128,$AO160-BR$128+1,0)*BR$126)</f>
        <v>0</v>
      </c>
      <c r="BS160" s="34">
        <f t="shared" ca="1" si="61"/>
        <v>0</v>
      </c>
      <c r="BT160" s="34">
        <f t="shared" ca="1" si="61"/>
        <v>0</v>
      </c>
      <c r="BU160" s="34">
        <f t="shared" ca="1" si="61"/>
        <v>0</v>
      </c>
      <c r="BV160" s="34">
        <f t="shared" ca="1" si="61"/>
        <v>0</v>
      </c>
      <c r="BW160" s="34">
        <f t="shared" ca="1" si="61"/>
        <v>0</v>
      </c>
      <c r="BX160" s="34">
        <f t="shared" ca="1" si="61"/>
        <v>0</v>
      </c>
      <c r="BY160" s="34">
        <f t="shared" ca="1" si="61"/>
        <v>0</v>
      </c>
      <c r="BZ160" s="34">
        <f t="shared" ca="1" si="61"/>
        <v>0</v>
      </c>
      <c r="CA160" s="34">
        <f t="shared" ca="1" si="61"/>
        <v>0</v>
      </c>
      <c r="CB160" s="34">
        <f t="shared" ca="1" si="61"/>
        <v>0</v>
      </c>
      <c r="CC160" s="34">
        <f t="shared" ca="1" si="61"/>
        <v>0</v>
      </c>
      <c r="CD160" s="34">
        <f t="shared" ca="1" si="61"/>
        <v>0</v>
      </c>
      <c r="CE160" s="34">
        <f t="shared" ca="1" si="61"/>
        <v>0</v>
      </c>
      <c r="CF160" s="34">
        <f t="shared" ca="1" si="61"/>
        <v>0</v>
      </c>
      <c r="CG160" s="34">
        <f t="shared" ca="1" si="61"/>
        <v>0</v>
      </c>
      <c r="CH160" s="34">
        <f t="shared" ref="CH160:CP169" ca="1" si="62">IF($AO160&lt;CH$128,0,OFFSET($AZ$128,$AO160-CH$128+1,0)*CH$126)</f>
        <v>0</v>
      </c>
      <c r="CI160" s="34">
        <f t="shared" ca="1" si="62"/>
        <v>0</v>
      </c>
      <c r="CJ160" s="34">
        <f t="shared" ca="1" si="62"/>
        <v>0</v>
      </c>
      <c r="CK160" s="34">
        <f t="shared" ca="1" si="62"/>
        <v>0</v>
      </c>
      <c r="CL160" s="34">
        <f t="shared" ca="1" si="62"/>
        <v>0</v>
      </c>
      <c r="CM160" s="34">
        <f t="shared" ca="1" si="62"/>
        <v>0</v>
      </c>
      <c r="CN160" s="34">
        <f t="shared" ca="1" si="62"/>
        <v>0</v>
      </c>
      <c r="CO160" s="34">
        <f t="shared" ca="1" si="62"/>
        <v>0</v>
      </c>
      <c r="CP160" s="34">
        <f t="shared" ca="1" si="62"/>
        <v>0</v>
      </c>
      <c r="CQ160" s="34">
        <f t="shared" ca="1" si="53"/>
        <v>9847.2968589686679</v>
      </c>
      <c r="CR160" s="363">
        <v>0</v>
      </c>
      <c r="CS160" s="34">
        <f t="shared" ca="1" si="54"/>
        <v>9847.2968589686679</v>
      </c>
      <c r="CT160" s="233"/>
    </row>
    <row r="161" spans="2:98" x14ac:dyDescent="0.3">
      <c r="B161" s="232"/>
      <c r="C161" s="250">
        <f t="shared" si="55"/>
        <v>2045</v>
      </c>
      <c r="D161" s="263">
        <f t="shared" ca="1" si="34"/>
        <v>9088.9887116332211</v>
      </c>
      <c r="E161" s="263">
        <f t="shared" ca="1" si="21"/>
        <v>60.118637257103963</v>
      </c>
      <c r="F161" s="263">
        <f t="shared" ca="1" si="22"/>
        <v>0</v>
      </c>
      <c r="G161" s="263">
        <f t="shared" ca="1" si="35"/>
        <v>9449.7005351758453</v>
      </c>
      <c r="H161" s="15"/>
      <c r="I161" s="271">
        <f ca="1">Assumptions!O$68</f>
        <v>4.5</v>
      </c>
      <c r="J161" s="271">
        <f ca="1">Assumptions!P$68</f>
        <v>80</v>
      </c>
      <c r="K161" s="271">
        <f t="shared" ca="1" si="23"/>
        <v>40</v>
      </c>
      <c r="L161" s="15"/>
      <c r="M161" s="35">
        <f t="shared" ca="1" si="36"/>
        <v>4.2299999999999995</v>
      </c>
      <c r="N161" s="35">
        <f t="shared" ca="1" si="24"/>
        <v>74.400000000000006</v>
      </c>
      <c r="O161" s="35">
        <f t="shared" ca="1" si="25"/>
        <v>37.200000000000003</v>
      </c>
      <c r="P161" s="15"/>
      <c r="Q161" s="34">
        <f t="shared" ca="1" si="37"/>
        <v>38446.422250208518</v>
      </c>
      <c r="R161" s="34">
        <f t="shared" ca="1" si="37"/>
        <v>4472.8266119285354</v>
      </c>
      <c r="S161" s="34">
        <f t="shared" ca="1" si="37"/>
        <v>0</v>
      </c>
      <c r="T161" s="34">
        <f t="shared" ca="1" si="38"/>
        <v>42919.24886213705</v>
      </c>
      <c r="U161" s="15"/>
      <c r="V161" s="35">
        <f t="shared" si="39"/>
        <v>0.31</v>
      </c>
      <c r="W161" s="34">
        <f t="shared" ca="1" si="40"/>
        <v>2929.4071659045121</v>
      </c>
      <c r="X161" s="35">
        <f t="shared" si="41"/>
        <v>0.37</v>
      </c>
      <c r="Y161" s="34">
        <f t="shared" ca="1" si="42"/>
        <v>3496.3891980150629</v>
      </c>
      <c r="Z161" s="35">
        <f t="shared" si="43"/>
        <v>0.57999999999999996</v>
      </c>
      <c r="AA161" s="34">
        <f t="shared" ca="1" si="44"/>
        <v>5480.8263104019898</v>
      </c>
      <c r="AB161" s="34">
        <f t="shared" ca="1" si="45"/>
        <v>11906.622674321565</v>
      </c>
      <c r="AC161" s="15"/>
      <c r="AD161" s="34">
        <f t="shared" ca="1" si="46"/>
        <v>31012.626187815484</v>
      </c>
      <c r="AE161" s="34">
        <f ca="1"/>
        <v>0</v>
      </c>
      <c r="AF161" s="34">
        <f t="shared" ca="1" si="47"/>
        <v>31012.626187815484</v>
      </c>
      <c r="AG161" s="15"/>
      <c r="AH161" s="272">
        <f t="shared" si="56"/>
        <v>53327</v>
      </c>
      <c r="AI161" s="267">
        <f t="shared" si="26"/>
        <v>31.666666666666664</v>
      </c>
      <c r="AJ161" s="267">
        <f t="shared" si="27"/>
        <v>4.889130580030334E-2</v>
      </c>
      <c r="AK161" s="34">
        <f t="shared" ca="1" si="57"/>
        <v>1516.2477906189824</v>
      </c>
      <c r="AL161" s="233"/>
      <c r="AN161" s="349"/>
      <c r="AO161" s="237">
        <f t="shared" si="48"/>
        <v>32</v>
      </c>
      <c r="AP161" s="34">
        <f t="shared" ca="1" si="49"/>
        <v>37.925933993696638</v>
      </c>
      <c r="AQ161" s="34">
        <f t="shared" ca="1" si="28"/>
        <v>0.25085909343089147</v>
      </c>
      <c r="AR161" s="34">
        <f t="shared" ca="1" si="29"/>
        <v>0</v>
      </c>
      <c r="AS161" s="34">
        <f t="shared" ca="1" si="50"/>
        <v>39.431088554281985</v>
      </c>
      <c r="AT161" s="350">
        <v>-4.0376090603265184E-2</v>
      </c>
      <c r="AU161" s="34">
        <f ca="1">MIN(AU160*(1+AT161),$AT$126-SUM(AU$129:AU160))</f>
        <v>39.431088554281985</v>
      </c>
      <c r="AV161" s="348"/>
      <c r="AW161" s="34">
        <f t="shared" ca="1" si="51"/>
        <v>37.925933993696638</v>
      </c>
      <c r="AX161" s="34">
        <f t="shared" ca="1" si="30"/>
        <v>0.25085909343089147</v>
      </c>
      <c r="AY161" s="34">
        <f t="shared" ca="1" si="30"/>
        <v>0</v>
      </c>
      <c r="AZ161" s="34">
        <f t="shared" ca="1" si="30"/>
        <v>39.431088554281985</v>
      </c>
      <c r="BB161" s="34">
        <f t="shared" ca="1" si="60"/>
        <v>2790.143826100993</v>
      </c>
      <c r="BC161" s="34">
        <f t="shared" ca="1" si="60"/>
        <v>3217.3585959745419</v>
      </c>
      <c r="BD161" s="34">
        <f t="shared" ca="1" si="60"/>
        <v>3442.1981131003108</v>
      </c>
      <c r="BE161" s="34">
        <f t="shared" ca="1" si="60"/>
        <v>0</v>
      </c>
      <c r="BF161" s="34">
        <f t="shared" ca="1" si="60"/>
        <v>0</v>
      </c>
      <c r="BG161" s="34">
        <f t="shared" ca="1" si="60"/>
        <v>0</v>
      </c>
      <c r="BH161" s="34">
        <f t="shared" ca="1" si="60"/>
        <v>0</v>
      </c>
      <c r="BI161" s="34">
        <f t="shared" ca="1" si="60"/>
        <v>0</v>
      </c>
      <c r="BJ161" s="34">
        <f t="shared" ca="1" si="60"/>
        <v>0</v>
      </c>
      <c r="BK161" s="34">
        <f t="shared" ca="1" si="60"/>
        <v>0</v>
      </c>
      <c r="BL161" s="34">
        <f t="shared" ca="1" si="60"/>
        <v>0</v>
      </c>
      <c r="BM161" s="34">
        <f t="shared" ca="1" si="60"/>
        <v>0</v>
      </c>
      <c r="BN161" s="34">
        <f t="shared" ca="1" si="60"/>
        <v>0</v>
      </c>
      <c r="BO161" s="34">
        <f t="shared" ca="1" si="60"/>
        <v>0</v>
      </c>
      <c r="BP161" s="34">
        <f t="shared" ca="1" si="60"/>
        <v>0</v>
      </c>
      <c r="BQ161" s="34">
        <f t="shared" ref="BQ161:BQ169" ca="1" si="63">IF($AO161&lt;BQ$128,0,OFFSET($AZ$128,$AO161-BQ$128+1,0)*BQ$126)</f>
        <v>0</v>
      </c>
      <c r="BR161" s="34">
        <f t="shared" ca="1" si="61"/>
        <v>0</v>
      </c>
      <c r="BS161" s="34">
        <f t="shared" ca="1" si="61"/>
        <v>0</v>
      </c>
      <c r="BT161" s="34">
        <f t="shared" ca="1" si="61"/>
        <v>0</v>
      </c>
      <c r="BU161" s="34">
        <f t="shared" ca="1" si="61"/>
        <v>0</v>
      </c>
      <c r="BV161" s="34">
        <f t="shared" ca="1" si="61"/>
        <v>0</v>
      </c>
      <c r="BW161" s="34">
        <f t="shared" ca="1" si="61"/>
        <v>0</v>
      </c>
      <c r="BX161" s="34">
        <f t="shared" ca="1" si="61"/>
        <v>0</v>
      </c>
      <c r="BY161" s="34">
        <f t="shared" ca="1" si="61"/>
        <v>0</v>
      </c>
      <c r="BZ161" s="34">
        <f t="shared" ca="1" si="61"/>
        <v>0</v>
      </c>
      <c r="CA161" s="34">
        <f t="shared" ca="1" si="61"/>
        <v>0</v>
      </c>
      <c r="CB161" s="34">
        <f t="shared" ca="1" si="61"/>
        <v>0</v>
      </c>
      <c r="CC161" s="34">
        <f t="shared" ca="1" si="61"/>
        <v>0</v>
      </c>
      <c r="CD161" s="34">
        <f t="shared" ca="1" si="61"/>
        <v>0</v>
      </c>
      <c r="CE161" s="34">
        <f t="shared" ca="1" si="61"/>
        <v>0</v>
      </c>
      <c r="CF161" s="34">
        <f t="shared" ca="1" si="61"/>
        <v>0</v>
      </c>
      <c r="CG161" s="34">
        <f t="shared" ca="1" si="61"/>
        <v>0</v>
      </c>
      <c r="CH161" s="34">
        <f t="shared" ca="1" si="62"/>
        <v>0</v>
      </c>
      <c r="CI161" s="34">
        <f t="shared" ca="1" si="62"/>
        <v>0</v>
      </c>
      <c r="CJ161" s="34">
        <f t="shared" ca="1" si="62"/>
        <v>0</v>
      </c>
      <c r="CK161" s="34">
        <f t="shared" ca="1" si="62"/>
        <v>0</v>
      </c>
      <c r="CL161" s="34">
        <f t="shared" ca="1" si="62"/>
        <v>0</v>
      </c>
      <c r="CM161" s="34">
        <f t="shared" ca="1" si="62"/>
        <v>0</v>
      </c>
      <c r="CN161" s="34">
        <f t="shared" ca="1" si="62"/>
        <v>0</v>
      </c>
      <c r="CO161" s="34">
        <f t="shared" ca="1" si="62"/>
        <v>0</v>
      </c>
      <c r="CP161" s="34">
        <f t="shared" ca="1" si="62"/>
        <v>0</v>
      </c>
      <c r="CQ161" s="34">
        <f t="shared" ca="1" si="53"/>
        <v>9449.7005351758453</v>
      </c>
      <c r="CR161" s="363">
        <v>0</v>
      </c>
      <c r="CS161" s="34">
        <f t="shared" ca="1" si="54"/>
        <v>9449.7005351758453</v>
      </c>
      <c r="CT161" s="233"/>
    </row>
    <row r="162" spans="2:98" x14ac:dyDescent="0.3">
      <c r="B162" s="232"/>
      <c r="C162" s="250">
        <f t="shared" si="55"/>
        <v>2046</v>
      </c>
      <c r="D162" s="263">
        <f t="shared" ca="1" si="34"/>
        <v>8722.0103279171071</v>
      </c>
      <c r="E162" s="263">
        <f t="shared" ca="1" si="21"/>
        <v>57.691278061070477</v>
      </c>
      <c r="F162" s="263">
        <f t="shared" ca="1" si="22"/>
        <v>0</v>
      </c>
      <c r="G162" s="263">
        <f t="shared" ca="1" si="35"/>
        <v>9068.1579962835294</v>
      </c>
      <c r="H162" s="15"/>
      <c r="I162" s="271">
        <f ca="1">Assumptions!O$68</f>
        <v>4.5</v>
      </c>
      <c r="J162" s="271">
        <f ca="1">Assumptions!P$68</f>
        <v>80</v>
      </c>
      <c r="K162" s="271">
        <f t="shared" ca="1" si="23"/>
        <v>40</v>
      </c>
      <c r="L162" s="15"/>
      <c r="M162" s="35">
        <f t="shared" ca="1" si="36"/>
        <v>4.2299999999999995</v>
      </c>
      <c r="N162" s="35">
        <f t="shared" ca="1" si="24"/>
        <v>74.400000000000006</v>
      </c>
      <c r="O162" s="35">
        <f t="shared" ca="1" si="25"/>
        <v>37.200000000000003</v>
      </c>
      <c r="P162" s="15"/>
      <c r="Q162" s="34">
        <f t="shared" ca="1" si="37"/>
        <v>36894.103687089359</v>
      </c>
      <c r="R162" s="34">
        <f t="shared" ca="1" si="37"/>
        <v>4292.2310877436439</v>
      </c>
      <c r="S162" s="34">
        <f t="shared" ca="1" si="37"/>
        <v>0</v>
      </c>
      <c r="T162" s="34">
        <f t="shared" ca="1" si="38"/>
        <v>41186.334774833005</v>
      </c>
      <c r="U162" s="15"/>
      <c r="V162" s="35">
        <f t="shared" si="39"/>
        <v>0.31</v>
      </c>
      <c r="W162" s="34">
        <f t="shared" ca="1" si="40"/>
        <v>2811.1289788478939</v>
      </c>
      <c r="X162" s="35">
        <f t="shared" si="41"/>
        <v>0.37</v>
      </c>
      <c r="Y162" s="34">
        <f t="shared" ca="1" si="42"/>
        <v>3355.2184586249059</v>
      </c>
      <c r="Z162" s="35">
        <f t="shared" si="43"/>
        <v>0.57999999999999996</v>
      </c>
      <c r="AA162" s="34">
        <f t="shared" ca="1" si="44"/>
        <v>5259.5316378444468</v>
      </c>
      <c r="AB162" s="34">
        <f t="shared" ca="1" si="45"/>
        <v>11425.879075317247</v>
      </c>
      <c r="AC162" s="15"/>
      <c r="AD162" s="34">
        <f t="shared" ca="1" si="46"/>
        <v>29760.455699515758</v>
      </c>
      <c r="AE162" s="34">
        <f ca="1"/>
        <v>0</v>
      </c>
      <c r="AF162" s="34">
        <f t="shared" ca="1" si="47"/>
        <v>29760.455699515758</v>
      </c>
      <c r="AG162" s="15"/>
      <c r="AH162" s="272">
        <f t="shared" si="56"/>
        <v>53692</v>
      </c>
      <c r="AI162" s="267">
        <f t="shared" si="26"/>
        <v>32.666666666666664</v>
      </c>
      <c r="AJ162" s="267">
        <f t="shared" si="27"/>
        <v>4.4446641636639403E-2</v>
      </c>
      <c r="AK162" s="34">
        <f t="shared" ca="1" si="57"/>
        <v>1322.7523094194596</v>
      </c>
      <c r="AL162" s="233"/>
      <c r="AN162" s="349"/>
      <c r="AO162" s="237">
        <f t="shared" si="48"/>
        <v>33</v>
      </c>
      <c r="AP162" s="34">
        <f t="shared" ca="1" si="49"/>
        <v>36.394629831879065</v>
      </c>
      <c r="AQ162" s="34">
        <f t="shared" ca="1" si="28"/>
        <v>0.24073036268257683</v>
      </c>
      <c r="AR162" s="34">
        <f t="shared" ca="1" si="29"/>
        <v>0</v>
      </c>
      <c r="AS162" s="34">
        <f t="shared" ca="1" si="50"/>
        <v>37.839012007974524</v>
      </c>
      <c r="AT162" s="350">
        <v>-4.0376175365175626E-2</v>
      </c>
      <c r="AU162" s="34">
        <f ca="1">MIN(AU161*(1+AT162),$AT$126-SUM(AU$129:AU161))</f>
        <v>37.839012007974524</v>
      </c>
      <c r="AV162" s="348"/>
      <c r="AW162" s="34">
        <f t="shared" ca="1" si="51"/>
        <v>36.394629831879065</v>
      </c>
      <c r="AX162" s="34">
        <f t="shared" ca="1" si="30"/>
        <v>0.24073036268257683</v>
      </c>
      <c r="AY162" s="34">
        <f t="shared" ca="1" si="30"/>
        <v>0</v>
      </c>
      <c r="AZ162" s="34">
        <f t="shared" ca="1" si="30"/>
        <v>37.839012007974524</v>
      </c>
      <c r="BB162" s="34">
        <f t="shared" ref="BB162:BP169" ca="1" si="64">IF($AO162&lt;BB$128,0,OFFSET($AZ$128,$AO162-BB$128+1,0)*BB$126)</f>
        <v>2677.4884896842768</v>
      </c>
      <c r="BC162" s="34">
        <f t="shared" ca="1" si="64"/>
        <v>3087.4542338002793</v>
      </c>
      <c r="BD162" s="34">
        <f t="shared" ca="1" si="64"/>
        <v>3303.2152727989737</v>
      </c>
      <c r="BE162" s="34">
        <f t="shared" ca="1" si="64"/>
        <v>0</v>
      </c>
      <c r="BF162" s="34">
        <f t="shared" ca="1" si="64"/>
        <v>0</v>
      </c>
      <c r="BG162" s="34">
        <f t="shared" ca="1" si="64"/>
        <v>0</v>
      </c>
      <c r="BH162" s="34">
        <f t="shared" ca="1" si="64"/>
        <v>0</v>
      </c>
      <c r="BI162" s="34">
        <f t="shared" ca="1" si="64"/>
        <v>0</v>
      </c>
      <c r="BJ162" s="34">
        <f t="shared" ca="1" si="64"/>
        <v>0</v>
      </c>
      <c r="BK162" s="34">
        <f t="shared" ca="1" si="64"/>
        <v>0</v>
      </c>
      <c r="BL162" s="34">
        <f t="shared" ca="1" si="64"/>
        <v>0</v>
      </c>
      <c r="BM162" s="34">
        <f t="shared" ca="1" si="64"/>
        <v>0</v>
      </c>
      <c r="BN162" s="34">
        <f t="shared" ca="1" si="64"/>
        <v>0</v>
      </c>
      <c r="BO162" s="34">
        <f t="shared" ca="1" si="64"/>
        <v>0</v>
      </c>
      <c r="BP162" s="34">
        <f t="shared" ca="1" si="64"/>
        <v>0</v>
      </c>
      <c r="BQ162" s="34">
        <f t="shared" ca="1" si="63"/>
        <v>0</v>
      </c>
      <c r="BR162" s="34">
        <f t="shared" ca="1" si="61"/>
        <v>0</v>
      </c>
      <c r="BS162" s="34">
        <f t="shared" ca="1" si="61"/>
        <v>0</v>
      </c>
      <c r="BT162" s="34">
        <f t="shared" ca="1" si="61"/>
        <v>0</v>
      </c>
      <c r="BU162" s="34">
        <f t="shared" ca="1" si="61"/>
        <v>0</v>
      </c>
      <c r="BV162" s="34">
        <f t="shared" ca="1" si="61"/>
        <v>0</v>
      </c>
      <c r="BW162" s="34">
        <f t="shared" ca="1" si="61"/>
        <v>0</v>
      </c>
      <c r="BX162" s="34">
        <f t="shared" ca="1" si="61"/>
        <v>0</v>
      </c>
      <c r="BY162" s="34">
        <f t="shared" ca="1" si="61"/>
        <v>0</v>
      </c>
      <c r="BZ162" s="34">
        <f t="shared" ca="1" si="61"/>
        <v>0</v>
      </c>
      <c r="CA162" s="34">
        <f t="shared" ca="1" si="61"/>
        <v>0</v>
      </c>
      <c r="CB162" s="34">
        <f t="shared" ca="1" si="61"/>
        <v>0</v>
      </c>
      <c r="CC162" s="34">
        <f t="shared" ca="1" si="61"/>
        <v>0</v>
      </c>
      <c r="CD162" s="34">
        <f t="shared" ca="1" si="61"/>
        <v>0</v>
      </c>
      <c r="CE162" s="34">
        <f t="shared" ca="1" si="61"/>
        <v>0</v>
      </c>
      <c r="CF162" s="34">
        <f t="shared" ca="1" si="61"/>
        <v>0</v>
      </c>
      <c r="CG162" s="34">
        <f t="shared" ca="1" si="61"/>
        <v>0</v>
      </c>
      <c r="CH162" s="34">
        <f t="shared" ca="1" si="62"/>
        <v>0</v>
      </c>
      <c r="CI162" s="34">
        <f t="shared" ca="1" si="62"/>
        <v>0</v>
      </c>
      <c r="CJ162" s="34">
        <f t="shared" ca="1" si="62"/>
        <v>0</v>
      </c>
      <c r="CK162" s="34">
        <f t="shared" ca="1" si="62"/>
        <v>0</v>
      </c>
      <c r="CL162" s="34">
        <f t="shared" ca="1" si="62"/>
        <v>0</v>
      </c>
      <c r="CM162" s="34">
        <f t="shared" ca="1" si="62"/>
        <v>0</v>
      </c>
      <c r="CN162" s="34">
        <f t="shared" ca="1" si="62"/>
        <v>0</v>
      </c>
      <c r="CO162" s="34">
        <f t="shared" ca="1" si="62"/>
        <v>0</v>
      </c>
      <c r="CP162" s="34">
        <f t="shared" ca="1" si="62"/>
        <v>0</v>
      </c>
      <c r="CQ162" s="34">
        <f t="shared" ca="1" si="53"/>
        <v>9068.1579962835294</v>
      </c>
      <c r="CR162" s="363">
        <v>0</v>
      </c>
      <c r="CS162" s="34">
        <f t="shared" ca="1" si="54"/>
        <v>9068.1579962835294</v>
      </c>
      <c r="CT162" s="233"/>
    </row>
    <row r="163" spans="2:98" x14ac:dyDescent="0.3">
      <c r="B163" s="232"/>
      <c r="C163" s="250">
        <f t="shared" si="55"/>
        <v>2047</v>
      </c>
      <c r="D163" s="263">
        <f t="shared" ca="1" si="34"/>
        <v>8369.8493066540741</v>
      </c>
      <c r="E163" s="263">
        <f t="shared" ca="1" si="21"/>
        <v>55.36192752878236</v>
      </c>
      <c r="F163" s="263">
        <f t="shared" ca="1" si="22"/>
        <v>0</v>
      </c>
      <c r="G163" s="263">
        <f t="shared" ca="1" si="35"/>
        <v>8702.0208718267677</v>
      </c>
      <c r="H163" s="15"/>
      <c r="I163" s="271">
        <f ca="1">Assumptions!O$68</f>
        <v>4.5</v>
      </c>
      <c r="J163" s="271">
        <f ca="1">Assumptions!P$68</f>
        <v>80</v>
      </c>
      <c r="K163" s="271">
        <f t="shared" ca="1" si="23"/>
        <v>40</v>
      </c>
      <c r="L163" s="15"/>
      <c r="M163" s="35">
        <f t="shared" ca="1" si="36"/>
        <v>4.2299999999999995</v>
      </c>
      <c r="N163" s="35">
        <f t="shared" ca="1" si="24"/>
        <v>74.400000000000006</v>
      </c>
      <c r="O163" s="35">
        <f t="shared" ca="1" si="25"/>
        <v>37.200000000000003</v>
      </c>
      <c r="P163" s="15"/>
      <c r="Q163" s="34">
        <f t="shared" ca="1" si="37"/>
        <v>35404.462567146729</v>
      </c>
      <c r="R163" s="34">
        <f t="shared" ca="1" si="37"/>
        <v>4118.9274081414078</v>
      </c>
      <c r="S163" s="34">
        <f t="shared" ca="1" si="37"/>
        <v>0</v>
      </c>
      <c r="T163" s="34">
        <f t="shared" ca="1" si="38"/>
        <v>39523.389975288141</v>
      </c>
      <c r="U163" s="15"/>
      <c r="V163" s="35">
        <f t="shared" si="39"/>
        <v>0.31</v>
      </c>
      <c r="W163" s="34">
        <f t="shared" ca="1" si="40"/>
        <v>2697.6264702662979</v>
      </c>
      <c r="X163" s="35">
        <f t="shared" si="41"/>
        <v>0.37</v>
      </c>
      <c r="Y163" s="34">
        <f t="shared" ca="1" si="42"/>
        <v>3219.7477225759039</v>
      </c>
      <c r="Z163" s="35">
        <f t="shared" si="43"/>
        <v>0.57999999999999996</v>
      </c>
      <c r="AA163" s="34">
        <f t="shared" ca="1" si="44"/>
        <v>5047.1721056595252</v>
      </c>
      <c r="AB163" s="34">
        <f t="shared" ca="1" si="45"/>
        <v>10964.546298501728</v>
      </c>
      <c r="AC163" s="15"/>
      <c r="AD163" s="34">
        <f t="shared" ca="1" si="46"/>
        <v>28558.843676786411</v>
      </c>
      <c r="AE163" s="34">
        <f ca="1"/>
        <v>0</v>
      </c>
      <c r="AF163" s="34">
        <f t="shared" ca="1" si="47"/>
        <v>28558.843676786411</v>
      </c>
      <c r="AG163" s="15"/>
      <c r="AH163" s="272">
        <f t="shared" si="56"/>
        <v>54057</v>
      </c>
      <c r="AI163" s="267">
        <f t="shared" si="26"/>
        <v>33.666666666666664</v>
      </c>
      <c r="AJ163" s="267">
        <f t="shared" si="27"/>
        <v>4.0406037851490349E-2</v>
      </c>
      <c r="AK163" s="34">
        <f t="shared" ca="1" si="57"/>
        <v>1153.9497185990276</v>
      </c>
      <c r="AL163" s="233"/>
      <c r="AN163" s="349"/>
      <c r="AO163" s="237">
        <f t="shared" si="48"/>
        <v>34</v>
      </c>
      <c r="AP163" s="34">
        <f t="shared" ca="1" si="49"/>
        <v>34.925155684008786</v>
      </c>
      <c r="AQ163" s="34">
        <f t="shared" ca="1" si="28"/>
        <v>0.23101060330588916</v>
      </c>
      <c r="AR163" s="34">
        <f t="shared" ca="1" si="29"/>
        <v>0</v>
      </c>
      <c r="AS163" s="34">
        <f t="shared" ca="1" si="50"/>
        <v>36.311219303844119</v>
      </c>
      <c r="AT163" s="350">
        <v>-4.0376125671791413E-2</v>
      </c>
      <c r="AU163" s="34">
        <f ca="1">MIN(AU162*(1+AT163),$AT$126-SUM(AU$129:AU162))</f>
        <v>36.311219303844119</v>
      </c>
      <c r="AV163" s="348"/>
      <c r="AW163" s="34">
        <f t="shared" ca="1" si="51"/>
        <v>34.925155684008786</v>
      </c>
      <c r="AX163" s="34">
        <f t="shared" ca="1" si="30"/>
        <v>0.23101060330588916</v>
      </c>
      <c r="AY163" s="34">
        <f t="shared" ca="1" si="30"/>
        <v>0</v>
      </c>
      <c r="AZ163" s="34">
        <f t="shared" ca="1" si="30"/>
        <v>36.311219303844119</v>
      </c>
      <c r="BB163" s="34">
        <f t="shared" ca="1" si="64"/>
        <v>2569.3818779400094</v>
      </c>
      <c r="BC163" s="34">
        <f t="shared" ca="1" si="64"/>
        <v>2962.7946402244052</v>
      </c>
      <c r="BD163" s="34">
        <f t="shared" ca="1" si="64"/>
        <v>3169.8443536623527</v>
      </c>
      <c r="BE163" s="34">
        <f t="shared" ca="1" si="64"/>
        <v>0</v>
      </c>
      <c r="BF163" s="34">
        <f t="shared" ca="1" si="64"/>
        <v>0</v>
      </c>
      <c r="BG163" s="34">
        <f t="shared" ca="1" si="64"/>
        <v>0</v>
      </c>
      <c r="BH163" s="34">
        <f t="shared" ca="1" si="64"/>
        <v>0</v>
      </c>
      <c r="BI163" s="34">
        <f t="shared" ca="1" si="64"/>
        <v>0</v>
      </c>
      <c r="BJ163" s="34">
        <f t="shared" ca="1" si="64"/>
        <v>0</v>
      </c>
      <c r="BK163" s="34">
        <f t="shared" ca="1" si="64"/>
        <v>0</v>
      </c>
      <c r="BL163" s="34">
        <f t="shared" ca="1" si="64"/>
        <v>0</v>
      </c>
      <c r="BM163" s="34">
        <f t="shared" ca="1" si="64"/>
        <v>0</v>
      </c>
      <c r="BN163" s="34">
        <f t="shared" ca="1" si="64"/>
        <v>0</v>
      </c>
      <c r="BO163" s="34">
        <f t="shared" ca="1" si="64"/>
        <v>0</v>
      </c>
      <c r="BP163" s="34">
        <f t="shared" ca="1" si="64"/>
        <v>0</v>
      </c>
      <c r="BQ163" s="34">
        <f t="shared" ca="1" si="63"/>
        <v>0</v>
      </c>
      <c r="BR163" s="34">
        <f t="shared" ca="1" si="61"/>
        <v>0</v>
      </c>
      <c r="BS163" s="34">
        <f t="shared" ca="1" si="61"/>
        <v>0</v>
      </c>
      <c r="BT163" s="34">
        <f t="shared" ca="1" si="61"/>
        <v>0</v>
      </c>
      <c r="BU163" s="34">
        <f t="shared" ca="1" si="61"/>
        <v>0</v>
      </c>
      <c r="BV163" s="34">
        <f t="shared" ca="1" si="61"/>
        <v>0</v>
      </c>
      <c r="BW163" s="34">
        <f t="shared" ca="1" si="61"/>
        <v>0</v>
      </c>
      <c r="BX163" s="34">
        <f t="shared" ca="1" si="61"/>
        <v>0</v>
      </c>
      <c r="BY163" s="34">
        <f t="shared" ca="1" si="61"/>
        <v>0</v>
      </c>
      <c r="BZ163" s="34">
        <f t="shared" ca="1" si="61"/>
        <v>0</v>
      </c>
      <c r="CA163" s="34">
        <f t="shared" ca="1" si="61"/>
        <v>0</v>
      </c>
      <c r="CB163" s="34">
        <f t="shared" ca="1" si="61"/>
        <v>0</v>
      </c>
      <c r="CC163" s="34">
        <f t="shared" ca="1" si="61"/>
        <v>0</v>
      </c>
      <c r="CD163" s="34">
        <f t="shared" ca="1" si="61"/>
        <v>0</v>
      </c>
      <c r="CE163" s="34">
        <f t="shared" ca="1" si="61"/>
        <v>0</v>
      </c>
      <c r="CF163" s="34">
        <f t="shared" ca="1" si="61"/>
        <v>0</v>
      </c>
      <c r="CG163" s="34">
        <f t="shared" ca="1" si="61"/>
        <v>0</v>
      </c>
      <c r="CH163" s="34">
        <f t="shared" ca="1" si="62"/>
        <v>0</v>
      </c>
      <c r="CI163" s="34">
        <f t="shared" ca="1" si="62"/>
        <v>0</v>
      </c>
      <c r="CJ163" s="34">
        <f t="shared" ca="1" si="62"/>
        <v>0</v>
      </c>
      <c r="CK163" s="34">
        <f t="shared" ca="1" si="62"/>
        <v>0</v>
      </c>
      <c r="CL163" s="34">
        <f t="shared" ca="1" si="62"/>
        <v>0</v>
      </c>
      <c r="CM163" s="34">
        <f t="shared" ca="1" si="62"/>
        <v>0</v>
      </c>
      <c r="CN163" s="34">
        <f t="shared" ca="1" si="62"/>
        <v>0</v>
      </c>
      <c r="CO163" s="34">
        <f t="shared" ca="1" si="62"/>
        <v>0</v>
      </c>
      <c r="CP163" s="34">
        <f t="shared" ca="1" si="62"/>
        <v>0</v>
      </c>
      <c r="CQ163" s="34">
        <f t="shared" ca="1" si="53"/>
        <v>8702.0208718267677</v>
      </c>
      <c r="CR163" s="363">
        <v>0</v>
      </c>
      <c r="CS163" s="34">
        <f t="shared" ca="1" si="54"/>
        <v>8702.0208718267677</v>
      </c>
      <c r="CT163" s="233"/>
    </row>
    <row r="164" spans="2:98" x14ac:dyDescent="0.3">
      <c r="B164" s="232"/>
      <c r="C164" s="250">
        <f t="shared" si="55"/>
        <v>2048</v>
      </c>
      <c r="D164" s="263">
        <f t="shared" ca="1" si="34"/>
        <v>8031.9069779722086</v>
      </c>
      <c r="E164" s="263">
        <f t="shared" ca="1" si="21"/>
        <v>53.126625789894483</v>
      </c>
      <c r="F164" s="263">
        <f t="shared" ca="1" si="22"/>
        <v>0</v>
      </c>
      <c r="G164" s="263">
        <f t="shared" ca="1" si="35"/>
        <v>8350.6667327115756</v>
      </c>
      <c r="H164" s="15"/>
      <c r="I164" s="271">
        <f ca="1">Assumptions!O$68</f>
        <v>4.5</v>
      </c>
      <c r="J164" s="271">
        <f ca="1">Assumptions!P$68</f>
        <v>80</v>
      </c>
      <c r="K164" s="271">
        <f t="shared" ca="1" si="23"/>
        <v>40</v>
      </c>
      <c r="L164" s="15"/>
      <c r="M164" s="35">
        <f t="shared" ca="1" si="36"/>
        <v>4.2299999999999995</v>
      </c>
      <c r="N164" s="35">
        <f t="shared" ca="1" si="24"/>
        <v>74.400000000000006</v>
      </c>
      <c r="O164" s="35">
        <f t="shared" ca="1" si="25"/>
        <v>37.200000000000003</v>
      </c>
      <c r="P164" s="15"/>
      <c r="Q164" s="34">
        <f t="shared" ca="1" si="37"/>
        <v>33974.966516822438</v>
      </c>
      <c r="R164" s="34">
        <f t="shared" ca="1" si="37"/>
        <v>3952.6209587681496</v>
      </c>
      <c r="S164" s="34">
        <f t="shared" ca="1" si="37"/>
        <v>0</v>
      </c>
      <c r="T164" s="34">
        <f t="shared" ca="1" si="38"/>
        <v>37927.58747559059</v>
      </c>
      <c r="U164" s="15"/>
      <c r="V164" s="35">
        <f t="shared" si="39"/>
        <v>0.31</v>
      </c>
      <c r="W164" s="34">
        <f t="shared" ca="1" si="40"/>
        <v>2588.7066871405882</v>
      </c>
      <c r="X164" s="35">
        <f t="shared" si="41"/>
        <v>0.37</v>
      </c>
      <c r="Y164" s="34">
        <f t="shared" ca="1" si="42"/>
        <v>3089.746691103283</v>
      </c>
      <c r="Z164" s="35">
        <f t="shared" si="43"/>
        <v>0.57999999999999996</v>
      </c>
      <c r="AA164" s="34">
        <f t="shared" ca="1" si="44"/>
        <v>4843.3867049727132</v>
      </c>
      <c r="AB164" s="34">
        <f t="shared" ca="1" si="45"/>
        <v>10521.840083216584</v>
      </c>
      <c r="AC164" s="15"/>
      <c r="AD164" s="34">
        <f t="shared" ca="1" si="46"/>
        <v>27405.747392374004</v>
      </c>
      <c r="AE164" s="34">
        <f ca="1"/>
        <v>0</v>
      </c>
      <c r="AF164" s="34">
        <f t="shared" ca="1" si="47"/>
        <v>27405.747392374004</v>
      </c>
      <c r="AG164" s="15"/>
      <c r="AH164" s="272">
        <f t="shared" si="56"/>
        <v>54423</v>
      </c>
      <c r="AI164" s="267">
        <f t="shared" si="26"/>
        <v>34.666666666666664</v>
      </c>
      <c r="AJ164" s="267">
        <f t="shared" si="27"/>
        <v>3.6732761683173049E-2</v>
      </c>
      <c r="AK164" s="34">
        <f t="shared" ca="1" si="57"/>
        <v>1006.6887877133155</v>
      </c>
      <c r="AL164" s="233"/>
      <c r="AN164" s="349"/>
      <c r="AO164" s="237">
        <f t="shared" si="48"/>
        <v>35</v>
      </c>
      <c r="AP164" s="34">
        <f t="shared" ca="1" si="49"/>
        <v>33.515011941127355</v>
      </c>
      <c r="AQ164" s="34">
        <f t="shared" ca="1" si="28"/>
        <v>0.22168328176898847</v>
      </c>
      <c r="AR164" s="34">
        <f t="shared" ca="1" si="29"/>
        <v>0</v>
      </c>
      <c r="AS164" s="34">
        <f t="shared" ca="1" si="50"/>
        <v>34.845111631741283</v>
      </c>
      <c r="AT164" s="350">
        <v>-4.037616197447904E-2</v>
      </c>
      <c r="AU164" s="34">
        <f ca="1">MIN(AU163*(1+AT164),$AT$126-SUM(AU$129:AU163))</f>
        <v>34.845111631741283</v>
      </c>
      <c r="AV164" s="348"/>
      <c r="AW164" s="34">
        <f t="shared" ca="1" si="51"/>
        <v>33.515011941127355</v>
      </c>
      <c r="AX164" s="34">
        <f t="shared" ca="1" si="30"/>
        <v>0.22168328176898847</v>
      </c>
      <c r="AY164" s="34">
        <f t="shared" ca="1" si="30"/>
        <v>0</v>
      </c>
      <c r="AZ164" s="34">
        <f t="shared" ca="1" si="30"/>
        <v>34.845111631741283</v>
      </c>
      <c r="BB164" s="34">
        <f t="shared" ca="1" si="64"/>
        <v>2465.6400990620127</v>
      </c>
      <c r="BC164" s="34">
        <f t="shared" ca="1" si="64"/>
        <v>2843.1684714909943</v>
      </c>
      <c r="BD164" s="34">
        <f t="shared" ca="1" si="64"/>
        <v>3041.8581621585695</v>
      </c>
      <c r="BE164" s="34">
        <f t="shared" ca="1" si="64"/>
        <v>0</v>
      </c>
      <c r="BF164" s="34">
        <f t="shared" ca="1" si="64"/>
        <v>0</v>
      </c>
      <c r="BG164" s="34">
        <f t="shared" ca="1" si="64"/>
        <v>0</v>
      </c>
      <c r="BH164" s="34">
        <f t="shared" ca="1" si="64"/>
        <v>0</v>
      </c>
      <c r="BI164" s="34">
        <f t="shared" ca="1" si="64"/>
        <v>0</v>
      </c>
      <c r="BJ164" s="34">
        <f t="shared" ca="1" si="64"/>
        <v>0</v>
      </c>
      <c r="BK164" s="34">
        <f t="shared" ca="1" si="64"/>
        <v>0</v>
      </c>
      <c r="BL164" s="34">
        <f t="shared" ca="1" si="64"/>
        <v>0</v>
      </c>
      <c r="BM164" s="34">
        <f t="shared" ca="1" si="64"/>
        <v>0</v>
      </c>
      <c r="BN164" s="34">
        <f t="shared" ca="1" si="64"/>
        <v>0</v>
      </c>
      <c r="BO164" s="34">
        <f t="shared" ca="1" si="64"/>
        <v>0</v>
      </c>
      <c r="BP164" s="34">
        <f t="shared" ca="1" si="64"/>
        <v>0</v>
      </c>
      <c r="BQ164" s="34">
        <f t="shared" ca="1" si="63"/>
        <v>0</v>
      </c>
      <c r="BR164" s="34">
        <f t="shared" ca="1" si="61"/>
        <v>0</v>
      </c>
      <c r="BS164" s="34">
        <f t="shared" ca="1" si="61"/>
        <v>0</v>
      </c>
      <c r="BT164" s="34">
        <f t="shared" ca="1" si="61"/>
        <v>0</v>
      </c>
      <c r="BU164" s="34">
        <f t="shared" ca="1" si="61"/>
        <v>0</v>
      </c>
      <c r="BV164" s="34">
        <f t="shared" ca="1" si="61"/>
        <v>0</v>
      </c>
      <c r="BW164" s="34">
        <f t="shared" ca="1" si="61"/>
        <v>0</v>
      </c>
      <c r="BX164" s="34">
        <f t="shared" ca="1" si="61"/>
        <v>0</v>
      </c>
      <c r="BY164" s="34">
        <f t="shared" ca="1" si="61"/>
        <v>0</v>
      </c>
      <c r="BZ164" s="34">
        <f t="shared" ca="1" si="61"/>
        <v>0</v>
      </c>
      <c r="CA164" s="34">
        <f t="shared" ca="1" si="61"/>
        <v>0</v>
      </c>
      <c r="CB164" s="34">
        <f t="shared" ca="1" si="61"/>
        <v>0</v>
      </c>
      <c r="CC164" s="34">
        <f t="shared" ca="1" si="61"/>
        <v>0</v>
      </c>
      <c r="CD164" s="34">
        <f t="shared" ca="1" si="61"/>
        <v>0</v>
      </c>
      <c r="CE164" s="34">
        <f t="shared" ca="1" si="61"/>
        <v>0</v>
      </c>
      <c r="CF164" s="34">
        <f t="shared" ca="1" si="61"/>
        <v>0</v>
      </c>
      <c r="CG164" s="34">
        <f t="shared" ca="1" si="61"/>
        <v>0</v>
      </c>
      <c r="CH164" s="34">
        <f t="shared" ca="1" si="62"/>
        <v>0</v>
      </c>
      <c r="CI164" s="34">
        <f t="shared" ca="1" si="62"/>
        <v>0</v>
      </c>
      <c r="CJ164" s="34">
        <f t="shared" ca="1" si="62"/>
        <v>0</v>
      </c>
      <c r="CK164" s="34">
        <f t="shared" ca="1" si="62"/>
        <v>0</v>
      </c>
      <c r="CL164" s="34">
        <f t="shared" ca="1" si="62"/>
        <v>0</v>
      </c>
      <c r="CM164" s="34">
        <f t="shared" ca="1" si="62"/>
        <v>0</v>
      </c>
      <c r="CN164" s="34">
        <f t="shared" ca="1" si="62"/>
        <v>0</v>
      </c>
      <c r="CO164" s="34">
        <f t="shared" ca="1" si="62"/>
        <v>0</v>
      </c>
      <c r="CP164" s="34">
        <f t="shared" ca="1" si="62"/>
        <v>0</v>
      </c>
      <c r="CQ164" s="34">
        <f t="shared" ca="1" si="53"/>
        <v>8350.6667327115756</v>
      </c>
      <c r="CR164" s="363">
        <v>0</v>
      </c>
      <c r="CS164" s="34">
        <f t="shared" ca="1" si="54"/>
        <v>8350.6667327115756</v>
      </c>
      <c r="CT164" s="233"/>
    </row>
    <row r="165" spans="2:98" x14ac:dyDescent="0.3">
      <c r="B165" s="232"/>
      <c r="C165" s="250">
        <f t="shared" si="55"/>
        <v>2049</v>
      </c>
      <c r="D165" s="263">
        <f t="shared" ca="1" si="34"/>
        <v>7707.6096993503343</v>
      </c>
      <c r="E165" s="263">
        <f t="shared" ca="1" si="21"/>
        <v>50.981578516155366</v>
      </c>
      <c r="F165" s="263">
        <f t="shared" ca="1" si="22"/>
        <v>0</v>
      </c>
      <c r="G165" s="263">
        <f t="shared" ca="1" si="35"/>
        <v>8013.4991704472668</v>
      </c>
      <c r="H165" s="15"/>
      <c r="I165" s="271">
        <f ca="1">Assumptions!O$68</f>
        <v>4.5</v>
      </c>
      <c r="J165" s="271">
        <f ca="1">Assumptions!P$68</f>
        <v>80</v>
      </c>
      <c r="K165" s="271">
        <f t="shared" ca="1" si="23"/>
        <v>40</v>
      </c>
      <c r="L165" s="15"/>
      <c r="M165" s="35">
        <f t="shared" ca="1" si="36"/>
        <v>4.2299999999999995</v>
      </c>
      <c r="N165" s="35">
        <f t="shared" ca="1" si="24"/>
        <v>74.400000000000006</v>
      </c>
      <c r="O165" s="35">
        <f t="shared" ca="1" si="25"/>
        <v>37.200000000000003</v>
      </c>
      <c r="P165" s="15"/>
      <c r="Q165" s="34">
        <f t="shared" ca="1" si="37"/>
        <v>32603.189028251909</v>
      </c>
      <c r="R165" s="34">
        <f t="shared" ca="1" si="37"/>
        <v>3793.0294416019597</v>
      </c>
      <c r="S165" s="34">
        <f t="shared" ca="1" si="37"/>
        <v>0</v>
      </c>
      <c r="T165" s="34">
        <f t="shared" ca="1" si="38"/>
        <v>36396.218469853869</v>
      </c>
      <c r="U165" s="15"/>
      <c r="V165" s="35">
        <f t="shared" si="39"/>
        <v>0.31</v>
      </c>
      <c r="W165" s="34">
        <f t="shared" ca="1" si="40"/>
        <v>2484.1847428386527</v>
      </c>
      <c r="X165" s="35">
        <f t="shared" si="41"/>
        <v>0.37</v>
      </c>
      <c r="Y165" s="34">
        <f t="shared" ca="1" si="42"/>
        <v>2964.9946930654887</v>
      </c>
      <c r="Z165" s="35">
        <f t="shared" si="43"/>
        <v>0.57999999999999996</v>
      </c>
      <c r="AA165" s="34">
        <f t="shared" ca="1" si="44"/>
        <v>4647.8295188594147</v>
      </c>
      <c r="AB165" s="34">
        <f t="shared" ca="1" si="45"/>
        <v>10097.008954763556</v>
      </c>
      <c r="AC165" s="15"/>
      <c r="AD165" s="34">
        <f t="shared" ca="1" si="46"/>
        <v>26299.209515090311</v>
      </c>
      <c r="AE165" s="34">
        <f ca="1"/>
        <v>0</v>
      </c>
      <c r="AF165" s="34">
        <f t="shared" ca="1" si="47"/>
        <v>26299.209515090311</v>
      </c>
      <c r="AG165" s="15"/>
      <c r="AH165" s="272">
        <f t="shared" si="56"/>
        <v>54788</v>
      </c>
      <c r="AI165" s="267">
        <f t="shared" si="26"/>
        <v>35.666666666666664</v>
      </c>
      <c r="AJ165" s="267">
        <f t="shared" si="27"/>
        <v>3.3393419711975486E-2</v>
      </c>
      <c r="AK165" s="34">
        <f t="shared" ca="1" si="57"/>
        <v>878.22054143059006</v>
      </c>
      <c r="AL165" s="233"/>
      <c r="AN165" s="349"/>
      <c r="AO165" s="237">
        <f t="shared" si="48"/>
        <v>36</v>
      </c>
      <c r="AP165" s="34">
        <f t="shared" ca="1" si="49"/>
        <v>32.161807107660991</v>
      </c>
      <c r="AQ165" s="34">
        <f t="shared" ca="1" si="28"/>
        <v>0.21273257965032499</v>
      </c>
      <c r="AR165" s="34">
        <f t="shared" ca="1" si="29"/>
        <v>0</v>
      </c>
      <c r="AS165" s="34">
        <f t="shared" ca="1" si="50"/>
        <v>33.438202585562941</v>
      </c>
      <c r="AT165" s="350">
        <v>-4.0376080899013546E-2</v>
      </c>
      <c r="AU165" s="34">
        <f ca="1">MIN(AU164*(1+AT165),$AT$126-SUM(AU$129:AU164))</f>
        <v>33.438202585562941</v>
      </c>
      <c r="AV165" s="348"/>
      <c r="AW165" s="34">
        <f t="shared" ca="1" si="51"/>
        <v>32.161807107660991</v>
      </c>
      <c r="AX165" s="34">
        <f t="shared" ca="1" si="30"/>
        <v>0.21273257965032499</v>
      </c>
      <c r="AY165" s="34">
        <f t="shared" ca="1" si="30"/>
        <v>0</v>
      </c>
      <c r="AZ165" s="34">
        <f t="shared" ca="1" si="30"/>
        <v>33.438202585562941</v>
      </c>
      <c r="BB165" s="34">
        <f t="shared" ca="1" si="64"/>
        <v>2366.0872149544334</v>
      </c>
      <c r="BC165" s="34">
        <f t="shared" ca="1" si="64"/>
        <v>2728.3722407653422</v>
      </c>
      <c r="BD165" s="34">
        <f t="shared" ca="1" si="64"/>
        <v>2919.0397147274907</v>
      </c>
      <c r="BE165" s="34">
        <f t="shared" ca="1" si="64"/>
        <v>0</v>
      </c>
      <c r="BF165" s="34">
        <f t="shared" ca="1" si="64"/>
        <v>0</v>
      </c>
      <c r="BG165" s="34">
        <f t="shared" ca="1" si="64"/>
        <v>0</v>
      </c>
      <c r="BH165" s="34">
        <f t="shared" ca="1" si="64"/>
        <v>0</v>
      </c>
      <c r="BI165" s="34">
        <f t="shared" ca="1" si="64"/>
        <v>0</v>
      </c>
      <c r="BJ165" s="34">
        <f t="shared" ca="1" si="64"/>
        <v>0</v>
      </c>
      <c r="BK165" s="34">
        <f t="shared" ca="1" si="64"/>
        <v>0</v>
      </c>
      <c r="BL165" s="34">
        <f t="shared" ca="1" si="64"/>
        <v>0</v>
      </c>
      <c r="BM165" s="34">
        <f t="shared" ca="1" si="64"/>
        <v>0</v>
      </c>
      <c r="BN165" s="34">
        <f t="shared" ca="1" si="64"/>
        <v>0</v>
      </c>
      <c r="BO165" s="34">
        <f t="shared" ca="1" si="64"/>
        <v>0</v>
      </c>
      <c r="BP165" s="34">
        <f t="shared" ca="1" si="64"/>
        <v>0</v>
      </c>
      <c r="BQ165" s="34">
        <f t="shared" ca="1" si="63"/>
        <v>0</v>
      </c>
      <c r="BR165" s="34">
        <f t="shared" ca="1" si="61"/>
        <v>0</v>
      </c>
      <c r="BS165" s="34">
        <f t="shared" ca="1" si="61"/>
        <v>0</v>
      </c>
      <c r="BT165" s="34">
        <f t="shared" ca="1" si="61"/>
        <v>0</v>
      </c>
      <c r="BU165" s="34">
        <f t="shared" ca="1" si="61"/>
        <v>0</v>
      </c>
      <c r="BV165" s="34">
        <f t="shared" ca="1" si="61"/>
        <v>0</v>
      </c>
      <c r="BW165" s="34">
        <f t="shared" ca="1" si="61"/>
        <v>0</v>
      </c>
      <c r="BX165" s="34">
        <f t="shared" ca="1" si="61"/>
        <v>0</v>
      </c>
      <c r="BY165" s="34">
        <f t="shared" ca="1" si="61"/>
        <v>0</v>
      </c>
      <c r="BZ165" s="34">
        <f t="shared" ca="1" si="61"/>
        <v>0</v>
      </c>
      <c r="CA165" s="34">
        <f t="shared" ca="1" si="61"/>
        <v>0</v>
      </c>
      <c r="CB165" s="34">
        <f t="shared" ca="1" si="61"/>
        <v>0</v>
      </c>
      <c r="CC165" s="34">
        <f t="shared" ca="1" si="61"/>
        <v>0</v>
      </c>
      <c r="CD165" s="34">
        <f t="shared" ca="1" si="61"/>
        <v>0</v>
      </c>
      <c r="CE165" s="34">
        <f t="shared" ca="1" si="61"/>
        <v>0</v>
      </c>
      <c r="CF165" s="34">
        <f t="shared" ca="1" si="61"/>
        <v>0</v>
      </c>
      <c r="CG165" s="34">
        <f t="shared" ca="1" si="61"/>
        <v>0</v>
      </c>
      <c r="CH165" s="34">
        <f t="shared" ca="1" si="62"/>
        <v>0</v>
      </c>
      <c r="CI165" s="34">
        <f t="shared" ca="1" si="62"/>
        <v>0</v>
      </c>
      <c r="CJ165" s="34">
        <f t="shared" ca="1" si="62"/>
        <v>0</v>
      </c>
      <c r="CK165" s="34">
        <f t="shared" ca="1" si="62"/>
        <v>0</v>
      </c>
      <c r="CL165" s="34">
        <f t="shared" ca="1" si="62"/>
        <v>0</v>
      </c>
      <c r="CM165" s="34">
        <f t="shared" ca="1" si="62"/>
        <v>0</v>
      </c>
      <c r="CN165" s="34">
        <f t="shared" ca="1" si="62"/>
        <v>0</v>
      </c>
      <c r="CO165" s="34">
        <f t="shared" ca="1" si="62"/>
        <v>0</v>
      </c>
      <c r="CP165" s="34">
        <f t="shared" ca="1" si="62"/>
        <v>0</v>
      </c>
      <c r="CQ165" s="34">
        <f t="shared" ca="1" si="53"/>
        <v>8013.4991704472668</v>
      </c>
      <c r="CR165" s="363">
        <v>0</v>
      </c>
      <c r="CS165" s="34">
        <f t="shared" ca="1" si="54"/>
        <v>8013.4991704472668</v>
      </c>
      <c r="CT165" s="233"/>
    </row>
    <row r="166" spans="2:98" x14ac:dyDescent="0.3">
      <c r="B166" s="232"/>
      <c r="C166" s="250">
        <f t="shared" si="55"/>
        <v>2050</v>
      </c>
      <c r="D166" s="263">
        <f t="shared" ca="1" si="34"/>
        <v>7396.4062147720042</v>
      </c>
      <c r="E166" s="263">
        <f t="shared" ca="1" si="21"/>
        <v>48.923139453670331</v>
      </c>
      <c r="F166" s="263">
        <f t="shared" ca="1" si="22"/>
        <v>0</v>
      </c>
      <c r="G166" s="263">
        <f t="shared" ca="1" si="35"/>
        <v>7689.9450514940263</v>
      </c>
      <c r="H166" s="15"/>
      <c r="I166" s="271">
        <f ca="1">Assumptions!O$68</f>
        <v>4.5</v>
      </c>
      <c r="J166" s="271">
        <f ca="1">Assumptions!P$68</f>
        <v>80</v>
      </c>
      <c r="K166" s="271">
        <f t="shared" ca="1" si="23"/>
        <v>40</v>
      </c>
      <c r="L166" s="15"/>
      <c r="M166" s="35">
        <f t="shared" ca="1" si="36"/>
        <v>4.2299999999999995</v>
      </c>
      <c r="N166" s="35">
        <f t="shared" ca="1" si="24"/>
        <v>74.400000000000006</v>
      </c>
      <c r="O166" s="35">
        <f t="shared" ca="1" si="25"/>
        <v>37.200000000000003</v>
      </c>
      <c r="P166" s="15"/>
      <c r="Q166" s="34">
        <f t="shared" ca="1" si="37"/>
        <v>31286.798288485574</v>
      </c>
      <c r="R166" s="34">
        <f t="shared" ca="1" si="37"/>
        <v>3639.881575353073</v>
      </c>
      <c r="S166" s="34">
        <f t="shared" ca="1" si="37"/>
        <v>0</v>
      </c>
      <c r="T166" s="34">
        <f t="shared" ca="1" si="38"/>
        <v>34926.679863838646</v>
      </c>
      <c r="U166" s="15"/>
      <c r="V166" s="35">
        <f t="shared" si="39"/>
        <v>0.31</v>
      </c>
      <c r="W166" s="34">
        <f t="shared" ca="1" si="40"/>
        <v>2383.8829659631483</v>
      </c>
      <c r="X166" s="35">
        <f t="shared" si="41"/>
        <v>0.37</v>
      </c>
      <c r="Y166" s="34">
        <f t="shared" ca="1" si="42"/>
        <v>2845.2796690527898</v>
      </c>
      <c r="Z166" s="35">
        <f t="shared" si="43"/>
        <v>0.57999999999999996</v>
      </c>
      <c r="AA166" s="34">
        <f t="shared" ca="1" si="44"/>
        <v>4460.1681298665353</v>
      </c>
      <c r="AB166" s="34">
        <f t="shared" ca="1" si="45"/>
        <v>9689.3307648824739</v>
      </c>
      <c r="AC166" s="15"/>
      <c r="AD166" s="34">
        <f t="shared" ca="1" si="46"/>
        <v>25237.349098956172</v>
      </c>
      <c r="AE166" s="34">
        <f ca="1"/>
        <v>0</v>
      </c>
      <c r="AF166" s="34">
        <f t="shared" ca="1" si="47"/>
        <v>25237.349098956172</v>
      </c>
      <c r="AG166" s="15"/>
      <c r="AH166" s="272">
        <f t="shared" si="56"/>
        <v>55153</v>
      </c>
      <c r="AI166" s="267">
        <f t="shared" si="26"/>
        <v>36.666666666666664</v>
      </c>
      <c r="AJ166" s="267">
        <f t="shared" si="27"/>
        <v>3.0357654283614078E-2</v>
      </c>
      <c r="AK166" s="34">
        <f t="shared" ca="1" si="57"/>
        <v>766.14671898099073</v>
      </c>
      <c r="AL166" s="233"/>
      <c r="AN166" s="349"/>
      <c r="AO166" s="237">
        <f t="shared" si="48"/>
        <v>37</v>
      </c>
      <c r="AP166" s="34">
        <f t="shared" ca="1" si="49"/>
        <v>30.863236778989918</v>
      </c>
      <c r="AQ166" s="34">
        <f t="shared" ca="1" si="28"/>
        <v>0.2041432545868784</v>
      </c>
      <c r="AR166" s="34">
        <f t="shared" ca="1" si="29"/>
        <v>0</v>
      </c>
      <c r="AS166" s="34">
        <f t="shared" ca="1" si="50"/>
        <v>32.08809630651119</v>
      </c>
      <c r="AT166" s="350">
        <v>-4.0376161834567721E-2</v>
      </c>
      <c r="AU166" s="34">
        <f ca="1">MIN(AU165*(1+AT166),$AT$126-SUM(AU$129:AU165))</f>
        <v>32.08809630651119</v>
      </c>
      <c r="AV166" s="348"/>
      <c r="AW166" s="34">
        <f t="shared" ca="1" si="51"/>
        <v>30.863236778989918</v>
      </c>
      <c r="AX166" s="34">
        <f t="shared" ca="1" si="30"/>
        <v>0.2041432545868784</v>
      </c>
      <c r="AY166" s="34">
        <f t="shared" ca="1" si="30"/>
        <v>0</v>
      </c>
      <c r="AZ166" s="34">
        <f t="shared" ca="1" si="30"/>
        <v>32.08809630651119</v>
      </c>
      <c r="BB166" s="34">
        <f t="shared" ca="1" si="64"/>
        <v>2270.5536946487314</v>
      </c>
      <c r="BC166" s="34">
        <f t="shared" ca="1" si="64"/>
        <v>2618.211262449578</v>
      </c>
      <c r="BD166" s="34">
        <f t="shared" ca="1" si="64"/>
        <v>2801.1800943957169</v>
      </c>
      <c r="BE166" s="34">
        <f t="shared" ca="1" si="64"/>
        <v>0</v>
      </c>
      <c r="BF166" s="34">
        <f t="shared" ca="1" si="64"/>
        <v>0</v>
      </c>
      <c r="BG166" s="34">
        <f t="shared" ca="1" si="64"/>
        <v>0</v>
      </c>
      <c r="BH166" s="34">
        <f t="shared" ca="1" si="64"/>
        <v>0</v>
      </c>
      <c r="BI166" s="34">
        <f t="shared" ca="1" si="64"/>
        <v>0</v>
      </c>
      <c r="BJ166" s="34">
        <f t="shared" ca="1" si="64"/>
        <v>0</v>
      </c>
      <c r="BK166" s="34">
        <f t="shared" ca="1" si="64"/>
        <v>0</v>
      </c>
      <c r="BL166" s="34">
        <f t="shared" ca="1" si="64"/>
        <v>0</v>
      </c>
      <c r="BM166" s="34">
        <f t="shared" ca="1" si="64"/>
        <v>0</v>
      </c>
      <c r="BN166" s="34">
        <f t="shared" ca="1" si="64"/>
        <v>0</v>
      </c>
      <c r="BO166" s="34">
        <f t="shared" ca="1" si="64"/>
        <v>0</v>
      </c>
      <c r="BP166" s="34">
        <f t="shared" ca="1" si="64"/>
        <v>0</v>
      </c>
      <c r="BQ166" s="34">
        <f t="shared" ca="1" si="63"/>
        <v>0</v>
      </c>
      <c r="BR166" s="34">
        <f t="shared" ca="1" si="61"/>
        <v>0</v>
      </c>
      <c r="BS166" s="34">
        <f t="shared" ca="1" si="61"/>
        <v>0</v>
      </c>
      <c r="BT166" s="34">
        <f t="shared" ca="1" si="61"/>
        <v>0</v>
      </c>
      <c r="BU166" s="34">
        <f t="shared" ca="1" si="61"/>
        <v>0</v>
      </c>
      <c r="BV166" s="34">
        <f t="shared" ca="1" si="61"/>
        <v>0</v>
      </c>
      <c r="BW166" s="34">
        <f t="shared" ca="1" si="61"/>
        <v>0</v>
      </c>
      <c r="BX166" s="34">
        <f t="shared" ca="1" si="61"/>
        <v>0</v>
      </c>
      <c r="BY166" s="34">
        <f t="shared" ca="1" si="61"/>
        <v>0</v>
      </c>
      <c r="BZ166" s="34">
        <f t="shared" ca="1" si="61"/>
        <v>0</v>
      </c>
      <c r="CA166" s="34">
        <f t="shared" ca="1" si="61"/>
        <v>0</v>
      </c>
      <c r="CB166" s="34">
        <f t="shared" ca="1" si="61"/>
        <v>0</v>
      </c>
      <c r="CC166" s="34">
        <f t="shared" ca="1" si="61"/>
        <v>0</v>
      </c>
      <c r="CD166" s="34">
        <f t="shared" ca="1" si="61"/>
        <v>0</v>
      </c>
      <c r="CE166" s="34">
        <f t="shared" ca="1" si="61"/>
        <v>0</v>
      </c>
      <c r="CF166" s="34">
        <f t="shared" ca="1" si="61"/>
        <v>0</v>
      </c>
      <c r="CG166" s="34">
        <f t="shared" ca="1" si="61"/>
        <v>0</v>
      </c>
      <c r="CH166" s="34">
        <f t="shared" ca="1" si="62"/>
        <v>0</v>
      </c>
      <c r="CI166" s="34">
        <f t="shared" ca="1" si="62"/>
        <v>0</v>
      </c>
      <c r="CJ166" s="34">
        <f t="shared" ca="1" si="62"/>
        <v>0</v>
      </c>
      <c r="CK166" s="34">
        <f t="shared" ca="1" si="62"/>
        <v>0</v>
      </c>
      <c r="CL166" s="34">
        <f t="shared" ca="1" si="62"/>
        <v>0</v>
      </c>
      <c r="CM166" s="34">
        <f t="shared" ca="1" si="62"/>
        <v>0</v>
      </c>
      <c r="CN166" s="34">
        <f t="shared" ca="1" si="62"/>
        <v>0</v>
      </c>
      <c r="CO166" s="34">
        <f t="shared" ca="1" si="62"/>
        <v>0</v>
      </c>
      <c r="CP166" s="34">
        <f t="shared" ca="1" si="62"/>
        <v>0</v>
      </c>
      <c r="CQ166" s="34">
        <f t="shared" ca="1" si="53"/>
        <v>7689.9450514940263</v>
      </c>
      <c r="CR166" s="363">
        <v>0</v>
      </c>
      <c r="CS166" s="34">
        <f t="shared" ca="1" si="54"/>
        <v>7689.9450514940263</v>
      </c>
      <c r="CT166" s="233"/>
    </row>
    <row r="167" spans="2:98" x14ac:dyDescent="0.3">
      <c r="B167" s="232"/>
      <c r="C167" s="250">
        <f t="shared" si="55"/>
        <v>2051</v>
      </c>
      <c r="D167" s="263">
        <f t="shared" ca="1" si="34"/>
        <v>7097.7680028731511</v>
      </c>
      <c r="E167" s="263">
        <f t="shared" ca="1" si="21"/>
        <v>46.947812725705766</v>
      </c>
      <c r="F167" s="263">
        <f t="shared" ca="1" si="22"/>
        <v>0</v>
      </c>
      <c r="G167" s="263">
        <f t="shared" ca="1" si="35"/>
        <v>7379.4548792273854</v>
      </c>
      <c r="H167" s="15"/>
      <c r="I167" s="271">
        <f ca="1">Assumptions!O$68</f>
        <v>4.5</v>
      </c>
      <c r="J167" s="271">
        <f ca="1">Assumptions!P$68</f>
        <v>80</v>
      </c>
      <c r="K167" s="271">
        <f t="shared" ca="1" si="23"/>
        <v>40</v>
      </c>
      <c r="L167" s="15"/>
      <c r="M167" s="35">
        <f t="shared" ca="1" si="36"/>
        <v>4.2299999999999995</v>
      </c>
      <c r="N167" s="35">
        <f t="shared" ca="1" si="24"/>
        <v>74.400000000000006</v>
      </c>
      <c r="O167" s="35">
        <f t="shared" ca="1" si="25"/>
        <v>37.200000000000003</v>
      </c>
      <c r="P167" s="15"/>
      <c r="Q167" s="34">
        <f t="shared" ca="1" si="37"/>
        <v>30023.558652153424</v>
      </c>
      <c r="R167" s="34">
        <f t="shared" ca="1" si="37"/>
        <v>3492.9172667925095</v>
      </c>
      <c r="S167" s="34">
        <f t="shared" ca="1" si="37"/>
        <v>0</v>
      </c>
      <c r="T167" s="34">
        <f t="shared" ca="1" si="38"/>
        <v>33516.475918945936</v>
      </c>
      <c r="U167" s="15"/>
      <c r="V167" s="35">
        <f t="shared" si="39"/>
        <v>0.31</v>
      </c>
      <c r="W167" s="34">
        <f t="shared" ca="1" si="40"/>
        <v>2287.6310125604896</v>
      </c>
      <c r="X167" s="35">
        <f t="shared" si="41"/>
        <v>0.37</v>
      </c>
      <c r="Y167" s="34">
        <f t="shared" ca="1" si="42"/>
        <v>2730.3983053141324</v>
      </c>
      <c r="Z167" s="35">
        <f t="shared" si="43"/>
        <v>0.57999999999999996</v>
      </c>
      <c r="AA167" s="34">
        <f t="shared" ca="1" si="44"/>
        <v>4280.0838299518837</v>
      </c>
      <c r="AB167" s="34">
        <f t="shared" ca="1" si="45"/>
        <v>9298.1131478265052</v>
      </c>
      <c r="AC167" s="15"/>
      <c r="AD167" s="34">
        <f t="shared" ca="1" si="46"/>
        <v>24218.362771119431</v>
      </c>
      <c r="AE167" s="34">
        <f ca="1"/>
        <v>0</v>
      </c>
      <c r="AF167" s="34">
        <f t="shared" ca="1" si="47"/>
        <v>24218.362771119431</v>
      </c>
      <c r="AG167" s="15"/>
      <c r="AH167" s="272">
        <f t="shared" si="56"/>
        <v>55518</v>
      </c>
      <c r="AI167" s="267">
        <f t="shared" si="26"/>
        <v>37.666666666666664</v>
      </c>
      <c r="AJ167" s="267">
        <f t="shared" si="27"/>
        <v>2.7597867530558259E-2</v>
      </c>
      <c r="AK167" s="34">
        <f t="shared" ca="1" si="57"/>
        <v>668.37516756435787</v>
      </c>
      <c r="AL167" s="233"/>
      <c r="AN167" s="349"/>
      <c r="AO167" s="250">
        <f t="shared" si="48"/>
        <v>38</v>
      </c>
      <c r="AP167" s="34">
        <f t="shared" ca="1" si="49"/>
        <v>29.617098645645033</v>
      </c>
      <c r="AQ167" s="34">
        <f t="shared" ca="1" si="28"/>
        <v>0.19590073951862677</v>
      </c>
      <c r="AR167" s="34">
        <f t="shared" ca="1" si="29"/>
        <v>0</v>
      </c>
      <c r="AS167" s="34">
        <f t="shared" ca="1" si="50"/>
        <v>30.792503082756795</v>
      </c>
      <c r="AT167" s="350">
        <v>-4.0376132363187239E-2</v>
      </c>
      <c r="AU167" s="34">
        <f ca="1">MIN(AU166*(1+AT167),$AT$126-SUM(AU$129:AU166))</f>
        <v>30.792503082756795</v>
      </c>
      <c r="AV167" s="348"/>
      <c r="AW167" s="34">
        <f t="shared" ca="1" si="51"/>
        <v>29.617098645645033</v>
      </c>
      <c r="AX167" s="34">
        <f t="shared" ca="1" si="30"/>
        <v>0.19590073951862677</v>
      </c>
      <c r="AY167" s="34">
        <f t="shared" ca="1" si="30"/>
        <v>0</v>
      </c>
      <c r="AZ167" s="34">
        <f t="shared" ca="1" si="30"/>
        <v>30.792503082756795</v>
      </c>
      <c r="BB167" s="34">
        <f t="shared" ca="1" si="64"/>
        <v>2178.8775181358706</v>
      </c>
      <c r="BC167" s="34">
        <f t="shared" ca="1" si="64"/>
        <v>2512.4979407998262</v>
      </c>
      <c r="BD167" s="34">
        <f t="shared" ca="1" si="64"/>
        <v>2688.0794202916891</v>
      </c>
      <c r="BE167" s="34">
        <f t="shared" ca="1" si="64"/>
        <v>0</v>
      </c>
      <c r="BF167" s="34">
        <f t="shared" ca="1" si="64"/>
        <v>0</v>
      </c>
      <c r="BG167" s="34">
        <f t="shared" ca="1" si="64"/>
        <v>0</v>
      </c>
      <c r="BH167" s="34">
        <f t="shared" ca="1" si="64"/>
        <v>0</v>
      </c>
      <c r="BI167" s="34">
        <f t="shared" ca="1" si="64"/>
        <v>0</v>
      </c>
      <c r="BJ167" s="34">
        <f t="shared" ca="1" si="64"/>
        <v>0</v>
      </c>
      <c r="BK167" s="34">
        <f t="shared" ca="1" si="64"/>
        <v>0</v>
      </c>
      <c r="BL167" s="34">
        <f t="shared" ca="1" si="64"/>
        <v>0</v>
      </c>
      <c r="BM167" s="34">
        <f t="shared" ca="1" si="64"/>
        <v>0</v>
      </c>
      <c r="BN167" s="34">
        <f t="shared" ca="1" si="64"/>
        <v>0</v>
      </c>
      <c r="BO167" s="34">
        <f t="shared" ca="1" si="64"/>
        <v>0</v>
      </c>
      <c r="BP167" s="34">
        <f t="shared" ca="1" si="64"/>
        <v>0</v>
      </c>
      <c r="BQ167" s="34">
        <f t="shared" ca="1" si="63"/>
        <v>0</v>
      </c>
      <c r="BR167" s="34">
        <f t="shared" ca="1" si="61"/>
        <v>0</v>
      </c>
      <c r="BS167" s="34">
        <f t="shared" ca="1" si="61"/>
        <v>0</v>
      </c>
      <c r="BT167" s="34">
        <f t="shared" ca="1" si="61"/>
        <v>0</v>
      </c>
      <c r="BU167" s="34">
        <f t="shared" ca="1" si="61"/>
        <v>0</v>
      </c>
      <c r="BV167" s="34">
        <f t="shared" ca="1" si="61"/>
        <v>0</v>
      </c>
      <c r="BW167" s="34">
        <f t="shared" ca="1" si="61"/>
        <v>0</v>
      </c>
      <c r="BX167" s="34">
        <f t="shared" ca="1" si="61"/>
        <v>0</v>
      </c>
      <c r="BY167" s="34">
        <f t="shared" ca="1" si="61"/>
        <v>0</v>
      </c>
      <c r="BZ167" s="34">
        <f t="shared" ca="1" si="61"/>
        <v>0</v>
      </c>
      <c r="CA167" s="34">
        <f t="shared" ca="1" si="61"/>
        <v>0</v>
      </c>
      <c r="CB167" s="34">
        <f t="shared" ca="1" si="61"/>
        <v>0</v>
      </c>
      <c r="CC167" s="34">
        <f t="shared" ca="1" si="61"/>
        <v>0</v>
      </c>
      <c r="CD167" s="34">
        <f t="shared" ca="1" si="61"/>
        <v>0</v>
      </c>
      <c r="CE167" s="34">
        <f t="shared" ca="1" si="61"/>
        <v>0</v>
      </c>
      <c r="CF167" s="34">
        <f t="shared" ca="1" si="61"/>
        <v>0</v>
      </c>
      <c r="CG167" s="34">
        <f t="shared" ca="1" si="61"/>
        <v>0</v>
      </c>
      <c r="CH167" s="34">
        <f t="shared" ca="1" si="62"/>
        <v>0</v>
      </c>
      <c r="CI167" s="34">
        <f t="shared" ca="1" si="62"/>
        <v>0</v>
      </c>
      <c r="CJ167" s="34">
        <f t="shared" ca="1" si="62"/>
        <v>0</v>
      </c>
      <c r="CK167" s="34">
        <f t="shared" ca="1" si="62"/>
        <v>0</v>
      </c>
      <c r="CL167" s="34">
        <f t="shared" ca="1" si="62"/>
        <v>0</v>
      </c>
      <c r="CM167" s="34">
        <f t="shared" ca="1" si="62"/>
        <v>0</v>
      </c>
      <c r="CN167" s="34">
        <f t="shared" ca="1" si="62"/>
        <v>0</v>
      </c>
      <c r="CO167" s="34">
        <f t="shared" ca="1" si="62"/>
        <v>0</v>
      </c>
      <c r="CP167" s="34">
        <f t="shared" ca="1" si="62"/>
        <v>0</v>
      </c>
      <c r="CQ167" s="34">
        <f t="shared" ca="1" si="53"/>
        <v>7379.4548792273854</v>
      </c>
      <c r="CR167" s="363">
        <v>0</v>
      </c>
      <c r="CS167" s="34">
        <f t="shared" ca="1" si="54"/>
        <v>7379.4548792273854</v>
      </c>
      <c r="CT167" s="233"/>
    </row>
    <row r="168" spans="2:98" x14ac:dyDescent="0.3">
      <c r="B168" s="232"/>
      <c r="C168" s="250">
        <f t="shared" si="55"/>
        <v>2052</v>
      </c>
      <c r="D168" s="263">
        <f t="shared" ca="1" si="34"/>
        <v>6811.1873988614389</v>
      </c>
      <c r="E168" s="263">
        <f t="shared" ca="1" si="21"/>
        <v>45.052240410223597</v>
      </c>
      <c r="F168" s="263">
        <f t="shared" ca="1" si="22"/>
        <v>0</v>
      </c>
      <c r="G168" s="263">
        <f t="shared" ca="1" si="35"/>
        <v>7081.5008413227806</v>
      </c>
      <c r="H168" s="15"/>
      <c r="I168" s="271">
        <f ca="1">Assumptions!O$68</f>
        <v>4.5</v>
      </c>
      <c r="J168" s="271">
        <f ca="1">Assumptions!P$68</f>
        <v>80</v>
      </c>
      <c r="K168" s="271">
        <f t="shared" ca="1" si="23"/>
        <v>40</v>
      </c>
      <c r="L168" s="15"/>
      <c r="M168" s="35">
        <f t="shared" ca="1" si="36"/>
        <v>4.2299999999999995</v>
      </c>
      <c r="N168" s="35">
        <f t="shared" ca="1" si="24"/>
        <v>74.400000000000006</v>
      </c>
      <c r="O168" s="35">
        <f t="shared" ca="1" si="25"/>
        <v>37.200000000000003</v>
      </c>
      <c r="P168" s="15"/>
      <c r="Q168" s="34">
        <f t="shared" ca="1" si="37"/>
        <v>28811.322697183885</v>
      </c>
      <c r="R168" s="34">
        <f t="shared" ca="1" si="37"/>
        <v>3351.886686520636</v>
      </c>
      <c r="S168" s="34">
        <f t="shared" ca="1" si="37"/>
        <v>0</v>
      </c>
      <c r="T168" s="34">
        <f t="shared" ca="1" si="38"/>
        <v>32163.209383704521</v>
      </c>
      <c r="U168" s="15"/>
      <c r="V168" s="35">
        <f t="shared" si="39"/>
        <v>0.31</v>
      </c>
      <c r="W168" s="34">
        <f ca="1">V168*$G168/(1-$M$6)</f>
        <v>2195.265260810062</v>
      </c>
      <c r="X168" s="35">
        <f t="shared" si="41"/>
        <v>0.37</v>
      </c>
      <c r="Y168" s="34">
        <f t="shared" ca="1" si="42"/>
        <v>2620.1553112894289</v>
      </c>
      <c r="Z168" s="35">
        <f t="shared" si="43"/>
        <v>0.57999999999999996</v>
      </c>
      <c r="AA168" s="34">
        <f t="shared" ca="1" si="44"/>
        <v>4107.2704879672128</v>
      </c>
      <c r="AB168" s="34">
        <f t="shared" ca="1" si="45"/>
        <v>8922.6910600667034</v>
      </c>
      <c r="AC168" s="15"/>
      <c r="AD168" s="34">
        <f t="shared" ca="1" si="46"/>
        <v>23240.518323637818</v>
      </c>
      <c r="AE168" s="34">
        <f ca="1"/>
        <v>0</v>
      </c>
      <c r="AF168" s="34">
        <f t="shared" ca="1" si="47"/>
        <v>23240.518323637818</v>
      </c>
      <c r="AG168" s="15"/>
      <c r="AH168" s="272">
        <f t="shared" si="56"/>
        <v>55884</v>
      </c>
      <c r="AI168" s="267">
        <f t="shared" si="26"/>
        <v>38.666666666666664</v>
      </c>
      <c r="AJ168" s="267">
        <f t="shared" si="27"/>
        <v>2.5088970482325681E-2</v>
      </c>
      <c r="AK168" s="34">
        <f t="shared" ca="1" si="57"/>
        <v>583.0806782156983</v>
      </c>
      <c r="AL168" s="233"/>
      <c r="AN168" s="349"/>
      <c r="AO168" s="250">
        <f t="shared" si="48"/>
        <v>39</v>
      </c>
      <c r="AP168" s="34">
        <f t="shared" ca="1" si="49"/>
        <v>28.421273232042306</v>
      </c>
      <c r="AQ168" s="34">
        <f t="shared" ca="1" si="28"/>
        <v>0.18799101528591944</v>
      </c>
      <c r="AR168" s="34">
        <f t="shared" ca="1" si="29"/>
        <v>0</v>
      </c>
      <c r="AS168" s="34">
        <f t="shared" ca="1" si="50"/>
        <v>29.549219323757825</v>
      </c>
      <c r="AT168" s="350">
        <v>-4.0376183633320253E-2</v>
      </c>
      <c r="AU168" s="34">
        <f ca="1">MIN(AU167*(1+AT168),$AT$126-SUM(AU$129:AU167))</f>
        <v>29.549219323757825</v>
      </c>
      <c r="AV168" s="348"/>
      <c r="AW168" s="34">
        <f t="shared" ca="1" si="51"/>
        <v>28.421273232042306</v>
      </c>
      <c r="AX168" s="34">
        <f t="shared" ca="1" si="30"/>
        <v>0.18799101528591944</v>
      </c>
      <c r="AY168" s="34">
        <f t="shared" ca="1" si="30"/>
        <v>0</v>
      </c>
      <c r="AZ168" s="34">
        <f t="shared" ca="1" si="30"/>
        <v>29.549219323757825</v>
      </c>
      <c r="BB168" s="34">
        <f t="shared" ca="1" si="64"/>
        <v>2090.9027593491032</v>
      </c>
      <c r="BC168" s="34">
        <f t="shared" ca="1" si="64"/>
        <v>2411.0529913798568</v>
      </c>
      <c r="BD168" s="34">
        <f t="shared" ca="1" si="64"/>
        <v>2579.5450905938205</v>
      </c>
      <c r="BE168" s="34">
        <f t="shared" ca="1" si="64"/>
        <v>0</v>
      </c>
      <c r="BF168" s="34">
        <f t="shared" ca="1" si="64"/>
        <v>0</v>
      </c>
      <c r="BG168" s="34">
        <f t="shared" ca="1" si="64"/>
        <v>0</v>
      </c>
      <c r="BH168" s="34">
        <f t="shared" ca="1" si="64"/>
        <v>0</v>
      </c>
      <c r="BI168" s="34">
        <f t="shared" ca="1" si="64"/>
        <v>0</v>
      </c>
      <c r="BJ168" s="34">
        <f t="shared" ca="1" si="64"/>
        <v>0</v>
      </c>
      <c r="BK168" s="34">
        <f t="shared" ca="1" si="64"/>
        <v>0</v>
      </c>
      <c r="BL168" s="34">
        <f t="shared" ca="1" si="64"/>
        <v>0</v>
      </c>
      <c r="BM168" s="34">
        <f t="shared" ca="1" si="64"/>
        <v>0</v>
      </c>
      <c r="BN168" s="34">
        <f t="shared" ca="1" si="64"/>
        <v>0</v>
      </c>
      <c r="BO168" s="34">
        <f t="shared" ca="1" si="64"/>
        <v>0</v>
      </c>
      <c r="BP168" s="34">
        <f t="shared" ca="1" si="64"/>
        <v>0</v>
      </c>
      <c r="BQ168" s="34">
        <f t="shared" ca="1" si="63"/>
        <v>0</v>
      </c>
      <c r="BR168" s="34">
        <f t="shared" ca="1" si="61"/>
        <v>0</v>
      </c>
      <c r="BS168" s="34">
        <f t="shared" ca="1" si="61"/>
        <v>0</v>
      </c>
      <c r="BT168" s="34">
        <f t="shared" ca="1" si="61"/>
        <v>0</v>
      </c>
      <c r="BU168" s="34">
        <f t="shared" ca="1" si="61"/>
        <v>0</v>
      </c>
      <c r="BV168" s="34">
        <f t="shared" ca="1" si="61"/>
        <v>0</v>
      </c>
      <c r="BW168" s="34">
        <f t="shared" ca="1" si="61"/>
        <v>0</v>
      </c>
      <c r="BX168" s="34">
        <f t="shared" ca="1" si="61"/>
        <v>0</v>
      </c>
      <c r="BY168" s="34">
        <f t="shared" ca="1" si="61"/>
        <v>0</v>
      </c>
      <c r="BZ168" s="34">
        <f t="shared" ca="1" si="61"/>
        <v>0</v>
      </c>
      <c r="CA168" s="34">
        <f t="shared" ca="1" si="61"/>
        <v>0</v>
      </c>
      <c r="CB168" s="34">
        <f t="shared" ca="1" si="61"/>
        <v>0</v>
      </c>
      <c r="CC168" s="34">
        <f t="shared" ca="1" si="61"/>
        <v>0</v>
      </c>
      <c r="CD168" s="34">
        <f t="shared" ca="1" si="61"/>
        <v>0</v>
      </c>
      <c r="CE168" s="34">
        <f t="shared" ca="1" si="61"/>
        <v>0</v>
      </c>
      <c r="CF168" s="34">
        <f t="shared" ca="1" si="61"/>
        <v>0</v>
      </c>
      <c r="CG168" s="34">
        <f t="shared" ca="1" si="61"/>
        <v>0</v>
      </c>
      <c r="CH168" s="34">
        <f t="shared" ca="1" si="62"/>
        <v>0</v>
      </c>
      <c r="CI168" s="34">
        <f t="shared" ca="1" si="62"/>
        <v>0</v>
      </c>
      <c r="CJ168" s="34">
        <f t="shared" ca="1" si="62"/>
        <v>0</v>
      </c>
      <c r="CK168" s="34">
        <f t="shared" ca="1" si="62"/>
        <v>0</v>
      </c>
      <c r="CL168" s="34">
        <f t="shared" ca="1" si="62"/>
        <v>0</v>
      </c>
      <c r="CM168" s="34">
        <f t="shared" ca="1" si="62"/>
        <v>0</v>
      </c>
      <c r="CN168" s="34">
        <f t="shared" ca="1" si="62"/>
        <v>0</v>
      </c>
      <c r="CO168" s="34">
        <f t="shared" ca="1" si="62"/>
        <v>0</v>
      </c>
      <c r="CP168" s="34">
        <f t="shared" ca="1" si="62"/>
        <v>0</v>
      </c>
      <c r="CQ168" s="34">
        <f t="shared" ca="1" si="53"/>
        <v>7081.5008413227806</v>
      </c>
      <c r="CR168" s="363">
        <v>0</v>
      </c>
      <c r="CS168" s="34">
        <f t="shared" ca="1" si="54"/>
        <v>7081.5008413227806</v>
      </c>
      <c r="CT168" s="233"/>
    </row>
    <row r="169" spans="2:98" x14ac:dyDescent="0.3">
      <c r="B169" s="232"/>
      <c r="C169" s="250">
        <f t="shared" si="55"/>
        <v>2053</v>
      </c>
      <c r="D169" s="263">
        <f t="shared" ca="1" si="34"/>
        <v>6536.1776403659096</v>
      </c>
      <c r="E169" s="263">
        <f t="shared" ca="1" si="21"/>
        <v>43.233202843151339</v>
      </c>
      <c r="F169" s="263">
        <f t="shared" ca="1" si="22"/>
        <v>0</v>
      </c>
      <c r="G169" s="263">
        <f t="shared" ca="1" si="35"/>
        <v>6795.5768574248177</v>
      </c>
      <c r="H169" s="15"/>
      <c r="I169" s="271">
        <f ca="1">Assumptions!O$68</f>
        <v>4.5</v>
      </c>
      <c r="J169" s="271">
        <f ca="1">Assumptions!P$68</f>
        <v>80</v>
      </c>
      <c r="K169" s="271">
        <f t="shared" ca="1" si="23"/>
        <v>40</v>
      </c>
      <c r="L169" s="15"/>
      <c r="M169" s="35">
        <f t="shared" ca="1" si="36"/>
        <v>4.2299999999999995</v>
      </c>
      <c r="N169" s="35">
        <f t="shared" ca="1" si="24"/>
        <v>74.400000000000006</v>
      </c>
      <c r="O169" s="35">
        <f t="shared" ca="1" si="25"/>
        <v>37.200000000000003</v>
      </c>
      <c r="P169" s="15"/>
      <c r="Q169" s="34">
        <f t="shared" ca="1" si="37"/>
        <v>27648.031418747796</v>
      </c>
      <c r="R169" s="34">
        <f t="shared" ca="1" si="37"/>
        <v>3216.5502915304601</v>
      </c>
      <c r="S169" s="34">
        <f t="shared" ca="1" si="37"/>
        <v>0</v>
      </c>
      <c r="T169" s="34">
        <f t="shared" ca="1" si="38"/>
        <v>30864.581710278257</v>
      </c>
      <c r="U169" s="15"/>
      <c r="V169" s="35">
        <f t="shared" si="39"/>
        <v>0.31</v>
      </c>
      <c r="W169" s="34">
        <f t="shared" ca="1" si="40"/>
        <v>2106.6288258016934</v>
      </c>
      <c r="X169" s="35">
        <f t="shared" si="41"/>
        <v>0.37</v>
      </c>
      <c r="Y169" s="34">
        <f t="shared" ca="1" si="42"/>
        <v>2514.3634372471824</v>
      </c>
      <c r="Z169" s="35">
        <f t="shared" si="43"/>
        <v>0.57999999999999996</v>
      </c>
      <c r="AA169" s="34">
        <f t="shared" ca="1" si="44"/>
        <v>3941.4345773063942</v>
      </c>
      <c r="AB169" s="34">
        <f t="shared" ca="1" si="45"/>
        <v>8562.4268403552705</v>
      </c>
      <c r="AC169" s="15"/>
      <c r="AD169" s="34">
        <f t="shared" ca="1" si="46"/>
        <v>22302.154869922986</v>
      </c>
      <c r="AE169" s="34">
        <f ca="1"/>
        <v>0</v>
      </c>
      <c r="AF169" s="34">
        <f t="shared" ca="1" si="47"/>
        <v>22302.154869922986</v>
      </c>
      <c r="AG169" s="15"/>
      <c r="AH169" s="272">
        <f t="shared" si="56"/>
        <v>56249</v>
      </c>
      <c r="AI169" s="267">
        <f t="shared" si="26"/>
        <v>39.666666666666664</v>
      </c>
      <c r="AJ169" s="267">
        <f t="shared" si="27"/>
        <v>2.280815498393244E-2</v>
      </c>
      <c r="AK169" s="34">
        <f t="shared" ca="1" si="57"/>
        <v>508.67100474886706</v>
      </c>
      <c r="AL169" s="233"/>
      <c r="AN169" s="232"/>
      <c r="AO169" s="250">
        <f t="shared" si="48"/>
        <v>40</v>
      </c>
      <c r="AP169" s="34">
        <f t="shared" ca="1" si="49"/>
        <v>27.273728812074932</v>
      </c>
      <c r="AQ169" s="34">
        <f t="shared" ca="1" si="28"/>
        <v>0.18040064314340243</v>
      </c>
      <c r="AR169" s="34">
        <f t="shared" ca="1" si="29"/>
        <v>0</v>
      </c>
      <c r="AS169" s="34">
        <f t="shared" ca="1" si="50"/>
        <v>28.356132670935345</v>
      </c>
      <c r="AT169" s="351">
        <v>-4.0376249529652707E-2</v>
      </c>
      <c r="AU169" s="34">
        <f ca="1">MIN(AU168*(1+AT169),$AT$126-SUM(AU$129:AU168))</f>
        <v>28.356132670935345</v>
      </c>
      <c r="AV169" s="348"/>
      <c r="AW169" s="34">
        <f t="shared" ca="1" si="51"/>
        <v>27.273728812074932</v>
      </c>
      <c r="AX169" s="34">
        <f t="shared" ca="1" si="30"/>
        <v>0.18040064314340243</v>
      </c>
      <c r="AY169" s="34">
        <f t="shared" ca="1" si="30"/>
        <v>0</v>
      </c>
      <c r="AZ169" s="34">
        <f t="shared" ca="1" si="30"/>
        <v>28.356132670935345</v>
      </c>
      <c r="BB169" s="34">
        <f t="shared" ca="1" si="64"/>
        <v>2006.4799477953848</v>
      </c>
      <c r="BC169" s="34">
        <f t="shared" ca="1" si="64"/>
        <v>2313.7038730502377</v>
      </c>
      <c r="BD169" s="34">
        <f t="shared" ca="1" si="64"/>
        <v>2475.3930365791948</v>
      </c>
      <c r="BE169" s="34">
        <f t="shared" ca="1" si="64"/>
        <v>0</v>
      </c>
      <c r="BF169" s="34">
        <f t="shared" ca="1" si="64"/>
        <v>0</v>
      </c>
      <c r="BG169" s="34">
        <f t="shared" ca="1" si="64"/>
        <v>0</v>
      </c>
      <c r="BH169" s="34">
        <f t="shared" ca="1" si="64"/>
        <v>0</v>
      </c>
      <c r="BI169" s="34">
        <f t="shared" ca="1" si="64"/>
        <v>0</v>
      </c>
      <c r="BJ169" s="34">
        <f t="shared" ca="1" si="64"/>
        <v>0</v>
      </c>
      <c r="BK169" s="34">
        <f t="shared" ca="1" si="64"/>
        <v>0</v>
      </c>
      <c r="BL169" s="34">
        <f t="shared" ca="1" si="64"/>
        <v>0</v>
      </c>
      <c r="BM169" s="34">
        <f t="shared" ca="1" si="64"/>
        <v>0</v>
      </c>
      <c r="BN169" s="34">
        <f t="shared" ca="1" si="64"/>
        <v>0</v>
      </c>
      <c r="BO169" s="34">
        <f t="shared" ca="1" si="64"/>
        <v>0</v>
      </c>
      <c r="BP169" s="34">
        <f t="shared" ca="1" si="64"/>
        <v>0</v>
      </c>
      <c r="BQ169" s="34">
        <f t="shared" ca="1" si="63"/>
        <v>0</v>
      </c>
      <c r="BR169" s="34">
        <f t="shared" ca="1" si="61"/>
        <v>0</v>
      </c>
      <c r="BS169" s="34">
        <f t="shared" ca="1" si="61"/>
        <v>0</v>
      </c>
      <c r="BT169" s="34">
        <f t="shared" ca="1" si="61"/>
        <v>0</v>
      </c>
      <c r="BU169" s="34">
        <f t="shared" ca="1" si="61"/>
        <v>0</v>
      </c>
      <c r="BV169" s="34">
        <f t="shared" ca="1" si="61"/>
        <v>0</v>
      </c>
      <c r="BW169" s="34">
        <f t="shared" ca="1" si="61"/>
        <v>0</v>
      </c>
      <c r="BX169" s="34">
        <f t="shared" ca="1" si="61"/>
        <v>0</v>
      </c>
      <c r="BY169" s="34">
        <f t="shared" ca="1" si="61"/>
        <v>0</v>
      </c>
      <c r="BZ169" s="34">
        <f t="shared" ca="1" si="61"/>
        <v>0</v>
      </c>
      <c r="CA169" s="34">
        <f t="shared" ca="1" si="61"/>
        <v>0</v>
      </c>
      <c r="CB169" s="34">
        <f t="shared" ca="1" si="61"/>
        <v>0</v>
      </c>
      <c r="CC169" s="34">
        <f t="shared" ca="1" si="61"/>
        <v>0</v>
      </c>
      <c r="CD169" s="34">
        <f t="shared" ca="1" si="61"/>
        <v>0</v>
      </c>
      <c r="CE169" s="34">
        <f t="shared" ca="1" si="61"/>
        <v>0</v>
      </c>
      <c r="CF169" s="34">
        <f t="shared" ca="1" si="61"/>
        <v>0</v>
      </c>
      <c r="CG169" s="34">
        <f t="shared" ca="1" si="61"/>
        <v>0</v>
      </c>
      <c r="CH169" s="34">
        <f t="shared" ca="1" si="62"/>
        <v>0</v>
      </c>
      <c r="CI169" s="34">
        <f t="shared" ca="1" si="62"/>
        <v>0</v>
      </c>
      <c r="CJ169" s="34">
        <f t="shared" ca="1" si="62"/>
        <v>0</v>
      </c>
      <c r="CK169" s="34">
        <f t="shared" ca="1" si="62"/>
        <v>0</v>
      </c>
      <c r="CL169" s="34">
        <f t="shared" ca="1" si="62"/>
        <v>0</v>
      </c>
      <c r="CM169" s="34">
        <f t="shared" ca="1" si="62"/>
        <v>0</v>
      </c>
      <c r="CN169" s="34">
        <f t="shared" ca="1" si="62"/>
        <v>0</v>
      </c>
      <c r="CO169" s="34">
        <f t="shared" ca="1" si="62"/>
        <v>0</v>
      </c>
      <c r="CP169" s="34">
        <f t="shared" ca="1" si="62"/>
        <v>0</v>
      </c>
      <c r="CQ169" s="34">
        <f t="shared" ca="1" si="53"/>
        <v>6795.5768574248177</v>
      </c>
      <c r="CR169" s="363">
        <v>0</v>
      </c>
      <c r="CS169" s="34">
        <f t="shared" ca="1" si="54"/>
        <v>6795.5768574248177</v>
      </c>
      <c r="CT169" s="233"/>
    </row>
    <row r="170" spans="2:98" x14ac:dyDescent="0.3">
      <c r="B170" s="232"/>
      <c r="C170" s="274" t="s">
        <v>302</v>
      </c>
      <c r="D170" s="39">
        <f ca="1">SUM(D129:D169)</f>
        <v>940713.74643537297</v>
      </c>
      <c r="E170" s="39">
        <f t="shared" ref="E170:F170" ca="1" si="65">SUM(E129:E169)</f>
        <v>6222.3015430015912</v>
      </c>
      <c r="F170" s="39">
        <f t="shared" ca="1" si="65"/>
        <v>0</v>
      </c>
      <c r="G170" s="39">
        <f ca="1">SUM(G129:G169)</f>
        <v>978047.55569338286</v>
      </c>
      <c r="H170" s="15"/>
      <c r="I170" s="15"/>
      <c r="J170" s="15"/>
      <c r="K170" s="15"/>
      <c r="L170" s="15"/>
      <c r="M170" s="35"/>
      <c r="N170" s="35"/>
      <c r="O170" s="35"/>
      <c r="P170" s="15"/>
      <c r="Q170" s="8">
        <f ca="1">SUM(Q129:Q169)</f>
        <v>3787479.6450499492</v>
      </c>
      <c r="R170" s="8">
        <f ca="1">SUM(R129:R169)</f>
        <v>484565.61222133058</v>
      </c>
      <c r="S170" s="8">
        <f ca="1">SUM(S129:S169)</f>
        <v>0</v>
      </c>
      <c r="T170" s="8">
        <f t="shared" ca="1" si="38"/>
        <v>4272045.2572712796</v>
      </c>
      <c r="U170" s="15"/>
      <c r="V170" s="275"/>
      <c r="W170" s="276">
        <f ca="1">SUM(W129:W169)</f>
        <v>303194.74226494879</v>
      </c>
      <c r="X170" s="275"/>
      <c r="Y170" s="276">
        <f ca="1">SUM(Y129:Y169)</f>
        <v>361877.59560655162</v>
      </c>
      <c r="Z170" s="275"/>
      <c r="AA170" s="276">
        <f ca="1">SUM(AA129:AA169)</f>
        <v>567267.58230216184</v>
      </c>
      <c r="AB170" s="276">
        <f ca="1">SUM(AB129:AB169)</f>
        <v>1232339.9201736618</v>
      </c>
      <c r="AC170" s="15"/>
      <c r="AD170" s="276">
        <f ca="1">SUM(AD129:AD169)</f>
        <v>3039705.3370976164</v>
      </c>
      <c r="AE170" s="276">
        <f ca="1">SUM(AE129:AE169)</f>
        <v>940742.83149818378</v>
      </c>
      <c r="AF170" s="276">
        <f ca="1">SUM(AF129:AF169)</f>
        <v>2098962.5055994336</v>
      </c>
      <c r="AG170" s="15"/>
      <c r="AH170" s="277"/>
      <c r="AI170" s="278"/>
      <c r="AJ170" s="278"/>
      <c r="AK170" s="279">
        <f ca="1">SUM(AK129:AK169)</f>
        <v>711438.44698927528</v>
      </c>
      <c r="AL170" s="233"/>
      <c r="AN170" s="232"/>
      <c r="AO170" s="274" t="s">
        <v>302</v>
      </c>
      <c r="AP170" s="8">
        <f t="shared" ref="AP170:AR170" ca="1" si="66">SUM(AP129:AP169)</f>
        <v>4128.6936362449387</v>
      </c>
      <c r="AQ170" s="8">
        <f t="shared" ca="1" si="66"/>
        <v>27.309026662716732</v>
      </c>
      <c r="AR170" s="8">
        <f t="shared" ca="1" si="66"/>
        <v>0</v>
      </c>
      <c r="AS170" s="8">
        <f ca="1">SUM(AS129:AS169)</f>
        <v>4292.5477962212371</v>
      </c>
      <c r="AT170" s="15"/>
      <c r="AU170" s="8">
        <f ca="1">SUM(AU129:AU169)</f>
        <v>4292.5477962212371</v>
      </c>
      <c r="AW170" s="8">
        <f ca="1">SUM(AW129:AW169)</f>
        <v>4128.6936362449387</v>
      </c>
      <c r="AX170" s="8">
        <f ca="1">SUM(AX129:AX169)</f>
        <v>27.309026662716732</v>
      </c>
      <c r="AY170" s="8">
        <f ca="1">SUM(AY129:AY169)</f>
        <v>0</v>
      </c>
      <c r="AZ170" s="8">
        <f ca="1">SUM(AZ129:AZ169)</f>
        <v>4292.5477962212371</v>
      </c>
      <c r="BB170" s="8">
        <f ca="1">SUM(BB129:BB169)</f>
        <v>303740.68206061487</v>
      </c>
      <c r="BC170" s="8">
        <f t="shared" ref="BC170:CS170" ca="1" si="67">SUM(BC129:BC169)</f>
        <v>333886.20725598891</v>
      </c>
      <c r="BD170" s="8">
        <f t="shared" ca="1" si="67"/>
        <v>340420.66637677915</v>
      </c>
      <c r="BE170" s="8">
        <f t="shared" ca="1" si="67"/>
        <v>0</v>
      </c>
      <c r="BF170" s="8">
        <f t="shared" ca="1" si="67"/>
        <v>0</v>
      </c>
      <c r="BG170" s="8">
        <f t="shared" ca="1" si="67"/>
        <v>0</v>
      </c>
      <c r="BH170" s="8">
        <f t="shared" ca="1" si="67"/>
        <v>0</v>
      </c>
      <c r="BI170" s="8">
        <f t="shared" ca="1" si="67"/>
        <v>0</v>
      </c>
      <c r="BJ170" s="8">
        <f t="shared" ca="1" si="67"/>
        <v>0</v>
      </c>
      <c r="BK170" s="8">
        <f t="shared" ca="1" si="67"/>
        <v>0</v>
      </c>
      <c r="BL170" s="8">
        <f t="shared" ca="1" si="67"/>
        <v>0</v>
      </c>
      <c r="BM170" s="8">
        <f t="shared" ca="1" si="67"/>
        <v>0</v>
      </c>
      <c r="BN170" s="8">
        <f t="shared" ca="1" si="67"/>
        <v>0</v>
      </c>
      <c r="BO170" s="8">
        <f t="shared" ca="1" si="67"/>
        <v>0</v>
      </c>
      <c r="BP170" s="8">
        <f t="shared" ca="1" si="67"/>
        <v>0</v>
      </c>
      <c r="BQ170" s="8">
        <f t="shared" ca="1" si="67"/>
        <v>0</v>
      </c>
      <c r="BR170" s="8">
        <f t="shared" ca="1" si="67"/>
        <v>0</v>
      </c>
      <c r="BS170" s="8">
        <f t="shared" ca="1" si="67"/>
        <v>0</v>
      </c>
      <c r="BT170" s="8">
        <f t="shared" ca="1" si="67"/>
        <v>0</v>
      </c>
      <c r="BU170" s="8">
        <f t="shared" ca="1" si="67"/>
        <v>0</v>
      </c>
      <c r="BV170" s="8">
        <f t="shared" ca="1" si="67"/>
        <v>0</v>
      </c>
      <c r="BW170" s="8">
        <f t="shared" ca="1" si="67"/>
        <v>0</v>
      </c>
      <c r="BX170" s="8">
        <f t="shared" ca="1" si="67"/>
        <v>0</v>
      </c>
      <c r="BY170" s="8">
        <f t="shared" ca="1" si="67"/>
        <v>0</v>
      </c>
      <c r="BZ170" s="8">
        <f t="shared" ca="1" si="67"/>
        <v>0</v>
      </c>
      <c r="CA170" s="8">
        <f t="shared" ca="1" si="67"/>
        <v>0</v>
      </c>
      <c r="CB170" s="8">
        <f t="shared" ca="1" si="67"/>
        <v>0</v>
      </c>
      <c r="CC170" s="8">
        <f t="shared" ca="1" si="67"/>
        <v>0</v>
      </c>
      <c r="CD170" s="8">
        <f t="shared" ca="1" si="67"/>
        <v>0</v>
      </c>
      <c r="CE170" s="8">
        <f t="shared" ca="1" si="67"/>
        <v>0</v>
      </c>
      <c r="CF170" s="8">
        <f t="shared" ca="1" si="67"/>
        <v>0</v>
      </c>
      <c r="CG170" s="8">
        <f t="shared" ca="1" si="67"/>
        <v>0</v>
      </c>
      <c r="CH170" s="8">
        <f t="shared" ca="1" si="67"/>
        <v>0</v>
      </c>
      <c r="CI170" s="8">
        <f t="shared" ca="1" si="67"/>
        <v>0</v>
      </c>
      <c r="CJ170" s="8">
        <f t="shared" ca="1" si="67"/>
        <v>0</v>
      </c>
      <c r="CK170" s="8">
        <f t="shared" ca="1" si="67"/>
        <v>0</v>
      </c>
      <c r="CL170" s="8">
        <f t="shared" ca="1" si="67"/>
        <v>0</v>
      </c>
      <c r="CM170" s="8">
        <f t="shared" ca="1" si="67"/>
        <v>0</v>
      </c>
      <c r="CN170" s="8">
        <f t="shared" ca="1" si="67"/>
        <v>0</v>
      </c>
      <c r="CO170" s="8">
        <f t="shared" ca="1" si="67"/>
        <v>0</v>
      </c>
      <c r="CP170" s="8">
        <f t="shared" ca="1" si="67"/>
        <v>0</v>
      </c>
      <c r="CQ170" s="8">
        <f t="shared" ca="1" si="67"/>
        <v>978047.55569338286</v>
      </c>
      <c r="CR170" s="8">
        <f t="shared" si="67"/>
        <v>0</v>
      </c>
      <c r="CS170" s="8">
        <f t="shared" ca="1" si="67"/>
        <v>978047.55569338286</v>
      </c>
      <c r="CT170" s="233"/>
    </row>
    <row r="171" spans="2:98" x14ac:dyDescent="0.3">
      <c r="B171" s="232"/>
      <c r="C171" s="283" t="s">
        <v>303</v>
      </c>
      <c r="D171" s="263">
        <f t="shared" ref="D171:F171" ca="1" si="68">D172-D170</f>
        <v>6612.8251213583862</v>
      </c>
      <c r="E171" s="263">
        <f t="shared" ca="1" si="68"/>
        <v>43.740183570345835</v>
      </c>
      <c r="F171" s="263">
        <f t="shared" ca="1" si="68"/>
        <v>0</v>
      </c>
      <c r="G171" s="263">
        <f ca="1">G172-G170</f>
        <v>6875.2662227801047</v>
      </c>
      <c r="H171" s="15"/>
      <c r="I171" s="15"/>
      <c r="J171" s="15"/>
      <c r="K171" s="15"/>
      <c r="L171" s="15"/>
      <c r="M171" s="35">
        <f ca="1">M169</f>
        <v>4.2299999999999995</v>
      </c>
      <c r="N171" s="35">
        <f t="shared" ref="N171:O171" ca="1" si="69">N169</f>
        <v>74.400000000000006</v>
      </c>
      <c r="O171" s="35">
        <f t="shared" ca="1" si="69"/>
        <v>37.200000000000003</v>
      </c>
      <c r="P171" s="15"/>
      <c r="Q171" s="34">
        <f t="shared" ref="Q171:S171" ca="1" si="70">D171*M171</f>
        <v>27972.25026334597</v>
      </c>
      <c r="R171" s="34">
        <f t="shared" ca="1" si="70"/>
        <v>3254.2696576337303</v>
      </c>
      <c r="S171" s="34">
        <f t="shared" ca="1" si="70"/>
        <v>0</v>
      </c>
      <c r="T171" s="34">
        <f t="shared" ref="T171" ca="1" si="71">SUM(Q171:S171)</f>
        <v>31226.519920979699</v>
      </c>
      <c r="U171" s="15"/>
      <c r="V171" s="35">
        <f>V169</f>
        <v>0.31</v>
      </c>
      <c r="W171" s="34">
        <f ca="1">V171*$G171/(1-$M$6)</f>
        <v>2131.3325290618322</v>
      </c>
      <c r="X171" s="35">
        <f>X169</f>
        <v>0.37</v>
      </c>
      <c r="Y171" s="34">
        <f ca="1">X171*$G171/(1-$M$6)</f>
        <v>2543.8485024286388</v>
      </c>
      <c r="Z171" s="35">
        <f>Z169</f>
        <v>0.57999999999999996</v>
      </c>
      <c r="AA171" s="34">
        <f ca="1">Z171*$G171/(1-$M$6)</f>
        <v>3987.6544092124605</v>
      </c>
      <c r="AB171" s="34">
        <f ca="1">W171+Y171+AA171</f>
        <v>8662.835440702931</v>
      </c>
      <c r="AC171" s="15"/>
      <c r="AD171" s="34">
        <f ca="1">T171-AB171</f>
        <v>22563.684480276766</v>
      </c>
      <c r="AE171" s="62">
        <f ca="1">CR126*$M$9*$AQ$9*Units</f>
        <v>0</v>
      </c>
      <c r="AF171" s="34">
        <f ca="1">AD171-AE171</f>
        <v>22563.684480276766</v>
      </c>
      <c r="AG171" s="15"/>
      <c r="AH171" s="266">
        <f>Remainder_Date</f>
        <v>56249</v>
      </c>
      <c r="AI171" s="267">
        <f t="shared" ref="AI171" si="72">DAYS360(Valuation_Date,AH171)/360-MIN(0.5,0.5*DAYS360(Valuation_Date,AH171)/360)</f>
        <v>39.666666666666664</v>
      </c>
      <c r="AJ171" s="267">
        <f t="shared" ref="AJ171" si="73">1/((1+Discount_Rate)^AI171)</f>
        <v>2.280815498393244E-2</v>
      </c>
      <c r="AK171" s="34">
        <f t="shared" ca="1" si="57"/>
        <v>514.63601263470355</v>
      </c>
      <c r="AL171" s="233"/>
      <c r="AN171" s="232"/>
      <c r="AO171" s="352" t="s">
        <v>303</v>
      </c>
      <c r="AP171" s="34">
        <f t="shared" ref="AP171:AR171" ca="1" si="74">AP172-AP170</f>
        <v>1.7358652257826179E-6</v>
      </c>
      <c r="AQ171" s="34">
        <f t="shared" ca="1" si="74"/>
        <v>1.1481784412126217E-8</v>
      </c>
      <c r="AR171" s="34">
        <f t="shared" ca="1" si="74"/>
        <v>0</v>
      </c>
      <c r="AS171" s="34">
        <f ca="1">AS172-AS170</f>
        <v>1.8047576304525137E-6</v>
      </c>
      <c r="AT171" s="348"/>
      <c r="AU171" s="34">
        <f ca="1">AU172-AU170</f>
        <v>1.8047576304525137E-6</v>
      </c>
      <c r="AW171" s="34">
        <f ca="1">AW172-AW170</f>
        <v>1.7358652257826179E-6</v>
      </c>
      <c r="AX171" s="34">
        <f t="shared" ref="AX171:AZ171" ca="1" si="75">AX172-AX170</f>
        <v>1.1481784412126217E-8</v>
      </c>
      <c r="AY171" s="34">
        <f t="shared" ca="1" si="75"/>
        <v>0</v>
      </c>
      <c r="AZ171" s="34">
        <f t="shared" ca="1" si="75"/>
        <v>1.8047576304525137E-6</v>
      </c>
      <c r="BB171" s="180">
        <f ca="1">BB172-BB170</f>
        <v>1.2770446483045816E-4</v>
      </c>
      <c r="BC171" s="180">
        <f t="shared" ref="BC171:CP171" ca="1" si="76">BC172-BC170</f>
        <v>2220.2853294464876</v>
      </c>
      <c r="BD171" s="180">
        <f t="shared" ca="1" si="76"/>
        <v>4654.9807656291523</v>
      </c>
      <c r="BE171" s="180">
        <f t="shared" ca="1" si="76"/>
        <v>0</v>
      </c>
      <c r="BF171" s="180">
        <f t="shared" ca="1" si="76"/>
        <v>0</v>
      </c>
      <c r="BG171" s="180">
        <f t="shared" ca="1" si="76"/>
        <v>0</v>
      </c>
      <c r="BH171" s="180">
        <f t="shared" ca="1" si="76"/>
        <v>0</v>
      </c>
      <c r="BI171" s="180">
        <f t="shared" ca="1" si="76"/>
        <v>0</v>
      </c>
      <c r="BJ171" s="180">
        <f t="shared" ca="1" si="76"/>
        <v>0</v>
      </c>
      <c r="BK171" s="180">
        <f t="shared" ca="1" si="76"/>
        <v>0</v>
      </c>
      <c r="BL171" s="180">
        <f t="shared" ca="1" si="76"/>
        <v>0</v>
      </c>
      <c r="BM171" s="180">
        <f t="shared" ca="1" si="76"/>
        <v>0</v>
      </c>
      <c r="BN171" s="180">
        <f t="shared" ca="1" si="76"/>
        <v>0</v>
      </c>
      <c r="BO171" s="180">
        <f t="shared" ca="1" si="76"/>
        <v>0</v>
      </c>
      <c r="BP171" s="180">
        <f t="shared" ca="1" si="76"/>
        <v>0</v>
      </c>
      <c r="BQ171" s="180">
        <f t="shared" ca="1" si="76"/>
        <v>0</v>
      </c>
      <c r="BR171" s="180">
        <f t="shared" ca="1" si="76"/>
        <v>0</v>
      </c>
      <c r="BS171" s="180">
        <f t="shared" ca="1" si="76"/>
        <v>0</v>
      </c>
      <c r="BT171" s="180">
        <f t="shared" ca="1" si="76"/>
        <v>0</v>
      </c>
      <c r="BU171" s="180">
        <f t="shared" ca="1" si="76"/>
        <v>0</v>
      </c>
      <c r="BV171" s="180">
        <f t="shared" ca="1" si="76"/>
        <v>0</v>
      </c>
      <c r="BW171" s="180">
        <f t="shared" ca="1" si="76"/>
        <v>0</v>
      </c>
      <c r="BX171" s="180">
        <f t="shared" ca="1" si="76"/>
        <v>0</v>
      </c>
      <c r="BY171" s="180">
        <f t="shared" ca="1" si="76"/>
        <v>0</v>
      </c>
      <c r="BZ171" s="180">
        <f t="shared" ca="1" si="76"/>
        <v>0</v>
      </c>
      <c r="CA171" s="180">
        <f t="shared" ca="1" si="76"/>
        <v>0</v>
      </c>
      <c r="CB171" s="180">
        <f t="shared" ca="1" si="76"/>
        <v>0</v>
      </c>
      <c r="CC171" s="180">
        <f t="shared" ca="1" si="76"/>
        <v>0</v>
      </c>
      <c r="CD171" s="180">
        <f t="shared" ca="1" si="76"/>
        <v>0</v>
      </c>
      <c r="CE171" s="180">
        <f t="shared" ca="1" si="76"/>
        <v>0</v>
      </c>
      <c r="CF171" s="180">
        <f t="shared" ca="1" si="76"/>
        <v>0</v>
      </c>
      <c r="CG171" s="180">
        <f t="shared" ca="1" si="76"/>
        <v>0</v>
      </c>
      <c r="CH171" s="180">
        <f t="shared" ca="1" si="76"/>
        <v>0</v>
      </c>
      <c r="CI171" s="180">
        <f t="shared" ca="1" si="76"/>
        <v>0</v>
      </c>
      <c r="CJ171" s="180">
        <f t="shared" ca="1" si="76"/>
        <v>0</v>
      </c>
      <c r="CK171" s="180">
        <f t="shared" ca="1" si="76"/>
        <v>0</v>
      </c>
      <c r="CL171" s="180">
        <f t="shared" ca="1" si="76"/>
        <v>0</v>
      </c>
      <c r="CM171" s="180">
        <f t="shared" ca="1" si="76"/>
        <v>0</v>
      </c>
      <c r="CN171" s="180">
        <f t="shared" ca="1" si="76"/>
        <v>0</v>
      </c>
      <c r="CO171" s="180">
        <f t="shared" ca="1" si="76"/>
        <v>0</v>
      </c>
      <c r="CP171" s="180">
        <f t="shared" ca="1" si="76"/>
        <v>0</v>
      </c>
      <c r="CQ171" s="180">
        <f ca="1">CQ172-CQ170</f>
        <v>6875.2662227801047</v>
      </c>
      <c r="CR171" s="180">
        <f t="shared" ref="CR171:CS171" ca="1" si="77">CR172-CR170</f>
        <v>0</v>
      </c>
      <c r="CS171" s="180">
        <f t="shared" ca="1" si="77"/>
        <v>6875.2662227801047</v>
      </c>
      <c r="CT171" s="233"/>
    </row>
    <row r="172" spans="2:98" x14ac:dyDescent="0.3">
      <c r="B172" s="232"/>
      <c r="C172" s="60" t="s">
        <v>26</v>
      </c>
      <c r="D172" s="39">
        <f t="shared" ca="1" si="34"/>
        <v>947326.57155673136</v>
      </c>
      <c r="E172" s="39">
        <f ca="1">$G172*$M$14/Bbl_to_Mcfe</f>
        <v>6266.041726571937</v>
      </c>
      <c r="F172" s="39">
        <f ca="1">$G172*$M$13/Bbl_to_Mcfe</f>
        <v>0</v>
      </c>
      <c r="G172" s="39">
        <f t="shared" ref="G172" ca="1" si="78">CS172*$AQ$9</f>
        <v>984922.82191616297</v>
      </c>
      <c r="H172" s="15"/>
      <c r="I172" s="15"/>
      <c r="J172" s="15"/>
      <c r="K172" s="15"/>
      <c r="L172" s="15"/>
      <c r="M172" s="15"/>
      <c r="N172" s="15"/>
      <c r="O172" s="15"/>
      <c r="P172" s="15"/>
      <c r="Q172" s="8">
        <f ca="1">Q171+Q170</f>
        <v>3815451.8953132951</v>
      </c>
      <c r="R172" s="8">
        <f t="shared" ref="R172:T172" ca="1" si="79">R171+R170</f>
        <v>487819.88187896431</v>
      </c>
      <c r="S172" s="8">
        <f t="shared" ca="1" si="79"/>
        <v>0</v>
      </c>
      <c r="T172" s="8">
        <f t="shared" ca="1" si="79"/>
        <v>4303271.7771922592</v>
      </c>
      <c r="U172" s="15"/>
      <c r="V172" s="9"/>
      <c r="W172" s="8">
        <f ca="1">W171+W170</f>
        <v>305326.07479401061</v>
      </c>
      <c r="X172" s="9"/>
      <c r="Y172" s="8">
        <f ca="1">Y171+Y170</f>
        <v>364421.44410898024</v>
      </c>
      <c r="Z172" s="9"/>
      <c r="AA172" s="8">
        <f ca="1">AA171+AA170</f>
        <v>571255.23671137425</v>
      </c>
      <c r="AB172" s="8">
        <f ca="1">AB171+AB170</f>
        <v>1241002.7556143648</v>
      </c>
      <c r="AC172" s="15"/>
      <c r="AD172" s="8">
        <f ca="1">AD171+AD170</f>
        <v>3062269.0215778933</v>
      </c>
      <c r="AE172" s="8">
        <f ca="1">AE171+AE170</f>
        <v>940742.83149818378</v>
      </c>
      <c r="AF172" s="8">
        <f ca="1">AF171+AF170</f>
        <v>2121526.1900797104</v>
      </c>
      <c r="AG172" s="15"/>
      <c r="AH172" s="9"/>
      <c r="AI172" s="9"/>
      <c r="AJ172" s="9"/>
      <c r="AK172" s="65">
        <f ca="1">SUM(AK170:AK171)</f>
        <v>711953.08300191001</v>
      </c>
      <c r="AL172" s="233"/>
      <c r="AN172" s="232"/>
      <c r="AO172" s="249" t="s">
        <v>26</v>
      </c>
      <c r="AP172" s="8">
        <f t="shared" ref="AP172" ca="1" si="80">AS172*$M$12</f>
        <v>4128.6936379808039</v>
      </c>
      <c r="AQ172" s="8">
        <f ca="1">AS172*$M$14/Bbl_to_Mcfe</f>
        <v>27.309026674198517</v>
      </c>
      <c r="AR172" s="8">
        <f ca="1">AS172*$M$13/Bbl_to_Mcfe</f>
        <v>0</v>
      </c>
      <c r="AS172" s="8">
        <f ca="1">$M$7</f>
        <v>4292.5477980259948</v>
      </c>
      <c r="AT172" s="15"/>
      <c r="AU172" s="8">
        <f>$AT$126</f>
        <v>4292.5477980259948</v>
      </c>
      <c r="AW172" s="8">
        <f t="shared" ref="AW172:AZ172" ca="1" si="81">AP172*(1-$M$6)</f>
        <v>4128.6936379808039</v>
      </c>
      <c r="AX172" s="8">
        <f t="shared" ca="1" si="81"/>
        <v>27.309026674198517</v>
      </c>
      <c r="AY172" s="8">
        <f t="shared" ca="1" si="81"/>
        <v>0</v>
      </c>
      <c r="AZ172" s="8">
        <f t="shared" ca="1" si="81"/>
        <v>4292.5477980259948</v>
      </c>
      <c r="BB172" s="364">
        <f ca="1">$AS172*BB126</f>
        <v>303740.68218831933</v>
      </c>
      <c r="BC172" s="364">
        <f t="shared" ref="BC172:CS172" ca="1" si="82">$AS172*BC126</f>
        <v>336106.49258543539</v>
      </c>
      <c r="BD172" s="364">
        <f t="shared" ca="1" si="82"/>
        <v>345075.6471424083</v>
      </c>
      <c r="BE172" s="364">
        <f t="shared" ca="1" si="82"/>
        <v>0</v>
      </c>
      <c r="BF172" s="364">
        <f t="shared" ca="1" si="82"/>
        <v>0</v>
      </c>
      <c r="BG172" s="364">
        <f t="shared" ca="1" si="82"/>
        <v>0</v>
      </c>
      <c r="BH172" s="364">
        <f t="shared" ca="1" si="82"/>
        <v>0</v>
      </c>
      <c r="BI172" s="364">
        <f t="shared" ca="1" si="82"/>
        <v>0</v>
      </c>
      <c r="BJ172" s="364">
        <f t="shared" ca="1" si="82"/>
        <v>0</v>
      </c>
      <c r="BK172" s="364">
        <f t="shared" ca="1" si="82"/>
        <v>0</v>
      </c>
      <c r="BL172" s="364">
        <f t="shared" ca="1" si="82"/>
        <v>0</v>
      </c>
      <c r="BM172" s="364">
        <f t="shared" ca="1" si="82"/>
        <v>0</v>
      </c>
      <c r="BN172" s="364">
        <f t="shared" ca="1" si="82"/>
        <v>0</v>
      </c>
      <c r="BO172" s="364">
        <f t="shared" ca="1" si="82"/>
        <v>0</v>
      </c>
      <c r="BP172" s="364">
        <f t="shared" ca="1" si="82"/>
        <v>0</v>
      </c>
      <c r="BQ172" s="364">
        <f t="shared" ca="1" si="82"/>
        <v>0</v>
      </c>
      <c r="BR172" s="364">
        <f t="shared" ca="1" si="82"/>
        <v>0</v>
      </c>
      <c r="BS172" s="364">
        <f t="shared" ca="1" si="82"/>
        <v>0</v>
      </c>
      <c r="BT172" s="364">
        <f t="shared" ca="1" si="82"/>
        <v>0</v>
      </c>
      <c r="BU172" s="364">
        <f t="shared" ca="1" si="82"/>
        <v>0</v>
      </c>
      <c r="BV172" s="364">
        <f t="shared" ca="1" si="82"/>
        <v>0</v>
      </c>
      <c r="BW172" s="364">
        <f t="shared" ca="1" si="82"/>
        <v>0</v>
      </c>
      <c r="BX172" s="364">
        <f t="shared" ca="1" si="82"/>
        <v>0</v>
      </c>
      <c r="BY172" s="364">
        <f t="shared" ca="1" si="82"/>
        <v>0</v>
      </c>
      <c r="BZ172" s="364">
        <f t="shared" ca="1" si="82"/>
        <v>0</v>
      </c>
      <c r="CA172" s="364">
        <f t="shared" ca="1" si="82"/>
        <v>0</v>
      </c>
      <c r="CB172" s="364">
        <f t="shared" ca="1" si="82"/>
        <v>0</v>
      </c>
      <c r="CC172" s="364">
        <f t="shared" ca="1" si="82"/>
        <v>0</v>
      </c>
      <c r="CD172" s="364">
        <f t="shared" ca="1" si="82"/>
        <v>0</v>
      </c>
      <c r="CE172" s="364">
        <f t="shared" ca="1" si="82"/>
        <v>0</v>
      </c>
      <c r="CF172" s="364">
        <f t="shared" ca="1" si="82"/>
        <v>0</v>
      </c>
      <c r="CG172" s="364">
        <f t="shared" ca="1" si="82"/>
        <v>0</v>
      </c>
      <c r="CH172" s="364">
        <f t="shared" ca="1" si="82"/>
        <v>0</v>
      </c>
      <c r="CI172" s="364">
        <f t="shared" ca="1" si="82"/>
        <v>0</v>
      </c>
      <c r="CJ172" s="364">
        <f t="shared" ca="1" si="82"/>
        <v>0</v>
      </c>
      <c r="CK172" s="364">
        <f t="shared" ca="1" si="82"/>
        <v>0</v>
      </c>
      <c r="CL172" s="364">
        <f t="shared" ca="1" si="82"/>
        <v>0</v>
      </c>
      <c r="CM172" s="364">
        <f t="shared" ca="1" si="82"/>
        <v>0</v>
      </c>
      <c r="CN172" s="364">
        <f t="shared" ca="1" si="82"/>
        <v>0</v>
      </c>
      <c r="CO172" s="364">
        <f t="shared" ca="1" si="82"/>
        <v>0</v>
      </c>
      <c r="CP172" s="364">
        <f t="shared" ca="1" si="82"/>
        <v>0</v>
      </c>
      <c r="CQ172" s="364">
        <f t="shared" ca="1" si="82"/>
        <v>984922.82191616297</v>
      </c>
      <c r="CR172" s="364">
        <f t="shared" ca="1" si="82"/>
        <v>0</v>
      </c>
      <c r="CS172" s="364">
        <f t="shared" ca="1" si="82"/>
        <v>984922.82191616297</v>
      </c>
      <c r="CT172" s="233"/>
    </row>
    <row r="173" spans="2:98" x14ac:dyDescent="0.3">
      <c r="B173" s="232"/>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233"/>
      <c r="AN173" s="232"/>
      <c r="AO173" s="15"/>
      <c r="AP173" s="15"/>
      <c r="AQ173" s="15"/>
      <c r="AR173" s="15"/>
      <c r="AS173" s="15"/>
      <c r="AT173" s="15"/>
      <c r="AW173" s="15"/>
      <c r="AX173" s="15"/>
      <c r="AY173" s="15"/>
      <c r="AZ173" s="15"/>
      <c r="BB173" s="34"/>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233"/>
    </row>
    <row r="174" spans="2:98" x14ac:dyDescent="0.3">
      <c r="B174" s="285" t="s">
        <v>30</v>
      </c>
      <c r="C174" s="286"/>
      <c r="D174" s="287"/>
      <c r="E174" s="287"/>
      <c r="F174" s="287"/>
      <c r="G174" s="287"/>
      <c r="H174" s="287"/>
      <c r="I174" s="287"/>
      <c r="J174" s="287"/>
      <c r="K174" s="287"/>
      <c r="L174" s="287"/>
      <c r="M174" s="287"/>
      <c r="N174" s="287"/>
      <c r="O174" s="287"/>
      <c r="P174" s="287"/>
      <c r="Q174" s="286" t="str">
        <f>B174</f>
        <v>PROB</v>
      </c>
      <c r="R174" s="287"/>
      <c r="S174" s="287"/>
      <c r="T174" s="287"/>
      <c r="U174" s="287"/>
      <c r="V174" s="287"/>
      <c r="W174" s="287"/>
      <c r="X174" s="287"/>
      <c r="Y174" s="287"/>
      <c r="Z174" s="287"/>
      <c r="AA174" s="287"/>
      <c r="AB174" s="287"/>
      <c r="AC174" s="287"/>
      <c r="AD174" s="286" t="str">
        <f>Q174</f>
        <v>PROB</v>
      </c>
      <c r="AE174" s="287"/>
      <c r="AF174" s="287"/>
      <c r="AG174" s="287"/>
      <c r="AH174" s="287"/>
      <c r="AI174" s="287"/>
      <c r="AJ174" s="287"/>
      <c r="AK174" s="287"/>
      <c r="AL174" s="288"/>
      <c r="AN174" s="285" t="str">
        <f>B174&amp;" - Total Production (Net) (Mmcfe)"</f>
        <v>PROB - Total Production (Net) (Mmcfe)</v>
      </c>
      <c r="AO174" s="286"/>
      <c r="AP174" s="287"/>
      <c r="AQ174" s="287"/>
      <c r="AR174" s="287"/>
      <c r="AS174" s="287"/>
      <c r="AT174" s="287"/>
      <c r="AU174" s="287"/>
      <c r="AV174" s="286"/>
      <c r="AW174" s="286"/>
      <c r="AX174" s="287"/>
      <c r="AY174" s="287"/>
      <c r="AZ174" s="287"/>
      <c r="BA174" s="287"/>
      <c r="BB174" s="287"/>
      <c r="BC174" s="287"/>
      <c r="BD174" s="286"/>
      <c r="BE174" s="287"/>
      <c r="BF174" s="287"/>
      <c r="BG174" s="287"/>
      <c r="BH174" s="287"/>
      <c r="BI174" s="286"/>
      <c r="BJ174" s="287"/>
      <c r="BK174" s="287"/>
      <c r="BL174" s="287"/>
      <c r="BM174" s="287"/>
      <c r="BN174" s="287"/>
      <c r="BO174" s="287"/>
      <c r="BP174" s="287"/>
      <c r="BQ174" s="287"/>
      <c r="BR174" s="287"/>
      <c r="BS174" s="287"/>
      <c r="BT174" s="287"/>
      <c r="BU174" s="287"/>
      <c r="BV174" s="287"/>
      <c r="BW174" s="287"/>
      <c r="BX174" s="287"/>
      <c r="BY174" s="287"/>
      <c r="BZ174" s="287"/>
      <c r="CA174" s="287"/>
      <c r="CB174" s="287"/>
      <c r="CC174" s="287"/>
      <c r="CD174" s="287"/>
      <c r="CE174" s="287"/>
      <c r="CF174" s="287"/>
      <c r="CG174" s="287"/>
      <c r="CH174" s="287"/>
      <c r="CI174" s="287"/>
      <c r="CJ174" s="287"/>
      <c r="CK174" s="287"/>
      <c r="CL174" s="287"/>
      <c r="CM174" s="287"/>
      <c r="CN174" s="287"/>
      <c r="CO174" s="287"/>
      <c r="CP174" s="287"/>
      <c r="CQ174" s="287"/>
      <c r="CR174" s="287"/>
      <c r="CS174" s="287"/>
      <c r="CT174" s="288"/>
    </row>
    <row r="175" spans="2:98" x14ac:dyDescent="0.3">
      <c r="B175" s="232"/>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233"/>
      <c r="AN175" s="232"/>
      <c r="AQ175" s="289"/>
      <c r="AR175" s="15"/>
      <c r="AS175" s="15"/>
      <c r="AT175" s="15"/>
      <c r="AW175" s="15"/>
      <c r="AX175" s="15"/>
      <c r="AY175" s="15"/>
      <c r="AZ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233"/>
    </row>
    <row r="176" spans="2:98" x14ac:dyDescent="0.3">
      <c r="B176" s="232"/>
      <c r="C176" s="37" t="s">
        <v>277</v>
      </c>
      <c r="D176" s="23"/>
      <c r="E176" s="23"/>
      <c r="F176" s="23"/>
      <c r="G176" s="23"/>
      <c r="H176" s="261"/>
      <c r="I176" s="37" t="s">
        <v>15</v>
      </c>
      <c r="J176" s="23"/>
      <c r="K176" s="23"/>
      <c r="L176" s="15"/>
      <c r="M176" s="37" t="s">
        <v>278</v>
      </c>
      <c r="N176" s="23"/>
      <c r="O176" s="23"/>
      <c r="P176" s="15"/>
      <c r="Q176" s="37" t="s">
        <v>279</v>
      </c>
      <c r="R176" s="23"/>
      <c r="S176" s="23"/>
      <c r="T176" s="23"/>
      <c r="U176" s="15"/>
      <c r="V176" s="37" t="s">
        <v>280</v>
      </c>
      <c r="W176" s="23"/>
      <c r="X176" s="23"/>
      <c r="Y176" s="23"/>
      <c r="Z176" s="23"/>
      <c r="AA176" s="23"/>
      <c r="AB176" s="4"/>
      <c r="AC176" s="15"/>
      <c r="AD176" s="37" t="s">
        <v>281</v>
      </c>
      <c r="AE176" s="23"/>
      <c r="AF176" s="23"/>
      <c r="AG176" s="15"/>
      <c r="AH176" s="37" t="s">
        <v>282</v>
      </c>
      <c r="AI176" s="23"/>
      <c r="AJ176" s="23"/>
      <c r="AK176" s="23"/>
      <c r="AL176" s="233"/>
      <c r="AN176" s="232"/>
      <c r="AO176" s="15"/>
      <c r="AP176" s="15"/>
      <c r="AQ176" s="15"/>
      <c r="AR176" s="15"/>
      <c r="AS176" s="15"/>
      <c r="AT176" s="15"/>
      <c r="AW176" s="15"/>
      <c r="AX176" s="15"/>
      <c r="AY176" s="15"/>
      <c r="AZ176" s="338" t="s">
        <v>343</v>
      </c>
      <c r="BB176" s="339">
        <f t="array" aca="1" ref="BB176:CR176" ca="1">TRANSPOSE(AW29:AW71)*$AR$10</f>
        <v>0</v>
      </c>
      <c r="BC176" s="339">
        <f ca="1"/>
        <v>0</v>
      </c>
      <c r="BD176" s="339">
        <f ca="1"/>
        <v>3.7105289028819808</v>
      </c>
      <c r="BE176" s="339">
        <f ca="1"/>
        <v>89.899999999999991</v>
      </c>
      <c r="BF176" s="339">
        <f ca="1"/>
        <v>95.699999999999989</v>
      </c>
      <c r="BG176" s="339">
        <f ca="1"/>
        <v>101.5</v>
      </c>
      <c r="BH176" s="339">
        <f ca="1"/>
        <v>101.5</v>
      </c>
      <c r="BI176" s="339">
        <f ca="1"/>
        <v>101.5</v>
      </c>
      <c r="BJ176" s="339">
        <f ca="1"/>
        <v>101.5</v>
      </c>
      <c r="BK176" s="339">
        <f ca="1"/>
        <v>101.5</v>
      </c>
      <c r="BL176" s="339">
        <f ca="1"/>
        <v>101.5</v>
      </c>
      <c r="BM176" s="339">
        <f ca="1"/>
        <v>101.5</v>
      </c>
      <c r="BN176" s="339">
        <f ca="1"/>
        <v>101.5</v>
      </c>
      <c r="BO176" s="339">
        <f ca="1"/>
        <v>101.5</v>
      </c>
      <c r="BP176" s="339">
        <f ca="1"/>
        <v>101.5</v>
      </c>
      <c r="BQ176" s="339">
        <f ca="1"/>
        <v>101.5</v>
      </c>
      <c r="BR176" s="339">
        <f ca="1"/>
        <v>101.5</v>
      </c>
      <c r="BS176" s="339">
        <f ca="1"/>
        <v>101.5</v>
      </c>
      <c r="BT176" s="339">
        <f ca="1"/>
        <v>36.537256054120206</v>
      </c>
      <c r="BU176" s="339">
        <f ca="1"/>
        <v>0</v>
      </c>
      <c r="BV176" s="339">
        <f ca="1"/>
        <v>0</v>
      </c>
      <c r="BW176" s="339">
        <f ca="1"/>
        <v>0</v>
      </c>
      <c r="BX176" s="339">
        <f ca="1"/>
        <v>0</v>
      </c>
      <c r="BY176" s="339">
        <f ca="1"/>
        <v>0</v>
      </c>
      <c r="BZ176" s="339">
        <f ca="1"/>
        <v>0</v>
      </c>
      <c r="CA176" s="339">
        <f ca="1"/>
        <v>0</v>
      </c>
      <c r="CB176" s="339">
        <f ca="1"/>
        <v>0</v>
      </c>
      <c r="CC176" s="339">
        <f ca="1"/>
        <v>0</v>
      </c>
      <c r="CD176" s="339">
        <f ca="1"/>
        <v>0</v>
      </c>
      <c r="CE176" s="339">
        <f ca="1"/>
        <v>0</v>
      </c>
      <c r="CF176" s="339">
        <f ca="1"/>
        <v>0</v>
      </c>
      <c r="CG176" s="339">
        <f ca="1"/>
        <v>0</v>
      </c>
      <c r="CH176" s="339">
        <f ca="1"/>
        <v>0</v>
      </c>
      <c r="CI176" s="339">
        <f ca="1"/>
        <v>0</v>
      </c>
      <c r="CJ176" s="339">
        <f ca="1"/>
        <v>0</v>
      </c>
      <c r="CK176" s="339">
        <f ca="1"/>
        <v>0</v>
      </c>
      <c r="CL176" s="339">
        <f ca="1"/>
        <v>0</v>
      </c>
      <c r="CM176" s="339">
        <f ca="1"/>
        <v>0</v>
      </c>
      <c r="CN176" s="339">
        <f ca="1"/>
        <v>0</v>
      </c>
      <c r="CO176" s="339">
        <f ca="1"/>
        <v>0</v>
      </c>
      <c r="CP176" s="339">
        <f ca="1"/>
        <v>0</v>
      </c>
      <c r="CQ176" s="339">
        <f ca="1"/>
        <v>1545.347784957002</v>
      </c>
      <c r="CR176" s="340">
        <f ca="1"/>
        <v>0</v>
      </c>
      <c r="CS176" s="340">
        <f ca="1">CQ176+CR176</f>
        <v>1545.347784957002</v>
      </c>
      <c r="CT176" s="233"/>
    </row>
    <row r="177" spans="2:98" x14ac:dyDescent="0.3">
      <c r="B177" s="232"/>
      <c r="C177" s="250"/>
      <c r="D177" s="250" t="s">
        <v>10</v>
      </c>
      <c r="E177" s="250" t="s">
        <v>11</v>
      </c>
      <c r="F177" s="250" t="s">
        <v>245</v>
      </c>
      <c r="G177" s="250" t="s">
        <v>12</v>
      </c>
      <c r="H177" s="261"/>
      <c r="I177" s="262" t="s">
        <v>10</v>
      </c>
      <c r="J177" s="262" t="s">
        <v>11</v>
      </c>
      <c r="K177" s="262" t="s">
        <v>245</v>
      </c>
      <c r="L177" s="15"/>
      <c r="M177" s="262" t="s">
        <v>10</v>
      </c>
      <c r="N177" s="262" t="s">
        <v>11</v>
      </c>
      <c r="O177" s="262" t="s">
        <v>245</v>
      </c>
      <c r="P177" s="15"/>
      <c r="Q177" s="262" t="s">
        <v>10</v>
      </c>
      <c r="R177" s="262" t="s">
        <v>11</v>
      </c>
      <c r="S177" s="262" t="s">
        <v>245</v>
      </c>
      <c r="T177" s="262" t="s">
        <v>12</v>
      </c>
      <c r="U177" s="15"/>
      <c r="V177" s="262" t="s">
        <v>283</v>
      </c>
      <c r="W177" s="262" t="s">
        <v>283</v>
      </c>
      <c r="X177" s="262" t="s">
        <v>284</v>
      </c>
      <c r="Y177" s="262" t="s">
        <v>284</v>
      </c>
      <c r="Z177" s="262" t="s">
        <v>285</v>
      </c>
      <c r="AA177" s="262" t="s">
        <v>285</v>
      </c>
      <c r="AB177" s="262" t="s">
        <v>12</v>
      </c>
      <c r="AC177" s="15"/>
      <c r="AD177" s="262" t="s">
        <v>286</v>
      </c>
      <c r="AE177" s="262" t="s">
        <v>287</v>
      </c>
      <c r="AF177" s="262" t="s">
        <v>281</v>
      </c>
      <c r="AG177" s="15"/>
      <c r="AH177" s="262"/>
      <c r="AI177" s="262" t="s">
        <v>288</v>
      </c>
      <c r="AJ177" s="262" t="s">
        <v>288</v>
      </c>
      <c r="AK177" s="262" t="s">
        <v>289</v>
      </c>
      <c r="AL177" s="233"/>
      <c r="AN177" s="232"/>
      <c r="AO177" s="18"/>
      <c r="AP177" s="37" t="s">
        <v>344</v>
      </c>
      <c r="AQ177" s="331"/>
      <c r="AR177" s="331"/>
      <c r="AS177" s="11" t="s">
        <v>12</v>
      </c>
      <c r="AT177" s="15"/>
      <c r="AW177" s="37" t="s">
        <v>346</v>
      </c>
      <c r="AX177" s="331"/>
      <c r="AY177" s="331"/>
      <c r="AZ177" s="11" t="s">
        <v>12</v>
      </c>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233"/>
    </row>
    <row r="178" spans="2:98" x14ac:dyDescent="0.3">
      <c r="B178" s="232"/>
      <c r="C178" s="13" t="s">
        <v>9</v>
      </c>
      <c r="D178" s="13" t="s">
        <v>307</v>
      </c>
      <c r="E178" s="13" t="s">
        <v>308</v>
      </c>
      <c r="F178" s="13" t="s">
        <v>308</v>
      </c>
      <c r="G178" s="13" t="s">
        <v>248</v>
      </c>
      <c r="H178" s="4"/>
      <c r="I178" s="13" t="s">
        <v>24</v>
      </c>
      <c r="J178" s="13" t="s">
        <v>25</v>
      </c>
      <c r="K178" s="13" t="s">
        <v>25</v>
      </c>
      <c r="L178" s="4"/>
      <c r="M178" s="13" t="s">
        <v>24</v>
      </c>
      <c r="N178" s="13" t="s">
        <v>25</v>
      </c>
      <c r="O178" s="13" t="s">
        <v>25</v>
      </c>
      <c r="P178" s="4"/>
      <c r="Q178" s="13" t="s">
        <v>293</v>
      </c>
      <c r="R178" s="13" t="s">
        <v>293</v>
      </c>
      <c r="S178" s="13" t="s">
        <v>293</v>
      </c>
      <c r="T178" s="13" t="s">
        <v>293</v>
      </c>
      <c r="U178" s="4"/>
      <c r="V178" s="13" t="s">
        <v>294</v>
      </c>
      <c r="W178" s="13" t="s">
        <v>293</v>
      </c>
      <c r="X178" s="13" t="s">
        <v>294</v>
      </c>
      <c r="Y178" s="13" t="s">
        <v>293</v>
      </c>
      <c r="Z178" s="13" t="s">
        <v>294</v>
      </c>
      <c r="AA178" s="13" t="s">
        <v>293</v>
      </c>
      <c r="AB178" s="13" t="s">
        <v>293</v>
      </c>
      <c r="AC178" s="4"/>
      <c r="AD178" s="13" t="s">
        <v>293</v>
      </c>
      <c r="AE178" s="13" t="s">
        <v>293</v>
      </c>
      <c r="AF178" s="13" t="s">
        <v>293</v>
      </c>
      <c r="AG178" s="4"/>
      <c r="AH178" s="13" t="s">
        <v>295</v>
      </c>
      <c r="AI178" s="13" t="s">
        <v>296</v>
      </c>
      <c r="AJ178" s="13" t="s">
        <v>297</v>
      </c>
      <c r="AK178" s="13" t="s">
        <v>293</v>
      </c>
      <c r="AL178" s="233"/>
      <c r="AN178" s="232"/>
      <c r="AO178" s="24" t="s">
        <v>296</v>
      </c>
      <c r="AP178" s="24" t="s">
        <v>347</v>
      </c>
      <c r="AQ178" s="24" t="s">
        <v>351</v>
      </c>
      <c r="AR178" s="24" t="s">
        <v>352</v>
      </c>
      <c r="AS178" s="343" t="s">
        <v>169</v>
      </c>
      <c r="AT178" s="15"/>
      <c r="AW178" s="24" t="s">
        <v>347</v>
      </c>
      <c r="AX178" s="24" t="s">
        <v>351</v>
      </c>
      <c r="AY178" s="24" t="s">
        <v>352</v>
      </c>
      <c r="AZ178" s="343" t="s">
        <v>169</v>
      </c>
      <c r="BB178" s="353">
        <f>BB128</f>
        <v>0</v>
      </c>
      <c r="BC178" s="13">
        <f t="shared" ref="BC178:CS178" si="83">BC128</f>
        <v>1</v>
      </c>
      <c r="BD178" s="13">
        <f t="shared" si="83"/>
        <v>2</v>
      </c>
      <c r="BE178" s="13">
        <f t="shared" si="83"/>
        <v>3</v>
      </c>
      <c r="BF178" s="13">
        <f t="shared" si="83"/>
        <v>4</v>
      </c>
      <c r="BG178" s="13">
        <f t="shared" si="83"/>
        <v>5</v>
      </c>
      <c r="BH178" s="13">
        <f t="shared" si="83"/>
        <v>6</v>
      </c>
      <c r="BI178" s="13">
        <f t="shared" si="83"/>
        <v>7</v>
      </c>
      <c r="BJ178" s="13">
        <f t="shared" si="83"/>
        <v>8</v>
      </c>
      <c r="BK178" s="13">
        <f t="shared" si="83"/>
        <v>9</v>
      </c>
      <c r="BL178" s="13">
        <f t="shared" si="83"/>
        <v>10</v>
      </c>
      <c r="BM178" s="13">
        <f t="shared" si="83"/>
        <v>11</v>
      </c>
      <c r="BN178" s="13">
        <f t="shared" si="83"/>
        <v>12</v>
      </c>
      <c r="BO178" s="13">
        <f t="shared" si="83"/>
        <v>13</v>
      </c>
      <c r="BP178" s="13">
        <f t="shared" si="83"/>
        <v>14</v>
      </c>
      <c r="BQ178" s="13">
        <f t="shared" si="83"/>
        <v>15</v>
      </c>
      <c r="BR178" s="13">
        <f t="shared" si="83"/>
        <v>16</v>
      </c>
      <c r="BS178" s="13">
        <f t="shared" si="83"/>
        <v>17</v>
      </c>
      <c r="BT178" s="13">
        <f t="shared" si="83"/>
        <v>18</v>
      </c>
      <c r="BU178" s="13">
        <f t="shared" si="83"/>
        <v>19</v>
      </c>
      <c r="BV178" s="13">
        <f t="shared" si="83"/>
        <v>20</v>
      </c>
      <c r="BW178" s="13">
        <f t="shared" si="83"/>
        <v>21</v>
      </c>
      <c r="BX178" s="13">
        <f t="shared" si="83"/>
        <v>22</v>
      </c>
      <c r="BY178" s="13">
        <f t="shared" si="83"/>
        <v>23</v>
      </c>
      <c r="BZ178" s="13">
        <f t="shared" si="83"/>
        <v>24</v>
      </c>
      <c r="CA178" s="13">
        <f t="shared" si="83"/>
        <v>25</v>
      </c>
      <c r="CB178" s="13">
        <f t="shared" si="83"/>
        <v>26</v>
      </c>
      <c r="CC178" s="13">
        <f t="shared" si="83"/>
        <v>27</v>
      </c>
      <c r="CD178" s="13">
        <f t="shared" si="83"/>
        <v>28</v>
      </c>
      <c r="CE178" s="13">
        <f t="shared" si="83"/>
        <v>29</v>
      </c>
      <c r="CF178" s="13">
        <f t="shared" si="83"/>
        <v>30</v>
      </c>
      <c r="CG178" s="13">
        <f t="shared" si="83"/>
        <v>31</v>
      </c>
      <c r="CH178" s="13">
        <f t="shared" si="83"/>
        <v>32</v>
      </c>
      <c r="CI178" s="13">
        <f t="shared" si="83"/>
        <v>33</v>
      </c>
      <c r="CJ178" s="13">
        <f t="shared" si="83"/>
        <v>34</v>
      </c>
      <c r="CK178" s="13">
        <f t="shared" si="83"/>
        <v>35</v>
      </c>
      <c r="CL178" s="13">
        <f t="shared" si="83"/>
        <v>36</v>
      </c>
      <c r="CM178" s="13">
        <f t="shared" si="83"/>
        <v>37</v>
      </c>
      <c r="CN178" s="13">
        <f t="shared" si="83"/>
        <v>38</v>
      </c>
      <c r="CO178" s="13">
        <f t="shared" si="83"/>
        <v>39</v>
      </c>
      <c r="CP178" s="13">
        <f t="shared" si="83"/>
        <v>40</v>
      </c>
      <c r="CQ178" s="11" t="str">
        <f t="shared" si="83"/>
        <v>Subtotal</v>
      </c>
      <c r="CR178" s="11" t="str">
        <f t="shared" si="83"/>
        <v>Remainder</v>
      </c>
      <c r="CS178" s="11" t="str">
        <f t="shared" si="83"/>
        <v>Total</v>
      </c>
      <c r="CT178" s="233"/>
    </row>
    <row r="179" spans="2:98" x14ac:dyDescent="0.3">
      <c r="B179" s="232"/>
      <c r="C179" s="250">
        <f>YEAR(FY_Date)</f>
        <v>2013</v>
      </c>
      <c r="D179" s="263">
        <f ca="1">$G179*$M$12</f>
        <v>0</v>
      </c>
      <c r="E179" s="263">
        <f t="shared" ref="E179:E219" ca="1" si="84">$G179*$M$14/Bbl_to_Mcfe</f>
        <v>0</v>
      </c>
      <c r="F179" s="263">
        <f t="shared" ref="F179:F219" ca="1" si="85">$G179*$M$13/Bbl_to_Mcfe</f>
        <v>0</v>
      </c>
      <c r="G179" s="263">
        <f ca="1">CS179*$AQ$10</f>
        <v>0</v>
      </c>
      <c r="H179" s="15"/>
      <c r="I179" s="264">
        <f ca="1">Assumptions!O$63</f>
        <v>3.7</v>
      </c>
      <c r="J179" s="264">
        <f ca="1">Assumptions!P$63</f>
        <v>101</v>
      </c>
      <c r="K179" s="264">
        <f t="shared" ref="K179:K219" ca="1" si="86">J179*$R$7</f>
        <v>50.5</v>
      </c>
      <c r="L179" s="15"/>
      <c r="M179" s="51">
        <f ca="1">I179*$R$5</f>
        <v>3.4779999999999998</v>
      </c>
      <c r="N179" s="51">
        <f t="shared" ref="N179:N219" ca="1" si="87">J179*$R$6</f>
        <v>93.93</v>
      </c>
      <c r="O179" s="51">
        <f t="shared" ref="O179:O219" ca="1" si="88">N179*$R$7</f>
        <v>46.965000000000003</v>
      </c>
      <c r="P179" s="15"/>
      <c r="Q179" s="265">
        <f ca="1">D179*M179</f>
        <v>0</v>
      </c>
      <c r="R179" s="265">
        <f ca="1">E179*N179</f>
        <v>0</v>
      </c>
      <c r="S179" s="265">
        <f ca="1">F179*O179</f>
        <v>0</v>
      </c>
      <c r="T179" s="265">
        <f ca="1">SUM(Q179:S179)</f>
        <v>0</v>
      </c>
      <c r="U179" s="15"/>
      <c r="V179" s="51">
        <f>$M$18</f>
        <v>0.31</v>
      </c>
      <c r="W179" s="265">
        <f ca="1">V179*$G179/(1-$M$6)</f>
        <v>0</v>
      </c>
      <c r="X179" s="51">
        <f>$M$17</f>
        <v>0.37</v>
      </c>
      <c r="Y179" s="265">
        <f ca="1">X179*$G179/(1-$M$6)</f>
        <v>0</v>
      </c>
      <c r="Z179" s="51">
        <f>$M$19</f>
        <v>0.57999999999999996</v>
      </c>
      <c r="AA179" s="265">
        <f ca="1">Z179*$G179/(1-$M$6)</f>
        <v>0</v>
      </c>
      <c r="AB179" s="265">
        <f ca="1">W179+Y179+AA179</f>
        <v>0</v>
      </c>
      <c r="AC179" s="15"/>
      <c r="AD179" s="265">
        <f ca="1">T179-AB179</f>
        <v>0</v>
      </c>
      <c r="AE179" s="265">
        <f t="array" aca="1" ref="AE179:AE219" ca="1">TRANSPOSE(BB176:CP176)*$M$9*$AQ$10*Units</f>
        <v>0</v>
      </c>
      <c r="AF179" s="265">
        <f ca="1">AD179-AE179</f>
        <v>0</v>
      </c>
      <c r="AG179" s="15"/>
      <c r="AH179" s="272">
        <f>FY_Date</f>
        <v>41639</v>
      </c>
      <c r="AI179" s="267">
        <f t="shared" ref="AI179:AI219" si="89">DAYS360(Valuation_Date,AH179)/360-MIN(0.5,0.5*DAYS360(Valuation_Date,AH179)/360)</f>
        <v>8.3333333333333329E-2</v>
      </c>
      <c r="AJ179" s="267">
        <f t="shared" ref="AJ179:AJ219" si="90">1/((1+Discount_Rate)^AI179)</f>
        <v>0.99208894344699095</v>
      </c>
      <c r="AK179" s="265">
        <f ca="1">AJ179*AF179*Stub_Per_Adj</f>
        <v>0</v>
      </c>
      <c r="AL179" s="233"/>
      <c r="AN179" s="232"/>
      <c r="AO179" s="290">
        <f>AO129</f>
        <v>0</v>
      </c>
      <c r="AP179" s="34">
        <f ca="1">+AP129</f>
        <v>810.96546961325964</v>
      </c>
      <c r="AQ179" s="34">
        <f t="shared" ref="AQ179:AS179" ca="1" si="91">+AQ129</f>
        <v>5.3640883977900522</v>
      </c>
      <c r="AR179" s="34">
        <f t="shared" ca="1" si="91"/>
        <v>0</v>
      </c>
      <c r="AS179" s="34">
        <f t="shared" ca="1" si="91"/>
        <v>843.15</v>
      </c>
      <c r="AT179" s="15"/>
      <c r="AW179" s="34">
        <f ca="1">AP179*(1-$M$6)</f>
        <v>810.96546961325964</v>
      </c>
      <c r="AX179" s="34">
        <f t="shared" ref="AX179:AZ219" ca="1" si="92">AQ179*(1-$M$6)</f>
        <v>5.3640883977900522</v>
      </c>
      <c r="AY179" s="34">
        <f t="shared" ca="1" si="92"/>
        <v>0</v>
      </c>
      <c r="AZ179" s="34">
        <f t="shared" ca="1" si="92"/>
        <v>843.15</v>
      </c>
      <c r="BB179" s="34">
        <f ca="1">IF($AO179&lt;BB$178,0,OFFSET($AZ$178,$AO179-BB$178+1,0)*BB$176)</f>
        <v>0</v>
      </c>
      <c r="BC179" s="34">
        <f t="shared" ref="BC179:BR194" ca="1" si="93">IF($AO179&lt;BC$178,0,OFFSET($AZ$178,$AO179-BC$178+1,0)*BC$176)</f>
        <v>0</v>
      </c>
      <c r="BD179" s="34">
        <f t="shared" ca="1" si="93"/>
        <v>0</v>
      </c>
      <c r="BE179" s="34">
        <f t="shared" ca="1" si="93"/>
        <v>0</v>
      </c>
      <c r="BF179" s="34">
        <f t="shared" ca="1" si="93"/>
        <v>0</v>
      </c>
      <c r="BG179" s="34">
        <f t="shared" ca="1" si="93"/>
        <v>0</v>
      </c>
      <c r="BH179" s="34">
        <f t="shared" ca="1" si="93"/>
        <v>0</v>
      </c>
      <c r="BI179" s="34">
        <f t="shared" ca="1" si="93"/>
        <v>0</v>
      </c>
      <c r="BJ179" s="34">
        <f t="shared" ca="1" si="93"/>
        <v>0</v>
      </c>
      <c r="BK179" s="34">
        <f t="shared" ca="1" si="93"/>
        <v>0</v>
      </c>
      <c r="BL179" s="34">
        <f t="shared" ca="1" si="93"/>
        <v>0</v>
      </c>
      <c r="BM179" s="34">
        <f t="shared" ca="1" si="93"/>
        <v>0</v>
      </c>
      <c r="BN179" s="34">
        <f t="shared" ca="1" si="93"/>
        <v>0</v>
      </c>
      <c r="BO179" s="34">
        <f t="shared" ca="1" si="93"/>
        <v>0</v>
      </c>
      <c r="BP179" s="34">
        <f t="shared" ca="1" si="93"/>
        <v>0</v>
      </c>
      <c r="BQ179" s="34">
        <f t="shared" ca="1" si="93"/>
        <v>0</v>
      </c>
      <c r="BR179" s="34">
        <f t="shared" ca="1" si="93"/>
        <v>0</v>
      </c>
      <c r="BS179" s="34">
        <f t="shared" ref="BS179:CH194" ca="1" si="94">IF($AO179&lt;BS$178,0,OFFSET($AZ$178,$AO179-BS$178+1,0)*BS$176)</f>
        <v>0</v>
      </c>
      <c r="BT179" s="34">
        <f t="shared" ca="1" si="94"/>
        <v>0</v>
      </c>
      <c r="BU179" s="34">
        <f t="shared" ca="1" si="94"/>
        <v>0</v>
      </c>
      <c r="BV179" s="34">
        <f t="shared" ca="1" si="94"/>
        <v>0</v>
      </c>
      <c r="BW179" s="34">
        <f t="shared" ca="1" si="94"/>
        <v>0</v>
      </c>
      <c r="BX179" s="34">
        <f t="shared" ca="1" si="94"/>
        <v>0</v>
      </c>
      <c r="BY179" s="34">
        <f t="shared" ca="1" si="94"/>
        <v>0</v>
      </c>
      <c r="BZ179" s="34">
        <f t="shared" ca="1" si="94"/>
        <v>0</v>
      </c>
      <c r="CA179" s="34">
        <f t="shared" ca="1" si="94"/>
        <v>0</v>
      </c>
      <c r="CB179" s="34">
        <f t="shared" ca="1" si="94"/>
        <v>0</v>
      </c>
      <c r="CC179" s="34">
        <f t="shared" ca="1" si="94"/>
        <v>0</v>
      </c>
      <c r="CD179" s="34">
        <f t="shared" ca="1" si="94"/>
        <v>0</v>
      </c>
      <c r="CE179" s="34">
        <f t="shared" ca="1" si="94"/>
        <v>0</v>
      </c>
      <c r="CF179" s="34">
        <f t="shared" ca="1" si="94"/>
        <v>0</v>
      </c>
      <c r="CG179" s="34">
        <f t="shared" ca="1" si="94"/>
        <v>0</v>
      </c>
      <c r="CH179" s="34">
        <f t="shared" ca="1" si="94"/>
        <v>0</v>
      </c>
      <c r="CI179" s="34">
        <f t="shared" ref="CI179:CP194" ca="1" si="95">IF($AO179&lt;CI$178,0,OFFSET($AZ$178,$AO179-CI$178+1,0)*CI$176)</f>
        <v>0</v>
      </c>
      <c r="CJ179" s="34">
        <f t="shared" ca="1" si="95"/>
        <v>0</v>
      </c>
      <c r="CK179" s="34">
        <f t="shared" ca="1" si="95"/>
        <v>0</v>
      </c>
      <c r="CL179" s="34">
        <f t="shared" ca="1" si="95"/>
        <v>0</v>
      </c>
      <c r="CM179" s="34">
        <f t="shared" ca="1" si="95"/>
        <v>0</v>
      </c>
      <c r="CN179" s="34">
        <f t="shared" ca="1" si="95"/>
        <v>0</v>
      </c>
      <c r="CO179" s="34">
        <f t="shared" ca="1" si="95"/>
        <v>0</v>
      </c>
      <c r="CP179" s="34">
        <f t="shared" ca="1" si="95"/>
        <v>0</v>
      </c>
      <c r="CQ179" s="34">
        <f ca="1">SUM(BB179:CP179)</f>
        <v>0</v>
      </c>
      <c r="CR179" s="363">
        <v>0</v>
      </c>
      <c r="CS179" s="34">
        <f ca="1">CQ179+CR179</f>
        <v>0</v>
      </c>
      <c r="CT179" s="233"/>
    </row>
    <row r="180" spans="2:98" x14ac:dyDescent="0.3">
      <c r="B180" s="232"/>
      <c r="C180" s="270">
        <f>C179+1</f>
        <v>2014</v>
      </c>
      <c r="D180" s="263">
        <f t="shared" ref="D180:D222" ca="1" si="96">$G180*$M$12</f>
        <v>0</v>
      </c>
      <c r="E180" s="263">
        <f t="shared" ca="1" si="84"/>
        <v>0</v>
      </c>
      <c r="F180" s="263">
        <f t="shared" ca="1" si="85"/>
        <v>0</v>
      </c>
      <c r="G180" s="263">
        <f t="shared" ref="G180:G219" ca="1" si="97">CS180*$AQ$10</f>
        <v>0</v>
      </c>
      <c r="H180" s="15"/>
      <c r="I180" s="271">
        <f ca="1">Assumptions!O$64</f>
        <v>3.8</v>
      </c>
      <c r="J180" s="271">
        <f ca="1">Assumptions!P$64</f>
        <v>92</v>
      </c>
      <c r="K180" s="271">
        <f t="shared" ca="1" si="86"/>
        <v>46</v>
      </c>
      <c r="L180" s="15"/>
      <c r="M180" s="35">
        <f t="shared" ref="M180:M219" ca="1" si="98">I180*$R$5</f>
        <v>3.5719999999999996</v>
      </c>
      <c r="N180" s="35">
        <f t="shared" ca="1" si="87"/>
        <v>85.56</v>
      </c>
      <c r="O180" s="35">
        <f t="shared" ca="1" si="88"/>
        <v>42.78</v>
      </c>
      <c r="P180" s="15"/>
      <c r="Q180" s="34">
        <f t="shared" ref="Q180:S219" ca="1" si="99">D180*M180</f>
        <v>0</v>
      </c>
      <c r="R180" s="34">
        <f t="shared" ca="1" si="99"/>
        <v>0</v>
      </c>
      <c r="S180" s="34">
        <f t="shared" ca="1" si="99"/>
        <v>0</v>
      </c>
      <c r="T180" s="34">
        <f t="shared" ref="T180:T220" ca="1" si="100">SUM(Q180:S180)</f>
        <v>0</v>
      </c>
      <c r="U180" s="15"/>
      <c r="V180" s="35">
        <f t="shared" ref="V180:V219" si="101">$M$18</f>
        <v>0.31</v>
      </c>
      <c r="W180" s="34">
        <f t="shared" ref="W180:W217" ca="1" si="102">V180*$G180/(1-$M$6)</f>
        <v>0</v>
      </c>
      <c r="X180" s="35">
        <f t="shared" ref="X180:X219" si="103">$M$17</f>
        <v>0.37</v>
      </c>
      <c r="Y180" s="34">
        <f t="shared" ref="Y180:Y219" ca="1" si="104">X180*$G180/(1-$M$6)</f>
        <v>0</v>
      </c>
      <c r="Z180" s="35">
        <f t="shared" ref="Z180:Z219" si="105">$M$19</f>
        <v>0.57999999999999996</v>
      </c>
      <c r="AA180" s="34">
        <f t="shared" ref="AA180:AA219" ca="1" si="106">Z180*$G180/(1-$M$6)</f>
        <v>0</v>
      </c>
      <c r="AB180" s="34">
        <f t="shared" ref="AB180:AB219" ca="1" si="107">W180+Y180+AA180</f>
        <v>0</v>
      </c>
      <c r="AC180" s="15"/>
      <c r="AD180" s="34">
        <f t="shared" ref="AD180:AD219" ca="1" si="108">T180-AB180</f>
        <v>0</v>
      </c>
      <c r="AE180" s="34">
        <f ca="1"/>
        <v>0</v>
      </c>
      <c r="AF180" s="34">
        <f t="shared" ref="AF180:AF219" ca="1" si="109">AD180-AE180</f>
        <v>0</v>
      </c>
      <c r="AG180" s="15"/>
      <c r="AH180" s="272">
        <f>EOMONTH(AH179,12)</f>
        <v>42004</v>
      </c>
      <c r="AI180" s="267">
        <f t="shared" si="89"/>
        <v>0.66666666666666674</v>
      </c>
      <c r="AJ180" s="267">
        <f t="shared" si="90"/>
        <v>0.93843646859669738</v>
      </c>
      <c r="AK180" s="34">
        <f ca="1">AJ180*AF180</f>
        <v>0</v>
      </c>
      <c r="AL180" s="233"/>
      <c r="AN180" s="232"/>
      <c r="AO180" s="237">
        <f t="shared" ref="AO180:AO219" si="110">AO130</f>
        <v>1</v>
      </c>
      <c r="AP180" s="34">
        <f t="shared" ref="AP180:AS195" ca="1" si="111">+AP130</f>
        <v>359.10236158751934</v>
      </c>
      <c r="AQ180" s="34">
        <f t="shared" ca="1" si="111"/>
        <v>2.3752636623717542</v>
      </c>
      <c r="AR180" s="34">
        <f t="shared" ca="1" si="111"/>
        <v>0</v>
      </c>
      <c r="AS180" s="34">
        <f t="shared" ca="1" si="111"/>
        <v>373.35394356174987</v>
      </c>
      <c r="AT180" s="15"/>
      <c r="AW180" s="34">
        <f t="shared" ref="AW180:AW219" ca="1" si="112">AP180*(1-$M$6)</f>
        <v>359.10236158751934</v>
      </c>
      <c r="AX180" s="34">
        <f t="shared" ca="1" si="92"/>
        <v>2.3752636623717542</v>
      </c>
      <c r="AY180" s="34">
        <f t="shared" ca="1" si="92"/>
        <v>0</v>
      </c>
      <c r="AZ180" s="34">
        <f t="shared" ca="1" si="92"/>
        <v>373.35394356174987</v>
      </c>
      <c r="BB180" s="34">
        <f t="shared" ref="BB180:BQ195" ca="1" si="113">IF($AO180&lt;BB$178,0,OFFSET($AZ$178,$AO180-BB$178+1,0)*BB$176)</f>
        <v>0</v>
      </c>
      <c r="BC180" s="34">
        <f t="shared" ca="1" si="93"/>
        <v>0</v>
      </c>
      <c r="BD180" s="34">
        <f t="shared" ca="1" si="93"/>
        <v>0</v>
      </c>
      <c r="BE180" s="34">
        <f t="shared" ca="1" si="93"/>
        <v>0</v>
      </c>
      <c r="BF180" s="34">
        <f t="shared" ca="1" si="93"/>
        <v>0</v>
      </c>
      <c r="BG180" s="34">
        <f t="shared" ca="1" si="93"/>
        <v>0</v>
      </c>
      <c r="BH180" s="34">
        <f t="shared" ca="1" si="93"/>
        <v>0</v>
      </c>
      <c r="BI180" s="34">
        <f t="shared" ca="1" si="93"/>
        <v>0</v>
      </c>
      <c r="BJ180" s="34">
        <f t="shared" ca="1" si="93"/>
        <v>0</v>
      </c>
      <c r="BK180" s="34">
        <f t="shared" ca="1" si="93"/>
        <v>0</v>
      </c>
      <c r="BL180" s="34">
        <f t="shared" ca="1" si="93"/>
        <v>0</v>
      </c>
      <c r="BM180" s="34">
        <f t="shared" ca="1" si="93"/>
        <v>0</v>
      </c>
      <c r="BN180" s="34">
        <f t="shared" ca="1" si="93"/>
        <v>0</v>
      </c>
      <c r="BO180" s="34">
        <f t="shared" ca="1" si="93"/>
        <v>0</v>
      </c>
      <c r="BP180" s="34">
        <f t="shared" ca="1" si="93"/>
        <v>0</v>
      </c>
      <c r="BQ180" s="34">
        <f t="shared" ca="1" si="93"/>
        <v>0</v>
      </c>
      <c r="BR180" s="34">
        <f t="shared" ca="1" si="93"/>
        <v>0</v>
      </c>
      <c r="BS180" s="34">
        <f t="shared" ca="1" si="94"/>
        <v>0</v>
      </c>
      <c r="BT180" s="34">
        <f t="shared" ca="1" si="94"/>
        <v>0</v>
      </c>
      <c r="BU180" s="34">
        <f t="shared" ca="1" si="94"/>
        <v>0</v>
      </c>
      <c r="BV180" s="34">
        <f t="shared" ca="1" si="94"/>
        <v>0</v>
      </c>
      <c r="BW180" s="34">
        <f t="shared" ca="1" si="94"/>
        <v>0</v>
      </c>
      <c r="BX180" s="34">
        <f t="shared" ca="1" si="94"/>
        <v>0</v>
      </c>
      <c r="BY180" s="34">
        <f t="shared" ca="1" si="94"/>
        <v>0</v>
      </c>
      <c r="BZ180" s="34">
        <f t="shared" ca="1" si="94"/>
        <v>0</v>
      </c>
      <c r="CA180" s="34">
        <f t="shared" ca="1" si="94"/>
        <v>0</v>
      </c>
      <c r="CB180" s="34">
        <f t="shared" ca="1" si="94"/>
        <v>0</v>
      </c>
      <c r="CC180" s="34">
        <f t="shared" ca="1" si="94"/>
        <v>0</v>
      </c>
      <c r="CD180" s="34">
        <f t="shared" ca="1" si="94"/>
        <v>0</v>
      </c>
      <c r="CE180" s="34">
        <f t="shared" ca="1" si="94"/>
        <v>0</v>
      </c>
      <c r="CF180" s="34">
        <f t="shared" ca="1" si="94"/>
        <v>0</v>
      </c>
      <c r="CG180" s="34">
        <f t="shared" ca="1" si="94"/>
        <v>0</v>
      </c>
      <c r="CH180" s="34">
        <f t="shared" ca="1" si="94"/>
        <v>0</v>
      </c>
      <c r="CI180" s="34">
        <f t="shared" ca="1" si="95"/>
        <v>0</v>
      </c>
      <c r="CJ180" s="34">
        <f t="shared" ca="1" si="95"/>
        <v>0</v>
      </c>
      <c r="CK180" s="34">
        <f t="shared" ca="1" si="95"/>
        <v>0</v>
      </c>
      <c r="CL180" s="34">
        <f t="shared" ca="1" si="95"/>
        <v>0</v>
      </c>
      <c r="CM180" s="34">
        <f t="shared" ca="1" si="95"/>
        <v>0</v>
      </c>
      <c r="CN180" s="34">
        <f t="shared" ca="1" si="95"/>
        <v>0</v>
      </c>
      <c r="CO180" s="34">
        <f t="shared" ca="1" si="95"/>
        <v>0</v>
      </c>
      <c r="CP180" s="34">
        <f t="shared" ca="1" si="95"/>
        <v>0</v>
      </c>
      <c r="CQ180" s="34">
        <f t="shared" ref="CQ180:CQ219" ca="1" si="114">SUM(BB180:CP180)</f>
        <v>0</v>
      </c>
      <c r="CR180" s="363">
        <v>0</v>
      </c>
      <c r="CS180" s="34">
        <f t="shared" ref="CS180:CS219" ca="1" si="115">CQ180+CR180</f>
        <v>0</v>
      </c>
      <c r="CT180" s="233"/>
    </row>
    <row r="181" spans="2:98" x14ac:dyDescent="0.3">
      <c r="B181" s="232"/>
      <c r="C181" s="250">
        <f t="shared" ref="C181:C219" si="116">C180+1</f>
        <v>2015</v>
      </c>
      <c r="D181" s="263">
        <f t="shared" ca="1" si="96"/>
        <v>1504.5554071196293</v>
      </c>
      <c r="E181" s="263">
        <f t="shared" ca="1" si="84"/>
        <v>9.951802518806943</v>
      </c>
      <c r="F181" s="263">
        <f t="shared" ca="1" si="85"/>
        <v>0</v>
      </c>
      <c r="G181" s="263">
        <f t="shared" ca="1" si="97"/>
        <v>1564.2662222324709</v>
      </c>
      <c r="H181" s="15"/>
      <c r="I181" s="271">
        <f ca="1">Assumptions!O$65</f>
        <v>4</v>
      </c>
      <c r="J181" s="271">
        <f ca="1">Assumptions!P$65</f>
        <v>88</v>
      </c>
      <c r="K181" s="271">
        <f t="shared" ca="1" si="86"/>
        <v>44</v>
      </c>
      <c r="L181" s="15"/>
      <c r="M181" s="35">
        <f t="shared" ca="1" si="98"/>
        <v>3.76</v>
      </c>
      <c r="N181" s="35">
        <f t="shared" ca="1" si="87"/>
        <v>81.84</v>
      </c>
      <c r="O181" s="35">
        <f t="shared" ca="1" si="88"/>
        <v>40.92</v>
      </c>
      <c r="P181" s="15"/>
      <c r="Q181" s="34">
        <f t="shared" ca="1" si="99"/>
        <v>5657.1283307698059</v>
      </c>
      <c r="R181" s="34">
        <f t="shared" ca="1" si="99"/>
        <v>814.45551813916029</v>
      </c>
      <c r="S181" s="34">
        <f t="shared" ca="1" si="99"/>
        <v>0</v>
      </c>
      <c r="T181" s="34">
        <f t="shared" ca="1" si="100"/>
        <v>6471.5838489089665</v>
      </c>
      <c r="U181" s="15"/>
      <c r="V181" s="35">
        <f t="shared" si="101"/>
        <v>0.31</v>
      </c>
      <c r="W181" s="34">
        <f t="shared" ca="1" si="102"/>
        <v>484.922528892066</v>
      </c>
      <c r="X181" s="35">
        <f t="shared" si="103"/>
        <v>0.37</v>
      </c>
      <c r="Y181" s="34">
        <f t="shared" ca="1" si="104"/>
        <v>578.77850222601421</v>
      </c>
      <c r="Z181" s="35">
        <f t="shared" si="105"/>
        <v>0.57999999999999996</v>
      </c>
      <c r="AA181" s="34">
        <f t="shared" ca="1" si="106"/>
        <v>907.27440889483307</v>
      </c>
      <c r="AB181" s="34">
        <f t="shared" ca="1" si="107"/>
        <v>1970.9754400129132</v>
      </c>
      <c r="AC181" s="15"/>
      <c r="AD181" s="34">
        <f t="shared" ca="1" si="108"/>
        <v>4500.6084088960533</v>
      </c>
      <c r="AE181" s="34">
        <f ca="1"/>
        <v>7606.5842509080603</v>
      </c>
      <c r="AF181" s="34">
        <f t="shared" ca="1" si="109"/>
        <v>-3105.975842012007</v>
      </c>
      <c r="AG181" s="15"/>
      <c r="AH181" s="272">
        <f t="shared" ref="AH181:AH219" si="117">EOMONTH(AH180,12)</f>
        <v>42369</v>
      </c>
      <c r="AI181" s="267">
        <f t="shared" si="89"/>
        <v>1.6666666666666665</v>
      </c>
      <c r="AJ181" s="267">
        <f t="shared" si="90"/>
        <v>0.85312406236063398</v>
      </c>
      <c r="AK181" s="34">
        <f t="shared" ref="AK181:AK219" ca="1" si="118">AJ181*AF181</f>
        <v>-2649.7827279312742</v>
      </c>
      <c r="AL181" s="233"/>
      <c r="AN181" s="232"/>
      <c r="AO181" s="237">
        <f t="shared" si="110"/>
        <v>2</v>
      </c>
      <c r="AP181" s="34">
        <f t="shared" ca="1" si="111"/>
        <v>256.47149954076446</v>
      </c>
      <c r="AQ181" s="34">
        <f t="shared" ca="1" si="111"/>
        <v>1.6964172293383892</v>
      </c>
      <c r="AR181" s="34">
        <f t="shared" ca="1" si="111"/>
        <v>0</v>
      </c>
      <c r="AS181" s="34">
        <f t="shared" ca="1" si="111"/>
        <v>266.65000291679479</v>
      </c>
      <c r="AT181" s="15"/>
      <c r="AW181" s="34">
        <f t="shared" ca="1" si="112"/>
        <v>256.47149954076446</v>
      </c>
      <c r="AX181" s="34">
        <f t="shared" ca="1" si="92"/>
        <v>1.6964172293383892</v>
      </c>
      <c r="AY181" s="34">
        <f t="shared" ca="1" si="92"/>
        <v>0</v>
      </c>
      <c r="AZ181" s="34">
        <f t="shared" ca="1" si="92"/>
        <v>266.65000291679479</v>
      </c>
      <c r="BB181" s="34">
        <f t="shared" ca="1" si="113"/>
        <v>0</v>
      </c>
      <c r="BC181" s="34">
        <f t="shared" ca="1" si="93"/>
        <v>0</v>
      </c>
      <c r="BD181" s="34">
        <f t="shared" ca="1" si="93"/>
        <v>3128.5324444649418</v>
      </c>
      <c r="BE181" s="34">
        <f t="shared" ca="1" si="93"/>
        <v>0</v>
      </c>
      <c r="BF181" s="34">
        <f t="shared" ca="1" si="93"/>
        <v>0</v>
      </c>
      <c r="BG181" s="34">
        <f t="shared" ca="1" si="93"/>
        <v>0</v>
      </c>
      <c r="BH181" s="34">
        <f t="shared" ca="1" si="93"/>
        <v>0</v>
      </c>
      <c r="BI181" s="34">
        <f t="shared" ca="1" si="93"/>
        <v>0</v>
      </c>
      <c r="BJ181" s="34">
        <f t="shared" ca="1" si="93"/>
        <v>0</v>
      </c>
      <c r="BK181" s="34">
        <f t="shared" ca="1" si="93"/>
        <v>0</v>
      </c>
      <c r="BL181" s="34">
        <f t="shared" ca="1" si="93"/>
        <v>0</v>
      </c>
      <c r="BM181" s="34">
        <f t="shared" ca="1" si="93"/>
        <v>0</v>
      </c>
      <c r="BN181" s="34">
        <f t="shared" ca="1" si="93"/>
        <v>0</v>
      </c>
      <c r="BO181" s="34">
        <f t="shared" ca="1" si="93"/>
        <v>0</v>
      </c>
      <c r="BP181" s="34">
        <f t="shared" ca="1" si="93"/>
        <v>0</v>
      </c>
      <c r="BQ181" s="34">
        <f t="shared" ca="1" si="93"/>
        <v>0</v>
      </c>
      <c r="BR181" s="34">
        <f t="shared" ca="1" si="93"/>
        <v>0</v>
      </c>
      <c r="BS181" s="34">
        <f t="shared" ca="1" si="94"/>
        <v>0</v>
      </c>
      <c r="BT181" s="34">
        <f t="shared" ca="1" si="94"/>
        <v>0</v>
      </c>
      <c r="BU181" s="34">
        <f t="shared" ca="1" si="94"/>
        <v>0</v>
      </c>
      <c r="BV181" s="34">
        <f t="shared" ca="1" si="94"/>
        <v>0</v>
      </c>
      <c r="BW181" s="34">
        <f t="shared" ca="1" si="94"/>
        <v>0</v>
      </c>
      <c r="BX181" s="34">
        <f t="shared" ca="1" si="94"/>
        <v>0</v>
      </c>
      <c r="BY181" s="34">
        <f t="shared" ca="1" si="94"/>
        <v>0</v>
      </c>
      <c r="BZ181" s="34">
        <f t="shared" ca="1" si="94"/>
        <v>0</v>
      </c>
      <c r="CA181" s="34">
        <f t="shared" ca="1" si="94"/>
        <v>0</v>
      </c>
      <c r="CB181" s="34">
        <f t="shared" ca="1" si="94"/>
        <v>0</v>
      </c>
      <c r="CC181" s="34">
        <f t="shared" ca="1" si="94"/>
        <v>0</v>
      </c>
      <c r="CD181" s="34">
        <f t="shared" ca="1" si="94"/>
        <v>0</v>
      </c>
      <c r="CE181" s="34">
        <f t="shared" ca="1" si="94"/>
        <v>0</v>
      </c>
      <c r="CF181" s="34">
        <f t="shared" ca="1" si="94"/>
        <v>0</v>
      </c>
      <c r="CG181" s="34">
        <f t="shared" ca="1" si="94"/>
        <v>0</v>
      </c>
      <c r="CH181" s="34">
        <f t="shared" ca="1" si="94"/>
        <v>0</v>
      </c>
      <c r="CI181" s="34">
        <f t="shared" ca="1" si="95"/>
        <v>0</v>
      </c>
      <c r="CJ181" s="34">
        <f t="shared" ca="1" si="95"/>
        <v>0</v>
      </c>
      <c r="CK181" s="34">
        <f t="shared" ca="1" si="95"/>
        <v>0</v>
      </c>
      <c r="CL181" s="34">
        <f t="shared" ca="1" si="95"/>
        <v>0</v>
      </c>
      <c r="CM181" s="34">
        <f t="shared" ca="1" si="95"/>
        <v>0</v>
      </c>
      <c r="CN181" s="34">
        <f t="shared" ca="1" si="95"/>
        <v>0</v>
      </c>
      <c r="CO181" s="34">
        <f t="shared" ca="1" si="95"/>
        <v>0</v>
      </c>
      <c r="CP181" s="34">
        <f t="shared" ca="1" si="95"/>
        <v>0</v>
      </c>
      <c r="CQ181" s="34">
        <f t="shared" ca="1" si="114"/>
        <v>3128.5324444649418</v>
      </c>
      <c r="CR181" s="363">
        <v>0</v>
      </c>
      <c r="CS181" s="34">
        <f t="shared" ca="1" si="115"/>
        <v>3128.5324444649418</v>
      </c>
      <c r="CT181" s="233"/>
    </row>
    <row r="182" spans="2:98" x14ac:dyDescent="0.3">
      <c r="B182" s="232"/>
      <c r="C182" s="250">
        <f t="shared" si="116"/>
        <v>2016</v>
      </c>
      <c r="D182" s="263">
        <f t="shared" ca="1" si="96"/>
        <v>37119.12770499786</v>
      </c>
      <c r="E182" s="263">
        <f t="shared" ca="1" si="84"/>
        <v>245.52251571626073</v>
      </c>
      <c r="F182" s="263">
        <f t="shared" ca="1" si="85"/>
        <v>0</v>
      </c>
      <c r="G182" s="263">
        <f t="shared" ca="1" si="97"/>
        <v>38592.262799295422</v>
      </c>
      <c r="H182" s="15"/>
      <c r="I182" s="271">
        <f ca="1">Assumptions!O$66</f>
        <v>4.0999999999999996</v>
      </c>
      <c r="J182" s="271">
        <f ca="1">Assumptions!P$66</f>
        <v>84</v>
      </c>
      <c r="K182" s="271">
        <f t="shared" ca="1" si="86"/>
        <v>42</v>
      </c>
      <c r="L182" s="15"/>
      <c r="M182" s="35">
        <f t="shared" ca="1" si="98"/>
        <v>3.8539999999999996</v>
      </c>
      <c r="N182" s="35">
        <f t="shared" ca="1" si="87"/>
        <v>78.12</v>
      </c>
      <c r="O182" s="35">
        <f t="shared" ca="1" si="88"/>
        <v>39.06</v>
      </c>
      <c r="P182" s="15"/>
      <c r="Q182" s="34">
        <f t="shared" ca="1" si="99"/>
        <v>143057.11817506174</v>
      </c>
      <c r="R182" s="34">
        <f t="shared" ca="1" si="99"/>
        <v>19180.218927754289</v>
      </c>
      <c r="S182" s="34">
        <f t="shared" ca="1" si="99"/>
        <v>0</v>
      </c>
      <c r="T182" s="34">
        <f t="shared" ca="1" si="100"/>
        <v>162237.33710281603</v>
      </c>
      <c r="U182" s="15"/>
      <c r="V182" s="35">
        <f t="shared" si="101"/>
        <v>0.31</v>
      </c>
      <c r="W182" s="34">
        <f t="shared" ca="1" si="102"/>
        <v>11963.60146778158</v>
      </c>
      <c r="X182" s="35">
        <f t="shared" si="103"/>
        <v>0.37</v>
      </c>
      <c r="Y182" s="34">
        <f t="shared" ca="1" si="104"/>
        <v>14279.137235739307</v>
      </c>
      <c r="Z182" s="35">
        <f t="shared" si="105"/>
        <v>0.57999999999999996</v>
      </c>
      <c r="AA182" s="34">
        <f t="shared" ca="1" si="106"/>
        <v>22383.512423591343</v>
      </c>
      <c r="AB182" s="34">
        <f t="shared" ca="1" si="107"/>
        <v>48626.251127112235</v>
      </c>
      <c r="AC182" s="15"/>
      <c r="AD182" s="34">
        <f t="shared" ca="1" si="108"/>
        <v>113611.0859757038</v>
      </c>
      <c r="AE182" s="34">
        <f ca="1"/>
        <v>184294.99999999997</v>
      </c>
      <c r="AF182" s="34">
        <f t="shared" ca="1" si="109"/>
        <v>-70683.914024296173</v>
      </c>
      <c r="AG182" s="15"/>
      <c r="AH182" s="272">
        <f t="shared" si="117"/>
        <v>42735</v>
      </c>
      <c r="AI182" s="267">
        <f t="shared" si="89"/>
        <v>2.6666666666666665</v>
      </c>
      <c r="AJ182" s="267">
        <f t="shared" si="90"/>
        <v>0.77556732941875806</v>
      </c>
      <c r="AK182" s="34">
        <f t="shared" ca="1" si="118"/>
        <v>-54820.134432688479</v>
      </c>
      <c r="AL182" s="233"/>
      <c r="AN182" s="232"/>
      <c r="AO182" s="237">
        <f t="shared" si="110"/>
        <v>3</v>
      </c>
      <c r="AP182" s="34">
        <f t="shared" ca="1" si="111"/>
        <v>205.51711055248782</v>
      </c>
      <c r="AQ182" s="34">
        <f t="shared" ca="1" si="111"/>
        <v>1.3593821063523992</v>
      </c>
      <c r="AR182" s="34">
        <f t="shared" ca="1" si="111"/>
        <v>0</v>
      </c>
      <c r="AS182" s="34">
        <f t="shared" ca="1" si="111"/>
        <v>213.67340319060222</v>
      </c>
      <c r="AT182" s="15"/>
      <c r="AW182" s="34">
        <f t="shared" ca="1" si="112"/>
        <v>205.51711055248782</v>
      </c>
      <c r="AX182" s="34">
        <f t="shared" ca="1" si="92"/>
        <v>1.3593821063523992</v>
      </c>
      <c r="AY182" s="34">
        <f t="shared" ca="1" si="92"/>
        <v>0</v>
      </c>
      <c r="AZ182" s="34">
        <f t="shared" ca="1" si="92"/>
        <v>213.67340319060222</v>
      </c>
      <c r="BB182" s="34">
        <f t="shared" ca="1" si="113"/>
        <v>0</v>
      </c>
      <c r="BC182" s="34">
        <f t="shared" ca="1" si="93"/>
        <v>0</v>
      </c>
      <c r="BD182" s="34">
        <f t="shared" ca="1" si="93"/>
        <v>1385.3405985908407</v>
      </c>
      <c r="BE182" s="34">
        <f t="shared" ca="1" si="93"/>
        <v>75799.184999999998</v>
      </c>
      <c r="BF182" s="34">
        <f t="shared" ca="1" si="93"/>
        <v>0</v>
      </c>
      <c r="BG182" s="34">
        <f t="shared" ca="1" si="93"/>
        <v>0</v>
      </c>
      <c r="BH182" s="34">
        <f t="shared" ca="1" si="93"/>
        <v>0</v>
      </c>
      <c r="BI182" s="34">
        <f t="shared" ca="1" si="93"/>
        <v>0</v>
      </c>
      <c r="BJ182" s="34">
        <f t="shared" ca="1" si="93"/>
        <v>0</v>
      </c>
      <c r="BK182" s="34">
        <f t="shared" ca="1" si="93"/>
        <v>0</v>
      </c>
      <c r="BL182" s="34">
        <f t="shared" ca="1" si="93"/>
        <v>0</v>
      </c>
      <c r="BM182" s="34">
        <f t="shared" ca="1" si="93"/>
        <v>0</v>
      </c>
      <c r="BN182" s="34">
        <f t="shared" ca="1" si="93"/>
        <v>0</v>
      </c>
      <c r="BO182" s="34">
        <f t="shared" ca="1" si="93"/>
        <v>0</v>
      </c>
      <c r="BP182" s="34">
        <f t="shared" ca="1" si="93"/>
        <v>0</v>
      </c>
      <c r="BQ182" s="34">
        <f t="shared" ca="1" si="93"/>
        <v>0</v>
      </c>
      <c r="BR182" s="34">
        <f t="shared" ca="1" si="93"/>
        <v>0</v>
      </c>
      <c r="BS182" s="34">
        <f t="shared" ca="1" si="94"/>
        <v>0</v>
      </c>
      <c r="BT182" s="34">
        <f t="shared" ca="1" si="94"/>
        <v>0</v>
      </c>
      <c r="BU182" s="34">
        <f t="shared" ca="1" si="94"/>
        <v>0</v>
      </c>
      <c r="BV182" s="34">
        <f t="shared" ca="1" si="94"/>
        <v>0</v>
      </c>
      <c r="BW182" s="34">
        <f t="shared" ca="1" si="94"/>
        <v>0</v>
      </c>
      <c r="BX182" s="34">
        <f t="shared" ca="1" si="94"/>
        <v>0</v>
      </c>
      <c r="BY182" s="34">
        <f t="shared" ca="1" si="94"/>
        <v>0</v>
      </c>
      <c r="BZ182" s="34">
        <f t="shared" ca="1" si="94"/>
        <v>0</v>
      </c>
      <c r="CA182" s="34">
        <f t="shared" ca="1" si="94"/>
        <v>0</v>
      </c>
      <c r="CB182" s="34">
        <f t="shared" ca="1" si="94"/>
        <v>0</v>
      </c>
      <c r="CC182" s="34">
        <f t="shared" ca="1" si="94"/>
        <v>0</v>
      </c>
      <c r="CD182" s="34">
        <f t="shared" ca="1" si="94"/>
        <v>0</v>
      </c>
      <c r="CE182" s="34">
        <f t="shared" ca="1" si="94"/>
        <v>0</v>
      </c>
      <c r="CF182" s="34">
        <f t="shared" ca="1" si="94"/>
        <v>0</v>
      </c>
      <c r="CG182" s="34">
        <f t="shared" ca="1" si="94"/>
        <v>0</v>
      </c>
      <c r="CH182" s="34">
        <f t="shared" ca="1" si="94"/>
        <v>0</v>
      </c>
      <c r="CI182" s="34">
        <f t="shared" ca="1" si="95"/>
        <v>0</v>
      </c>
      <c r="CJ182" s="34">
        <f t="shared" ca="1" si="95"/>
        <v>0</v>
      </c>
      <c r="CK182" s="34">
        <f t="shared" ca="1" si="95"/>
        <v>0</v>
      </c>
      <c r="CL182" s="34">
        <f t="shared" ca="1" si="95"/>
        <v>0</v>
      </c>
      <c r="CM182" s="34">
        <f t="shared" ca="1" si="95"/>
        <v>0</v>
      </c>
      <c r="CN182" s="34">
        <f t="shared" ca="1" si="95"/>
        <v>0</v>
      </c>
      <c r="CO182" s="34">
        <f t="shared" ca="1" si="95"/>
        <v>0</v>
      </c>
      <c r="CP182" s="34">
        <f t="shared" ca="1" si="95"/>
        <v>0</v>
      </c>
      <c r="CQ182" s="34">
        <f t="shared" ca="1" si="114"/>
        <v>77184.525598590844</v>
      </c>
      <c r="CR182" s="363">
        <v>0</v>
      </c>
      <c r="CS182" s="34">
        <f t="shared" ca="1" si="115"/>
        <v>77184.525598590844</v>
      </c>
      <c r="CT182" s="233"/>
    </row>
    <row r="183" spans="2:98" x14ac:dyDescent="0.3">
      <c r="B183" s="232"/>
      <c r="C183" s="250">
        <f t="shared" si="116"/>
        <v>2017</v>
      </c>
      <c r="D183" s="263">
        <f t="shared" ca="1" si="96"/>
        <v>55422.171330259203</v>
      </c>
      <c r="E183" s="263">
        <f t="shared" ca="1" si="84"/>
        <v>366.58703403826786</v>
      </c>
      <c r="F183" s="263">
        <f t="shared" ca="1" si="85"/>
        <v>0</v>
      </c>
      <c r="G183" s="263">
        <f t="shared" ca="1" si="97"/>
        <v>57621.693534488812</v>
      </c>
      <c r="H183" s="15"/>
      <c r="I183" s="271">
        <f ca="1">Assumptions!O$67</f>
        <v>4.2</v>
      </c>
      <c r="J183" s="271">
        <f ca="1">Assumptions!P$67</f>
        <v>82</v>
      </c>
      <c r="K183" s="271">
        <f t="shared" ca="1" si="86"/>
        <v>41</v>
      </c>
      <c r="L183" s="15"/>
      <c r="M183" s="35">
        <f t="shared" ca="1" si="98"/>
        <v>3.948</v>
      </c>
      <c r="N183" s="35">
        <f t="shared" ca="1" si="87"/>
        <v>76.260000000000005</v>
      </c>
      <c r="O183" s="35">
        <f t="shared" ca="1" si="88"/>
        <v>38.130000000000003</v>
      </c>
      <c r="P183" s="15"/>
      <c r="Q183" s="34">
        <f t="shared" ca="1" si="99"/>
        <v>218806.73241186334</v>
      </c>
      <c r="R183" s="34">
        <f t="shared" ca="1" si="99"/>
        <v>27955.927215758307</v>
      </c>
      <c r="S183" s="34">
        <f t="shared" ca="1" si="99"/>
        <v>0</v>
      </c>
      <c r="T183" s="34">
        <f t="shared" ca="1" si="100"/>
        <v>246762.65962762164</v>
      </c>
      <c r="U183" s="15"/>
      <c r="V183" s="35">
        <f t="shared" si="101"/>
        <v>0.31</v>
      </c>
      <c r="W183" s="34">
        <f t="shared" ca="1" si="102"/>
        <v>17862.724995691533</v>
      </c>
      <c r="X183" s="35">
        <f t="shared" si="103"/>
        <v>0.37</v>
      </c>
      <c r="Y183" s="34">
        <f t="shared" ca="1" si="104"/>
        <v>21320.026607760861</v>
      </c>
      <c r="Z183" s="35">
        <f t="shared" si="105"/>
        <v>0.57999999999999996</v>
      </c>
      <c r="AA183" s="34">
        <f t="shared" ca="1" si="106"/>
        <v>33420.582250003506</v>
      </c>
      <c r="AB183" s="34">
        <f t="shared" ca="1" si="107"/>
        <v>72603.333853455901</v>
      </c>
      <c r="AC183" s="15"/>
      <c r="AD183" s="34">
        <f t="shared" ca="1" si="108"/>
        <v>174159.32577416574</v>
      </c>
      <c r="AE183" s="34">
        <f ca="1"/>
        <v>196184.99999999997</v>
      </c>
      <c r="AF183" s="34">
        <f t="shared" ca="1" si="109"/>
        <v>-22025.674225834227</v>
      </c>
      <c r="AG183" s="15"/>
      <c r="AH183" s="272">
        <f t="shared" si="117"/>
        <v>43100</v>
      </c>
      <c r="AI183" s="267">
        <f t="shared" si="89"/>
        <v>3.666666666666667</v>
      </c>
      <c r="AJ183" s="267">
        <f t="shared" si="90"/>
        <v>0.7050612085625072</v>
      </c>
      <c r="AK183" s="34">
        <f t="shared" ca="1" si="118"/>
        <v>-15529.448489070746</v>
      </c>
      <c r="AL183" s="233"/>
      <c r="AN183" s="232"/>
      <c r="AO183" s="237">
        <f t="shared" si="110"/>
        <v>4</v>
      </c>
      <c r="AP183" s="34">
        <f t="shared" ca="1" si="111"/>
        <v>174.10405258804877</v>
      </c>
      <c r="AQ183" s="34">
        <f t="shared" ca="1" si="111"/>
        <v>1.1516020884849174</v>
      </c>
      <c r="AR183" s="34">
        <f t="shared" ca="1" si="111"/>
        <v>0</v>
      </c>
      <c r="AS183" s="34">
        <f t="shared" ca="1" si="111"/>
        <v>181.01366511895827</v>
      </c>
      <c r="AT183" s="15"/>
      <c r="AW183" s="34">
        <f t="shared" ca="1" si="112"/>
        <v>174.10405258804877</v>
      </c>
      <c r="AX183" s="34">
        <f t="shared" ca="1" si="92"/>
        <v>1.1516020884849174</v>
      </c>
      <c r="AY183" s="34">
        <f t="shared" ca="1" si="92"/>
        <v>0</v>
      </c>
      <c r="AZ183" s="34">
        <f t="shared" ca="1" si="92"/>
        <v>181.01366511895827</v>
      </c>
      <c r="BB183" s="34">
        <f t="shared" ca="1" si="113"/>
        <v>0</v>
      </c>
      <c r="BC183" s="34">
        <f t="shared" ca="1" si="93"/>
        <v>0</v>
      </c>
      <c r="BD183" s="34">
        <f t="shared" ca="1" si="93"/>
        <v>989.41254277633152</v>
      </c>
      <c r="BE183" s="34">
        <f t="shared" ca="1" si="93"/>
        <v>33564.519526201308</v>
      </c>
      <c r="BF183" s="34">
        <f t="shared" ca="1" si="93"/>
        <v>80689.454999999987</v>
      </c>
      <c r="BG183" s="34">
        <f t="shared" ca="1" si="93"/>
        <v>0</v>
      </c>
      <c r="BH183" s="34">
        <f t="shared" ca="1" si="93"/>
        <v>0</v>
      </c>
      <c r="BI183" s="34">
        <f t="shared" ca="1" si="93"/>
        <v>0</v>
      </c>
      <c r="BJ183" s="34">
        <f t="shared" ca="1" si="93"/>
        <v>0</v>
      </c>
      <c r="BK183" s="34">
        <f t="shared" ca="1" si="93"/>
        <v>0</v>
      </c>
      <c r="BL183" s="34">
        <f t="shared" ca="1" si="93"/>
        <v>0</v>
      </c>
      <c r="BM183" s="34">
        <f t="shared" ca="1" si="93"/>
        <v>0</v>
      </c>
      <c r="BN183" s="34">
        <f t="shared" ca="1" si="93"/>
        <v>0</v>
      </c>
      <c r="BO183" s="34">
        <f t="shared" ca="1" si="93"/>
        <v>0</v>
      </c>
      <c r="BP183" s="34">
        <f t="shared" ca="1" si="93"/>
        <v>0</v>
      </c>
      <c r="BQ183" s="34">
        <f t="shared" ca="1" si="93"/>
        <v>0</v>
      </c>
      <c r="BR183" s="34">
        <f t="shared" ca="1" si="93"/>
        <v>0</v>
      </c>
      <c r="BS183" s="34">
        <f t="shared" ca="1" si="94"/>
        <v>0</v>
      </c>
      <c r="BT183" s="34">
        <f t="shared" ca="1" si="94"/>
        <v>0</v>
      </c>
      <c r="BU183" s="34">
        <f t="shared" ca="1" si="94"/>
        <v>0</v>
      </c>
      <c r="BV183" s="34">
        <f t="shared" ca="1" si="94"/>
        <v>0</v>
      </c>
      <c r="BW183" s="34">
        <f t="shared" ca="1" si="94"/>
        <v>0</v>
      </c>
      <c r="BX183" s="34">
        <f t="shared" ca="1" si="94"/>
        <v>0</v>
      </c>
      <c r="BY183" s="34">
        <f t="shared" ca="1" si="94"/>
        <v>0</v>
      </c>
      <c r="BZ183" s="34">
        <f t="shared" ca="1" si="94"/>
        <v>0</v>
      </c>
      <c r="CA183" s="34">
        <f t="shared" ca="1" si="94"/>
        <v>0</v>
      </c>
      <c r="CB183" s="34">
        <f t="shared" ca="1" si="94"/>
        <v>0</v>
      </c>
      <c r="CC183" s="34">
        <f t="shared" ca="1" si="94"/>
        <v>0</v>
      </c>
      <c r="CD183" s="34">
        <f t="shared" ca="1" si="94"/>
        <v>0</v>
      </c>
      <c r="CE183" s="34">
        <f t="shared" ca="1" si="94"/>
        <v>0</v>
      </c>
      <c r="CF183" s="34">
        <f t="shared" ca="1" si="94"/>
        <v>0</v>
      </c>
      <c r="CG183" s="34">
        <f t="shared" ca="1" si="94"/>
        <v>0</v>
      </c>
      <c r="CH183" s="34">
        <f t="shared" ca="1" si="94"/>
        <v>0</v>
      </c>
      <c r="CI183" s="34">
        <f t="shared" ca="1" si="95"/>
        <v>0</v>
      </c>
      <c r="CJ183" s="34">
        <f t="shared" ca="1" si="95"/>
        <v>0</v>
      </c>
      <c r="CK183" s="34">
        <f t="shared" ca="1" si="95"/>
        <v>0</v>
      </c>
      <c r="CL183" s="34">
        <f t="shared" ca="1" si="95"/>
        <v>0</v>
      </c>
      <c r="CM183" s="34">
        <f t="shared" ca="1" si="95"/>
        <v>0</v>
      </c>
      <c r="CN183" s="34">
        <f t="shared" ca="1" si="95"/>
        <v>0</v>
      </c>
      <c r="CO183" s="34">
        <f t="shared" ca="1" si="95"/>
        <v>0</v>
      </c>
      <c r="CP183" s="34">
        <f t="shared" ca="1" si="95"/>
        <v>0</v>
      </c>
      <c r="CQ183" s="34">
        <f t="shared" ca="1" si="114"/>
        <v>115243.38706897762</v>
      </c>
      <c r="CR183" s="363">
        <v>0</v>
      </c>
      <c r="CS183" s="34">
        <f t="shared" ca="1" si="115"/>
        <v>115243.38706897762</v>
      </c>
      <c r="CT183" s="233"/>
    </row>
    <row r="184" spans="2:98" x14ac:dyDescent="0.3">
      <c r="B184" s="232"/>
      <c r="C184" s="250">
        <f t="shared" si="116"/>
        <v>2018</v>
      </c>
      <c r="D184" s="263">
        <f t="shared" ca="1" si="96"/>
        <v>70249.228078563974</v>
      </c>
      <c r="E184" s="263">
        <f t="shared" ca="1" si="84"/>
        <v>464.6598201889347</v>
      </c>
      <c r="F184" s="263">
        <f t="shared" ca="1" si="85"/>
        <v>0</v>
      </c>
      <c r="G184" s="263">
        <f t="shared" ca="1" si="97"/>
        <v>73037.186999697587</v>
      </c>
      <c r="H184" s="15"/>
      <c r="I184" s="271">
        <f ca="1">Assumptions!O$68</f>
        <v>4.5</v>
      </c>
      <c r="J184" s="271">
        <f ca="1">Assumptions!P$68</f>
        <v>80</v>
      </c>
      <c r="K184" s="271">
        <f t="shared" ca="1" si="86"/>
        <v>40</v>
      </c>
      <c r="L184" s="15"/>
      <c r="M184" s="35">
        <f t="shared" ca="1" si="98"/>
        <v>4.2299999999999995</v>
      </c>
      <c r="N184" s="35">
        <f t="shared" ca="1" si="87"/>
        <v>74.400000000000006</v>
      </c>
      <c r="O184" s="35">
        <f t="shared" ca="1" si="88"/>
        <v>37.200000000000003</v>
      </c>
      <c r="P184" s="15"/>
      <c r="Q184" s="34">
        <f t="shared" ca="1" si="99"/>
        <v>297154.23477232555</v>
      </c>
      <c r="R184" s="34">
        <f t="shared" ca="1" si="99"/>
        <v>34570.690622056747</v>
      </c>
      <c r="S184" s="34">
        <f t="shared" ca="1" si="99"/>
        <v>0</v>
      </c>
      <c r="T184" s="34">
        <f t="shared" ca="1" si="100"/>
        <v>331724.92539438233</v>
      </c>
      <c r="U184" s="15"/>
      <c r="V184" s="35">
        <f t="shared" si="101"/>
        <v>0.31</v>
      </c>
      <c r="W184" s="34">
        <f t="shared" ca="1" si="102"/>
        <v>22641.527969906252</v>
      </c>
      <c r="X184" s="35">
        <f t="shared" si="103"/>
        <v>0.37</v>
      </c>
      <c r="Y184" s="34">
        <f t="shared" ca="1" si="104"/>
        <v>27023.759189888107</v>
      </c>
      <c r="Z184" s="35">
        <f t="shared" si="105"/>
        <v>0.57999999999999996</v>
      </c>
      <c r="AA184" s="34">
        <f t="shared" ca="1" si="106"/>
        <v>42361.568459824601</v>
      </c>
      <c r="AB184" s="34">
        <f t="shared" ca="1" si="107"/>
        <v>92026.85561961896</v>
      </c>
      <c r="AC184" s="15"/>
      <c r="AD184" s="34">
        <f t="shared" ca="1" si="108"/>
        <v>239698.06977476337</v>
      </c>
      <c r="AE184" s="34">
        <f ca="1"/>
        <v>208075</v>
      </c>
      <c r="AF184" s="34">
        <f t="shared" ca="1" si="109"/>
        <v>31623.069774763368</v>
      </c>
      <c r="AG184" s="15"/>
      <c r="AH184" s="272">
        <f t="shared" si="117"/>
        <v>43465</v>
      </c>
      <c r="AI184" s="267">
        <f t="shared" si="89"/>
        <v>4.666666666666667</v>
      </c>
      <c r="AJ184" s="267">
        <f t="shared" si="90"/>
        <v>0.64096473505682472</v>
      </c>
      <c r="AK184" s="34">
        <f t="shared" ca="1" si="118"/>
        <v>20269.272539864683</v>
      </c>
      <c r="AL184" s="233"/>
      <c r="AN184" s="232"/>
      <c r="AO184" s="237">
        <f t="shared" si="110"/>
        <v>5</v>
      </c>
      <c r="AP184" s="34">
        <f t="shared" ca="1" si="111"/>
        <v>152.45488975460211</v>
      </c>
      <c r="AQ184" s="34">
        <f t="shared" ca="1" si="111"/>
        <v>1.0084048408485426</v>
      </c>
      <c r="AR184" s="34">
        <f t="shared" ca="1" si="111"/>
        <v>0</v>
      </c>
      <c r="AS184" s="34">
        <f t="shared" ca="1" si="111"/>
        <v>158.50531879969336</v>
      </c>
      <c r="AT184" s="15"/>
      <c r="AW184" s="34">
        <f t="shared" ca="1" si="112"/>
        <v>152.45488975460211</v>
      </c>
      <c r="AX184" s="34">
        <f t="shared" ca="1" si="92"/>
        <v>1.0084048408485426</v>
      </c>
      <c r="AY184" s="34">
        <f t="shared" ca="1" si="92"/>
        <v>0</v>
      </c>
      <c r="AZ184" s="34">
        <f t="shared" ca="1" si="92"/>
        <v>158.50531879969336</v>
      </c>
      <c r="BB184" s="34">
        <f t="shared" ca="1" si="113"/>
        <v>0</v>
      </c>
      <c r="BC184" s="34">
        <f t="shared" ca="1" si="93"/>
        <v>0</v>
      </c>
      <c r="BD184" s="34">
        <f t="shared" ca="1" si="93"/>
        <v>792.8413383158844</v>
      </c>
      <c r="BE184" s="34">
        <f t="shared" ca="1" si="93"/>
        <v>23971.835262219851</v>
      </c>
      <c r="BF184" s="34">
        <f t="shared" ca="1" si="93"/>
        <v>35729.972398859456</v>
      </c>
      <c r="BG184" s="34">
        <f t="shared" ca="1" si="93"/>
        <v>85579.724999999991</v>
      </c>
      <c r="BH184" s="34">
        <f t="shared" ca="1" si="93"/>
        <v>0</v>
      </c>
      <c r="BI184" s="34">
        <f t="shared" ca="1" si="93"/>
        <v>0</v>
      </c>
      <c r="BJ184" s="34">
        <f t="shared" ca="1" si="93"/>
        <v>0</v>
      </c>
      <c r="BK184" s="34">
        <f t="shared" ca="1" si="93"/>
        <v>0</v>
      </c>
      <c r="BL184" s="34">
        <f t="shared" ca="1" si="93"/>
        <v>0</v>
      </c>
      <c r="BM184" s="34">
        <f t="shared" ca="1" si="93"/>
        <v>0</v>
      </c>
      <c r="BN184" s="34">
        <f t="shared" ca="1" si="93"/>
        <v>0</v>
      </c>
      <c r="BO184" s="34">
        <f t="shared" ca="1" si="93"/>
        <v>0</v>
      </c>
      <c r="BP184" s="34">
        <f t="shared" ca="1" si="93"/>
        <v>0</v>
      </c>
      <c r="BQ184" s="34">
        <f t="shared" ca="1" si="93"/>
        <v>0</v>
      </c>
      <c r="BR184" s="34">
        <f t="shared" ca="1" si="93"/>
        <v>0</v>
      </c>
      <c r="BS184" s="34">
        <f t="shared" ca="1" si="94"/>
        <v>0</v>
      </c>
      <c r="BT184" s="34">
        <f t="shared" ca="1" si="94"/>
        <v>0</v>
      </c>
      <c r="BU184" s="34">
        <f t="shared" ca="1" si="94"/>
        <v>0</v>
      </c>
      <c r="BV184" s="34">
        <f t="shared" ca="1" si="94"/>
        <v>0</v>
      </c>
      <c r="BW184" s="34">
        <f t="shared" ca="1" si="94"/>
        <v>0</v>
      </c>
      <c r="BX184" s="34">
        <f t="shared" ca="1" si="94"/>
        <v>0</v>
      </c>
      <c r="BY184" s="34">
        <f t="shared" ca="1" si="94"/>
        <v>0</v>
      </c>
      <c r="BZ184" s="34">
        <f t="shared" ca="1" si="94"/>
        <v>0</v>
      </c>
      <c r="CA184" s="34">
        <f t="shared" ca="1" si="94"/>
        <v>0</v>
      </c>
      <c r="CB184" s="34">
        <f t="shared" ca="1" si="94"/>
        <v>0</v>
      </c>
      <c r="CC184" s="34">
        <f t="shared" ca="1" si="94"/>
        <v>0</v>
      </c>
      <c r="CD184" s="34">
        <f t="shared" ca="1" si="94"/>
        <v>0</v>
      </c>
      <c r="CE184" s="34">
        <f t="shared" ca="1" si="94"/>
        <v>0</v>
      </c>
      <c r="CF184" s="34">
        <f t="shared" ca="1" si="94"/>
        <v>0</v>
      </c>
      <c r="CG184" s="34">
        <f t="shared" ca="1" si="94"/>
        <v>0</v>
      </c>
      <c r="CH184" s="34">
        <f t="shared" ca="1" si="94"/>
        <v>0</v>
      </c>
      <c r="CI184" s="34">
        <f t="shared" ca="1" si="95"/>
        <v>0</v>
      </c>
      <c r="CJ184" s="34">
        <f t="shared" ca="1" si="95"/>
        <v>0</v>
      </c>
      <c r="CK184" s="34">
        <f t="shared" ca="1" si="95"/>
        <v>0</v>
      </c>
      <c r="CL184" s="34">
        <f t="shared" ca="1" si="95"/>
        <v>0</v>
      </c>
      <c r="CM184" s="34">
        <f t="shared" ca="1" si="95"/>
        <v>0</v>
      </c>
      <c r="CN184" s="34">
        <f t="shared" ca="1" si="95"/>
        <v>0</v>
      </c>
      <c r="CO184" s="34">
        <f t="shared" ca="1" si="95"/>
        <v>0</v>
      </c>
      <c r="CP184" s="34">
        <f t="shared" ca="1" si="95"/>
        <v>0</v>
      </c>
      <c r="CQ184" s="34">
        <f t="shared" ca="1" si="114"/>
        <v>146074.37399939517</v>
      </c>
      <c r="CR184" s="363">
        <v>0</v>
      </c>
      <c r="CS184" s="34">
        <f t="shared" ca="1" si="115"/>
        <v>146074.37399939517</v>
      </c>
      <c r="CT184" s="233"/>
    </row>
    <row r="185" spans="2:98" x14ac:dyDescent="0.3">
      <c r="B185" s="232"/>
      <c r="C185" s="250">
        <f t="shared" si="116"/>
        <v>2019</v>
      </c>
      <c r="D185" s="263">
        <f t="shared" ca="1" si="96"/>
        <v>81214.106865417853</v>
      </c>
      <c r="E185" s="263">
        <f t="shared" ca="1" si="84"/>
        <v>537.18643357456517</v>
      </c>
      <c r="F185" s="263">
        <f t="shared" ca="1" si="85"/>
        <v>0</v>
      </c>
      <c r="G185" s="263">
        <f t="shared" ca="1" si="97"/>
        <v>84437.225466865246</v>
      </c>
      <c r="H185" s="15"/>
      <c r="I185" s="271">
        <f ca="1">Assumptions!O$68</f>
        <v>4.5</v>
      </c>
      <c r="J185" s="271">
        <f ca="1">Assumptions!P$68</f>
        <v>80</v>
      </c>
      <c r="K185" s="271">
        <f t="shared" ca="1" si="86"/>
        <v>40</v>
      </c>
      <c r="L185" s="15"/>
      <c r="M185" s="35">
        <f t="shared" ca="1" si="98"/>
        <v>4.2299999999999995</v>
      </c>
      <c r="N185" s="35">
        <f t="shared" ca="1" si="87"/>
        <v>74.400000000000006</v>
      </c>
      <c r="O185" s="35">
        <f t="shared" ca="1" si="88"/>
        <v>37.200000000000003</v>
      </c>
      <c r="P185" s="15"/>
      <c r="Q185" s="34">
        <f t="shared" ca="1" si="99"/>
        <v>343535.6720407175</v>
      </c>
      <c r="R185" s="34">
        <f t="shared" ca="1" si="99"/>
        <v>39966.670657947652</v>
      </c>
      <c r="S185" s="34">
        <f t="shared" ca="1" si="99"/>
        <v>0</v>
      </c>
      <c r="T185" s="34">
        <f t="shared" ca="1" si="100"/>
        <v>383502.34269866516</v>
      </c>
      <c r="U185" s="15"/>
      <c r="V185" s="35">
        <f t="shared" si="101"/>
        <v>0.31</v>
      </c>
      <c r="W185" s="34">
        <f t="shared" ca="1" si="102"/>
        <v>26175.539894728226</v>
      </c>
      <c r="X185" s="35">
        <f t="shared" si="103"/>
        <v>0.37</v>
      </c>
      <c r="Y185" s="34">
        <f t="shared" ca="1" si="104"/>
        <v>31241.773422740142</v>
      </c>
      <c r="Z185" s="35">
        <f t="shared" si="105"/>
        <v>0.57999999999999996</v>
      </c>
      <c r="AA185" s="34">
        <f t="shared" ca="1" si="106"/>
        <v>48973.590770781841</v>
      </c>
      <c r="AB185" s="34">
        <f t="shared" ca="1" si="107"/>
        <v>106390.90408825022</v>
      </c>
      <c r="AC185" s="15"/>
      <c r="AD185" s="34">
        <f t="shared" ca="1" si="108"/>
        <v>277111.43861041497</v>
      </c>
      <c r="AE185" s="34">
        <f ca="1"/>
        <v>208075</v>
      </c>
      <c r="AF185" s="34">
        <f t="shared" ca="1" si="109"/>
        <v>69036.438610414974</v>
      </c>
      <c r="AG185" s="15"/>
      <c r="AH185" s="272">
        <f t="shared" si="117"/>
        <v>43830</v>
      </c>
      <c r="AI185" s="267">
        <f t="shared" si="89"/>
        <v>5.666666666666667</v>
      </c>
      <c r="AJ185" s="267">
        <f t="shared" si="90"/>
        <v>0.58269521368802246</v>
      </c>
      <c r="AK185" s="34">
        <f t="shared" ca="1" si="118"/>
        <v>40227.2023483558</v>
      </c>
      <c r="AL185" s="233"/>
      <c r="AN185" s="232"/>
      <c r="AO185" s="237">
        <f t="shared" si="110"/>
        <v>6</v>
      </c>
      <c r="AP185" s="34">
        <f t="shared" ca="1" si="111"/>
        <v>136.46949636213967</v>
      </c>
      <c r="AQ185" s="34">
        <f t="shared" ca="1" si="111"/>
        <v>0.90267029795671105</v>
      </c>
      <c r="AR185" s="34">
        <f t="shared" ca="1" si="111"/>
        <v>0</v>
      </c>
      <c r="AS185" s="34">
        <f t="shared" ca="1" si="111"/>
        <v>141.88551814987994</v>
      </c>
      <c r="AT185" s="15"/>
      <c r="AW185" s="34">
        <f t="shared" ca="1" si="112"/>
        <v>136.46949636213967</v>
      </c>
      <c r="AX185" s="34">
        <f t="shared" ca="1" si="92"/>
        <v>0.90267029795671105</v>
      </c>
      <c r="AY185" s="34">
        <f t="shared" ca="1" si="92"/>
        <v>0</v>
      </c>
      <c r="AZ185" s="34">
        <f t="shared" ca="1" si="92"/>
        <v>141.88551814987994</v>
      </c>
      <c r="BB185" s="34">
        <f t="shared" ca="1" si="113"/>
        <v>0</v>
      </c>
      <c r="BC185" s="34">
        <f t="shared" ca="1" si="93"/>
        <v>0</v>
      </c>
      <c r="BD185" s="34">
        <f t="shared" ca="1" si="93"/>
        <v>671.65643624049449</v>
      </c>
      <c r="BE185" s="34">
        <f t="shared" ca="1" si="93"/>
        <v>19209.238946835136</v>
      </c>
      <c r="BF185" s="34">
        <f t="shared" ca="1" si="93"/>
        <v>25518.40527913726</v>
      </c>
      <c r="BG185" s="34">
        <f t="shared" ca="1" si="93"/>
        <v>37895.425271517612</v>
      </c>
      <c r="BH185" s="34">
        <f t="shared" ca="1" si="93"/>
        <v>85579.724999999991</v>
      </c>
      <c r="BI185" s="34">
        <f t="shared" ca="1" si="93"/>
        <v>0</v>
      </c>
      <c r="BJ185" s="34">
        <f t="shared" ca="1" si="93"/>
        <v>0</v>
      </c>
      <c r="BK185" s="34">
        <f t="shared" ca="1" si="93"/>
        <v>0</v>
      </c>
      <c r="BL185" s="34">
        <f t="shared" ca="1" si="93"/>
        <v>0</v>
      </c>
      <c r="BM185" s="34">
        <f t="shared" ca="1" si="93"/>
        <v>0</v>
      </c>
      <c r="BN185" s="34">
        <f t="shared" ca="1" si="93"/>
        <v>0</v>
      </c>
      <c r="BO185" s="34">
        <f t="shared" ca="1" si="93"/>
        <v>0</v>
      </c>
      <c r="BP185" s="34">
        <f t="shared" ca="1" si="93"/>
        <v>0</v>
      </c>
      <c r="BQ185" s="34">
        <f t="shared" ca="1" si="93"/>
        <v>0</v>
      </c>
      <c r="BR185" s="34">
        <f t="shared" ca="1" si="93"/>
        <v>0</v>
      </c>
      <c r="BS185" s="34">
        <f t="shared" ca="1" si="94"/>
        <v>0</v>
      </c>
      <c r="BT185" s="34">
        <f t="shared" ca="1" si="94"/>
        <v>0</v>
      </c>
      <c r="BU185" s="34">
        <f t="shared" ca="1" si="94"/>
        <v>0</v>
      </c>
      <c r="BV185" s="34">
        <f t="shared" ca="1" si="94"/>
        <v>0</v>
      </c>
      <c r="BW185" s="34">
        <f t="shared" ca="1" si="94"/>
        <v>0</v>
      </c>
      <c r="BX185" s="34">
        <f t="shared" ca="1" si="94"/>
        <v>0</v>
      </c>
      <c r="BY185" s="34">
        <f t="shared" ca="1" si="94"/>
        <v>0</v>
      </c>
      <c r="BZ185" s="34">
        <f t="shared" ca="1" si="94"/>
        <v>0</v>
      </c>
      <c r="CA185" s="34">
        <f t="shared" ca="1" si="94"/>
        <v>0</v>
      </c>
      <c r="CB185" s="34">
        <f t="shared" ca="1" si="94"/>
        <v>0</v>
      </c>
      <c r="CC185" s="34">
        <f t="shared" ca="1" si="94"/>
        <v>0</v>
      </c>
      <c r="CD185" s="34">
        <f t="shared" ca="1" si="94"/>
        <v>0</v>
      </c>
      <c r="CE185" s="34">
        <f t="shared" ca="1" si="94"/>
        <v>0</v>
      </c>
      <c r="CF185" s="34">
        <f t="shared" ca="1" si="94"/>
        <v>0</v>
      </c>
      <c r="CG185" s="34">
        <f t="shared" ca="1" si="94"/>
        <v>0</v>
      </c>
      <c r="CH185" s="34">
        <f t="shared" ca="1" si="94"/>
        <v>0</v>
      </c>
      <c r="CI185" s="34">
        <f t="shared" ca="1" si="95"/>
        <v>0</v>
      </c>
      <c r="CJ185" s="34">
        <f t="shared" ca="1" si="95"/>
        <v>0</v>
      </c>
      <c r="CK185" s="34">
        <f t="shared" ca="1" si="95"/>
        <v>0</v>
      </c>
      <c r="CL185" s="34">
        <f t="shared" ca="1" si="95"/>
        <v>0</v>
      </c>
      <c r="CM185" s="34">
        <f t="shared" ca="1" si="95"/>
        <v>0</v>
      </c>
      <c r="CN185" s="34">
        <f t="shared" ca="1" si="95"/>
        <v>0</v>
      </c>
      <c r="CO185" s="34">
        <f t="shared" ca="1" si="95"/>
        <v>0</v>
      </c>
      <c r="CP185" s="34">
        <f t="shared" ca="1" si="95"/>
        <v>0</v>
      </c>
      <c r="CQ185" s="34">
        <f t="shared" ca="1" si="114"/>
        <v>168874.45093373049</v>
      </c>
      <c r="CR185" s="363">
        <v>0</v>
      </c>
      <c r="CS185" s="34">
        <f t="shared" ca="1" si="115"/>
        <v>168874.45093373049</v>
      </c>
      <c r="CT185" s="233"/>
    </row>
    <row r="186" spans="2:98" x14ac:dyDescent="0.3">
      <c r="B186" s="232"/>
      <c r="C186" s="250">
        <f t="shared" si="116"/>
        <v>2020</v>
      </c>
      <c r="D186" s="263">
        <f t="shared" ca="1" si="96"/>
        <v>90339.686076312719</v>
      </c>
      <c r="E186" s="263">
        <f t="shared" ca="1" si="84"/>
        <v>597.54709676238156</v>
      </c>
      <c r="F186" s="263">
        <f t="shared" ca="1" si="85"/>
        <v>0</v>
      </c>
      <c r="G186" s="263">
        <f t="shared" ca="1" si="97"/>
        <v>93924.968656887009</v>
      </c>
      <c r="H186" s="15"/>
      <c r="I186" s="271">
        <f ca="1">Assumptions!O$68</f>
        <v>4.5</v>
      </c>
      <c r="J186" s="271">
        <f ca="1">Assumptions!P$68</f>
        <v>80</v>
      </c>
      <c r="K186" s="271">
        <f t="shared" ca="1" si="86"/>
        <v>40</v>
      </c>
      <c r="L186" s="15"/>
      <c r="M186" s="35">
        <f t="shared" ca="1" si="98"/>
        <v>4.2299999999999995</v>
      </c>
      <c r="N186" s="35">
        <f t="shared" ca="1" si="87"/>
        <v>74.400000000000006</v>
      </c>
      <c r="O186" s="35">
        <f t="shared" ca="1" si="88"/>
        <v>37.200000000000003</v>
      </c>
      <c r="P186" s="15"/>
      <c r="Q186" s="34">
        <f t="shared" ca="1" si="99"/>
        <v>382136.87210280274</v>
      </c>
      <c r="R186" s="34">
        <f t="shared" ca="1" si="99"/>
        <v>44457.503999121189</v>
      </c>
      <c r="S186" s="34">
        <f t="shared" ca="1" si="99"/>
        <v>0</v>
      </c>
      <c r="T186" s="34">
        <f t="shared" ca="1" si="100"/>
        <v>426594.37610192393</v>
      </c>
      <c r="U186" s="15"/>
      <c r="V186" s="35">
        <f t="shared" si="101"/>
        <v>0.31</v>
      </c>
      <c r="W186" s="34">
        <f t="shared" ca="1" si="102"/>
        <v>29116.740283634972</v>
      </c>
      <c r="X186" s="35">
        <f t="shared" si="103"/>
        <v>0.37</v>
      </c>
      <c r="Y186" s="34">
        <f t="shared" ca="1" si="104"/>
        <v>34752.238403048192</v>
      </c>
      <c r="Z186" s="35">
        <f t="shared" si="105"/>
        <v>0.57999999999999996</v>
      </c>
      <c r="AA186" s="34">
        <f t="shared" ca="1" si="106"/>
        <v>54476.481820994464</v>
      </c>
      <c r="AB186" s="34">
        <f t="shared" ca="1" si="107"/>
        <v>118345.46050767764</v>
      </c>
      <c r="AC186" s="15"/>
      <c r="AD186" s="34">
        <f t="shared" ca="1" si="108"/>
        <v>308248.9155942463</v>
      </c>
      <c r="AE186" s="34">
        <f ca="1"/>
        <v>208075</v>
      </c>
      <c r="AF186" s="34">
        <f t="shared" ca="1" si="109"/>
        <v>100173.9155942463</v>
      </c>
      <c r="AG186" s="15"/>
      <c r="AH186" s="272">
        <f t="shared" si="117"/>
        <v>44196</v>
      </c>
      <c r="AI186" s="267">
        <f t="shared" si="89"/>
        <v>6.666666666666667</v>
      </c>
      <c r="AJ186" s="267">
        <f t="shared" si="90"/>
        <v>0.52972292153456579</v>
      </c>
      <c r="AK186" s="34">
        <f t="shared" ca="1" si="118"/>
        <v>53064.419230141146</v>
      </c>
      <c r="AL186" s="233"/>
      <c r="AN186" s="232"/>
      <c r="AO186" s="237">
        <f t="shared" si="110"/>
        <v>7</v>
      </c>
      <c r="AP186" s="34">
        <f t="shared" ca="1" si="111"/>
        <v>124.09649102785842</v>
      </c>
      <c r="AQ186" s="34">
        <f t="shared" ca="1" si="111"/>
        <v>0.82082970566729641</v>
      </c>
      <c r="AR186" s="34">
        <f t="shared" ca="1" si="111"/>
        <v>0</v>
      </c>
      <c r="AS186" s="34">
        <f t="shared" ca="1" si="111"/>
        <v>129.02146926186219</v>
      </c>
      <c r="AT186" s="15"/>
      <c r="AW186" s="34">
        <f t="shared" ca="1" si="112"/>
        <v>124.09649102785842</v>
      </c>
      <c r="AX186" s="34">
        <f t="shared" ca="1" si="92"/>
        <v>0.82082970566729641</v>
      </c>
      <c r="AY186" s="34">
        <f t="shared" ca="1" si="92"/>
        <v>0</v>
      </c>
      <c r="AZ186" s="34">
        <f t="shared" ca="1" si="92"/>
        <v>129.02146926186219</v>
      </c>
      <c r="BB186" s="34">
        <f t="shared" ca="1" si="113"/>
        <v>0</v>
      </c>
      <c r="BC186" s="34">
        <f t="shared" ca="1" si="93"/>
        <v>0</v>
      </c>
      <c r="BD186" s="34">
        <f t="shared" ca="1" si="93"/>
        <v>588.13856666678475</v>
      </c>
      <c r="BE186" s="34">
        <f t="shared" ca="1" si="93"/>
        <v>16273.128494194347</v>
      </c>
      <c r="BF186" s="34">
        <f t="shared" ca="1" si="93"/>
        <v>20448.544685340628</v>
      </c>
      <c r="BG186" s="34">
        <f t="shared" ca="1" si="93"/>
        <v>27064.975296054672</v>
      </c>
      <c r="BH186" s="34">
        <f t="shared" ca="1" si="93"/>
        <v>37895.425271517612</v>
      </c>
      <c r="BI186" s="34">
        <f t="shared" ca="1" si="93"/>
        <v>85579.724999999991</v>
      </c>
      <c r="BJ186" s="34">
        <f t="shared" ca="1" si="93"/>
        <v>0</v>
      </c>
      <c r="BK186" s="34">
        <f t="shared" ca="1" si="93"/>
        <v>0</v>
      </c>
      <c r="BL186" s="34">
        <f t="shared" ca="1" si="93"/>
        <v>0</v>
      </c>
      <c r="BM186" s="34">
        <f t="shared" ca="1" si="93"/>
        <v>0</v>
      </c>
      <c r="BN186" s="34">
        <f t="shared" ca="1" si="93"/>
        <v>0</v>
      </c>
      <c r="BO186" s="34">
        <f t="shared" ca="1" si="93"/>
        <v>0</v>
      </c>
      <c r="BP186" s="34">
        <f t="shared" ca="1" si="93"/>
        <v>0</v>
      </c>
      <c r="BQ186" s="34">
        <f t="shared" ca="1" si="93"/>
        <v>0</v>
      </c>
      <c r="BR186" s="34">
        <f t="shared" ca="1" si="93"/>
        <v>0</v>
      </c>
      <c r="BS186" s="34">
        <f t="shared" ca="1" si="94"/>
        <v>0</v>
      </c>
      <c r="BT186" s="34">
        <f t="shared" ca="1" si="94"/>
        <v>0</v>
      </c>
      <c r="BU186" s="34">
        <f t="shared" ca="1" si="94"/>
        <v>0</v>
      </c>
      <c r="BV186" s="34">
        <f t="shared" ca="1" si="94"/>
        <v>0</v>
      </c>
      <c r="BW186" s="34">
        <f t="shared" ca="1" si="94"/>
        <v>0</v>
      </c>
      <c r="BX186" s="34">
        <f t="shared" ca="1" si="94"/>
        <v>0</v>
      </c>
      <c r="BY186" s="34">
        <f t="shared" ca="1" si="94"/>
        <v>0</v>
      </c>
      <c r="BZ186" s="34">
        <f t="shared" ca="1" si="94"/>
        <v>0</v>
      </c>
      <c r="CA186" s="34">
        <f t="shared" ca="1" si="94"/>
        <v>0</v>
      </c>
      <c r="CB186" s="34">
        <f t="shared" ca="1" si="94"/>
        <v>0</v>
      </c>
      <c r="CC186" s="34">
        <f t="shared" ca="1" si="94"/>
        <v>0</v>
      </c>
      <c r="CD186" s="34">
        <f t="shared" ca="1" si="94"/>
        <v>0</v>
      </c>
      <c r="CE186" s="34">
        <f t="shared" ca="1" si="94"/>
        <v>0</v>
      </c>
      <c r="CF186" s="34">
        <f t="shared" ca="1" si="94"/>
        <v>0</v>
      </c>
      <c r="CG186" s="34">
        <f t="shared" ca="1" si="94"/>
        <v>0</v>
      </c>
      <c r="CH186" s="34">
        <f t="shared" ca="1" si="94"/>
        <v>0</v>
      </c>
      <c r="CI186" s="34">
        <f t="shared" ca="1" si="95"/>
        <v>0</v>
      </c>
      <c r="CJ186" s="34">
        <f t="shared" ca="1" si="95"/>
        <v>0</v>
      </c>
      <c r="CK186" s="34">
        <f t="shared" ca="1" si="95"/>
        <v>0</v>
      </c>
      <c r="CL186" s="34">
        <f t="shared" ca="1" si="95"/>
        <v>0</v>
      </c>
      <c r="CM186" s="34">
        <f t="shared" ca="1" si="95"/>
        <v>0</v>
      </c>
      <c r="CN186" s="34">
        <f t="shared" ca="1" si="95"/>
        <v>0</v>
      </c>
      <c r="CO186" s="34">
        <f t="shared" ca="1" si="95"/>
        <v>0</v>
      </c>
      <c r="CP186" s="34">
        <f t="shared" ca="1" si="95"/>
        <v>0</v>
      </c>
      <c r="CQ186" s="34">
        <f t="shared" ca="1" si="114"/>
        <v>187849.93731377402</v>
      </c>
      <c r="CR186" s="363">
        <v>0</v>
      </c>
      <c r="CS186" s="34">
        <f t="shared" ca="1" si="115"/>
        <v>187849.93731377402</v>
      </c>
      <c r="CT186" s="233"/>
    </row>
    <row r="187" spans="2:98" x14ac:dyDescent="0.3">
      <c r="B187" s="232"/>
      <c r="C187" s="250">
        <f t="shared" si="116"/>
        <v>2021</v>
      </c>
      <c r="D187" s="263">
        <f t="shared" ca="1" si="96"/>
        <v>98263.777611786325</v>
      </c>
      <c r="E187" s="263">
        <f t="shared" ca="1" si="84"/>
        <v>649.96058298483524</v>
      </c>
      <c r="F187" s="263">
        <f t="shared" ca="1" si="85"/>
        <v>0</v>
      </c>
      <c r="G187" s="263">
        <f t="shared" ca="1" si="97"/>
        <v>102163.54110969533</v>
      </c>
      <c r="H187" s="15"/>
      <c r="I187" s="271">
        <f ca="1">Assumptions!O$68</f>
        <v>4.5</v>
      </c>
      <c r="J187" s="271">
        <f ca="1">Assumptions!P$68</f>
        <v>80</v>
      </c>
      <c r="K187" s="271">
        <f t="shared" ca="1" si="86"/>
        <v>40</v>
      </c>
      <c r="L187" s="15"/>
      <c r="M187" s="35">
        <f t="shared" ca="1" si="98"/>
        <v>4.2299999999999995</v>
      </c>
      <c r="N187" s="35">
        <f t="shared" ca="1" si="87"/>
        <v>74.400000000000006</v>
      </c>
      <c r="O187" s="35">
        <f t="shared" ca="1" si="88"/>
        <v>37.200000000000003</v>
      </c>
      <c r="P187" s="15"/>
      <c r="Q187" s="34">
        <f t="shared" ca="1" si="99"/>
        <v>415655.77929785609</v>
      </c>
      <c r="R187" s="34">
        <f t="shared" ca="1" si="99"/>
        <v>48357.067374071747</v>
      </c>
      <c r="S187" s="34">
        <f t="shared" ca="1" si="99"/>
        <v>0</v>
      </c>
      <c r="T187" s="34">
        <f t="shared" ca="1" si="100"/>
        <v>464012.84667192784</v>
      </c>
      <c r="U187" s="15"/>
      <c r="V187" s="35">
        <f t="shared" si="101"/>
        <v>0.31</v>
      </c>
      <c r="W187" s="34">
        <f t="shared" ca="1" si="102"/>
        <v>31670.697744005553</v>
      </c>
      <c r="X187" s="35">
        <f t="shared" si="103"/>
        <v>0.37</v>
      </c>
      <c r="Y187" s="34">
        <f t="shared" ca="1" si="104"/>
        <v>37800.510210587272</v>
      </c>
      <c r="Z187" s="35">
        <f t="shared" si="105"/>
        <v>0.57999999999999996</v>
      </c>
      <c r="AA187" s="34">
        <f t="shared" ca="1" si="106"/>
        <v>59254.853843623292</v>
      </c>
      <c r="AB187" s="34">
        <f t="shared" ca="1" si="107"/>
        <v>128726.06179821612</v>
      </c>
      <c r="AC187" s="15"/>
      <c r="AD187" s="34">
        <f t="shared" ca="1" si="108"/>
        <v>335286.7848737117</v>
      </c>
      <c r="AE187" s="34">
        <f ca="1"/>
        <v>208075</v>
      </c>
      <c r="AF187" s="34">
        <f t="shared" ca="1" si="109"/>
        <v>127211.7848737117</v>
      </c>
      <c r="AG187" s="15"/>
      <c r="AH187" s="272">
        <f t="shared" si="117"/>
        <v>44561</v>
      </c>
      <c r="AI187" s="267">
        <f t="shared" si="89"/>
        <v>7.6666666666666661</v>
      </c>
      <c r="AJ187" s="267">
        <f t="shared" si="90"/>
        <v>0.48156629230415066</v>
      </c>
      <c r="AK187" s="34">
        <f t="shared" ca="1" si="118"/>
        <v>61260.907579026578</v>
      </c>
      <c r="AL187" s="233"/>
      <c r="AN187" s="232"/>
      <c r="AO187" s="237">
        <f t="shared" si="110"/>
        <v>8</v>
      </c>
      <c r="AP187" s="34">
        <f t="shared" ca="1" si="111"/>
        <v>114.18500922628409</v>
      </c>
      <c r="AQ187" s="34">
        <f t="shared" ca="1" si="111"/>
        <v>0.75527073117472476</v>
      </c>
      <c r="AR187" s="34">
        <f t="shared" ca="1" si="111"/>
        <v>0</v>
      </c>
      <c r="AS187" s="34">
        <f t="shared" ca="1" si="111"/>
        <v>118.71663361333245</v>
      </c>
      <c r="AT187" s="15"/>
      <c r="AW187" s="34">
        <f t="shared" ca="1" si="112"/>
        <v>114.18500922628409</v>
      </c>
      <c r="AX187" s="34">
        <f t="shared" ca="1" si="92"/>
        <v>0.75527073117472476</v>
      </c>
      <c r="AY187" s="34">
        <f t="shared" ca="1" si="92"/>
        <v>0</v>
      </c>
      <c r="AZ187" s="34">
        <f t="shared" ca="1" si="92"/>
        <v>118.71663361333245</v>
      </c>
      <c r="BB187" s="34">
        <f t="shared" ca="1" si="113"/>
        <v>0</v>
      </c>
      <c r="BC187" s="34">
        <f t="shared" ca="1" si="93"/>
        <v>0</v>
      </c>
      <c r="BD187" s="34">
        <f t="shared" ca="1" si="93"/>
        <v>526.47031599551542</v>
      </c>
      <c r="BE187" s="34">
        <f t="shared" ca="1" si="93"/>
        <v>14249.628160092432</v>
      </c>
      <c r="BF187" s="34">
        <f t="shared" ca="1" si="93"/>
        <v>17323.007751884306</v>
      </c>
      <c r="BG187" s="34">
        <f t="shared" ca="1" si="93"/>
        <v>21687.850423846125</v>
      </c>
      <c r="BH187" s="34">
        <f t="shared" ca="1" si="93"/>
        <v>27064.975296054672</v>
      </c>
      <c r="BI187" s="34">
        <f t="shared" ca="1" si="93"/>
        <v>37895.425271517612</v>
      </c>
      <c r="BJ187" s="34">
        <f t="shared" ca="1" si="93"/>
        <v>85579.724999999991</v>
      </c>
      <c r="BK187" s="34">
        <f t="shared" ca="1" si="93"/>
        <v>0</v>
      </c>
      <c r="BL187" s="34">
        <f t="shared" ca="1" si="93"/>
        <v>0</v>
      </c>
      <c r="BM187" s="34">
        <f t="shared" ca="1" si="93"/>
        <v>0</v>
      </c>
      <c r="BN187" s="34">
        <f t="shared" ca="1" si="93"/>
        <v>0</v>
      </c>
      <c r="BO187" s="34">
        <f t="shared" ca="1" si="93"/>
        <v>0</v>
      </c>
      <c r="BP187" s="34">
        <f t="shared" ca="1" si="93"/>
        <v>0</v>
      </c>
      <c r="BQ187" s="34">
        <f t="shared" ca="1" si="93"/>
        <v>0</v>
      </c>
      <c r="BR187" s="34">
        <f t="shared" ca="1" si="93"/>
        <v>0</v>
      </c>
      <c r="BS187" s="34">
        <f t="shared" ca="1" si="94"/>
        <v>0</v>
      </c>
      <c r="BT187" s="34">
        <f t="shared" ca="1" si="94"/>
        <v>0</v>
      </c>
      <c r="BU187" s="34">
        <f t="shared" ca="1" si="94"/>
        <v>0</v>
      </c>
      <c r="BV187" s="34">
        <f t="shared" ca="1" si="94"/>
        <v>0</v>
      </c>
      <c r="BW187" s="34">
        <f t="shared" ca="1" si="94"/>
        <v>0</v>
      </c>
      <c r="BX187" s="34">
        <f t="shared" ca="1" si="94"/>
        <v>0</v>
      </c>
      <c r="BY187" s="34">
        <f t="shared" ca="1" si="94"/>
        <v>0</v>
      </c>
      <c r="BZ187" s="34">
        <f t="shared" ca="1" si="94"/>
        <v>0</v>
      </c>
      <c r="CA187" s="34">
        <f t="shared" ca="1" si="94"/>
        <v>0</v>
      </c>
      <c r="CB187" s="34">
        <f t="shared" ca="1" si="94"/>
        <v>0</v>
      </c>
      <c r="CC187" s="34">
        <f t="shared" ca="1" si="94"/>
        <v>0</v>
      </c>
      <c r="CD187" s="34">
        <f t="shared" ca="1" si="94"/>
        <v>0</v>
      </c>
      <c r="CE187" s="34">
        <f t="shared" ca="1" si="94"/>
        <v>0</v>
      </c>
      <c r="CF187" s="34">
        <f t="shared" ca="1" si="94"/>
        <v>0</v>
      </c>
      <c r="CG187" s="34">
        <f t="shared" ca="1" si="94"/>
        <v>0</v>
      </c>
      <c r="CH187" s="34">
        <f t="shared" ca="1" si="94"/>
        <v>0</v>
      </c>
      <c r="CI187" s="34">
        <f t="shared" ca="1" si="95"/>
        <v>0</v>
      </c>
      <c r="CJ187" s="34">
        <f t="shared" ca="1" si="95"/>
        <v>0</v>
      </c>
      <c r="CK187" s="34">
        <f t="shared" ca="1" si="95"/>
        <v>0</v>
      </c>
      <c r="CL187" s="34">
        <f t="shared" ca="1" si="95"/>
        <v>0</v>
      </c>
      <c r="CM187" s="34">
        <f t="shared" ca="1" si="95"/>
        <v>0</v>
      </c>
      <c r="CN187" s="34">
        <f t="shared" ca="1" si="95"/>
        <v>0</v>
      </c>
      <c r="CO187" s="34">
        <f t="shared" ca="1" si="95"/>
        <v>0</v>
      </c>
      <c r="CP187" s="34">
        <f t="shared" ca="1" si="95"/>
        <v>0</v>
      </c>
      <c r="CQ187" s="34">
        <f t="shared" ca="1" si="114"/>
        <v>204327.08221939066</v>
      </c>
      <c r="CR187" s="363">
        <v>0</v>
      </c>
      <c r="CS187" s="34">
        <f t="shared" ca="1" si="115"/>
        <v>204327.08221939066</v>
      </c>
      <c r="CT187" s="233"/>
    </row>
    <row r="188" spans="2:98" x14ac:dyDescent="0.3">
      <c r="B188" s="232"/>
      <c r="C188" s="250">
        <f t="shared" si="116"/>
        <v>2022</v>
      </c>
      <c r="D188" s="263">
        <f t="shared" ca="1" si="96"/>
        <v>105322.14720910398</v>
      </c>
      <c r="E188" s="263">
        <f t="shared" ca="1" si="84"/>
        <v>696.64779703149679</v>
      </c>
      <c r="F188" s="263">
        <f t="shared" ca="1" si="85"/>
        <v>0</v>
      </c>
      <c r="G188" s="263">
        <f t="shared" ca="1" si="97"/>
        <v>109502.03399129296</v>
      </c>
      <c r="H188" s="15"/>
      <c r="I188" s="271">
        <f ca="1">Assumptions!O$68</f>
        <v>4.5</v>
      </c>
      <c r="J188" s="271">
        <f ca="1">Assumptions!P$68</f>
        <v>80</v>
      </c>
      <c r="K188" s="271">
        <f t="shared" ca="1" si="86"/>
        <v>40</v>
      </c>
      <c r="L188" s="15"/>
      <c r="M188" s="35">
        <f t="shared" ca="1" si="98"/>
        <v>4.2299999999999995</v>
      </c>
      <c r="N188" s="35">
        <f t="shared" ca="1" si="87"/>
        <v>74.400000000000006</v>
      </c>
      <c r="O188" s="35">
        <f t="shared" ca="1" si="88"/>
        <v>37.200000000000003</v>
      </c>
      <c r="P188" s="15"/>
      <c r="Q188" s="34">
        <f t="shared" ca="1" si="99"/>
        <v>445512.68269450974</v>
      </c>
      <c r="R188" s="34">
        <f t="shared" ca="1" si="99"/>
        <v>51830.596099143368</v>
      </c>
      <c r="S188" s="34">
        <f t="shared" ca="1" si="99"/>
        <v>0</v>
      </c>
      <c r="T188" s="34">
        <f t="shared" ca="1" si="100"/>
        <v>497343.27879365312</v>
      </c>
      <c r="U188" s="15"/>
      <c r="V188" s="35">
        <f t="shared" si="101"/>
        <v>0.31</v>
      </c>
      <c r="W188" s="34">
        <f t="shared" ca="1" si="102"/>
        <v>33945.630537300822</v>
      </c>
      <c r="X188" s="35">
        <f t="shared" si="103"/>
        <v>0.37</v>
      </c>
      <c r="Y188" s="34">
        <f t="shared" ca="1" si="104"/>
        <v>40515.752576778395</v>
      </c>
      <c r="Z188" s="35">
        <f t="shared" si="105"/>
        <v>0.57999999999999996</v>
      </c>
      <c r="AA188" s="34">
        <f t="shared" ca="1" si="106"/>
        <v>63511.179714949911</v>
      </c>
      <c r="AB188" s="34">
        <f t="shared" ca="1" si="107"/>
        <v>137972.56282902914</v>
      </c>
      <c r="AC188" s="15"/>
      <c r="AD188" s="34">
        <f t="shared" ca="1" si="108"/>
        <v>359370.71596462396</v>
      </c>
      <c r="AE188" s="34">
        <f ca="1"/>
        <v>208075</v>
      </c>
      <c r="AF188" s="34">
        <f t="shared" ca="1" si="109"/>
        <v>151295.71596462396</v>
      </c>
      <c r="AG188" s="15"/>
      <c r="AH188" s="272">
        <f t="shared" si="117"/>
        <v>44926</v>
      </c>
      <c r="AI188" s="267">
        <f t="shared" si="89"/>
        <v>8.6666666666666661</v>
      </c>
      <c r="AJ188" s="267">
        <f t="shared" si="90"/>
        <v>0.4377875384583188</v>
      </c>
      <c r="AK188" s="34">
        <f t="shared" ca="1" si="118"/>
        <v>66235.379071441683</v>
      </c>
      <c r="AL188" s="233"/>
      <c r="AN188" s="232"/>
      <c r="AO188" s="237">
        <f t="shared" si="110"/>
        <v>9</v>
      </c>
      <c r="AP188" s="34">
        <f t="shared" ca="1" si="111"/>
        <v>106.0349133945039</v>
      </c>
      <c r="AQ188" s="34">
        <f t="shared" ca="1" si="111"/>
        <v>0.70136235143449033</v>
      </c>
      <c r="AR188" s="34">
        <f t="shared" ca="1" si="111"/>
        <v>0</v>
      </c>
      <c r="AS188" s="34">
        <f t="shared" ca="1" si="111"/>
        <v>110.24308750311084</v>
      </c>
      <c r="AT188" s="15"/>
      <c r="AW188" s="34">
        <f t="shared" ca="1" si="112"/>
        <v>106.0349133945039</v>
      </c>
      <c r="AX188" s="34">
        <f t="shared" ca="1" si="92"/>
        <v>0.70136235143449033</v>
      </c>
      <c r="AY188" s="34">
        <f t="shared" ca="1" si="92"/>
        <v>0</v>
      </c>
      <c r="AZ188" s="34">
        <f t="shared" ca="1" si="92"/>
        <v>110.24308750311084</v>
      </c>
      <c r="BB188" s="34">
        <f t="shared" ca="1" si="113"/>
        <v>0</v>
      </c>
      <c r="BC188" s="34">
        <f t="shared" ca="1" si="93"/>
        <v>0</v>
      </c>
      <c r="BD188" s="34">
        <f t="shared" ca="1" si="93"/>
        <v>478.73789078843873</v>
      </c>
      <c r="BE188" s="34">
        <f t="shared" ca="1" si="93"/>
        <v>12755.508081674205</v>
      </c>
      <c r="BF188" s="34">
        <f t="shared" ca="1" si="93"/>
        <v>15168.959009130653</v>
      </c>
      <c r="BG188" s="34">
        <f t="shared" ca="1" si="93"/>
        <v>18372.887009574264</v>
      </c>
      <c r="BH188" s="34">
        <f t="shared" ca="1" si="93"/>
        <v>21687.850423846125</v>
      </c>
      <c r="BI188" s="34">
        <f t="shared" ca="1" si="93"/>
        <v>27064.975296054672</v>
      </c>
      <c r="BJ188" s="34">
        <f t="shared" ca="1" si="93"/>
        <v>37895.425271517612</v>
      </c>
      <c r="BK188" s="34">
        <f t="shared" ca="1" si="93"/>
        <v>85579.724999999991</v>
      </c>
      <c r="BL188" s="34">
        <f t="shared" ca="1" si="93"/>
        <v>0</v>
      </c>
      <c r="BM188" s="34">
        <f t="shared" ca="1" si="93"/>
        <v>0</v>
      </c>
      <c r="BN188" s="34">
        <f t="shared" ca="1" si="93"/>
        <v>0</v>
      </c>
      <c r="BO188" s="34">
        <f t="shared" ca="1" si="93"/>
        <v>0</v>
      </c>
      <c r="BP188" s="34">
        <f t="shared" ca="1" si="93"/>
        <v>0</v>
      </c>
      <c r="BQ188" s="34">
        <f t="shared" ca="1" si="93"/>
        <v>0</v>
      </c>
      <c r="BR188" s="34">
        <f t="shared" ca="1" si="93"/>
        <v>0</v>
      </c>
      <c r="BS188" s="34">
        <f t="shared" ca="1" si="94"/>
        <v>0</v>
      </c>
      <c r="BT188" s="34">
        <f t="shared" ca="1" si="94"/>
        <v>0</v>
      </c>
      <c r="BU188" s="34">
        <f t="shared" ca="1" si="94"/>
        <v>0</v>
      </c>
      <c r="BV188" s="34">
        <f t="shared" ca="1" si="94"/>
        <v>0</v>
      </c>
      <c r="BW188" s="34">
        <f t="shared" ca="1" si="94"/>
        <v>0</v>
      </c>
      <c r="BX188" s="34">
        <f t="shared" ca="1" si="94"/>
        <v>0</v>
      </c>
      <c r="BY188" s="34">
        <f t="shared" ca="1" si="94"/>
        <v>0</v>
      </c>
      <c r="BZ188" s="34">
        <f t="shared" ca="1" si="94"/>
        <v>0</v>
      </c>
      <c r="CA188" s="34">
        <f t="shared" ca="1" si="94"/>
        <v>0</v>
      </c>
      <c r="CB188" s="34">
        <f t="shared" ca="1" si="94"/>
        <v>0</v>
      </c>
      <c r="CC188" s="34">
        <f t="shared" ca="1" si="94"/>
        <v>0</v>
      </c>
      <c r="CD188" s="34">
        <f t="shared" ca="1" si="94"/>
        <v>0</v>
      </c>
      <c r="CE188" s="34">
        <f t="shared" ca="1" si="94"/>
        <v>0</v>
      </c>
      <c r="CF188" s="34">
        <f t="shared" ca="1" si="94"/>
        <v>0</v>
      </c>
      <c r="CG188" s="34">
        <f t="shared" ca="1" si="94"/>
        <v>0</v>
      </c>
      <c r="CH188" s="34">
        <f t="shared" ca="1" si="94"/>
        <v>0</v>
      </c>
      <c r="CI188" s="34">
        <f t="shared" ca="1" si="95"/>
        <v>0</v>
      </c>
      <c r="CJ188" s="34">
        <f t="shared" ca="1" si="95"/>
        <v>0</v>
      </c>
      <c r="CK188" s="34">
        <f t="shared" ca="1" si="95"/>
        <v>0</v>
      </c>
      <c r="CL188" s="34">
        <f t="shared" ca="1" si="95"/>
        <v>0</v>
      </c>
      <c r="CM188" s="34">
        <f t="shared" ca="1" si="95"/>
        <v>0</v>
      </c>
      <c r="CN188" s="34">
        <f t="shared" ca="1" si="95"/>
        <v>0</v>
      </c>
      <c r="CO188" s="34">
        <f t="shared" ca="1" si="95"/>
        <v>0</v>
      </c>
      <c r="CP188" s="34">
        <f t="shared" ca="1" si="95"/>
        <v>0</v>
      </c>
      <c r="CQ188" s="34">
        <f t="shared" ca="1" si="114"/>
        <v>219004.06798258593</v>
      </c>
      <c r="CR188" s="363">
        <v>0</v>
      </c>
      <c r="CS188" s="34">
        <f t="shared" ca="1" si="115"/>
        <v>219004.06798258593</v>
      </c>
      <c r="CT188" s="233"/>
    </row>
    <row r="189" spans="2:98" x14ac:dyDescent="0.3">
      <c r="B189" s="232"/>
      <c r="C189" s="250">
        <f t="shared" si="116"/>
        <v>2023</v>
      </c>
      <c r="D189" s="263">
        <f t="shared" ca="1" si="96"/>
        <v>111719.77678069721</v>
      </c>
      <c r="E189" s="263">
        <f t="shared" ca="1" si="84"/>
        <v>738.96458096892809</v>
      </c>
      <c r="F189" s="263">
        <f t="shared" ca="1" si="85"/>
        <v>0</v>
      </c>
      <c r="G189" s="263">
        <f t="shared" ca="1" si="97"/>
        <v>116153.56426651077</v>
      </c>
      <c r="H189" s="15"/>
      <c r="I189" s="271">
        <f ca="1">Assumptions!O$68</f>
        <v>4.5</v>
      </c>
      <c r="J189" s="271">
        <f ca="1">Assumptions!P$68</f>
        <v>80</v>
      </c>
      <c r="K189" s="271">
        <f t="shared" ca="1" si="86"/>
        <v>40</v>
      </c>
      <c r="L189" s="15"/>
      <c r="M189" s="35">
        <f t="shared" ca="1" si="98"/>
        <v>4.2299999999999995</v>
      </c>
      <c r="N189" s="35">
        <f t="shared" ca="1" si="87"/>
        <v>74.400000000000006</v>
      </c>
      <c r="O189" s="35">
        <f t="shared" ca="1" si="88"/>
        <v>37.200000000000003</v>
      </c>
      <c r="P189" s="15"/>
      <c r="Q189" s="34">
        <f t="shared" ca="1" si="99"/>
        <v>472574.65578234917</v>
      </c>
      <c r="R189" s="34">
        <f t="shared" ca="1" si="99"/>
        <v>54978.964824088252</v>
      </c>
      <c r="S189" s="34">
        <f t="shared" ca="1" si="99"/>
        <v>0</v>
      </c>
      <c r="T189" s="34">
        <f t="shared" ca="1" si="100"/>
        <v>527553.62060643744</v>
      </c>
      <c r="U189" s="15"/>
      <c r="V189" s="35">
        <f t="shared" si="101"/>
        <v>0.31</v>
      </c>
      <c r="W189" s="34">
        <f t="shared" ca="1" si="102"/>
        <v>36007.604922618339</v>
      </c>
      <c r="X189" s="35">
        <f t="shared" si="103"/>
        <v>0.37</v>
      </c>
      <c r="Y189" s="34">
        <f t="shared" ca="1" si="104"/>
        <v>42976.818778608984</v>
      </c>
      <c r="Z189" s="35">
        <f t="shared" si="105"/>
        <v>0.57999999999999996</v>
      </c>
      <c r="AA189" s="34">
        <f t="shared" ca="1" si="106"/>
        <v>67369.067274576242</v>
      </c>
      <c r="AB189" s="34">
        <f t="shared" ca="1" si="107"/>
        <v>146353.49097580358</v>
      </c>
      <c r="AC189" s="15"/>
      <c r="AD189" s="34">
        <f t="shared" ca="1" si="108"/>
        <v>381200.12963063386</v>
      </c>
      <c r="AE189" s="34">
        <f ca="1"/>
        <v>208075</v>
      </c>
      <c r="AF189" s="34">
        <f t="shared" ca="1" si="109"/>
        <v>173125.12963063386</v>
      </c>
      <c r="AG189" s="15"/>
      <c r="AH189" s="272">
        <f t="shared" si="117"/>
        <v>45291</v>
      </c>
      <c r="AI189" s="267">
        <f t="shared" si="89"/>
        <v>9.6666666666666661</v>
      </c>
      <c r="AJ189" s="267">
        <f t="shared" si="90"/>
        <v>0.39798867132574434</v>
      </c>
      <c r="AK189" s="34">
        <f t="shared" ca="1" si="118"/>
        <v>68901.840314793226</v>
      </c>
      <c r="AL189" s="233"/>
      <c r="AN189" s="232"/>
      <c r="AO189" s="237">
        <f t="shared" si="110"/>
        <v>10</v>
      </c>
      <c r="AP189" s="34">
        <f t="shared" ca="1" si="111"/>
        <v>99.193646152514688</v>
      </c>
      <c r="AQ189" s="34">
        <f t="shared" ca="1" si="111"/>
        <v>0.65611114948573646</v>
      </c>
      <c r="AR189" s="34">
        <f t="shared" ca="1" si="111"/>
        <v>0</v>
      </c>
      <c r="AS189" s="34">
        <f t="shared" ca="1" si="111"/>
        <v>103.13031304942911</v>
      </c>
      <c r="AT189" s="15"/>
      <c r="AW189" s="34">
        <f t="shared" ca="1" si="112"/>
        <v>99.193646152514688</v>
      </c>
      <c r="AX189" s="34">
        <f t="shared" ca="1" si="92"/>
        <v>0.65611114948573646</v>
      </c>
      <c r="AY189" s="34">
        <f t="shared" ca="1" si="92"/>
        <v>0</v>
      </c>
      <c r="AZ189" s="34">
        <f t="shared" ca="1" si="92"/>
        <v>103.13031304942911</v>
      </c>
      <c r="BB189" s="34">
        <f t="shared" ca="1" si="113"/>
        <v>0</v>
      </c>
      <c r="BC189" s="34">
        <f t="shared" ca="1" si="93"/>
        <v>0</v>
      </c>
      <c r="BD189" s="34">
        <f t="shared" ca="1" si="93"/>
        <v>440.50150027512052</v>
      </c>
      <c r="BE189" s="34">
        <f t="shared" ca="1" si="93"/>
        <v>11599.030086641411</v>
      </c>
      <c r="BF189" s="34">
        <f t="shared" ca="1" si="93"/>
        <v>13578.444086943509</v>
      </c>
      <c r="BG189" s="34">
        <f t="shared" ca="1" si="93"/>
        <v>16088.289858168875</v>
      </c>
      <c r="BH189" s="34">
        <f t="shared" ca="1" si="93"/>
        <v>18372.887009574264</v>
      </c>
      <c r="BI189" s="34">
        <f t="shared" ca="1" si="93"/>
        <v>21687.850423846125</v>
      </c>
      <c r="BJ189" s="34">
        <f t="shared" ca="1" si="93"/>
        <v>27064.975296054672</v>
      </c>
      <c r="BK189" s="34">
        <f t="shared" ca="1" si="93"/>
        <v>37895.425271517612</v>
      </c>
      <c r="BL189" s="34">
        <f t="shared" ca="1" si="93"/>
        <v>85579.724999999991</v>
      </c>
      <c r="BM189" s="34">
        <f t="shared" ca="1" si="93"/>
        <v>0</v>
      </c>
      <c r="BN189" s="34">
        <f t="shared" ca="1" si="93"/>
        <v>0</v>
      </c>
      <c r="BO189" s="34">
        <f t="shared" ca="1" si="93"/>
        <v>0</v>
      </c>
      <c r="BP189" s="34">
        <f t="shared" ca="1" si="93"/>
        <v>0</v>
      </c>
      <c r="BQ189" s="34">
        <f t="shared" ca="1" si="93"/>
        <v>0</v>
      </c>
      <c r="BR189" s="34">
        <f t="shared" ca="1" si="93"/>
        <v>0</v>
      </c>
      <c r="BS189" s="34">
        <f t="shared" ca="1" si="94"/>
        <v>0</v>
      </c>
      <c r="BT189" s="34">
        <f t="shared" ca="1" si="94"/>
        <v>0</v>
      </c>
      <c r="BU189" s="34">
        <f t="shared" ca="1" si="94"/>
        <v>0</v>
      </c>
      <c r="BV189" s="34">
        <f t="shared" ca="1" si="94"/>
        <v>0</v>
      </c>
      <c r="BW189" s="34">
        <f t="shared" ca="1" si="94"/>
        <v>0</v>
      </c>
      <c r="BX189" s="34">
        <f t="shared" ca="1" si="94"/>
        <v>0</v>
      </c>
      <c r="BY189" s="34">
        <f t="shared" ca="1" si="94"/>
        <v>0</v>
      </c>
      <c r="BZ189" s="34">
        <f t="shared" ca="1" si="94"/>
        <v>0</v>
      </c>
      <c r="CA189" s="34">
        <f t="shared" ca="1" si="94"/>
        <v>0</v>
      </c>
      <c r="CB189" s="34">
        <f t="shared" ca="1" si="94"/>
        <v>0</v>
      </c>
      <c r="CC189" s="34">
        <f t="shared" ca="1" si="94"/>
        <v>0</v>
      </c>
      <c r="CD189" s="34">
        <f t="shared" ca="1" si="94"/>
        <v>0</v>
      </c>
      <c r="CE189" s="34">
        <f t="shared" ca="1" si="94"/>
        <v>0</v>
      </c>
      <c r="CF189" s="34">
        <f t="shared" ca="1" si="94"/>
        <v>0</v>
      </c>
      <c r="CG189" s="34">
        <f t="shared" ca="1" si="94"/>
        <v>0</v>
      </c>
      <c r="CH189" s="34">
        <f t="shared" ca="1" si="94"/>
        <v>0</v>
      </c>
      <c r="CI189" s="34">
        <f t="shared" ca="1" si="95"/>
        <v>0</v>
      </c>
      <c r="CJ189" s="34">
        <f t="shared" ca="1" si="95"/>
        <v>0</v>
      </c>
      <c r="CK189" s="34">
        <f t="shared" ca="1" si="95"/>
        <v>0</v>
      </c>
      <c r="CL189" s="34">
        <f t="shared" ca="1" si="95"/>
        <v>0</v>
      </c>
      <c r="CM189" s="34">
        <f t="shared" ca="1" si="95"/>
        <v>0</v>
      </c>
      <c r="CN189" s="34">
        <f t="shared" ca="1" si="95"/>
        <v>0</v>
      </c>
      <c r="CO189" s="34">
        <f t="shared" ca="1" si="95"/>
        <v>0</v>
      </c>
      <c r="CP189" s="34">
        <f t="shared" ca="1" si="95"/>
        <v>0</v>
      </c>
      <c r="CQ189" s="34">
        <f t="shared" ca="1" si="114"/>
        <v>232307.12853302155</v>
      </c>
      <c r="CR189" s="363">
        <v>0</v>
      </c>
      <c r="CS189" s="34">
        <f t="shared" ca="1" si="115"/>
        <v>232307.12853302155</v>
      </c>
      <c r="CT189" s="233"/>
    </row>
    <row r="190" spans="2:98" x14ac:dyDescent="0.3">
      <c r="B190" s="232"/>
      <c r="C190" s="250">
        <f t="shared" si="116"/>
        <v>2024</v>
      </c>
      <c r="D190" s="263">
        <f t="shared" ca="1" si="96"/>
        <v>117592.91372577714</v>
      </c>
      <c r="E190" s="263">
        <f t="shared" ca="1" si="84"/>
        <v>777.81213604517473</v>
      </c>
      <c r="F190" s="263">
        <f t="shared" ca="1" si="85"/>
        <v>0</v>
      </c>
      <c r="G190" s="263">
        <f t="shared" ca="1" si="97"/>
        <v>122259.78654204818</v>
      </c>
      <c r="H190" s="15"/>
      <c r="I190" s="271">
        <f ca="1">Assumptions!O$68</f>
        <v>4.5</v>
      </c>
      <c r="J190" s="271">
        <f ca="1">Assumptions!P$68</f>
        <v>80</v>
      </c>
      <c r="K190" s="271">
        <f t="shared" ca="1" si="86"/>
        <v>40</v>
      </c>
      <c r="L190" s="15"/>
      <c r="M190" s="35">
        <f t="shared" ca="1" si="98"/>
        <v>4.2299999999999995</v>
      </c>
      <c r="N190" s="35">
        <f t="shared" ca="1" si="87"/>
        <v>74.400000000000006</v>
      </c>
      <c r="O190" s="35">
        <f t="shared" ca="1" si="88"/>
        <v>37.200000000000003</v>
      </c>
      <c r="P190" s="15"/>
      <c r="Q190" s="34">
        <f t="shared" ca="1" si="99"/>
        <v>497418.02506003721</v>
      </c>
      <c r="R190" s="34">
        <f t="shared" ca="1" si="99"/>
        <v>57869.222921761007</v>
      </c>
      <c r="S190" s="34">
        <f t="shared" ca="1" si="99"/>
        <v>0</v>
      </c>
      <c r="T190" s="34">
        <f t="shared" ca="1" si="100"/>
        <v>555287.24798179825</v>
      </c>
      <c r="U190" s="15"/>
      <c r="V190" s="35">
        <f t="shared" si="101"/>
        <v>0.31</v>
      </c>
      <c r="W190" s="34">
        <f t="shared" ca="1" si="102"/>
        <v>37900.533828034939</v>
      </c>
      <c r="X190" s="35">
        <f t="shared" si="103"/>
        <v>0.37</v>
      </c>
      <c r="Y190" s="34">
        <f t="shared" ca="1" si="104"/>
        <v>45236.121020557825</v>
      </c>
      <c r="Z190" s="35">
        <f t="shared" si="105"/>
        <v>0.57999999999999996</v>
      </c>
      <c r="AA190" s="34">
        <f t="shared" ca="1" si="106"/>
        <v>70910.676194387939</v>
      </c>
      <c r="AB190" s="34">
        <f t="shared" ca="1" si="107"/>
        <v>154047.33104298072</v>
      </c>
      <c r="AC190" s="15"/>
      <c r="AD190" s="34">
        <f t="shared" ca="1" si="108"/>
        <v>401239.91693881754</v>
      </c>
      <c r="AE190" s="34">
        <f ca="1"/>
        <v>208075</v>
      </c>
      <c r="AF190" s="34">
        <f t="shared" ca="1" si="109"/>
        <v>193164.91693881754</v>
      </c>
      <c r="AG190" s="15"/>
      <c r="AH190" s="272">
        <f t="shared" si="117"/>
        <v>45657</v>
      </c>
      <c r="AI190" s="267">
        <f t="shared" si="89"/>
        <v>10.666666666666666</v>
      </c>
      <c r="AJ190" s="267">
        <f t="shared" si="90"/>
        <v>0.36180788302340394</v>
      </c>
      <c r="AK190" s="34">
        <f t="shared" ca="1" si="118"/>
        <v>69888.589672025235</v>
      </c>
      <c r="AL190" s="233"/>
      <c r="AN190" s="232"/>
      <c r="AO190" s="237">
        <f t="shared" si="110"/>
        <v>11</v>
      </c>
      <c r="AP190" s="34">
        <f t="shared" ca="1" si="111"/>
        <v>93.354534451411368</v>
      </c>
      <c r="AQ190" s="34">
        <f t="shared" ca="1" si="111"/>
        <v>0.6174886525941915</v>
      </c>
      <c r="AR190" s="34">
        <f t="shared" ca="1" si="111"/>
        <v>0</v>
      </c>
      <c r="AS190" s="34">
        <f t="shared" ca="1" si="111"/>
        <v>97.059466366976523</v>
      </c>
      <c r="AT190" s="15"/>
      <c r="AW190" s="34">
        <f t="shared" ca="1" si="112"/>
        <v>93.354534451411368</v>
      </c>
      <c r="AX190" s="34">
        <f t="shared" ca="1" si="92"/>
        <v>0.6174886525941915</v>
      </c>
      <c r="AY190" s="34">
        <f t="shared" ca="1" si="92"/>
        <v>0</v>
      </c>
      <c r="AZ190" s="34">
        <f t="shared" ca="1" si="92"/>
        <v>97.059466366976523</v>
      </c>
      <c r="BB190" s="34">
        <f t="shared" ca="1" si="113"/>
        <v>0</v>
      </c>
      <c r="BC190" s="34">
        <f t="shared" ca="1" si="93"/>
        <v>0</v>
      </c>
      <c r="BD190" s="34">
        <f t="shared" ca="1" si="93"/>
        <v>409.06016252324008</v>
      </c>
      <c r="BE190" s="34">
        <f t="shared" ca="1" si="93"/>
        <v>10672.625361838585</v>
      </c>
      <c r="BF190" s="34">
        <f t="shared" ca="1" si="93"/>
        <v>12347.35460836021</v>
      </c>
      <c r="BG190" s="34">
        <f t="shared" ca="1" si="93"/>
        <v>14401.380092212814</v>
      </c>
      <c r="BH190" s="34">
        <f t="shared" ca="1" si="93"/>
        <v>16088.289858168875</v>
      </c>
      <c r="BI190" s="34">
        <f t="shared" ca="1" si="93"/>
        <v>18372.887009574264</v>
      </c>
      <c r="BJ190" s="34">
        <f t="shared" ca="1" si="93"/>
        <v>21687.850423846125</v>
      </c>
      <c r="BK190" s="34">
        <f t="shared" ca="1" si="93"/>
        <v>27064.975296054672</v>
      </c>
      <c r="BL190" s="34">
        <f t="shared" ca="1" si="93"/>
        <v>37895.425271517612</v>
      </c>
      <c r="BM190" s="34">
        <f t="shared" ca="1" si="93"/>
        <v>85579.724999999991</v>
      </c>
      <c r="BN190" s="34">
        <f t="shared" ca="1" si="93"/>
        <v>0</v>
      </c>
      <c r="BO190" s="34">
        <f t="shared" ca="1" si="93"/>
        <v>0</v>
      </c>
      <c r="BP190" s="34">
        <f t="shared" ca="1" si="93"/>
        <v>0</v>
      </c>
      <c r="BQ190" s="34">
        <f t="shared" ca="1" si="93"/>
        <v>0</v>
      </c>
      <c r="BR190" s="34">
        <f t="shared" ca="1" si="93"/>
        <v>0</v>
      </c>
      <c r="BS190" s="34">
        <f t="shared" ca="1" si="94"/>
        <v>0</v>
      </c>
      <c r="BT190" s="34">
        <f t="shared" ca="1" si="94"/>
        <v>0</v>
      </c>
      <c r="BU190" s="34">
        <f t="shared" ca="1" si="94"/>
        <v>0</v>
      </c>
      <c r="BV190" s="34">
        <f t="shared" ca="1" si="94"/>
        <v>0</v>
      </c>
      <c r="BW190" s="34">
        <f t="shared" ca="1" si="94"/>
        <v>0</v>
      </c>
      <c r="BX190" s="34">
        <f t="shared" ca="1" si="94"/>
        <v>0</v>
      </c>
      <c r="BY190" s="34">
        <f t="shared" ca="1" si="94"/>
        <v>0</v>
      </c>
      <c r="BZ190" s="34">
        <f t="shared" ca="1" si="94"/>
        <v>0</v>
      </c>
      <c r="CA190" s="34">
        <f t="shared" ca="1" si="94"/>
        <v>0</v>
      </c>
      <c r="CB190" s="34">
        <f t="shared" ca="1" si="94"/>
        <v>0</v>
      </c>
      <c r="CC190" s="34">
        <f t="shared" ca="1" si="94"/>
        <v>0</v>
      </c>
      <c r="CD190" s="34">
        <f t="shared" ca="1" si="94"/>
        <v>0</v>
      </c>
      <c r="CE190" s="34">
        <f t="shared" ca="1" si="94"/>
        <v>0</v>
      </c>
      <c r="CF190" s="34">
        <f t="shared" ca="1" si="94"/>
        <v>0</v>
      </c>
      <c r="CG190" s="34">
        <f t="shared" ca="1" si="94"/>
        <v>0</v>
      </c>
      <c r="CH190" s="34">
        <f t="shared" ca="1" si="94"/>
        <v>0</v>
      </c>
      <c r="CI190" s="34">
        <f t="shared" ca="1" si="95"/>
        <v>0</v>
      </c>
      <c r="CJ190" s="34">
        <f t="shared" ca="1" si="95"/>
        <v>0</v>
      </c>
      <c r="CK190" s="34">
        <f t="shared" ca="1" si="95"/>
        <v>0</v>
      </c>
      <c r="CL190" s="34">
        <f t="shared" ca="1" si="95"/>
        <v>0</v>
      </c>
      <c r="CM190" s="34">
        <f t="shared" ca="1" si="95"/>
        <v>0</v>
      </c>
      <c r="CN190" s="34">
        <f t="shared" ca="1" si="95"/>
        <v>0</v>
      </c>
      <c r="CO190" s="34">
        <f t="shared" ca="1" si="95"/>
        <v>0</v>
      </c>
      <c r="CP190" s="34">
        <f t="shared" ca="1" si="95"/>
        <v>0</v>
      </c>
      <c r="CQ190" s="34">
        <f t="shared" ca="1" si="114"/>
        <v>244519.57308409637</v>
      </c>
      <c r="CR190" s="363">
        <v>0</v>
      </c>
      <c r="CS190" s="34">
        <f t="shared" ca="1" si="115"/>
        <v>244519.57308409637</v>
      </c>
      <c r="CT190" s="233"/>
    </row>
    <row r="191" spans="2:98" x14ac:dyDescent="0.3">
      <c r="B191" s="232"/>
      <c r="C191" s="250">
        <f t="shared" si="116"/>
        <v>2025</v>
      </c>
      <c r="D191" s="263">
        <f t="shared" ca="1" si="96"/>
        <v>123037.50707368023</v>
      </c>
      <c r="E191" s="263">
        <f t="shared" ca="1" si="84"/>
        <v>813.82511206263655</v>
      </c>
      <c r="F191" s="263">
        <f t="shared" ca="1" si="85"/>
        <v>0</v>
      </c>
      <c r="G191" s="263">
        <f t="shared" ca="1" si="97"/>
        <v>127920.45774605605</v>
      </c>
      <c r="H191" s="15"/>
      <c r="I191" s="271">
        <f ca="1">Assumptions!O$68</f>
        <v>4.5</v>
      </c>
      <c r="J191" s="271">
        <f ca="1">Assumptions!P$68</f>
        <v>80</v>
      </c>
      <c r="K191" s="271">
        <f t="shared" ca="1" si="86"/>
        <v>40</v>
      </c>
      <c r="L191" s="15"/>
      <c r="M191" s="35">
        <f t="shared" ca="1" si="98"/>
        <v>4.2299999999999995</v>
      </c>
      <c r="N191" s="35">
        <f t="shared" ca="1" si="87"/>
        <v>74.400000000000006</v>
      </c>
      <c r="O191" s="35">
        <f t="shared" ca="1" si="88"/>
        <v>37.200000000000003</v>
      </c>
      <c r="P191" s="15"/>
      <c r="Q191" s="34">
        <f t="shared" ca="1" si="99"/>
        <v>520448.6549216673</v>
      </c>
      <c r="R191" s="34">
        <f t="shared" ca="1" si="99"/>
        <v>60548.588337460162</v>
      </c>
      <c r="S191" s="34">
        <f t="shared" ca="1" si="99"/>
        <v>0</v>
      </c>
      <c r="T191" s="34">
        <f t="shared" ca="1" si="100"/>
        <v>580997.24325912748</v>
      </c>
      <c r="U191" s="15"/>
      <c r="V191" s="35">
        <f t="shared" si="101"/>
        <v>0.31</v>
      </c>
      <c r="W191" s="34">
        <f t="shared" ca="1" si="102"/>
        <v>39655.341901277374</v>
      </c>
      <c r="X191" s="35">
        <f t="shared" si="103"/>
        <v>0.37</v>
      </c>
      <c r="Y191" s="34">
        <f t="shared" ca="1" si="104"/>
        <v>47330.569366040741</v>
      </c>
      <c r="Z191" s="35">
        <f t="shared" si="105"/>
        <v>0.57999999999999996</v>
      </c>
      <c r="AA191" s="34">
        <f t="shared" ca="1" si="106"/>
        <v>74193.865492712503</v>
      </c>
      <c r="AB191" s="34">
        <f t="shared" ca="1" si="107"/>
        <v>161179.77676003063</v>
      </c>
      <c r="AC191" s="15"/>
      <c r="AD191" s="34">
        <f t="shared" ca="1" si="108"/>
        <v>419817.46649909683</v>
      </c>
      <c r="AE191" s="34">
        <f ca="1"/>
        <v>208075</v>
      </c>
      <c r="AF191" s="34">
        <f t="shared" ca="1" si="109"/>
        <v>211742.46649909683</v>
      </c>
      <c r="AG191" s="15"/>
      <c r="AH191" s="272">
        <f t="shared" si="117"/>
        <v>46022</v>
      </c>
      <c r="AI191" s="267">
        <f t="shared" si="89"/>
        <v>11.666666666666666</v>
      </c>
      <c r="AJ191" s="267">
        <f t="shared" si="90"/>
        <v>0.32891625729400353</v>
      </c>
      <c r="AK191" s="34">
        <f t="shared" ca="1" si="118"/>
        <v>69645.539591083856</v>
      </c>
      <c r="AL191" s="233"/>
      <c r="AN191" s="232"/>
      <c r="AO191" s="237">
        <f t="shared" si="110"/>
        <v>12</v>
      </c>
      <c r="AP191" s="34">
        <f t="shared" ca="1" si="111"/>
        <v>88.301756839766909</v>
      </c>
      <c r="AQ191" s="34">
        <f t="shared" ca="1" si="111"/>
        <v>0.58406732113335791</v>
      </c>
      <c r="AR191" s="34">
        <f t="shared" ca="1" si="111"/>
        <v>0</v>
      </c>
      <c r="AS191" s="34">
        <f t="shared" ca="1" si="111"/>
        <v>91.806160766567061</v>
      </c>
      <c r="AT191" s="15"/>
      <c r="AW191" s="34">
        <f t="shared" ca="1" si="112"/>
        <v>88.301756839766909</v>
      </c>
      <c r="AX191" s="34">
        <f t="shared" ca="1" si="92"/>
        <v>0.58406732113335791</v>
      </c>
      <c r="AY191" s="34">
        <f t="shared" ca="1" si="92"/>
        <v>0</v>
      </c>
      <c r="AZ191" s="34">
        <f t="shared" ca="1" si="92"/>
        <v>91.806160766567061</v>
      </c>
      <c r="BB191" s="34">
        <f t="shared" ca="1" si="113"/>
        <v>0</v>
      </c>
      <c r="BC191" s="34">
        <f t="shared" ca="1" si="93"/>
        <v>0</v>
      </c>
      <c r="BD191" s="34">
        <f t="shared" ca="1" si="93"/>
        <v>382.66800733317342</v>
      </c>
      <c r="BE191" s="34">
        <f t="shared" ca="1" si="93"/>
        <v>9910.853566529664</v>
      </c>
      <c r="BF191" s="34">
        <f t="shared" ca="1" si="93"/>
        <v>11361.181836795913</v>
      </c>
      <c r="BG191" s="34">
        <f t="shared" ca="1" si="93"/>
        <v>13095.679130079012</v>
      </c>
      <c r="BH191" s="34">
        <f t="shared" ca="1" si="93"/>
        <v>14401.380092212814</v>
      </c>
      <c r="BI191" s="34">
        <f t="shared" ca="1" si="93"/>
        <v>16088.289858168875</v>
      </c>
      <c r="BJ191" s="34">
        <f t="shared" ca="1" si="93"/>
        <v>18372.887009574264</v>
      </c>
      <c r="BK191" s="34">
        <f t="shared" ca="1" si="93"/>
        <v>21687.850423846125</v>
      </c>
      <c r="BL191" s="34">
        <f t="shared" ca="1" si="93"/>
        <v>27064.975296054672</v>
      </c>
      <c r="BM191" s="34">
        <f t="shared" ca="1" si="93"/>
        <v>37895.425271517612</v>
      </c>
      <c r="BN191" s="34">
        <f t="shared" ca="1" si="93"/>
        <v>85579.724999999991</v>
      </c>
      <c r="BO191" s="34">
        <f t="shared" ca="1" si="93"/>
        <v>0</v>
      </c>
      <c r="BP191" s="34">
        <f t="shared" ca="1" si="93"/>
        <v>0</v>
      </c>
      <c r="BQ191" s="34">
        <f t="shared" ca="1" si="93"/>
        <v>0</v>
      </c>
      <c r="BR191" s="34">
        <f t="shared" ca="1" si="93"/>
        <v>0</v>
      </c>
      <c r="BS191" s="34">
        <f t="shared" ca="1" si="94"/>
        <v>0</v>
      </c>
      <c r="BT191" s="34">
        <f t="shared" ca="1" si="94"/>
        <v>0</v>
      </c>
      <c r="BU191" s="34">
        <f t="shared" ca="1" si="94"/>
        <v>0</v>
      </c>
      <c r="BV191" s="34">
        <f t="shared" ca="1" si="94"/>
        <v>0</v>
      </c>
      <c r="BW191" s="34">
        <f t="shared" ca="1" si="94"/>
        <v>0</v>
      </c>
      <c r="BX191" s="34">
        <f t="shared" ca="1" si="94"/>
        <v>0</v>
      </c>
      <c r="BY191" s="34">
        <f t="shared" ca="1" si="94"/>
        <v>0</v>
      </c>
      <c r="BZ191" s="34">
        <f t="shared" ca="1" si="94"/>
        <v>0</v>
      </c>
      <c r="CA191" s="34">
        <f t="shared" ca="1" si="94"/>
        <v>0</v>
      </c>
      <c r="CB191" s="34">
        <f t="shared" ca="1" si="94"/>
        <v>0</v>
      </c>
      <c r="CC191" s="34">
        <f t="shared" ca="1" si="94"/>
        <v>0</v>
      </c>
      <c r="CD191" s="34">
        <f t="shared" ca="1" si="94"/>
        <v>0</v>
      </c>
      <c r="CE191" s="34">
        <f t="shared" ca="1" si="94"/>
        <v>0</v>
      </c>
      <c r="CF191" s="34">
        <f t="shared" ca="1" si="94"/>
        <v>0</v>
      </c>
      <c r="CG191" s="34">
        <f t="shared" ca="1" si="94"/>
        <v>0</v>
      </c>
      <c r="CH191" s="34">
        <f t="shared" ca="1" si="94"/>
        <v>0</v>
      </c>
      <c r="CI191" s="34">
        <f t="shared" ca="1" si="95"/>
        <v>0</v>
      </c>
      <c r="CJ191" s="34">
        <f t="shared" ca="1" si="95"/>
        <v>0</v>
      </c>
      <c r="CK191" s="34">
        <f t="shared" ca="1" si="95"/>
        <v>0</v>
      </c>
      <c r="CL191" s="34">
        <f t="shared" ca="1" si="95"/>
        <v>0</v>
      </c>
      <c r="CM191" s="34">
        <f t="shared" ca="1" si="95"/>
        <v>0</v>
      </c>
      <c r="CN191" s="34">
        <f t="shared" ca="1" si="95"/>
        <v>0</v>
      </c>
      <c r="CO191" s="34">
        <f t="shared" ca="1" si="95"/>
        <v>0</v>
      </c>
      <c r="CP191" s="34">
        <f t="shared" ca="1" si="95"/>
        <v>0</v>
      </c>
      <c r="CQ191" s="34">
        <f t="shared" ca="1" si="114"/>
        <v>255840.91549211211</v>
      </c>
      <c r="CR191" s="363">
        <v>0</v>
      </c>
      <c r="CS191" s="34">
        <f t="shared" ca="1" si="115"/>
        <v>255840.91549211211</v>
      </c>
      <c r="CT191" s="233"/>
    </row>
    <row r="192" spans="2:98" x14ac:dyDescent="0.3">
      <c r="B192" s="232"/>
      <c r="C192" s="250">
        <f t="shared" si="116"/>
        <v>2026</v>
      </c>
      <c r="D192" s="263">
        <f t="shared" ca="1" si="96"/>
        <v>128124.06614746901</v>
      </c>
      <c r="E192" s="263">
        <f t="shared" ca="1" si="84"/>
        <v>847.46988922607841</v>
      </c>
      <c r="F192" s="263">
        <f t="shared" ca="1" si="85"/>
        <v>0</v>
      </c>
      <c r="G192" s="263">
        <f t="shared" ca="1" si="97"/>
        <v>133208.88548282548</v>
      </c>
      <c r="H192" s="15"/>
      <c r="I192" s="271">
        <f ca="1">Assumptions!O$68</f>
        <v>4.5</v>
      </c>
      <c r="J192" s="271">
        <f ca="1">Assumptions!P$68</f>
        <v>80</v>
      </c>
      <c r="K192" s="271">
        <f t="shared" ca="1" si="86"/>
        <v>40</v>
      </c>
      <c r="L192" s="15"/>
      <c r="M192" s="35">
        <f t="shared" ca="1" si="98"/>
        <v>4.2299999999999995</v>
      </c>
      <c r="N192" s="35">
        <f t="shared" ca="1" si="87"/>
        <v>74.400000000000006</v>
      </c>
      <c r="O192" s="35">
        <f t="shared" ca="1" si="88"/>
        <v>37.200000000000003</v>
      </c>
      <c r="P192" s="15"/>
      <c r="Q192" s="34">
        <f t="shared" ca="1" si="99"/>
        <v>541964.7998037939</v>
      </c>
      <c r="R192" s="34">
        <f t="shared" ca="1" si="99"/>
        <v>63051.759758420238</v>
      </c>
      <c r="S192" s="34">
        <f t="shared" ca="1" si="99"/>
        <v>0</v>
      </c>
      <c r="T192" s="34">
        <f t="shared" ca="1" si="100"/>
        <v>605016.55956221418</v>
      </c>
      <c r="U192" s="15"/>
      <c r="V192" s="35">
        <f t="shared" si="101"/>
        <v>0.31</v>
      </c>
      <c r="W192" s="34">
        <f t="shared" ca="1" si="102"/>
        <v>41294.754499675902</v>
      </c>
      <c r="X192" s="35">
        <f t="shared" si="103"/>
        <v>0.37</v>
      </c>
      <c r="Y192" s="34">
        <f t="shared" ca="1" si="104"/>
        <v>49287.287628645427</v>
      </c>
      <c r="Z192" s="35">
        <f t="shared" si="105"/>
        <v>0.57999999999999996</v>
      </c>
      <c r="AA192" s="34">
        <f t="shared" ca="1" si="106"/>
        <v>77261.153580038779</v>
      </c>
      <c r="AB192" s="34">
        <f t="shared" ca="1" si="107"/>
        <v>167843.19570836012</v>
      </c>
      <c r="AC192" s="15"/>
      <c r="AD192" s="34">
        <f t="shared" ca="1" si="108"/>
        <v>437173.36385385407</v>
      </c>
      <c r="AE192" s="34">
        <f ca="1"/>
        <v>208075</v>
      </c>
      <c r="AF192" s="34">
        <f t="shared" ca="1" si="109"/>
        <v>229098.36385385407</v>
      </c>
      <c r="AG192" s="15"/>
      <c r="AH192" s="272">
        <f t="shared" si="117"/>
        <v>46387</v>
      </c>
      <c r="AI192" s="267">
        <f t="shared" si="89"/>
        <v>12.666666666666666</v>
      </c>
      <c r="AJ192" s="267">
        <f t="shared" si="90"/>
        <v>0.29901477935818499</v>
      </c>
      <c r="AK192" s="34">
        <f t="shared" ca="1" si="118"/>
        <v>68503.796719081365</v>
      </c>
      <c r="AL192" s="233"/>
      <c r="AN192" s="232"/>
      <c r="AO192" s="237">
        <f t="shared" si="110"/>
        <v>13</v>
      </c>
      <c r="AP192" s="34">
        <f t="shared" ca="1" si="111"/>
        <v>83.878629109320258</v>
      </c>
      <c r="AQ192" s="34">
        <f t="shared" ca="1" si="111"/>
        <v>0.55481077565781867</v>
      </c>
      <c r="AR192" s="34">
        <f t="shared" ca="1" si="111"/>
        <v>0</v>
      </c>
      <c r="AS192" s="34">
        <f t="shared" ca="1" si="111"/>
        <v>87.207493763267166</v>
      </c>
      <c r="AT192" s="15"/>
      <c r="AW192" s="34">
        <f t="shared" ca="1" si="112"/>
        <v>83.878629109320258</v>
      </c>
      <c r="AX192" s="34">
        <f t="shared" ca="1" si="92"/>
        <v>0.55481077565781867</v>
      </c>
      <c r="AY192" s="34">
        <f t="shared" ca="1" si="92"/>
        <v>0</v>
      </c>
      <c r="AZ192" s="34">
        <f t="shared" ca="1" si="92"/>
        <v>87.207493763267166</v>
      </c>
      <c r="BB192" s="34">
        <f t="shared" ca="1" si="113"/>
        <v>0</v>
      </c>
      <c r="BC192" s="34">
        <f t="shared" ca="1" si="93"/>
        <v>0</v>
      </c>
      <c r="BD192" s="34">
        <f t="shared" ca="1" si="93"/>
        <v>360.14195525296793</v>
      </c>
      <c r="BE192" s="34">
        <f t="shared" ca="1" si="93"/>
        <v>9271.4151431436749</v>
      </c>
      <c r="BF192" s="34">
        <f t="shared" ca="1" si="93"/>
        <v>10550.263474047706</v>
      </c>
      <c r="BG192" s="34">
        <f t="shared" ca="1" si="93"/>
        <v>12049.738311753243</v>
      </c>
      <c r="BH192" s="34">
        <f t="shared" ca="1" si="93"/>
        <v>13095.679130079012</v>
      </c>
      <c r="BI192" s="34">
        <f t="shared" ca="1" si="93"/>
        <v>14401.380092212814</v>
      </c>
      <c r="BJ192" s="34">
        <f t="shared" ca="1" si="93"/>
        <v>16088.289858168875</v>
      </c>
      <c r="BK192" s="34">
        <f t="shared" ca="1" si="93"/>
        <v>18372.887009574264</v>
      </c>
      <c r="BL192" s="34">
        <f t="shared" ca="1" si="93"/>
        <v>21687.850423846125</v>
      </c>
      <c r="BM192" s="34">
        <f t="shared" ca="1" si="93"/>
        <v>27064.975296054672</v>
      </c>
      <c r="BN192" s="34">
        <f t="shared" ca="1" si="93"/>
        <v>37895.425271517612</v>
      </c>
      <c r="BO192" s="34">
        <f t="shared" ca="1" si="93"/>
        <v>85579.724999999991</v>
      </c>
      <c r="BP192" s="34">
        <f t="shared" ca="1" si="93"/>
        <v>0</v>
      </c>
      <c r="BQ192" s="34">
        <f t="shared" ca="1" si="93"/>
        <v>0</v>
      </c>
      <c r="BR192" s="34">
        <f t="shared" ca="1" si="93"/>
        <v>0</v>
      </c>
      <c r="BS192" s="34">
        <f t="shared" ca="1" si="94"/>
        <v>0</v>
      </c>
      <c r="BT192" s="34">
        <f t="shared" ca="1" si="94"/>
        <v>0</v>
      </c>
      <c r="BU192" s="34">
        <f t="shared" ca="1" si="94"/>
        <v>0</v>
      </c>
      <c r="BV192" s="34">
        <f t="shared" ca="1" si="94"/>
        <v>0</v>
      </c>
      <c r="BW192" s="34">
        <f t="shared" ca="1" si="94"/>
        <v>0</v>
      </c>
      <c r="BX192" s="34">
        <f t="shared" ca="1" si="94"/>
        <v>0</v>
      </c>
      <c r="BY192" s="34">
        <f t="shared" ca="1" si="94"/>
        <v>0</v>
      </c>
      <c r="BZ192" s="34">
        <f t="shared" ca="1" si="94"/>
        <v>0</v>
      </c>
      <c r="CA192" s="34">
        <f t="shared" ca="1" si="94"/>
        <v>0</v>
      </c>
      <c r="CB192" s="34">
        <f t="shared" ca="1" si="94"/>
        <v>0</v>
      </c>
      <c r="CC192" s="34">
        <f t="shared" ca="1" si="94"/>
        <v>0</v>
      </c>
      <c r="CD192" s="34">
        <f t="shared" ca="1" si="94"/>
        <v>0</v>
      </c>
      <c r="CE192" s="34">
        <f t="shared" ca="1" si="94"/>
        <v>0</v>
      </c>
      <c r="CF192" s="34">
        <f t="shared" ca="1" si="94"/>
        <v>0</v>
      </c>
      <c r="CG192" s="34">
        <f t="shared" ca="1" si="94"/>
        <v>0</v>
      </c>
      <c r="CH192" s="34">
        <f t="shared" ca="1" si="94"/>
        <v>0</v>
      </c>
      <c r="CI192" s="34">
        <f t="shared" ca="1" si="95"/>
        <v>0</v>
      </c>
      <c r="CJ192" s="34">
        <f t="shared" ca="1" si="95"/>
        <v>0</v>
      </c>
      <c r="CK192" s="34">
        <f t="shared" ca="1" si="95"/>
        <v>0</v>
      </c>
      <c r="CL192" s="34">
        <f t="shared" ca="1" si="95"/>
        <v>0</v>
      </c>
      <c r="CM192" s="34">
        <f t="shared" ca="1" si="95"/>
        <v>0</v>
      </c>
      <c r="CN192" s="34">
        <f t="shared" ca="1" si="95"/>
        <v>0</v>
      </c>
      <c r="CO192" s="34">
        <f t="shared" ca="1" si="95"/>
        <v>0</v>
      </c>
      <c r="CP192" s="34">
        <f t="shared" ca="1" si="95"/>
        <v>0</v>
      </c>
      <c r="CQ192" s="34">
        <f t="shared" ca="1" si="114"/>
        <v>266417.77096565097</v>
      </c>
      <c r="CR192" s="363">
        <v>0</v>
      </c>
      <c r="CS192" s="34">
        <f t="shared" ca="1" si="115"/>
        <v>266417.77096565097</v>
      </c>
      <c r="CT192" s="233"/>
    </row>
    <row r="193" spans="2:98" x14ac:dyDescent="0.3">
      <c r="B193" s="232"/>
      <c r="C193" s="250">
        <f t="shared" si="116"/>
        <v>2027</v>
      </c>
      <c r="D193" s="263">
        <f t="shared" ca="1" si="96"/>
        <v>132906.14105506238</v>
      </c>
      <c r="E193" s="263">
        <f t="shared" ca="1" si="84"/>
        <v>879.1006719046768</v>
      </c>
      <c r="F193" s="263">
        <f t="shared" ca="1" si="85"/>
        <v>0</v>
      </c>
      <c r="G193" s="263">
        <f t="shared" ca="1" si="97"/>
        <v>138180.74508649044</v>
      </c>
      <c r="H193" s="15"/>
      <c r="I193" s="271">
        <f ca="1">Assumptions!O$68</f>
        <v>4.5</v>
      </c>
      <c r="J193" s="271">
        <f ca="1">Assumptions!P$68</f>
        <v>80</v>
      </c>
      <c r="K193" s="271">
        <f t="shared" ca="1" si="86"/>
        <v>40</v>
      </c>
      <c r="L193" s="15"/>
      <c r="M193" s="35">
        <f t="shared" ca="1" si="98"/>
        <v>4.2299999999999995</v>
      </c>
      <c r="N193" s="35">
        <f t="shared" ca="1" si="87"/>
        <v>74.400000000000006</v>
      </c>
      <c r="O193" s="35">
        <f t="shared" ca="1" si="88"/>
        <v>37.200000000000003</v>
      </c>
      <c r="P193" s="15"/>
      <c r="Q193" s="34">
        <f t="shared" ca="1" si="99"/>
        <v>562192.9766629138</v>
      </c>
      <c r="R193" s="34">
        <f t="shared" ca="1" si="99"/>
        <v>65405.089989707958</v>
      </c>
      <c r="S193" s="34">
        <f t="shared" ca="1" si="99"/>
        <v>0</v>
      </c>
      <c r="T193" s="34">
        <f t="shared" ca="1" si="100"/>
        <v>627598.06665262172</v>
      </c>
      <c r="U193" s="15"/>
      <c r="V193" s="35">
        <f t="shared" si="101"/>
        <v>0.31</v>
      </c>
      <c r="W193" s="34">
        <f t="shared" ca="1" si="102"/>
        <v>42836.030976812035</v>
      </c>
      <c r="X193" s="35">
        <f t="shared" si="103"/>
        <v>0.37</v>
      </c>
      <c r="Y193" s="34">
        <f t="shared" ca="1" si="104"/>
        <v>51126.875682001461</v>
      </c>
      <c r="Z193" s="35">
        <f t="shared" si="105"/>
        <v>0.57999999999999996</v>
      </c>
      <c r="AA193" s="34">
        <f t="shared" ca="1" si="106"/>
        <v>80144.832150164453</v>
      </c>
      <c r="AB193" s="34">
        <f t="shared" ca="1" si="107"/>
        <v>174107.73880897794</v>
      </c>
      <c r="AC193" s="15"/>
      <c r="AD193" s="34">
        <f t="shared" ca="1" si="108"/>
        <v>453490.32784364378</v>
      </c>
      <c r="AE193" s="34">
        <f ca="1"/>
        <v>208075</v>
      </c>
      <c r="AF193" s="34">
        <f t="shared" ca="1" si="109"/>
        <v>245415.32784364378</v>
      </c>
      <c r="AG193" s="15"/>
      <c r="AH193" s="272">
        <f t="shared" si="117"/>
        <v>46752</v>
      </c>
      <c r="AI193" s="267">
        <f t="shared" si="89"/>
        <v>13.666666666666666</v>
      </c>
      <c r="AJ193" s="267">
        <f t="shared" si="90"/>
        <v>0.27183161759835001</v>
      </c>
      <c r="AK193" s="34">
        <f t="shared" ca="1" si="118"/>
        <v>66711.645551167079</v>
      </c>
      <c r="AL193" s="233"/>
      <c r="AN193" s="232"/>
      <c r="AO193" s="237">
        <f t="shared" si="110"/>
        <v>14</v>
      </c>
      <c r="AP193" s="34">
        <f t="shared" ca="1" si="111"/>
        <v>79.9684166361439</v>
      </c>
      <c r="AQ193" s="34">
        <f t="shared" ca="1" si="111"/>
        <v>0.52894688114420652</v>
      </c>
      <c r="AR193" s="34">
        <f t="shared" ca="1" si="111"/>
        <v>0</v>
      </c>
      <c r="AS193" s="34">
        <f t="shared" ca="1" si="111"/>
        <v>83.142097923009132</v>
      </c>
      <c r="AT193" s="15"/>
      <c r="AW193" s="34">
        <f t="shared" ca="1" si="112"/>
        <v>79.9684166361439</v>
      </c>
      <c r="AX193" s="34">
        <f t="shared" ca="1" si="92"/>
        <v>0.52894688114420652</v>
      </c>
      <c r="AY193" s="34">
        <f t="shared" ca="1" si="92"/>
        <v>0</v>
      </c>
      <c r="AZ193" s="34">
        <f t="shared" ca="1" si="92"/>
        <v>83.142097923009132</v>
      </c>
      <c r="BB193" s="34">
        <f t="shared" ca="1" si="113"/>
        <v>0</v>
      </c>
      <c r="BC193" s="34">
        <f t="shared" ca="1" si="93"/>
        <v>0</v>
      </c>
      <c r="BD193" s="34">
        <f t="shared" ca="1" si="93"/>
        <v>340.64941298697681</v>
      </c>
      <c r="BE193" s="34">
        <f t="shared" ca="1" si="93"/>
        <v>8725.6460263911886</v>
      </c>
      <c r="BF193" s="34">
        <f t="shared" ca="1" si="93"/>
        <v>9869.5709588303635</v>
      </c>
      <c r="BG193" s="34">
        <f t="shared" ca="1" si="93"/>
        <v>11189.67338156575</v>
      </c>
      <c r="BH193" s="34">
        <f t="shared" ca="1" si="93"/>
        <v>12049.738311753243</v>
      </c>
      <c r="BI193" s="34">
        <f t="shared" ca="1" si="93"/>
        <v>13095.679130079012</v>
      </c>
      <c r="BJ193" s="34">
        <f t="shared" ca="1" si="93"/>
        <v>14401.380092212814</v>
      </c>
      <c r="BK193" s="34">
        <f t="shared" ca="1" si="93"/>
        <v>16088.289858168875</v>
      </c>
      <c r="BL193" s="34">
        <f t="shared" ca="1" si="93"/>
        <v>18372.887009574264</v>
      </c>
      <c r="BM193" s="34">
        <f t="shared" ca="1" si="93"/>
        <v>21687.850423846125</v>
      </c>
      <c r="BN193" s="34">
        <f t="shared" ca="1" si="93"/>
        <v>27064.975296054672</v>
      </c>
      <c r="BO193" s="34">
        <f t="shared" ca="1" si="93"/>
        <v>37895.425271517612</v>
      </c>
      <c r="BP193" s="34">
        <f t="shared" ca="1" si="93"/>
        <v>85579.724999999991</v>
      </c>
      <c r="BQ193" s="34">
        <f t="shared" ca="1" si="93"/>
        <v>0</v>
      </c>
      <c r="BR193" s="34">
        <f t="shared" ca="1" si="93"/>
        <v>0</v>
      </c>
      <c r="BS193" s="34">
        <f t="shared" ca="1" si="94"/>
        <v>0</v>
      </c>
      <c r="BT193" s="34">
        <f t="shared" ca="1" si="94"/>
        <v>0</v>
      </c>
      <c r="BU193" s="34">
        <f t="shared" ca="1" si="94"/>
        <v>0</v>
      </c>
      <c r="BV193" s="34">
        <f t="shared" ca="1" si="94"/>
        <v>0</v>
      </c>
      <c r="BW193" s="34">
        <f t="shared" ca="1" si="94"/>
        <v>0</v>
      </c>
      <c r="BX193" s="34">
        <f t="shared" ca="1" si="94"/>
        <v>0</v>
      </c>
      <c r="BY193" s="34">
        <f t="shared" ca="1" si="94"/>
        <v>0</v>
      </c>
      <c r="BZ193" s="34">
        <f t="shared" ca="1" si="94"/>
        <v>0</v>
      </c>
      <c r="CA193" s="34">
        <f t="shared" ca="1" si="94"/>
        <v>0</v>
      </c>
      <c r="CB193" s="34">
        <f t="shared" ca="1" si="94"/>
        <v>0</v>
      </c>
      <c r="CC193" s="34">
        <f t="shared" ca="1" si="94"/>
        <v>0</v>
      </c>
      <c r="CD193" s="34">
        <f t="shared" ca="1" si="94"/>
        <v>0</v>
      </c>
      <c r="CE193" s="34">
        <f t="shared" ca="1" si="94"/>
        <v>0</v>
      </c>
      <c r="CF193" s="34">
        <f t="shared" ca="1" si="94"/>
        <v>0</v>
      </c>
      <c r="CG193" s="34">
        <f t="shared" ca="1" si="94"/>
        <v>0</v>
      </c>
      <c r="CH193" s="34">
        <f t="shared" ca="1" si="94"/>
        <v>0</v>
      </c>
      <c r="CI193" s="34">
        <f t="shared" ca="1" si="95"/>
        <v>0</v>
      </c>
      <c r="CJ193" s="34">
        <f t="shared" ca="1" si="95"/>
        <v>0</v>
      </c>
      <c r="CK193" s="34">
        <f t="shared" ca="1" si="95"/>
        <v>0</v>
      </c>
      <c r="CL193" s="34">
        <f t="shared" ca="1" si="95"/>
        <v>0</v>
      </c>
      <c r="CM193" s="34">
        <f t="shared" ca="1" si="95"/>
        <v>0</v>
      </c>
      <c r="CN193" s="34">
        <f t="shared" ca="1" si="95"/>
        <v>0</v>
      </c>
      <c r="CO193" s="34">
        <f t="shared" ca="1" si="95"/>
        <v>0</v>
      </c>
      <c r="CP193" s="34">
        <f t="shared" ca="1" si="95"/>
        <v>0</v>
      </c>
      <c r="CQ193" s="34">
        <f t="shared" ca="1" si="114"/>
        <v>276361.49017298088</v>
      </c>
      <c r="CR193" s="363">
        <v>0</v>
      </c>
      <c r="CS193" s="34">
        <f t="shared" ca="1" si="115"/>
        <v>276361.49017298088</v>
      </c>
      <c r="CT193" s="233"/>
    </row>
    <row r="194" spans="2:98" x14ac:dyDescent="0.3">
      <c r="B194" s="232"/>
      <c r="C194" s="250">
        <f t="shared" si="116"/>
        <v>2028</v>
      </c>
      <c r="D194" s="263">
        <f t="shared" ca="1" si="96"/>
        <v>137425.48867711882</v>
      </c>
      <c r="E194" s="263">
        <f t="shared" ca="1" si="84"/>
        <v>908.99365878686024</v>
      </c>
      <c r="F194" s="263">
        <f t="shared" ca="1" si="85"/>
        <v>0</v>
      </c>
      <c r="G194" s="263">
        <f t="shared" ca="1" si="97"/>
        <v>142879.45062983996</v>
      </c>
      <c r="H194" s="15"/>
      <c r="I194" s="271">
        <f ca="1">Assumptions!O$68</f>
        <v>4.5</v>
      </c>
      <c r="J194" s="271">
        <f ca="1">Assumptions!P$68</f>
        <v>80</v>
      </c>
      <c r="K194" s="271">
        <f t="shared" ca="1" si="86"/>
        <v>40</v>
      </c>
      <c r="L194" s="15"/>
      <c r="M194" s="35">
        <f t="shared" ca="1" si="98"/>
        <v>4.2299999999999995</v>
      </c>
      <c r="N194" s="35">
        <f t="shared" ca="1" si="87"/>
        <v>74.400000000000006</v>
      </c>
      <c r="O194" s="35">
        <f t="shared" ca="1" si="88"/>
        <v>37.200000000000003</v>
      </c>
      <c r="P194" s="15"/>
      <c r="Q194" s="34">
        <f t="shared" ca="1" si="99"/>
        <v>581309.81710421259</v>
      </c>
      <c r="R194" s="34">
        <f t="shared" ca="1" si="99"/>
        <v>67629.128213742413</v>
      </c>
      <c r="S194" s="34">
        <f t="shared" ca="1" si="99"/>
        <v>0</v>
      </c>
      <c r="T194" s="34">
        <f t="shared" ca="1" si="100"/>
        <v>648938.94531795499</v>
      </c>
      <c r="U194" s="15"/>
      <c r="V194" s="35">
        <f t="shared" si="101"/>
        <v>0.31</v>
      </c>
      <c r="W194" s="34">
        <f t="shared" ca="1" si="102"/>
        <v>44292.629695250391</v>
      </c>
      <c r="X194" s="35">
        <f t="shared" si="103"/>
        <v>0.37</v>
      </c>
      <c r="Y194" s="34">
        <f t="shared" ca="1" si="104"/>
        <v>52865.396733040783</v>
      </c>
      <c r="Z194" s="35">
        <f t="shared" si="105"/>
        <v>0.57999999999999996</v>
      </c>
      <c r="AA194" s="34">
        <f t="shared" ca="1" si="106"/>
        <v>82870.081365307167</v>
      </c>
      <c r="AB194" s="34">
        <f t="shared" ca="1" si="107"/>
        <v>180028.10779359832</v>
      </c>
      <c r="AC194" s="15"/>
      <c r="AD194" s="34">
        <f t="shared" ca="1" si="108"/>
        <v>468910.83752435667</v>
      </c>
      <c r="AE194" s="34">
        <f ca="1"/>
        <v>208075</v>
      </c>
      <c r="AF194" s="34">
        <f t="shared" ca="1" si="109"/>
        <v>260835.83752435667</v>
      </c>
      <c r="AG194" s="15"/>
      <c r="AH194" s="272">
        <f t="shared" si="117"/>
        <v>47118</v>
      </c>
      <c r="AI194" s="267">
        <f t="shared" si="89"/>
        <v>14.666666666666666</v>
      </c>
      <c r="AJ194" s="267">
        <f t="shared" si="90"/>
        <v>0.24711965236213634</v>
      </c>
      <c r="AK194" s="34">
        <f t="shared" ca="1" si="118"/>
        <v>64457.661492605701</v>
      </c>
      <c r="AL194" s="233"/>
      <c r="AN194" s="232"/>
      <c r="AO194" s="237">
        <f t="shared" si="110"/>
        <v>15</v>
      </c>
      <c r="AP194" s="34">
        <f t="shared" ca="1" si="111"/>
        <v>76.482206583194937</v>
      </c>
      <c r="AQ194" s="34">
        <f t="shared" ca="1" si="111"/>
        <v>0.50588752831356076</v>
      </c>
      <c r="AR194" s="34">
        <f t="shared" ca="1" si="111"/>
        <v>0</v>
      </c>
      <c r="AS194" s="34">
        <f t="shared" ca="1" si="111"/>
        <v>79.517531753076298</v>
      </c>
      <c r="AT194" s="15"/>
      <c r="AW194" s="34">
        <f t="shared" ca="1" si="112"/>
        <v>76.482206583194937</v>
      </c>
      <c r="AX194" s="34">
        <f t="shared" ca="1" si="92"/>
        <v>0.50588752831356076</v>
      </c>
      <c r="AY194" s="34">
        <f t="shared" ca="1" si="92"/>
        <v>0</v>
      </c>
      <c r="AZ194" s="34">
        <f t="shared" ca="1" si="92"/>
        <v>79.517531753076298</v>
      </c>
      <c r="BB194" s="34">
        <f t="shared" ca="1" si="113"/>
        <v>0</v>
      </c>
      <c r="BC194" s="34">
        <f t="shared" ca="1" si="93"/>
        <v>0</v>
      </c>
      <c r="BD194" s="34">
        <f t="shared" ca="1" si="93"/>
        <v>323.58592615650292</v>
      </c>
      <c r="BE194" s="34">
        <f t="shared" ca="1" si="93"/>
        <v>8253.3738529143775</v>
      </c>
      <c r="BF194" s="34">
        <f t="shared" ca="1" si="93"/>
        <v>9288.5909313196516</v>
      </c>
      <c r="BG194" s="34">
        <f t="shared" ca="1" si="93"/>
        <v>10467.726774517054</v>
      </c>
      <c r="BH194" s="34">
        <f t="shared" ca="1" si="93"/>
        <v>11189.67338156575</v>
      </c>
      <c r="BI194" s="34">
        <f t="shared" ca="1" si="93"/>
        <v>12049.738311753243</v>
      </c>
      <c r="BJ194" s="34">
        <f t="shared" ca="1" si="93"/>
        <v>13095.679130079012</v>
      </c>
      <c r="BK194" s="34">
        <f t="shared" ca="1" si="93"/>
        <v>14401.380092212814</v>
      </c>
      <c r="BL194" s="34">
        <f t="shared" ca="1" si="93"/>
        <v>16088.289858168875</v>
      </c>
      <c r="BM194" s="34">
        <f t="shared" ca="1" si="93"/>
        <v>18372.887009574264</v>
      </c>
      <c r="BN194" s="34">
        <f t="shared" ca="1" si="93"/>
        <v>21687.850423846125</v>
      </c>
      <c r="BO194" s="34">
        <f t="shared" ca="1" si="93"/>
        <v>27064.975296054672</v>
      </c>
      <c r="BP194" s="34">
        <f t="shared" ca="1" si="93"/>
        <v>37895.425271517612</v>
      </c>
      <c r="BQ194" s="34">
        <f t="shared" ca="1" si="93"/>
        <v>85579.724999999991</v>
      </c>
      <c r="BR194" s="34">
        <f t="shared" ref="BR194:CG209" ca="1" si="119">IF($AO194&lt;BR$178,0,OFFSET($AZ$178,$AO194-BR$178+1,0)*BR$176)</f>
        <v>0</v>
      </c>
      <c r="BS194" s="34">
        <f t="shared" ca="1" si="94"/>
        <v>0</v>
      </c>
      <c r="BT194" s="34">
        <f t="shared" ca="1" si="94"/>
        <v>0</v>
      </c>
      <c r="BU194" s="34">
        <f t="shared" ca="1" si="94"/>
        <v>0</v>
      </c>
      <c r="BV194" s="34">
        <f t="shared" ca="1" si="94"/>
        <v>0</v>
      </c>
      <c r="BW194" s="34">
        <f t="shared" ca="1" si="94"/>
        <v>0</v>
      </c>
      <c r="BX194" s="34">
        <f t="shared" ca="1" si="94"/>
        <v>0</v>
      </c>
      <c r="BY194" s="34">
        <f t="shared" ca="1" si="94"/>
        <v>0</v>
      </c>
      <c r="BZ194" s="34">
        <f t="shared" ca="1" si="94"/>
        <v>0</v>
      </c>
      <c r="CA194" s="34">
        <f t="shared" ca="1" si="94"/>
        <v>0</v>
      </c>
      <c r="CB194" s="34">
        <f t="shared" ca="1" si="94"/>
        <v>0</v>
      </c>
      <c r="CC194" s="34">
        <f t="shared" ca="1" si="94"/>
        <v>0</v>
      </c>
      <c r="CD194" s="34">
        <f t="shared" ca="1" si="94"/>
        <v>0</v>
      </c>
      <c r="CE194" s="34">
        <f t="shared" ca="1" si="94"/>
        <v>0</v>
      </c>
      <c r="CF194" s="34">
        <f t="shared" ca="1" si="94"/>
        <v>0</v>
      </c>
      <c r="CG194" s="34">
        <f t="shared" ca="1" si="94"/>
        <v>0</v>
      </c>
      <c r="CH194" s="34">
        <f t="shared" ref="CH194:CP209" ca="1" si="120">IF($AO194&lt;CH$178,0,OFFSET($AZ$178,$AO194-CH$178+1,0)*CH$176)</f>
        <v>0</v>
      </c>
      <c r="CI194" s="34">
        <f t="shared" ca="1" si="95"/>
        <v>0</v>
      </c>
      <c r="CJ194" s="34">
        <f t="shared" ca="1" si="95"/>
        <v>0</v>
      </c>
      <c r="CK194" s="34">
        <f t="shared" ca="1" si="95"/>
        <v>0</v>
      </c>
      <c r="CL194" s="34">
        <f t="shared" ca="1" si="95"/>
        <v>0</v>
      </c>
      <c r="CM194" s="34">
        <f t="shared" ca="1" si="95"/>
        <v>0</v>
      </c>
      <c r="CN194" s="34">
        <f t="shared" ca="1" si="95"/>
        <v>0</v>
      </c>
      <c r="CO194" s="34">
        <f t="shared" ca="1" si="95"/>
        <v>0</v>
      </c>
      <c r="CP194" s="34">
        <f t="shared" ca="1" si="95"/>
        <v>0</v>
      </c>
      <c r="CQ194" s="34">
        <f t="shared" ca="1" si="114"/>
        <v>285758.90125967993</v>
      </c>
      <c r="CR194" s="363">
        <v>0</v>
      </c>
      <c r="CS194" s="34">
        <f t="shared" ca="1" si="115"/>
        <v>285758.90125967993</v>
      </c>
      <c r="CT194" s="233"/>
    </row>
    <row r="195" spans="2:98" x14ac:dyDescent="0.3">
      <c r="B195" s="232"/>
      <c r="C195" s="250">
        <f t="shared" si="116"/>
        <v>2029</v>
      </c>
      <c r="D195" s="263">
        <f t="shared" ca="1" si="96"/>
        <v>141715.38182212811</v>
      </c>
      <c r="E195" s="263">
        <f t="shared" ca="1" si="84"/>
        <v>937.36893111242227</v>
      </c>
      <c r="F195" s="263">
        <f t="shared" ca="1" si="85"/>
        <v>0</v>
      </c>
      <c r="G195" s="263">
        <f t="shared" ca="1" si="97"/>
        <v>147339.59540880265</v>
      </c>
      <c r="H195" s="15"/>
      <c r="I195" s="271">
        <f ca="1">Assumptions!O$68</f>
        <v>4.5</v>
      </c>
      <c r="J195" s="271">
        <f ca="1">Assumptions!P$68</f>
        <v>80</v>
      </c>
      <c r="K195" s="271">
        <f t="shared" ca="1" si="86"/>
        <v>40</v>
      </c>
      <c r="L195" s="15"/>
      <c r="M195" s="35">
        <f t="shared" ca="1" si="98"/>
        <v>4.2299999999999995</v>
      </c>
      <c r="N195" s="35">
        <f t="shared" ca="1" si="87"/>
        <v>74.400000000000006</v>
      </c>
      <c r="O195" s="35">
        <f t="shared" ca="1" si="88"/>
        <v>37.200000000000003</v>
      </c>
      <c r="P195" s="15"/>
      <c r="Q195" s="34">
        <f t="shared" ca="1" si="99"/>
        <v>599456.06510760181</v>
      </c>
      <c r="R195" s="34">
        <f t="shared" ca="1" si="99"/>
        <v>69740.248474764216</v>
      </c>
      <c r="S195" s="34">
        <f t="shared" ca="1" si="99"/>
        <v>0</v>
      </c>
      <c r="T195" s="34">
        <f t="shared" ca="1" si="100"/>
        <v>669196.31358236598</v>
      </c>
      <c r="U195" s="15"/>
      <c r="V195" s="35">
        <f t="shared" si="101"/>
        <v>0.31</v>
      </c>
      <c r="W195" s="34">
        <f t="shared" ca="1" si="102"/>
        <v>45675.274576728822</v>
      </c>
      <c r="X195" s="35">
        <f t="shared" si="103"/>
        <v>0.37</v>
      </c>
      <c r="Y195" s="34">
        <f t="shared" ca="1" si="104"/>
        <v>54515.650301256981</v>
      </c>
      <c r="Z195" s="35">
        <f t="shared" si="105"/>
        <v>0.57999999999999996</v>
      </c>
      <c r="AA195" s="34">
        <f t="shared" ca="1" si="106"/>
        <v>85456.965337105532</v>
      </c>
      <c r="AB195" s="34">
        <f t="shared" ca="1" si="107"/>
        <v>185647.89021509135</v>
      </c>
      <c r="AC195" s="15"/>
      <c r="AD195" s="34">
        <f t="shared" ca="1" si="108"/>
        <v>483548.42336727463</v>
      </c>
      <c r="AE195" s="34">
        <f ca="1"/>
        <v>208075</v>
      </c>
      <c r="AF195" s="34">
        <f t="shared" ca="1" si="109"/>
        <v>275473.42336727463</v>
      </c>
      <c r="AG195" s="15"/>
      <c r="AH195" s="272">
        <f t="shared" si="117"/>
        <v>47483</v>
      </c>
      <c r="AI195" s="267">
        <f t="shared" si="89"/>
        <v>15.666666666666668</v>
      </c>
      <c r="AJ195" s="267">
        <f t="shared" si="90"/>
        <v>0.22465422942012386</v>
      </c>
      <c r="AK195" s="34">
        <f t="shared" ca="1" si="118"/>
        <v>61886.269652298623</v>
      </c>
      <c r="AL195" s="233"/>
      <c r="AN195" s="232"/>
      <c r="AO195" s="237">
        <f t="shared" si="110"/>
        <v>16</v>
      </c>
      <c r="AP195" s="34">
        <f t="shared" ca="1" si="111"/>
        <v>73.33671620379873</v>
      </c>
      <c r="AQ195" s="34">
        <f t="shared" ca="1" si="111"/>
        <v>0.48508184782321156</v>
      </c>
      <c r="AR195" s="34">
        <f t="shared" ca="1" si="111"/>
        <v>0</v>
      </c>
      <c r="AS195" s="34">
        <f t="shared" ca="1" si="111"/>
        <v>76.247207290738004</v>
      </c>
      <c r="AT195" s="15"/>
      <c r="AW195" s="34">
        <f t="shared" ca="1" si="112"/>
        <v>73.33671620379873</v>
      </c>
      <c r="AX195" s="34">
        <f t="shared" ca="1" si="92"/>
        <v>0.48508184782321156</v>
      </c>
      <c r="AY195" s="34">
        <f t="shared" ca="1" si="92"/>
        <v>0</v>
      </c>
      <c r="AZ195" s="34">
        <f t="shared" ca="1" si="92"/>
        <v>76.247207290738004</v>
      </c>
      <c r="BB195" s="34">
        <f t="shared" ca="1" si="113"/>
        <v>0</v>
      </c>
      <c r="BC195" s="34">
        <f t="shared" ca="1" si="113"/>
        <v>0</v>
      </c>
      <c r="BD195" s="34">
        <f t="shared" ca="1" si="113"/>
        <v>308.5011573895693</v>
      </c>
      <c r="BE195" s="34">
        <f t="shared" ca="1" si="113"/>
        <v>7839.9536893177174</v>
      </c>
      <c r="BF195" s="34">
        <f t="shared" ca="1" si="113"/>
        <v>8785.8495853604672</v>
      </c>
      <c r="BG195" s="34">
        <f t="shared" ca="1" si="113"/>
        <v>9851.5358362481165</v>
      </c>
      <c r="BH195" s="34">
        <f t="shared" ca="1" si="113"/>
        <v>10467.726774517054</v>
      </c>
      <c r="BI195" s="34">
        <f t="shared" ca="1" si="113"/>
        <v>11189.67338156575</v>
      </c>
      <c r="BJ195" s="34">
        <f t="shared" ca="1" si="113"/>
        <v>12049.738311753243</v>
      </c>
      <c r="BK195" s="34">
        <f t="shared" ca="1" si="113"/>
        <v>13095.679130079012</v>
      </c>
      <c r="BL195" s="34">
        <f t="shared" ca="1" si="113"/>
        <v>14401.380092212814</v>
      </c>
      <c r="BM195" s="34">
        <f t="shared" ca="1" si="113"/>
        <v>16088.289858168875</v>
      </c>
      <c r="BN195" s="34">
        <f t="shared" ca="1" si="113"/>
        <v>18372.887009574264</v>
      </c>
      <c r="BO195" s="34">
        <f t="shared" ca="1" si="113"/>
        <v>21687.850423846125</v>
      </c>
      <c r="BP195" s="34">
        <f t="shared" ca="1" si="113"/>
        <v>27064.975296054672</v>
      </c>
      <c r="BQ195" s="34">
        <f t="shared" ca="1" si="113"/>
        <v>37895.425271517612</v>
      </c>
      <c r="BR195" s="34">
        <f t="shared" ca="1" si="119"/>
        <v>85579.724999999991</v>
      </c>
      <c r="BS195" s="34">
        <f t="shared" ca="1" si="119"/>
        <v>0</v>
      </c>
      <c r="BT195" s="34">
        <f t="shared" ca="1" si="119"/>
        <v>0</v>
      </c>
      <c r="BU195" s="34">
        <f t="shared" ca="1" si="119"/>
        <v>0</v>
      </c>
      <c r="BV195" s="34">
        <f t="shared" ca="1" si="119"/>
        <v>0</v>
      </c>
      <c r="BW195" s="34">
        <f t="shared" ca="1" si="119"/>
        <v>0</v>
      </c>
      <c r="BX195" s="34">
        <f t="shared" ca="1" si="119"/>
        <v>0</v>
      </c>
      <c r="BY195" s="34">
        <f t="shared" ca="1" si="119"/>
        <v>0</v>
      </c>
      <c r="BZ195" s="34">
        <f t="shared" ca="1" si="119"/>
        <v>0</v>
      </c>
      <c r="CA195" s="34">
        <f t="shared" ca="1" si="119"/>
        <v>0</v>
      </c>
      <c r="CB195" s="34">
        <f t="shared" ca="1" si="119"/>
        <v>0</v>
      </c>
      <c r="CC195" s="34">
        <f t="shared" ca="1" si="119"/>
        <v>0</v>
      </c>
      <c r="CD195" s="34">
        <f t="shared" ca="1" si="119"/>
        <v>0</v>
      </c>
      <c r="CE195" s="34">
        <f t="shared" ca="1" si="119"/>
        <v>0</v>
      </c>
      <c r="CF195" s="34">
        <f t="shared" ca="1" si="119"/>
        <v>0</v>
      </c>
      <c r="CG195" s="34">
        <f t="shared" ca="1" si="119"/>
        <v>0</v>
      </c>
      <c r="CH195" s="34">
        <f t="shared" ca="1" si="120"/>
        <v>0</v>
      </c>
      <c r="CI195" s="34">
        <f t="shared" ca="1" si="120"/>
        <v>0</v>
      </c>
      <c r="CJ195" s="34">
        <f t="shared" ca="1" si="120"/>
        <v>0</v>
      </c>
      <c r="CK195" s="34">
        <f t="shared" ca="1" si="120"/>
        <v>0</v>
      </c>
      <c r="CL195" s="34">
        <f t="shared" ca="1" si="120"/>
        <v>0</v>
      </c>
      <c r="CM195" s="34">
        <f t="shared" ca="1" si="120"/>
        <v>0</v>
      </c>
      <c r="CN195" s="34">
        <f t="shared" ca="1" si="120"/>
        <v>0</v>
      </c>
      <c r="CO195" s="34">
        <f t="shared" ca="1" si="120"/>
        <v>0</v>
      </c>
      <c r="CP195" s="34">
        <f t="shared" ca="1" si="120"/>
        <v>0</v>
      </c>
      <c r="CQ195" s="34">
        <f t="shared" ca="1" si="114"/>
        <v>294679.1908176053</v>
      </c>
      <c r="CR195" s="363">
        <v>0</v>
      </c>
      <c r="CS195" s="34">
        <f t="shared" ca="1" si="115"/>
        <v>294679.1908176053</v>
      </c>
      <c r="CT195" s="233"/>
    </row>
    <row r="196" spans="2:98" x14ac:dyDescent="0.3">
      <c r="B196" s="232"/>
      <c r="C196" s="250">
        <f t="shared" si="116"/>
        <v>2030</v>
      </c>
      <c r="D196" s="263">
        <f t="shared" ca="1" si="96"/>
        <v>145802.81742759363</v>
      </c>
      <c r="E196" s="263">
        <f t="shared" ca="1" si="84"/>
        <v>964.40505870296874</v>
      </c>
      <c r="F196" s="263">
        <f t="shared" ca="1" si="85"/>
        <v>0</v>
      </c>
      <c r="G196" s="263">
        <f t="shared" ca="1" si="97"/>
        <v>151589.24777981144</v>
      </c>
      <c r="H196" s="15"/>
      <c r="I196" s="271">
        <f ca="1">Assumptions!O$68</f>
        <v>4.5</v>
      </c>
      <c r="J196" s="271">
        <f ca="1">Assumptions!P$68</f>
        <v>80</v>
      </c>
      <c r="K196" s="271">
        <f t="shared" ca="1" si="86"/>
        <v>40</v>
      </c>
      <c r="L196" s="15"/>
      <c r="M196" s="35">
        <f t="shared" ca="1" si="98"/>
        <v>4.2299999999999995</v>
      </c>
      <c r="N196" s="35">
        <f t="shared" ca="1" si="87"/>
        <v>74.400000000000006</v>
      </c>
      <c r="O196" s="35">
        <f t="shared" ca="1" si="88"/>
        <v>37.200000000000003</v>
      </c>
      <c r="P196" s="15"/>
      <c r="Q196" s="34">
        <f t="shared" ca="1" si="99"/>
        <v>616745.91771872097</v>
      </c>
      <c r="R196" s="34">
        <f t="shared" ca="1" si="99"/>
        <v>71751.736367500882</v>
      </c>
      <c r="S196" s="34">
        <f t="shared" ca="1" si="99"/>
        <v>0</v>
      </c>
      <c r="T196" s="34">
        <f t="shared" ca="1" si="100"/>
        <v>688497.65408622182</v>
      </c>
      <c r="U196" s="15"/>
      <c r="V196" s="35">
        <f t="shared" si="101"/>
        <v>0.31</v>
      </c>
      <c r="W196" s="34">
        <f t="shared" ca="1" si="102"/>
        <v>46992.666811741547</v>
      </c>
      <c r="X196" s="35">
        <f t="shared" si="103"/>
        <v>0.37</v>
      </c>
      <c r="Y196" s="34">
        <f t="shared" ca="1" si="104"/>
        <v>56088.021678530233</v>
      </c>
      <c r="Z196" s="35">
        <f t="shared" si="105"/>
        <v>0.57999999999999996</v>
      </c>
      <c r="AA196" s="34">
        <f t="shared" ca="1" si="106"/>
        <v>87921.763712290631</v>
      </c>
      <c r="AB196" s="34">
        <f t="shared" ca="1" si="107"/>
        <v>191002.45220256242</v>
      </c>
      <c r="AC196" s="15"/>
      <c r="AD196" s="34">
        <f t="shared" ca="1" si="108"/>
        <v>497495.20188365941</v>
      </c>
      <c r="AE196" s="34">
        <f ca="1"/>
        <v>208075</v>
      </c>
      <c r="AF196" s="34">
        <f t="shared" ca="1" si="109"/>
        <v>289420.20188365941</v>
      </c>
      <c r="AG196" s="15"/>
      <c r="AH196" s="272">
        <f t="shared" si="117"/>
        <v>47848</v>
      </c>
      <c r="AI196" s="267">
        <f t="shared" si="89"/>
        <v>16.666666666666668</v>
      </c>
      <c r="AJ196" s="267">
        <f t="shared" si="90"/>
        <v>0.2042311176546581</v>
      </c>
      <c r="AK196" s="34">
        <f t="shared" ca="1" si="118"/>
        <v>59108.611302536541</v>
      </c>
      <c r="AL196" s="233"/>
      <c r="AN196" s="232"/>
      <c r="AO196" s="237">
        <f t="shared" si="110"/>
        <v>17</v>
      </c>
      <c r="AP196" s="34">
        <f t="shared" ref="AP196:AS211" ca="1" si="121">+AP146</f>
        <v>70.375368916601815</v>
      </c>
      <c r="AQ196" s="34">
        <f t="shared" ca="1" si="121"/>
        <v>0.46549417212025546</v>
      </c>
      <c r="AR196" s="34">
        <f t="shared" ca="1" si="121"/>
        <v>0</v>
      </c>
      <c r="AS196" s="34">
        <f t="shared" ca="1" si="121"/>
        <v>73.16833394932334</v>
      </c>
      <c r="AT196" s="15"/>
      <c r="AW196" s="34">
        <f t="shared" ca="1" si="112"/>
        <v>70.375368916601815</v>
      </c>
      <c r="AX196" s="34">
        <f t="shared" ca="1" si="92"/>
        <v>0.46549417212025546</v>
      </c>
      <c r="AY196" s="34">
        <f t="shared" ca="1" si="92"/>
        <v>0</v>
      </c>
      <c r="AZ196" s="34">
        <f t="shared" ca="1" si="92"/>
        <v>73.16833394932334</v>
      </c>
      <c r="BB196" s="34">
        <f t="shared" ref="BB196:BQ211" ca="1" si="122">IF($AO196&lt;BB$178,0,OFFSET($AZ$178,$AO196-BB$178+1,0)*BB$176)</f>
        <v>0</v>
      </c>
      <c r="BC196" s="34">
        <f t="shared" ca="1" si="122"/>
        <v>0</v>
      </c>
      <c r="BD196" s="34">
        <f t="shared" ca="1" si="122"/>
        <v>295.05209985562527</v>
      </c>
      <c r="BE196" s="34">
        <f t="shared" ca="1" si="122"/>
        <v>7474.4746032785206</v>
      </c>
      <c r="BF196" s="34">
        <f t="shared" ca="1" si="122"/>
        <v>8345.7571531446665</v>
      </c>
      <c r="BG196" s="34">
        <f t="shared" ca="1" si="122"/>
        <v>9318.325317806557</v>
      </c>
      <c r="BH196" s="34">
        <f t="shared" ca="1" si="122"/>
        <v>9851.5358362481165</v>
      </c>
      <c r="BI196" s="34">
        <f t="shared" ca="1" si="122"/>
        <v>10467.726774517054</v>
      </c>
      <c r="BJ196" s="34">
        <f t="shared" ca="1" si="122"/>
        <v>11189.67338156575</v>
      </c>
      <c r="BK196" s="34">
        <f t="shared" ca="1" si="122"/>
        <v>12049.738311753243</v>
      </c>
      <c r="BL196" s="34">
        <f t="shared" ca="1" si="122"/>
        <v>13095.679130079012</v>
      </c>
      <c r="BM196" s="34">
        <f t="shared" ca="1" si="122"/>
        <v>14401.380092212814</v>
      </c>
      <c r="BN196" s="34">
        <f t="shared" ca="1" si="122"/>
        <v>16088.289858168875</v>
      </c>
      <c r="BO196" s="34">
        <f t="shared" ca="1" si="122"/>
        <v>18372.887009574264</v>
      </c>
      <c r="BP196" s="34">
        <f t="shared" ca="1" si="122"/>
        <v>21687.850423846125</v>
      </c>
      <c r="BQ196" s="34">
        <f t="shared" ca="1" si="122"/>
        <v>27064.975296054672</v>
      </c>
      <c r="BR196" s="34">
        <f t="shared" ca="1" si="119"/>
        <v>37895.425271517612</v>
      </c>
      <c r="BS196" s="34">
        <f t="shared" ca="1" si="119"/>
        <v>85579.724999999991</v>
      </c>
      <c r="BT196" s="34">
        <f t="shared" ca="1" si="119"/>
        <v>0</v>
      </c>
      <c r="BU196" s="34">
        <f t="shared" ca="1" si="119"/>
        <v>0</v>
      </c>
      <c r="BV196" s="34">
        <f t="shared" ca="1" si="119"/>
        <v>0</v>
      </c>
      <c r="BW196" s="34">
        <f t="shared" ca="1" si="119"/>
        <v>0</v>
      </c>
      <c r="BX196" s="34">
        <f t="shared" ca="1" si="119"/>
        <v>0</v>
      </c>
      <c r="BY196" s="34">
        <f t="shared" ca="1" si="119"/>
        <v>0</v>
      </c>
      <c r="BZ196" s="34">
        <f t="shared" ca="1" si="119"/>
        <v>0</v>
      </c>
      <c r="CA196" s="34">
        <f t="shared" ca="1" si="119"/>
        <v>0</v>
      </c>
      <c r="CB196" s="34">
        <f t="shared" ca="1" si="119"/>
        <v>0</v>
      </c>
      <c r="CC196" s="34">
        <f t="shared" ca="1" si="119"/>
        <v>0</v>
      </c>
      <c r="CD196" s="34">
        <f t="shared" ca="1" si="119"/>
        <v>0</v>
      </c>
      <c r="CE196" s="34">
        <f t="shared" ca="1" si="119"/>
        <v>0</v>
      </c>
      <c r="CF196" s="34">
        <f t="shared" ca="1" si="119"/>
        <v>0</v>
      </c>
      <c r="CG196" s="34">
        <f t="shared" ca="1" si="119"/>
        <v>0</v>
      </c>
      <c r="CH196" s="34">
        <f t="shared" ca="1" si="120"/>
        <v>0</v>
      </c>
      <c r="CI196" s="34">
        <f t="shared" ca="1" si="120"/>
        <v>0</v>
      </c>
      <c r="CJ196" s="34">
        <f t="shared" ca="1" si="120"/>
        <v>0</v>
      </c>
      <c r="CK196" s="34">
        <f t="shared" ca="1" si="120"/>
        <v>0</v>
      </c>
      <c r="CL196" s="34">
        <f t="shared" ca="1" si="120"/>
        <v>0</v>
      </c>
      <c r="CM196" s="34">
        <f t="shared" ca="1" si="120"/>
        <v>0</v>
      </c>
      <c r="CN196" s="34">
        <f t="shared" ca="1" si="120"/>
        <v>0</v>
      </c>
      <c r="CO196" s="34">
        <f t="shared" ca="1" si="120"/>
        <v>0</v>
      </c>
      <c r="CP196" s="34">
        <f t="shared" ca="1" si="120"/>
        <v>0</v>
      </c>
      <c r="CQ196" s="34">
        <f t="shared" ca="1" si="114"/>
        <v>303178.49555962288</v>
      </c>
      <c r="CR196" s="363">
        <v>0</v>
      </c>
      <c r="CS196" s="34">
        <f t="shared" ca="1" si="115"/>
        <v>303178.49555962288</v>
      </c>
      <c r="CT196" s="233"/>
    </row>
    <row r="197" spans="2:98" x14ac:dyDescent="0.3">
      <c r="B197" s="232"/>
      <c r="C197" s="250">
        <f t="shared" si="116"/>
        <v>2031</v>
      </c>
      <c r="D197" s="263">
        <f t="shared" ca="1" si="96"/>
        <v>123368.74225396868</v>
      </c>
      <c r="E197" s="263">
        <f t="shared" ca="1" si="84"/>
        <v>816.0160497216375</v>
      </c>
      <c r="F197" s="263">
        <f t="shared" ca="1" si="85"/>
        <v>0</v>
      </c>
      <c r="G197" s="263">
        <f t="shared" ca="1" si="97"/>
        <v>128264.8385522985</v>
      </c>
      <c r="H197" s="15"/>
      <c r="I197" s="271">
        <f ca="1">Assumptions!O$68</f>
        <v>4.5</v>
      </c>
      <c r="J197" s="271">
        <f ca="1">Assumptions!P$68</f>
        <v>80</v>
      </c>
      <c r="K197" s="271">
        <f t="shared" ca="1" si="86"/>
        <v>40</v>
      </c>
      <c r="L197" s="15"/>
      <c r="M197" s="35">
        <f t="shared" ca="1" si="98"/>
        <v>4.2299999999999995</v>
      </c>
      <c r="N197" s="35">
        <f t="shared" ca="1" si="87"/>
        <v>74.400000000000006</v>
      </c>
      <c r="O197" s="35">
        <f t="shared" ca="1" si="88"/>
        <v>37.200000000000003</v>
      </c>
      <c r="P197" s="15"/>
      <c r="Q197" s="34">
        <f t="shared" ca="1" si="99"/>
        <v>521849.77973428747</v>
      </c>
      <c r="R197" s="34">
        <f t="shared" ca="1" si="99"/>
        <v>60711.594099289832</v>
      </c>
      <c r="S197" s="34">
        <f t="shared" ca="1" si="99"/>
        <v>0</v>
      </c>
      <c r="T197" s="34">
        <f t="shared" ca="1" si="100"/>
        <v>582561.37383357727</v>
      </c>
      <c r="U197" s="15"/>
      <c r="V197" s="35">
        <f t="shared" si="101"/>
        <v>0.31</v>
      </c>
      <c r="W197" s="34">
        <f t="shared" ca="1" si="102"/>
        <v>39762.099951212535</v>
      </c>
      <c r="X197" s="35">
        <f t="shared" si="103"/>
        <v>0.37</v>
      </c>
      <c r="Y197" s="34">
        <f t="shared" ca="1" si="104"/>
        <v>47457.990264350447</v>
      </c>
      <c r="Z197" s="35">
        <f t="shared" si="105"/>
        <v>0.57999999999999996</v>
      </c>
      <c r="AA197" s="34">
        <f t="shared" ca="1" si="106"/>
        <v>74393.606360333128</v>
      </c>
      <c r="AB197" s="34">
        <f t="shared" ca="1" si="107"/>
        <v>161613.69657589612</v>
      </c>
      <c r="AC197" s="15"/>
      <c r="AD197" s="34">
        <f t="shared" ca="1" si="108"/>
        <v>420947.67725768115</v>
      </c>
      <c r="AE197" s="34">
        <f ca="1"/>
        <v>74901.374910946412</v>
      </c>
      <c r="AF197" s="34">
        <f t="shared" ca="1" si="109"/>
        <v>346046.30234673474</v>
      </c>
      <c r="AG197" s="15"/>
      <c r="AH197" s="272">
        <f t="shared" si="117"/>
        <v>48213</v>
      </c>
      <c r="AI197" s="267">
        <f t="shared" si="89"/>
        <v>17.666666666666668</v>
      </c>
      <c r="AJ197" s="267">
        <f t="shared" si="90"/>
        <v>0.1856646524133255</v>
      </c>
      <c r="AK197" s="34">
        <f t="shared" ca="1" si="118"/>
        <v>64248.566444123047</v>
      </c>
      <c r="AL197" s="233"/>
      <c r="AN197" s="232"/>
      <c r="AO197" s="237">
        <f t="shared" si="110"/>
        <v>18</v>
      </c>
      <c r="AP197" s="34">
        <f t="shared" ca="1" si="121"/>
        <v>67.533879499002282</v>
      </c>
      <c r="AQ197" s="34">
        <f t="shared" ca="1" si="121"/>
        <v>0.44669928998469727</v>
      </c>
      <c r="AR197" s="34">
        <f t="shared" ca="1" si="121"/>
        <v>0</v>
      </c>
      <c r="AS197" s="34">
        <f t="shared" ca="1" si="121"/>
        <v>70.214075238910468</v>
      </c>
      <c r="AT197" s="15"/>
      <c r="AW197" s="34">
        <f t="shared" ca="1" si="112"/>
        <v>67.533879499002282</v>
      </c>
      <c r="AX197" s="34">
        <f t="shared" ca="1" si="92"/>
        <v>0.44669928998469727</v>
      </c>
      <c r="AY197" s="34">
        <f t="shared" ca="1" si="92"/>
        <v>0</v>
      </c>
      <c r="AZ197" s="34">
        <f t="shared" ca="1" si="92"/>
        <v>70.214075238910468</v>
      </c>
      <c r="BB197" s="34">
        <f t="shared" ca="1" si="122"/>
        <v>0</v>
      </c>
      <c r="BC197" s="34">
        <f t="shared" ca="1" si="122"/>
        <v>0</v>
      </c>
      <c r="BD197" s="34">
        <f t="shared" ca="1" si="122"/>
        <v>282.91746641631704</v>
      </c>
      <c r="BE197" s="34">
        <f t="shared" ca="1" si="122"/>
        <v>7148.6261046015588</v>
      </c>
      <c r="BF197" s="34">
        <f t="shared" ca="1" si="122"/>
        <v>7956.6987712319733</v>
      </c>
      <c r="BG197" s="34">
        <f t="shared" ca="1" si="122"/>
        <v>8851.5606169716175</v>
      </c>
      <c r="BH197" s="34">
        <f t="shared" ca="1" si="122"/>
        <v>9318.325317806557</v>
      </c>
      <c r="BI197" s="34">
        <f t="shared" ca="1" si="122"/>
        <v>9851.5358362481165</v>
      </c>
      <c r="BJ197" s="34">
        <f t="shared" ca="1" si="122"/>
        <v>10467.726774517054</v>
      </c>
      <c r="BK197" s="34">
        <f t="shared" ca="1" si="122"/>
        <v>11189.67338156575</v>
      </c>
      <c r="BL197" s="34">
        <f t="shared" ca="1" si="122"/>
        <v>12049.738311753243</v>
      </c>
      <c r="BM197" s="34">
        <f t="shared" ca="1" si="122"/>
        <v>13095.679130079012</v>
      </c>
      <c r="BN197" s="34">
        <f t="shared" ca="1" si="122"/>
        <v>14401.380092212814</v>
      </c>
      <c r="BO197" s="34">
        <f t="shared" ca="1" si="122"/>
        <v>16088.289858168875</v>
      </c>
      <c r="BP197" s="34">
        <f t="shared" ca="1" si="122"/>
        <v>18372.887009574264</v>
      </c>
      <c r="BQ197" s="34">
        <f t="shared" ca="1" si="122"/>
        <v>21687.850423846125</v>
      </c>
      <c r="BR197" s="34">
        <f t="shared" ca="1" si="119"/>
        <v>27064.975296054672</v>
      </c>
      <c r="BS197" s="34">
        <f t="shared" ca="1" si="119"/>
        <v>37895.425271517612</v>
      </c>
      <c r="BT197" s="34">
        <f t="shared" ca="1" si="119"/>
        <v>30806.38744203145</v>
      </c>
      <c r="BU197" s="34">
        <f t="shared" ca="1" si="119"/>
        <v>0</v>
      </c>
      <c r="BV197" s="34">
        <f t="shared" ca="1" si="119"/>
        <v>0</v>
      </c>
      <c r="BW197" s="34">
        <f t="shared" ca="1" si="119"/>
        <v>0</v>
      </c>
      <c r="BX197" s="34">
        <f t="shared" ca="1" si="119"/>
        <v>0</v>
      </c>
      <c r="BY197" s="34">
        <f t="shared" ca="1" si="119"/>
        <v>0</v>
      </c>
      <c r="BZ197" s="34">
        <f t="shared" ca="1" si="119"/>
        <v>0</v>
      </c>
      <c r="CA197" s="34">
        <f t="shared" ca="1" si="119"/>
        <v>0</v>
      </c>
      <c r="CB197" s="34">
        <f t="shared" ca="1" si="119"/>
        <v>0</v>
      </c>
      <c r="CC197" s="34">
        <f t="shared" ca="1" si="119"/>
        <v>0</v>
      </c>
      <c r="CD197" s="34">
        <f t="shared" ca="1" si="119"/>
        <v>0</v>
      </c>
      <c r="CE197" s="34">
        <f t="shared" ca="1" si="119"/>
        <v>0</v>
      </c>
      <c r="CF197" s="34">
        <f t="shared" ca="1" si="119"/>
        <v>0</v>
      </c>
      <c r="CG197" s="34">
        <f t="shared" ca="1" si="119"/>
        <v>0</v>
      </c>
      <c r="CH197" s="34">
        <f t="shared" ca="1" si="120"/>
        <v>0</v>
      </c>
      <c r="CI197" s="34">
        <f t="shared" ca="1" si="120"/>
        <v>0</v>
      </c>
      <c r="CJ197" s="34">
        <f t="shared" ca="1" si="120"/>
        <v>0</v>
      </c>
      <c r="CK197" s="34">
        <f t="shared" ca="1" si="120"/>
        <v>0</v>
      </c>
      <c r="CL197" s="34">
        <f t="shared" ca="1" si="120"/>
        <v>0</v>
      </c>
      <c r="CM197" s="34">
        <f t="shared" ca="1" si="120"/>
        <v>0</v>
      </c>
      <c r="CN197" s="34">
        <f t="shared" ca="1" si="120"/>
        <v>0</v>
      </c>
      <c r="CO197" s="34">
        <f t="shared" ca="1" si="120"/>
        <v>0</v>
      </c>
      <c r="CP197" s="34">
        <f t="shared" ca="1" si="120"/>
        <v>0</v>
      </c>
      <c r="CQ197" s="34">
        <f t="shared" ca="1" si="114"/>
        <v>256529.67710459701</v>
      </c>
      <c r="CR197" s="363">
        <v>0</v>
      </c>
      <c r="CS197" s="34">
        <f t="shared" ca="1" si="115"/>
        <v>256529.67710459701</v>
      </c>
      <c r="CT197" s="233"/>
    </row>
    <row r="198" spans="2:98" x14ac:dyDescent="0.3">
      <c r="B198" s="232"/>
      <c r="C198" s="250">
        <f t="shared" si="116"/>
        <v>2032</v>
      </c>
      <c r="D198" s="263">
        <f t="shared" ca="1" si="96"/>
        <v>100634.07648207508</v>
      </c>
      <c r="E198" s="263">
        <f t="shared" ca="1" si="84"/>
        <v>665.63880005550061</v>
      </c>
      <c r="F198" s="263">
        <f t="shared" ca="1" si="85"/>
        <v>0</v>
      </c>
      <c r="G198" s="263">
        <f t="shared" ca="1" si="97"/>
        <v>104627.90928240809</v>
      </c>
      <c r="H198" s="15"/>
      <c r="I198" s="271">
        <f ca="1">Assumptions!O$68</f>
        <v>4.5</v>
      </c>
      <c r="J198" s="271">
        <f ca="1">Assumptions!P$68</f>
        <v>80</v>
      </c>
      <c r="K198" s="271">
        <f t="shared" ca="1" si="86"/>
        <v>40</v>
      </c>
      <c r="L198" s="15"/>
      <c r="M198" s="35">
        <f t="shared" ca="1" si="98"/>
        <v>4.2299999999999995</v>
      </c>
      <c r="N198" s="35">
        <f t="shared" ca="1" si="87"/>
        <v>74.400000000000006</v>
      </c>
      <c r="O198" s="35">
        <f t="shared" ca="1" si="88"/>
        <v>37.200000000000003</v>
      </c>
      <c r="P198" s="15"/>
      <c r="Q198" s="34">
        <f t="shared" ca="1" si="99"/>
        <v>425682.14351917751</v>
      </c>
      <c r="R198" s="34">
        <f t="shared" ca="1" si="99"/>
        <v>49523.526724129246</v>
      </c>
      <c r="S198" s="34">
        <f t="shared" ca="1" si="99"/>
        <v>0</v>
      </c>
      <c r="T198" s="34">
        <f t="shared" ca="1" si="100"/>
        <v>475205.67024330678</v>
      </c>
      <c r="U198" s="15"/>
      <c r="V198" s="35">
        <f t="shared" si="101"/>
        <v>0.31</v>
      </c>
      <c r="W198" s="34">
        <f t="shared" ca="1" si="102"/>
        <v>32434.651877546508</v>
      </c>
      <c r="X198" s="35">
        <f t="shared" si="103"/>
        <v>0.37</v>
      </c>
      <c r="Y198" s="34">
        <f t="shared" ca="1" si="104"/>
        <v>38712.326434490991</v>
      </c>
      <c r="Z198" s="35">
        <f t="shared" si="105"/>
        <v>0.57999999999999996</v>
      </c>
      <c r="AA198" s="34">
        <f t="shared" ca="1" si="106"/>
        <v>60684.187383796685</v>
      </c>
      <c r="AB198" s="34">
        <f t="shared" ca="1" si="107"/>
        <v>131831.16569583421</v>
      </c>
      <c r="AC198" s="15"/>
      <c r="AD198" s="34">
        <f t="shared" ca="1" si="108"/>
        <v>343374.50454747258</v>
      </c>
      <c r="AE198" s="34">
        <f ca="1"/>
        <v>0</v>
      </c>
      <c r="AF198" s="34">
        <f t="shared" ca="1" si="109"/>
        <v>343374.50454747258</v>
      </c>
      <c r="AG198" s="15"/>
      <c r="AH198" s="272">
        <f t="shared" si="117"/>
        <v>48579</v>
      </c>
      <c r="AI198" s="267">
        <f t="shared" si="89"/>
        <v>18.666666666666668</v>
      </c>
      <c r="AJ198" s="267">
        <f t="shared" si="90"/>
        <v>0.16878604764847771</v>
      </c>
      <c r="AK198" s="34">
        <f t="shared" ca="1" si="118"/>
        <v>57956.825485822133</v>
      </c>
      <c r="AL198" s="233"/>
      <c r="AN198" s="232"/>
      <c r="AO198" s="237">
        <f t="shared" si="110"/>
        <v>19</v>
      </c>
      <c r="AP198" s="34">
        <f t="shared" ca="1" si="121"/>
        <v>64.807116996974614</v>
      </c>
      <c r="AQ198" s="34">
        <f t="shared" ca="1" si="121"/>
        <v>0.42866326299130275</v>
      </c>
      <c r="AR198" s="34">
        <f t="shared" ca="1" si="121"/>
        <v>0</v>
      </c>
      <c r="AS198" s="34">
        <f t="shared" ca="1" si="121"/>
        <v>67.379096574922428</v>
      </c>
      <c r="AT198" s="15"/>
      <c r="AW198" s="34">
        <f t="shared" ca="1" si="112"/>
        <v>64.807116996974614</v>
      </c>
      <c r="AX198" s="34">
        <f t="shared" ca="1" si="92"/>
        <v>0.42866326299130275</v>
      </c>
      <c r="AY198" s="34">
        <f t="shared" ca="1" si="92"/>
        <v>0</v>
      </c>
      <c r="AZ198" s="34">
        <f t="shared" ca="1" si="92"/>
        <v>67.379096574922428</v>
      </c>
      <c r="BB198" s="34">
        <f t="shared" ca="1" si="122"/>
        <v>0</v>
      </c>
      <c r="BC198" s="34">
        <f t="shared" ca="1" si="122"/>
        <v>0</v>
      </c>
      <c r="BD198" s="34">
        <f t="shared" ca="1" si="122"/>
        <v>271.49321789468513</v>
      </c>
      <c r="BE198" s="34">
        <f t="shared" ca="1" si="122"/>
        <v>6854.6239354373456</v>
      </c>
      <c r="BF198" s="34">
        <f t="shared" ca="1" si="122"/>
        <v>7609.8277887694012</v>
      </c>
      <c r="BG198" s="34">
        <f t="shared" ca="1" si="122"/>
        <v>8438.922939185426</v>
      </c>
      <c r="BH198" s="34">
        <f t="shared" ca="1" si="122"/>
        <v>8851.5606169716175</v>
      </c>
      <c r="BI198" s="34">
        <f t="shared" ca="1" si="122"/>
        <v>9318.325317806557</v>
      </c>
      <c r="BJ198" s="34">
        <f t="shared" ca="1" si="122"/>
        <v>9851.5358362481165</v>
      </c>
      <c r="BK198" s="34">
        <f t="shared" ca="1" si="122"/>
        <v>10467.726774517054</v>
      </c>
      <c r="BL198" s="34">
        <f t="shared" ca="1" si="122"/>
        <v>11189.67338156575</v>
      </c>
      <c r="BM198" s="34">
        <f t="shared" ca="1" si="122"/>
        <v>12049.738311753243</v>
      </c>
      <c r="BN198" s="34">
        <f t="shared" ca="1" si="122"/>
        <v>13095.679130079012</v>
      </c>
      <c r="BO198" s="34">
        <f t="shared" ca="1" si="122"/>
        <v>14401.380092212814</v>
      </c>
      <c r="BP198" s="34">
        <f t="shared" ca="1" si="122"/>
        <v>16088.289858168875</v>
      </c>
      <c r="BQ198" s="34">
        <f t="shared" ca="1" si="122"/>
        <v>18372.887009574264</v>
      </c>
      <c r="BR198" s="34">
        <f t="shared" ca="1" si="119"/>
        <v>21687.850423846125</v>
      </c>
      <c r="BS198" s="34">
        <f t="shared" ca="1" si="119"/>
        <v>27064.975296054672</v>
      </c>
      <c r="BT198" s="34">
        <f t="shared" ca="1" si="119"/>
        <v>13641.328634731199</v>
      </c>
      <c r="BU198" s="34">
        <f t="shared" ca="1" si="119"/>
        <v>0</v>
      </c>
      <c r="BV198" s="34">
        <f t="shared" ca="1" si="119"/>
        <v>0</v>
      </c>
      <c r="BW198" s="34">
        <f t="shared" ca="1" si="119"/>
        <v>0</v>
      </c>
      <c r="BX198" s="34">
        <f t="shared" ca="1" si="119"/>
        <v>0</v>
      </c>
      <c r="BY198" s="34">
        <f t="shared" ca="1" si="119"/>
        <v>0</v>
      </c>
      <c r="BZ198" s="34">
        <f t="shared" ca="1" si="119"/>
        <v>0</v>
      </c>
      <c r="CA198" s="34">
        <f t="shared" ca="1" si="119"/>
        <v>0</v>
      </c>
      <c r="CB198" s="34">
        <f t="shared" ca="1" si="119"/>
        <v>0</v>
      </c>
      <c r="CC198" s="34">
        <f t="shared" ca="1" si="119"/>
        <v>0</v>
      </c>
      <c r="CD198" s="34">
        <f t="shared" ca="1" si="119"/>
        <v>0</v>
      </c>
      <c r="CE198" s="34">
        <f t="shared" ca="1" si="119"/>
        <v>0</v>
      </c>
      <c r="CF198" s="34">
        <f t="shared" ca="1" si="119"/>
        <v>0</v>
      </c>
      <c r="CG198" s="34">
        <f t="shared" ca="1" si="119"/>
        <v>0</v>
      </c>
      <c r="CH198" s="34">
        <f t="shared" ca="1" si="120"/>
        <v>0</v>
      </c>
      <c r="CI198" s="34">
        <f t="shared" ca="1" si="120"/>
        <v>0</v>
      </c>
      <c r="CJ198" s="34">
        <f t="shared" ca="1" si="120"/>
        <v>0</v>
      </c>
      <c r="CK198" s="34">
        <f t="shared" ca="1" si="120"/>
        <v>0</v>
      </c>
      <c r="CL198" s="34">
        <f t="shared" ca="1" si="120"/>
        <v>0</v>
      </c>
      <c r="CM198" s="34">
        <f t="shared" ca="1" si="120"/>
        <v>0</v>
      </c>
      <c r="CN198" s="34">
        <f t="shared" ca="1" si="120"/>
        <v>0</v>
      </c>
      <c r="CO198" s="34">
        <f t="shared" ca="1" si="120"/>
        <v>0</v>
      </c>
      <c r="CP198" s="34">
        <f t="shared" ca="1" si="120"/>
        <v>0</v>
      </c>
      <c r="CQ198" s="34">
        <f t="shared" ca="1" si="114"/>
        <v>209255.81856481617</v>
      </c>
      <c r="CR198" s="363">
        <v>0</v>
      </c>
      <c r="CS198" s="34">
        <f t="shared" ca="1" si="115"/>
        <v>209255.81856481617</v>
      </c>
      <c r="CT198" s="233"/>
    </row>
    <row r="199" spans="2:98" x14ac:dyDescent="0.3">
      <c r="B199" s="232"/>
      <c r="C199" s="250">
        <f t="shared" si="116"/>
        <v>2033</v>
      </c>
      <c r="D199" s="263">
        <f t="shared" ca="1" si="96"/>
        <v>89335.798832130517</v>
      </c>
      <c r="E199" s="263">
        <f t="shared" ca="1" si="84"/>
        <v>590.90693744490125</v>
      </c>
      <c r="F199" s="263">
        <f t="shared" ca="1" si="85"/>
        <v>0</v>
      </c>
      <c r="G199" s="263">
        <f t="shared" ca="1" si="97"/>
        <v>92881.240456799918</v>
      </c>
      <c r="H199" s="15"/>
      <c r="I199" s="271">
        <f ca="1">Assumptions!O$68</f>
        <v>4.5</v>
      </c>
      <c r="J199" s="271">
        <f ca="1">Assumptions!P$68</f>
        <v>80</v>
      </c>
      <c r="K199" s="271">
        <f t="shared" ca="1" si="86"/>
        <v>40</v>
      </c>
      <c r="L199" s="15"/>
      <c r="M199" s="35">
        <f t="shared" ca="1" si="98"/>
        <v>4.2299999999999995</v>
      </c>
      <c r="N199" s="35">
        <f t="shared" ca="1" si="87"/>
        <v>74.400000000000006</v>
      </c>
      <c r="O199" s="35">
        <f t="shared" ca="1" si="88"/>
        <v>37.200000000000003</v>
      </c>
      <c r="P199" s="15"/>
      <c r="Q199" s="34">
        <f t="shared" ca="1" si="99"/>
        <v>377890.42905991204</v>
      </c>
      <c r="R199" s="34">
        <f t="shared" ca="1" si="99"/>
        <v>43963.476145900655</v>
      </c>
      <c r="S199" s="34">
        <f t="shared" ca="1" si="99"/>
        <v>0</v>
      </c>
      <c r="T199" s="34">
        <f t="shared" ca="1" si="100"/>
        <v>421853.90520581271</v>
      </c>
      <c r="U199" s="15"/>
      <c r="V199" s="35">
        <f t="shared" si="101"/>
        <v>0.31</v>
      </c>
      <c r="W199" s="34">
        <f t="shared" ca="1" si="102"/>
        <v>28793.184541607974</v>
      </c>
      <c r="X199" s="35">
        <f t="shared" si="103"/>
        <v>0.37</v>
      </c>
      <c r="Y199" s="34">
        <f t="shared" ca="1" si="104"/>
        <v>34366.058969015969</v>
      </c>
      <c r="Z199" s="35">
        <f t="shared" si="105"/>
        <v>0.57999999999999996</v>
      </c>
      <c r="AA199" s="34">
        <f t="shared" ca="1" si="106"/>
        <v>53871.119464943949</v>
      </c>
      <c r="AB199" s="34">
        <f t="shared" ca="1" si="107"/>
        <v>117030.3629755679</v>
      </c>
      <c r="AC199" s="15"/>
      <c r="AD199" s="34">
        <f t="shared" ca="1" si="108"/>
        <v>304823.54223024484</v>
      </c>
      <c r="AE199" s="34">
        <f ca="1"/>
        <v>0</v>
      </c>
      <c r="AF199" s="34">
        <f t="shared" ca="1" si="109"/>
        <v>304823.54223024484</v>
      </c>
      <c r="AG199" s="15"/>
      <c r="AH199" s="272">
        <f t="shared" si="117"/>
        <v>48944</v>
      </c>
      <c r="AI199" s="267">
        <f t="shared" si="89"/>
        <v>19.666666666666668</v>
      </c>
      <c r="AJ199" s="267">
        <f t="shared" si="90"/>
        <v>0.15344186149861608</v>
      </c>
      <c r="AK199" s="34">
        <f t="shared" ca="1" si="118"/>
        <v>46772.691748410776</v>
      </c>
      <c r="AL199" s="233"/>
      <c r="AN199" s="232"/>
      <c r="AO199" s="237">
        <f t="shared" si="110"/>
        <v>20</v>
      </c>
      <c r="AP199" s="34">
        <f t="shared" ca="1" si="121"/>
        <v>62.190453654011122</v>
      </c>
      <c r="AQ199" s="34">
        <f t="shared" ca="1" si="121"/>
        <v>0.41135548108832404</v>
      </c>
      <c r="AR199" s="34">
        <f t="shared" ca="1" si="121"/>
        <v>0</v>
      </c>
      <c r="AS199" s="34">
        <f t="shared" ca="1" si="121"/>
        <v>64.658586540541066</v>
      </c>
      <c r="AT199" s="15"/>
      <c r="AW199" s="34">
        <f t="shared" ca="1" si="112"/>
        <v>62.190453654011122</v>
      </c>
      <c r="AX199" s="34">
        <f t="shared" ca="1" si="92"/>
        <v>0.41135548108832404</v>
      </c>
      <c r="AY199" s="34">
        <f t="shared" ca="1" si="92"/>
        <v>0</v>
      </c>
      <c r="AZ199" s="34">
        <f t="shared" ca="1" si="92"/>
        <v>64.658586540541066</v>
      </c>
      <c r="BB199" s="34">
        <f t="shared" ca="1" si="122"/>
        <v>0</v>
      </c>
      <c r="BC199" s="34">
        <f t="shared" ca="1" si="122"/>
        <v>0</v>
      </c>
      <c r="BD199" s="34">
        <f t="shared" ca="1" si="122"/>
        <v>260.5313555631073</v>
      </c>
      <c r="BE199" s="34">
        <f t="shared" ca="1" si="122"/>
        <v>6577.833222044168</v>
      </c>
      <c r="BF199" s="34">
        <f t="shared" ca="1" si="122"/>
        <v>7296.8577377236261</v>
      </c>
      <c r="BG199" s="34">
        <f t="shared" ca="1" si="122"/>
        <v>8071.0294729372445</v>
      </c>
      <c r="BH199" s="34">
        <f t="shared" ca="1" si="122"/>
        <v>8438.922939185426</v>
      </c>
      <c r="BI199" s="34">
        <f t="shared" ca="1" si="122"/>
        <v>8851.5606169716175</v>
      </c>
      <c r="BJ199" s="34">
        <f t="shared" ca="1" si="122"/>
        <v>9318.325317806557</v>
      </c>
      <c r="BK199" s="34">
        <f t="shared" ca="1" si="122"/>
        <v>9851.5358362481165</v>
      </c>
      <c r="BL199" s="34">
        <f t="shared" ca="1" si="122"/>
        <v>10467.726774517054</v>
      </c>
      <c r="BM199" s="34">
        <f t="shared" ca="1" si="122"/>
        <v>11189.67338156575</v>
      </c>
      <c r="BN199" s="34">
        <f t="shared" ca="1" si="122"/>
        <v>12049.738311753243</v>
      </c>
      <c r="BO199" s="34">
        <f t="shared" ca="1" si="122"/>
        <v>13095.679130079012</v>
      </c>
      <c r="BP199" s="34">
        <f t="shared" ca="1" si="122"/>
        <v>14401.380092212814</v>
      </c>
      <c r="BQ199" s="34">
        <f t="shared" ca="1" si="122"/>
        <v>16088.289858168875</v>
      </c>
      <c r="BR199" s="34">
        <f t="shared" ca="1" si="119"/>
        <v>18372.887009574264</v>
      </c>
      <c r="BS199" s="34">
        <f t="shared" ca="1" si="119"/>
        <v>21687.850423846125</v>
      </c>
      <c r="BT199" s="34">
        <f t="shared" ca="1" si="119"/>
        <v>9742.6594334028305</v>
      </c>
      <c r="BU199" s="34">
        <f t="shared" ca="1" si="119"/>
        <v>0</v>
      </c>
      <c r="BV199" s="34">
        <f t="shared" ca="1" si="119"/>
        <v>0</v>
      </c>
      <c r="BW199" s="34">
        <f t="shared" ca="1" si="119"/>
        <v>0</v>
      </c>
      <c r="BX199" s="34">
        <f t="shared" ca="1" si="119"/>
        <v>0</v>
      </c>
      <c r="BY199" s="34">
        <f t="shared" ca="1" si="119"/>
        <v>0</v>
      </c>
      <c r="BZ199" s="34">
        <f t="shared" ca="1" si="119"/>
        <v>0</v>
      </c>
      <c r="CA199" s="34">
        <f t="shared" ca="1" si="119"/>
        <v>0</v>
      </c>
      <c r="CB199" s="34">
        <f t="shared" ca="1" si="119"/>
        <v>0</v>
      </c>
      <c r="CC199" s="34">
        <f t="shared" ca="1" si="119"/>
        <v>0</v>
      </c>
      <c r="CD199" s="34">
        <f t="shared" ca="1" si="119"/>
        <v>0</v>
      </c>
      <c r="CE199" s="34">
        <f t="shared" ca="1" si="119"/>
        <v>0</v>
      </c>
      <c r="CF199" s="34">
        <f t="shared" ca="1" si="119"/>
        <v>0</v>
      </c>
      <c r="CG199" s="34">
        <f t="shared" ca="1" si="119"/>
        <v>0</v>
      </c>
      <c r="CH199" s="34">
        <f t="shared" ca="1" si="120"/>
        <v>0</v>
      </c>
      <c r="CI199" s="34">
        <f t="shared" ca="1" si="120"/>
        <v>0</v>
      </c>
      <c r="CJ199" s="34">
        <f t="shared" ca="1" si="120"/>
        <v>0</v>
      </c>
      <c r="CK199" s="34">
        <f t="shared" ca="1" si="120"/>
        <v>0</v>
      </c>
      <c r="CL199" s="34">
        <f t="shared" ca="1" si="120"/>
        <v>0</v>
      </c>
      <c r="CM199" s="34">
        <f t="shared" ca="1" si="120"/>
        <v>0</v>
      </c>
      <c r="CN199" s="34">
        <f t="shared" ca="1" si="120"/>
        <v>0</v>
      </c>
      <c r="CO199" s="34">
        <f t="shared" ca="1" si="120"/>
        <v>0</v>
      </c>
      <c r="CP199" s="34">
        <f t="shared" ca="1" si="120"/>
        <v>0</v>
      </c>
      <c r="CQ199" s="34">
        <f t="shared" ca="1" si="114"/>
        <v>185762.48091359984</v>
      </c>
      <c r="CR199" s="363">
        <v>0</v>
      </c>
      <c r="CS199" s="34">
        <f t="shared" ca="1" si="115"/>
        <v>185762.48091359984</v>
      </c>
      <c r="CT199" s="233"/>
    </row>
    <row r="200" spans="2:98" x14ac:dyDescent="0.3">
      <c r="B200" s="232"/>
      <c r="C200" s="250">
        <f t="shared" si="116"/>
        <v>2034</v>
      </c>
      <c r="D200" s="263">
        <f t="shared" ca="1" si="96"/>
        <v>81422.292757610572</v>
      </c>
      <c r="E200" s="263">
        <f t="shared" ca="1" si="84"/>
        <v>538.56346819655357</v>
      </c>
      <c r="F200" s="263">
        <f t="shared" ca="1" si="85"/>
        <v>0</v>
      </c>
      <c r="G200" s="263">
        <f t="shared" ca="1" si="97"/>
        <v>84653.67356678989</v>
      </c>
      <c r="H200" s="15"/>
      <c r="I200" s="271">
        <f ca="1">Assumptions!O$68</f>
        <v>4.5</v>
      </c>
      <c r="J200" s="271">
        <f ca="1">Assumptions!P$68</f>
        <v>80</v>
      </c>
      <c r="K200" s="271">
        <f t="shared" ca="1" si="86"/>
        <v>40</v>
      </c>
      <c r="L200" s="15"/>
      <c r="M200" s="35">
        <f t="shared" ca="1" si="98"/>
        <v>4.2299999999999995</v>
      </c>
      <c r="N200" s="35">
        <f t="shared" ca="1" si="87"/>
        <v>74.400000000000006</v>
      </c>
      <c r="O200" s="35">
        <f t="shared" ca="1" si="88"/>
        <v>37.200000000000003</v>
      </c>
      <c r="P200" s="15"/>
      <c r="Q200" s="34">
        <f t="shared" ca="1" si="99"/>
        <v>344416.29836469266</v>
      </c>
      <c r="R200" s="34">
        <f t="shared" ca="1" si="99"/>
        <v>40069.122033823587</v>
      </c>
      <c r="S200" s="34">
        <f t="shared" ca="1" si="99"/>
        <v>0</v>
      </c>
      <c r="T200" s="34">
        <f t="shared" ca="1" si="100"/>
        <v>384485.42039851623</v>
      </c>
      <c r="U200" s="15"/>
      <c r="V200" s="35">
        <f t="shared" si="101"/>
        <v>0.31</v>
      </c>
      <c r="W200" s="34">
        <f t="shared" ca="1" si="102"/>
        <v>26242.638805704864</v>
      </c>
      <c r="X200" s="35">
        <f t="shared" si="103"/>
        <v>0.37</v>
      </c>
      <c r="Y200" s="34">
        <f t="shared" ca="1" si="104"/>
        <v>31321.85921971226</v>
      </c>
      <c r="Z200" s="35">
        <f t="shared" si="105"/>
        <v>0.57999999999999996</v>
      </c>
      <c r="AA200" s="34">
        <f t="shared" ca="1" si="106"/>
        <v>49099.130668738129</v>
      </c>
      <c r="AB200" s="34">
        <f t="shared" ca="1" si="107"/>
        <v>106663.62869415525</v>
      </c>
      <c r="AC200" s="15"/>
      <c r="AD200" s="34">
        <f t="shared" ca="1" si="108"/>
        <v>277821.79170436098</v>
      </c>
      <c r="AE200" s="34">
        <f ca="1"/>
        <v>0</v>
      </c>
      <c r="AF200" s="34">
        <f t="shared" ca="1" si="109"/>
        <v>277821.79170436098</v>
      </c>
      <c r="AG200" s="15"/>
      <c r="AH200" s="272">
        <f t="shared" si="117"/>
        <v>49309</v>
      </c>
      <c r="AI200" s="267">
        <f t="shared" si="89"/>
        <v>20.666666666666668</v>
      </c>
      <c r="AJ200" s="267">
        <f t="shared" si="90"/>
        <v>0.13949260136237826</v>
      </c>
      <c r="AK200" s="34">
        <f t="shared" ca="1" si="118"/>
        <v>38754.084439998114</v>
      </c>
      <c r="AL200" s="233"/>
      <c r="AN200" s="232"/>
      <c r="AO200" s="237">
        <f t="shared" si="110"/>
        <v>21</v>
      </c>
      <c r="AP200" s="34">
        <f t="shared" ca="1" si="121"/>
        <v>59.67944663003567</v>
      </c>
      <c r="AQ200" s="34">
        <f t="shared" ca="1" si="121"/>
        <v>0.39474655734401298</v>
      </c>
      <c r="AR200" s="34">
        <f t="shared" ca="1" si="121"/>
        <v>0</v>
      </c>
      <c r="AS200" s="34">
        <f t="shared" ca="1" si="121"/>
        <v>62.047925974099748</v>
      </c>
      <c r="AT200" s="15"/>
      <c r="AW200" s="34">
        <f t="shared" ca="1" si="112"/>
        <v>59.67944663003567</v>
      </c>
      <c r="AX200" s="34">
        <f t="shared" ca="1" si="92"/>
        <v>0.39474655734401298</v>
      </c>
      <c r="AY200" s="34">
        <f t="shared" ca="1" si="92"/>
        <v>0</v>
      </c>
      <c r="AZ200" s="34">
        <f t="shared" ca="1" si="92"/>
        <v>62.047925974099748</v>
      </c>
      <c r="BB200" s="34">
        <f t="shared" ca="1" si="122"/>
        <v>0</v>
      </c>
      <c r="BC200" s="34">
        <f t="shared" ca="1" si="122"/>
        <v>0</v>
      </c>
      <c r="BD200" s="34">
        <f t="shared" ca="1" si="122"/>
        <v>250.01208529132595</v>
      </c>
      <c r="BE200" s="34">
        <f t="shared" ca="1" si="122"/>
        <v>6312.2453639780506</v>
      </c>
      <c r="BF200" s="34">
        <f t="shared" ca="1" si="122"/>
        <v>7002.2095589502433</v>
      </c>
      <c r="BG200" s="34">
        <f t="shared" ca="1" si="122"/>
        <v>7739.0915400099075</v>
      </c>
      <c r="BH200" s="34">
        <f t="shared" ca="1" si="122"/>
        <v>8071.0294729372445</v>
      </c>
      <c r="BI200" s="34">
        <f t="shared" ca="1" si="122"/>
        <v>8438.922939185426</v>
      </c>
      <c r="BJ200" s="34">
        <f t="shared" ca="1" si="122"/>
        <v>8851.5606169716175</v>
      </c>
      <c r="BK200" s="34">
        <f t="shared" ca="1" si="122"/>
        <v>9318.325317806557</v>
      </c>
      <c r="BL200" s="34">
        <f t="shared" ca="1" si="122"/>
        <v>9851.5358362481165</v>
      </c>
      <c r="BM200" s="34">
        <f t="shared" ca="1" si="122"/>
        <v>10467.726774517054</v>
      </c>
      <c r="BN200" s="34">
        <f t="shared" ca="1" si="122"/>
        <v>11189.67338156575</v>
      </c>
      <c r="BO200" s="34">
        <f t="shared" ca="1" si="122"/>
        <v>12049.738311753243</v>
      </c>
      <c r="BP200" s="34">
        <f t="shared" ca="1" si="122"/>
        <v>13095.679130079012</v>
      </c>
      <c r="BQ200" s="34">
        <f t="shared" ca="1" si="122"/>
        <v>14401.380092212814</v>
      </c>
      <c r="BR200" s="34">
        <f t="shared" ca="1" si="119"/>
        <v>16088.289858168875</v>
      </c>
      <c r="BS200" s="34">
        <f t="shared" ca="1" si="119"/>
        <v>18372.887009574264</v>
      </c>
      <c r="BT200" s="34">
        <f t="shared" ca="1" si="119"/>
        <v>7807.0398443302984</v>
      </c>
      <c r="BU200" s="34">
        <f t="shared" ca="1" si="119"/>
        <v>0</v>
      </c>
      <c r="BV200" s="34">
        <f t="shared" ca="1" si="119"/>
        <v>0</v>
      </c>
      <c r="BW200" s="34">
        <f t="shared" ca="1" si="119"/>
        <v>0</v>
      </c>
      <c r="BX200" s="34">
        <f t="shared" ca="1" si="119"/>
        <v>0</v>
      </c>
      <c r="BY200" s="34">
        <f t="shared" ca="1" si="119"/>
        <v>0</v>
      </c>
      <c r="BZ200" s="34">
        <f t="shared" ca="1" si="119"/>
        <v>0</v>
      </c>
      <c r="CA200" s="34">
        <f t="shared" ca="1" si="119"/>
        <v>0</v>
      </c>
      <c r="CB200" s="34">
        <f t="shared" ca="1" si="119"/>
        <v>0</v>
      </c>
      <c r="CC200" s="34">
        <f t="shared" ca="1" si="119"/>
        <v>0</v>
      </c>
      <c r="CD200" s="34">
        <f t="shared" ca="1" si="119"/>
        <v>0</v>
      </c>
      <c r="CE200" s="34">
        <f t="shared" ca="1" si="119"/>
        <v>0</v>
      </c>
      <c r="CF200" s="34">
        <f t="shared" ca="1" si="119"/>
        <v>0</v>
      </c>
      <c r="CG200" s="34">
        <f t="shared" ca="1" si="119"/>
        <v>0</v>
      </c>
      <c r="CH200" s="34">
        <f t="shared" ca="1" si="120"/>
        <v>0</v>
      </c>
      <c r="CI200" s="34">
        <f t="shared" ca="1" si="120"/>
        <v>0</v>
      </c>
      <c r="CJ200" s="34">
        <f t="shared" ca="1" si="120"/>
        <v>0</v>
      </c>
      <c r="CK200" s="34">
        <f t="shared" ca="1" si="120"/>
        <v>0</v>
      </c>
      <c r="CL200" s="34">
        <f t="shared" ca="1" si="120"/>
        <v>0</v>
      </c>
      <c r="CM200" s="34">
        <f t="shared" ca="1" si="120"/>
        <v>0</v>
      </c>
      <c r="CN200" s="34">
        <f t="shared" ca="1" si="120"/>
        <v>0</v>
      </c>
      <c r="CO200" s="34">
        <f t="shared" ca="1" si="120"/>
        <v>0</v>
      </c>
      <c r="CP200" s="34">
        <f t="shared" ca="1" si="120"/>
        <v>0</v>
      </c>
      <c r="CQ200" s="34">
        <f t="shared" ca="1" si="114"/>
        <v>169307.34713357978</v>
      </c>
      <c r="CR200" s="363">
        <v>0</v>
      </c>
      <c r="CS200" s="34">
        <f t="shared" ca="1" si="115"/>
        <v>169307.34713357978</v>
      </c>
      <c r="CT200" s="233"/>
    </row>
    <row r="201" spans="2:98" x14ac:dyDescent="0.3">
      <c r="B201" s="232"/>
      <c r="C201" s="250">
        <f t="shared" si="116"/>
        <v>2035</v>
      </c>
      <c r="D201" s="263">
        <f t="shared" ca="1" si="96"/>
        <v>75320.800744559951</v>
      </c>
      <c r="E201" s="263">
        <f t="shared" ca="1" si="84"/>
        <v>498.20547054713262</v>
      </c>
      <c r="F201" s="263">
        <f t="shared" ca="1" si="85"/>
        <v>0</v>
      </c>
      <c r="G201" s="263">
        <f t="shared" ca="1" si="97"/>
        <v>78310.033567842751</v>
      </c>
      <c r="H201" s="15"/>
      <c r="I201" s="271">
        <f ca="1">Assumptions!O$68</f>
        <v>4.5</v>
      </c>
      <c r="J201" s="271">
        <f ca="1">Assumptions!P$68</f>
        <v>80</v>
      </c>
      <c r="K201" s="271">
        <f t="shared" ca="1" si="86"/>
        <v>40</v>
      </c>
      <c r="L201" s="15"/>
      <c r="M201" s="35">
        <f t="shared" ca="1" si="98"/>
        <v>4.2299999999999995</v>
      </c>
      <c r="N201" s="35">
        <f t="shared" ca="1" si="87"/>
        <v>74.400000000000006</v>
      </c>
      <c r="O201" s="35">
        <f t="shared" ca="1" si="88"/>
        <v>37.200000000000003</v>
      </c>
      <c r="P201" s="15"/>
      <c r="Q201" s="34">
        <f t="shared" ca="1" si="99"/>
        <v>318606.98714948853</v>
      </c>
      <c r="R201" s="34">
        <f t="shared" ca="1" si="99"/>
        <v>37066.487008706667</v>
      </c>
      <c r="S201" s="34">
        <f t="shared" ca="1" si="99"/>
        <v>0</v>
      </c>
      <c r="T201" s="34">
        <f t="shared" ca="1" si="100"/>
        <v>355673.4741581952</v>
      </c>
      <c r="U201" s="15"/>
      <c r="V201" s="35">
        <f t="shared" si="101"/>
        <v>0.31</v>
      </c>
      <c r="W201" s="34">
        <f t="shared" ca="1" si="102"/>
        <v>24276.110406031254</v>
      </c>
      <c r="X201" s="35">
        <f t="shared" si="103"/>
        <v>0.37</v>
      </c>
      <c r="Y201" s="34">
        <f t="shared" ca="1" si="104"/>
        <v>28974.712420101816</v>
      </c>
      <c r="Z201" s="35">
        <f t="shared" si="105"/>
        <v>0.57999999999999996</v>
      </c>
      <c r="AA201" s="34">
        <f t="shared" ca="1" si="106"/>
        <v>45419.819469348789</v>
      </c>
      <c r="AB201" s="34">
        <f t="shared" ca="1" si="107"/>
        <v>98670.642295481855</v>
      </c>
      <c r="AC201" s="15"/>
      <c r="AD201" s="34">
        <f t="shared" ca="1" si="108"/>
        <v>257002.83186271333</v>
      </c>
      <c r="AE201" s="34">
        <f ca="1"/>
        <v>0</v>
      </c>
      <c r="AF201" s="34">
        <f t="shared" ca="1" si="109"/>
        <v>257002.83186271333</v>
      </c>
      <c r="AG201" s="15"/>
      <c r="AH201" s="272">
        <f t="shared" si="117"/>
        <v>49674</v>
      </c>
      <c r="AI201" s="267">
        <f t="shared" si="89"/>
        <v>21.666666666666668</v>
      </c>
      <c r="AJ201" s="267">
        <f t="shared" si="90"/>
        <v>0.12681145578398023</v>
      </c>
      <c r="AK201" s="34">
        <f t="shared" ca="1" si="118"/>
        <v>32590.903249116178</v>
      </c>
      <c r="AL201" s="233"/>
      <c r="AN201" s="232"/>
      <c r="AO201" s="237">
        <f t="shared" si="110"/>
        <v>22</v>
      </c>
      <c r="AP201" s="34">
        <f t="shared" ca="1" si="121"/>
        <v>57.269819560815456</v>
      </c>
      <c r="AQ201" s="34">
        <f t="shared" ca="1" si="121"/>
        <v>0.3788082059723214</v>
      </c>
      <c r="AR201" s="34">
        <f t="shared" ca="1" si="121"/>
        <v>0</v>
      </c>
      <c r="AS201" s="34">
        <f t="shared" ca="1" si="121"/>
        <v>59.542668796649387</v>
      </c>
      <c r="AT201" s="15"/>
      <c r="AW201" s="34">
        <f t="shared" ca="1" si="112"/>
        <v>57.269819560815456</v>
      </c>
      <c r="AX201" s="34">
        <f t="shared" ca="1" si="92"/>
        <v>0.3788082059723214</v>
      </c>
      <c r="AY201" s="34">
        <f t="shared" ca="1" si="92"/>
        <v>0</v>
      </c>
      <c r="AZ201" s="34">
        <f t="shared" ca="1" si="92"/>
        <v>59.542668796649387</v>
      </c>
      <c r="BB201" s="34">
        <f t="shared" ca="1" si="122"/>
        <v>0</v>
      </c>
      <c r="BC201" s="34">
        <f t="shared" ca="1" si="122"/>
        <v>0</v>
      </c>
      <c r="BD201" s="34">
        <f t="shared" ca="1" si="122"/>
        <v>239.91755417817345</v>
      </c>
      <c r="BE201" s="34">
        <f t="shared" ca="1" si="122"/>
        <v>6057.3807820855254</v>
      </c>
      <c r="BF201" s="34">
        <f t="shared" ca="1" si="122"/>
        <v>6719.4870003637307</v>
      </c>
      <c r="BG201" s="34">
        <f t="shared" ca="1" si="122"/>
        <v>7426.5858958563194</v>
      </c>
      <c r="BH201" s="34">
        <f t="shared" ca="1" si="122"/>
        <v>7739.0915400099075</v>
      </c>
      <c r="BI201" s="34">
        <f t="shared" ca="1" si="122"/>
        <v>8071.0294729372445</v>
      </c>
      <c r="BJ201" s="34">
        <f t="shared" ca="1" si="122"/>
        <v>8438.922939185426</v>
      </c>
      <c r="BK201" s="34">
        <f t="shared" ca="1" si="122"/>
        <v>8851.5606169716175</v>
      </c>
      <c r="BL201" s="34">
        <f t="shared" ca="1" si="122"/>
        <v>9318.325317806557</v>
      </c>
      <c r="BM201" s="34">
        <f t="shared" ca="1" si="122"/>
        <v>9851.5358362481165</v>
      </c>
      <c r="BN201" s="34">
        <f t="shared" ca="1" si="122"/>
        <v>10467.726774517054</v>
      </c>
      <c r="BO201" s="34">
        <f t="shared" ca="1" si="122"/>
        <v>11189.67338156575</v>
      </c>
      <c r="BP201" s="34">
        <f t="shared" ca="1" si="122"/>
        <v>12049.738311753243</v>
      </c>
      <c r="BQ201" s="34">
        <f t="shared" ca="1" si="122"/>
        <v>13095.679130079012</v>
      </c>
      <c r="BR201" s="34">
        <f t="shared" ca="1" si="119"/>
        <v>14401.380092212814</v>
      </c>
      <c r="BS201" s="34">
        <f t="shared" ca="1" si="119"/>
        <v>16088.289858168875</v>
      </c>
      <c r="BT201" s="34">
        <f t="shared" ca="1" si="119"/>
        <v>6613.7426317461459</v>
      </c>
      <c r="BU201" s="34">
        <f t="shared" ca="1" si="119"/>
        <v>0</v>
      </c>
      <c r="BV201" s="34">
        <f t="shared" ca="1" si="119"/>
        <v>0</v>
      </c>
      <c r="BW201" s="34">
        <f t="shared" ca="1" si="119"/>
        <v>0</v>
      </c>
      <c r="BX201" s="34">
        <f t="shared" ca="1" si="119"/>
        <v>0</v>
      </c>
      <c r="BY201" s="34">
        <f t="shared" ca="1" si="119"/>
        <v>0</v>
      </c>
      <c r="BZ201" s="34">
        <f t="shared" ca="1" si="119"/>
        <v>0</v>
      </c>
      <c r="CA201" s="34">
        <f t="shared" ca="1" si="119"/>
        <v>0</v>
      </c>
      <c r="CB201" s="34">
        <f t="shared" ca="1" si="119"/>
        <v>0</v>
      </c>
      <c r="CC201" s="34">
        <f t="shared" ca="1" si="119"/>
        <v>0</v>
      </c>
      <c r="CD201" s="34">
        <f t="shared" ca="1" si="119"/>
        <v>0</v>
      </c>
      <c r="CE201" s="34">
        <f t="shared" ca="1" si="119"/>
        <v>0</v>
      </c>
      <c r="CF201" s="34">
        <f t="shared" ca="1" si="119"/>
        <v>0</v>
      </c>
      <c r="CG201" s="34">
        <f t="shared" ca="1" si="119"/>
        <v>0</v>
      </c>
      <c r="CH201" s="34">
        <f t="shared" ca="1" si="120"/>
        <v>0</v>
      </c>
      <c r="CI201" s="34">
        <f t="shared" ca="1" si="120"/>
        <v>0</v>
      </c>
      <c r="CJ201" s="34">
        <f t="shared" ca="1" si="120"/>
        <v>0</v>
      </c>
      <c r="CK201" s="34">
        <f t="shared" ca="1" si="120"/>
        <v>0</v>
      </c>
      <c r="CL201" s="34">
        <f t="shared" ca="1" si="120"/>
        <v>0</v>
      </c>
      <c r="CM201" s="34">
        <f t="shared" ca="1" si="120"/>
        <v>0</v>
      </c>
      <c r="CN201" s="34">
        <f t="shared" ca="1" si="120"/>
        <v>0</v>
      </c>
      <c r="CO201" s="34">
        <f t="shared" ca="1" si="120"/>
        <v>0</v>
      </c>
      <c r="CP201" s="34">
        <f t="shared" ca="1" si="120"/>
        <v>0</v>
      </c>
      <c r="CQ201" s="34">
        <f t="shared" ca="1" si="114"/>
        <v>156620.0671356855</v>
      </c>
      <c r="CR201" s="363">
        <v>0</v>
      </c>
      <c r="CS201" s="34">
        <f t="shared" ca="1" si="115"/>
        <v>156620.0671356855</v>
      </c>
      <c r="CT201" s="233"/>
    </row>
    <row r="202" spans="2:98" x14ac:dyDescent="0.3">
      <c r="B202" s="232"/>
      <c r="C202" s="250">
        <f t="shared" si="116"/>
        <v>2036</v>
      </c>
      <c r="D202" s="263">
        <f t="shared" ca="1" si="96"/>
        <v>70362.80578612964</v>
      </c>
      <c r="E202" s="263">
        <f t="shared" ca="1" si="84"/>
        <v>465.41107395525233</v>
      </c>
      <c r="F202" s="263">
        <f t="shared" ca="1" si="85"/>
        <v>0</v>
      </c>
      <c r="G202" s="263">
        <f t="shared" ca="1" si="97"/>
        <v>73155.272229861148</v>
      </c>
      <c r="H202" s="15"/>
      <c r="I202" s="271">
        <f ca="1">Assumptions!O$68</f>
        <v>4.5</v>
      </c>
      <c r="J202" s="271">
        <f ca="1">Assumptions!P$68</f>
        <v>80</v>
      </c>
      <c r="K202" s="271">
        <f t="shared" ca="1" si="86"/>
        <v>40</v>
      </c>
      <c r="L202" s="15"/>
      <c r="M202" s="35">
        <f t="shared" ca="1" si="98"/>
        <v>4.2299999999999995</v>
      </c>
      <c r="N202" s="35">
        <f t="shared" ca="1" si="87"/>
        <v>74.400000000000006</v>
      </c>
      <c r="O202" s="35">
        <f t="shared" ca="1" si="88"/>
        <v>37.200000000000003</v>
      </c>
      <c r="P202" s="15"/>
      <c r="Q202" s="34">
        <f t="shared" ca="1" si="99"/>
        <v>297634.66847532836</v>
      </c>
      <c r="R202" s="34">
        <f t="shared" ca="1" si="99"/>
        <v>34626.583902270773</v>
      </c>
      <c r="S202" s="34">
        <f t="shared" ca="1" si="99"/>
        <v>0</v>
      </c>
      <c r="T202" s="34">
        <f t="shared" ca="1" si="100"/>
        <v>332261.25237759913</v>
      </c>
      <c r="U202" s="15"/>
      <c r="V202" s="35">
        <f t="shared" si="101"/>
        <v>0.31</v>
      </c>
      <c r="W202" s="34">
        <f t="shared" ca="1" si="102"/>
        <v>22678.134391256957</v>
      </c>
      <c r="X202" s="35">
        <f t="shared" si="103"/>
        <v>0.37</v>
      </c>
      <c r="Y202" s="34">
        <f t="shared" ca="1" si="104"/>
        <v>27067.450725048624</v>
      </c>
      <c r="Z202" s="35">
        <f t="shared" si="105"/>
        <v>0.57999999999999996</v>
      </c>
      <c r="AA202" s="34">
        <f t="shared" ca="1" si="106"/>
        <v>42430.057893319463</v>
      </c>
      <c r="AB202" s="34">
        <f t="shared" ca="1" si="107"/>
        <v>92175.643009625041</v>
      </c>
      <c r="AC202" s="15"/>
      <c r="AD202" s="34">
        <f t="shared" ca="1" si="108"/>
        <v>240085.6093679741</v>
      </c>
      <c r="AE202" s="34">
        <f ca="1"/>
        <v>0</v>
      </c>
      <c r="AF202" s="34">
        <f t="shared" ca="1" si="109"/>
        <v>240085.6093679741</v>
      </c>
      <c r="AG202" s="15"/>
      <c r="AH202" s="272">
        <f t="shared" si="117"/>
        <v>50040</v>
      </c>
      <c r="AI202" s="267">
        <f t="shared" si="89"/>
        <v>22.666666666666668</v>
      </c>
      <c r="AJ202" s="267">
        <f t="shared" si="90"/>
        <v>0.11528314162180023</v>
      </c>
      <c r="AK202" s="34">
        <f t="shared" ca="1" si="118"/>
        <v>27677.823306124366</v>
      </c>
      <c r="AL202" s="233"/>
      <c r="AN202" s="232"/>
      <c r="AO202" s="237">
        <f t="shared" si="110"/>
        <v>23</v>
      </c>
      <c r="AP202" s="34">
        <f t="shared" ca="1" si="121"/>
        <v>54.957488591091561</v>
      </c>
      <c r="AQ202" s="34">
        <f t="shared" ca="1" si="121"/>
        <v>0.36351341452767244</v>
      </c>
      <c r="AR202" s="34">
        <f t="shared" ca="1" si="121"/>
        <v>0</v>
      </c>
      <c r="AS202" s="34">
        <f t="shared" ca="1" si="121"/>
        <v>57.138569078257596</v>
      </c>
      <c r="AT202" s="15"/>
      <c r="AW202" s="34">
        <f t="shared" ca="1" si="112"/>
        <v>54.957488591091561</v>
      </c>
      <c r="AX202" s="34">
        <f t="shared" ca="1" si="92"/>
        <v>0.36351341452767244</v>
      </c>
      <c r="AY202" s="34">
        <f t="shared" ca="1" si="92"/>
        <v>0</v>
      </c>
      <c r="AZ202" s="34">
        <f t="shared" ca="1" si="92"/>
        <v>57.138569078257596</v>
      </c>
      <c r="BB202" s="34">
        <f t="shared" ca="1" si="122"/>
        <v>0</v>
      </c>
      <c r="BC202" s="34">
        <f t="shared" ca="1" si="122"/>
        <v>0</v>
      </c>
      <c r="BD202" s="34">
        <f t="shared" ca="1" si="122"/>
        <v>230.23062269077869</v>
      </c>
      <c r="BE202" s="34">
        <f t="shared" ca="1" si="122"/>
        <v>5812.806929994641</v>
      </c>
      <c r="BF202" s="34">
        <f t="shared" ca="1" si="122"/>
        <v>6448.1795422200757</v>
      </c>
      <c r="BG202" s="34">
        <f t="shared" ca="1" si="122"/>
        <v>7126.7286367494125</v>
      </c>
      <c r="BH202" s="34">
        <f t="shared" ca="1" si="122"/>
        <v>7426.5858958563194</v>
      </c>
      <c r="BI202" s="34">
        <f t="shared" ca="1" si="122"/>
        <v>7739.0915400099075</v>
      </c>
      <c r="BJ202" s="34">
        <f t="shared" ca="1" si="122"/>
        <v>8071.0294729372445</v>
      </c>
      <c r="BK202" s="34">
        <f t="shared" ca="1" si="122"/>
        <v>8438.922939185426</v>
      </c>
      <c r="BL202" s="34">
        <f t="shared" ca="1" si="122"/>
        <v>8851.5606169716175</v>
      </c>
      <c r="BM202" s="34">
        <f t="shared" ca="1" si="122"/>
        <v>9318.325317806557</v>
      </c>
      <c r="BN202" s="34">
        <f t="shared" ca="1" si="122"/>
        <v>9851.5358362481165</v>
      </c>
      <c r="BO202" s="34">
        <f t="shared" ca="1" si="122"/>
        <v>10467.726774517054</v>
      </c>
      <c r="BP202" s="34">
        <f t="shared" ca="1" si="122"/>
        <v>11189.67338156575</v>
      </c>
      <c r="BQ202" s="34">
        <f t="shared" ca="1" si="122"/>
        <v>12049.738311753243</v>
      </c>
      <c r="BR202" s="34">
        <f t="shared" ca="1" si="119"/>
        <v>13095.679130079012</v>
      </c>
      <c r="BS202" s="34">
        <f t="shared" ca="1" si="119"/>
        <v>14401.380092212814</v>
      </c>
      <c r="BT202" s="34">
        <f t="shared" ca="1" si="119"/>
        <v>5791.3494189243493</v>
      </c>
      <c r="BU202" s="34">
        <f t="shared" ca="1" si="119"/>
        <v>0</v>
      </c>
      <c r="BV202" s="34">
        <f t="shared" ca="1" si="119"/>
        <v>0</v>
      </c>
      <c r="BW202" s="34">
        <f t="shared" ca="1" si="119"/>
        <v>0</v>
      </c>
      <c r="BX202" s="34">
        <f t="shared" ca="1" si="119"/>
        <v>0</v>
      </c>
      <c r="BY202" s="34">
        <f t="shared" ca="1" si="119"/>
        <v>0</v>
      </c>
      <c r="BZ202" s="34">
        <f t="shared" ca="1" si="119"/>
        <v>0</v>
      </c>
      <c r="CA202" s="34">
        <f t="shared" ca="1" si="119"/>
        <v>0</v>
      </c>
      <c r="CB202" s="34">
        <f t="shared" ca="1" si="119"/>
        <v>0</v>
      </c>
      <c r="CC202" s="34">
        <f t="shared" ca="1" si="119"/>
        <v>0</v>
      </c>
      <c r="CD202" s="34">
        <f t="shared" ca="1" si="119"/>
        <v>0</v>
      </c>
      <c r="CE202" s="34">
        <f t="shared" ca="1" si="119"/>
        <v>0</v>
      </c>
      <c r="CF202" s="34">
        <f t="shared" ca="1" si="119"/>
        <v>0</v>
      </c>
      <c r="CG202" s="34">
        <f t="shared" ca="1" si="119"/>
        <v>0</v>
      </c>
      <c r="CH202" s="34">
        <f t="shared" ca="1" si="120"/>
        <v>0</v>
      </c>
      <c r="CI202" s="34">
        <f t="shared" ca="1" si="120"/>
        <v>0</v>
      </c>
      <c r="CJ202" s="34">
        <f t="shared" ca="1" si="120"/>
        <v>0</v>
      </c>
      <c r="CK202" s="34">
        <f t="shared" ca="1" si="120"/>
        <v>0</v>
      </c>
      <c r="CL202" s="34">
        <f t="shared" ca="1" si="120"/>
        <v>0</v>
      </c>
      <c r="CM202" s="34">
        <f t="shared" ca="1" si="120"/>
        <v>0</v>
      </c>
      <c r="CN202" s="34">
        <f t="shared" ca="1" si="120"/>
        <v>0</v>
      </c>
      <c r="CO202" s="34">
        <f t="shared" ca="1" si="120"/>
        <v>0</v>
      </c>
      <c r="CP202" s="34">
        <f t="shared" ca="1" si="120"/>
        <v>0</v>
      </c>
      <c r="CQ202" s="34">
        <f t="shared" ca="1" si="114"/>
        <v>146310.5444597223</v>
      </c>
      <c r="CR202" s="363">
        <v>0</v>
      </c>
      <c r="CS202" s="34">
        <f t="shared" ca="1" si="115"/>
        <v>146310.5444597223</v>
      </c>
      <c r="CT202" s="233"/>
    </row>
    <row r="203" spans="2:98" x14ac:dyDescent="0.3">
      <c r="B203" s="232"/>
      <c r="C203" s="250">
        <f t="shared" si="116"/>
        <v>2037</v>
      </c>
      <c r="D203" s="263">
        <f t="shared" ca="1" si="96"/>
        <v>66191.361225463144</v>
      </c>
      <c r="E203" s="263">
        <f t="shared" ca="1" si="84"/>
        <v>437.8192735539771</v>
      </c>
      <c r="F203" s="263">
        <f t="shared" ca="1" si="85"/>
        <v>0</v>
      </c>
      <c r="G203" s="263">
        <f t="shared" ca="1" si="97"/>
        <v>68818.276866787011</v>
      </c>
      <c r="H203" s="15"/>
      <c r="I203" s="271">
        <f ca="1">Assumptions!O$68</f>
        <v>4.5</v>
      </c>
      <c r="J203" s="271">
        <f ca="1">Assumptions!P$68</f>
        <v>80</v>
      </c>
      <c r="K203" s="271">
        <f t="shared" ca="1" si="86"/>
        <v>40</v>
      </c>
      <c r="L203" s="15"/>
      <c r="M203" s="35">
        <f t="shared" ca="1" si="98"/>
        <v>4.2299999999999995</v>
      </c>
      <c r="N203" s="35">
        <f t="shared" ca="1" si="87"/>
        <v>74.400000000000006</v>
      </c>
      <c r="O203" s="35">
        <f t="shared" ca="1" si="88"/>
        <v>37.200000000000003</v>
      </c>
      <c r="P203" s="15"/>
      <c r="Q203" s="34">
        <f t="shared" ca="1" si="99"/>
        <v>279989.45798370906</v>
      </c>
      <c r="R203" s="34">
        <f t="shared" ca="1" si="99"/>
        <v>32573.7539524159</v>
      </c>
      <c r="S203" s="34">
        <f t="shared" ca="1" si="99"/>
        <v>0</v>
      </c>
      <c r="T203" s="34">
        <f t="shared" ca="1" si="100"/>
        <v>312563.21193612495</v>
      </c>
      <c r="U203" s="15"/>
      <c r="V203" s="35">
        <f t="shared" si="101"/>
        <v>0.31</v>
      </c>
      <c r="W203" s="34">
        <f t="shared" ca="1" si="102"/>
        <v>21333.665828703972</v>
      </c>
      <c r="X203" s="35">
        <f t="shared" si="103"/>
        <v>0.37</v>
      </c>
      <c r="Y203" s="34">
        <f t="shared" ca="1" si="104"/>
        <v>25462.762440711194</v>
      </c>
      <c r="Z203" s="35">
        <f t="shared" si="105"/>
        <v>0.57999999999999996</v>
      </c>
      <c r="AA203" s="34">
        <f t="shared" ca="1" si="106"/>
        <v>39914.600582736464</v>
      </c>
      <c r="AB203" s="34">
        <f t="shared" ca="1" si="107"/>
        <v>86711.02885215162</v>
      </c>
      <c r="AC203" s="15"/>
      <c r="AD203" s="34">
        <f t="shared" ca="1" si="108"/>
        <v>225852.18308397333</v>
      </c>
      <c r="AE203" s="34">
        <f ca="1"/>
        <v>0</v>
      </c>
      <c r="AF203" s="34">
        <f t="shared" ca="1" si="109"/>
        <v>225852.18308397333</v>
      </c>
      <c r="AG203" s="15"/>
      <c r="AH203" s="272">
        <f t="shared" si="117"/>
        <v>50405</v>
      </c>
      <c r="AI203" s="267">
        <f t="shared" si="89"/>
        <v>23.666666666666668</v>
      </c>
      <c r="AJ203" s="267">
        <f t="shared" si="90"/>
        <v>0.10480285601981834</v>
      </c>
      <c r="AK203" s="34">
        <f t="shared" ca="1" si="118"/>
        <v>23669.953825511308</v>
      </c>
      <c r="AL203" s="233"/>
      <c r="AN203" s="232"/>
      <c r="AO203" s="237">
        <f t="shared" si="110"/>
        <v>24</v>
      </c>
      <c r="AP203" s="34">
        <f t="shared" ca="1" si="121"/>
        <v>52.73852447948272</v>
      </c>
      <c r="AQ203" s="34">
        <f t="shared" ca="1" si="121"/>
        <v>0.34883619324984205</v>
      </c>
      <c r="AR203" s="34">
        <f t="shared" ca="1" si="121"/>
        <v>0</v>
      </c>
      <c r="AS203" s="34">
        <f t="shared" ca="1" si="121"/>
        <v>54.831541638981776</v>
      </c>
      <c r="AT203" s="15"/>
      <c r="AW203" s="34">
        <f t="shared" ca="1" si="112"/>
        <v>52.73852447948272</v>
      </c>
      <c r="AX203" s="34">
        <f t="shared" ca="1" si="92"/>
        <v>0.34883619324984205</v>
      </c>
      <c r="AY203" s="34">
        <f t="shared" ca="1" si="92"/>
        <v>0</v>
      </c>
      <c r="AZ203" s="34">
        <f t="shared" ca="1" si="92"/>
        <v>54.831541638981776</v>
      </c>
      <c r="BB203" s="34">
        <f t="shared" ca="1" si="122"/>
        <v>0</v>
      </c>
      <c r="BC203" s="34">
        <f t="shared" ca="1" si="122"/>
        <v>0</v>
      </c>
      <c r="BD203" s="34">
        <f t="shared" ca="1" si="122"/>
        <v>220.9347935246966</v>
      </c>
      <c r="BE203" s="34">
        <f t="shared" ca="1" si="122"/>
        <v>5578.1085450715664</v>
      </c>
      <c r="BF203" s="34">
        <f t="shared" ca="1" si="122"/>
        <v>6187.8267319297793</v>
      </c>
      <c r="BG203" s="34">
        <f t="shared" ca="1" si="122"/>
        <v>6838.9783023546261</v>
      </c>
      <c r="BH203" s="34">
        <f t="shared" ca="1" si="122"/>
        <v>7126.7286367494125</v>
      </c>
      <c r="BI203" s="34">
        <f t="shared" ca="1" si="122"/>
        <v>7426.5858958563194</v>
      </c>
      <c r="BJ203" s="34">
        <f t="shared" ca="1" si="122"/>
        <v>7739.0915400099075</v>
      </c>
      <c r="BK203" s="34">
        <f t="shared" ca="1" si="122"/>
        <v>8071.0294729372445</v>
      </c>
      <c r="BL203" s="34">
        <f t="shared" ca="1" si="122"/>
        <v>8438.922939185426</v>
      </c>
      <c r="BM203" s="34">
        <f t="shared" ca="1" si="122"/>
        <v>8851.5606169716175</v>
      </c>
      <c r="BN203" s="34">
        <f t="shared" ca="1" si="122"/>
        <v>9318.325317806557</v>
      </c>
      <c r="BO203" s="34">
        <f t="shared" ca="1" si="122"/>
        <v>9851.5358362481165</v>
      </c>
      <c r="BP203" s="34">
        <f t="shared" ca="1" si="122"/>
        <v>10467.726774517054</v>
      </c>
      <c r="BQ203" s="34">
        <f t="shared" ca="1" si="122"/>
        <v>11189.67338156575</v>
      </c>
      <c r="BR203" s="34">
        <f t="shared" ca="1" si="119"/>
        <v>12049.738311753243</v>
      </c>
      <c r="BS203" s="34">
        <f t="shared" ca="1" si="119"/>
        <v>13095.679130079012</v>
      </c>
      <c r="BT203" s="34">
        <f t="shared" ca="1" si="119"/>
        <v>5184.1075070136831</v>
      </c>
      <c r="BU203" s="34">
        <f t="shared" ca="1" si="119"/>
        <v>0</v>
      </c>
      <c r="BV203" s="34">
        <f t="shared" ca="1" si="119"/>
        <v>0</v>
      </c>
      <c r="BW203" s="34">
        <f t="shared" ca="1" si="119"/>
        <v>0</v>
      </c>
      <c r="BX203" s="34">
        <f t="shared" ca="1" si="119"/>
        <v>0</v>
      </c>
      <c r="BY203" s="34">
        <f t="shared" ca="1" si="119"/>
        <v>0</v>
      </c>
      <c r="BZ203" s="34">
        <f t="shared" ca="1" si="119"/>
        <v>0</v>
      </c>
      <c r="CA203" s="34">
        <f t="shared" ca="1" si="119"/>
        <v>0</v>
      </c>
      <c r="CB203" s="34">
        <f t="shared" ca="1" si="119"/>
        <v>0</v>
      </c>
      <c r="CC203" s="34">
        <f t="shared" ca="1" si="119"/>
        <v>0</v>
      </c>
      <c r="CD203" s="34">
        <f t="shared" ca="1" si="119"/>
        <v>0</v>
      </c>
      <c r="CE203" s="34">
        <f t="shared" ca="1" si="119"/>
        <v>0</v>
      </c>
      <c r="CF203" s="34">
        <f t="shared" ca="1" si="119"/>
        <v>0</v>
      </c>
      <c r="CG203" s="34">
        <f t="shared" ca="1" si="119"/>
        <v>0</v>
      </c>
      <c r="CH203" s="34">
        <f t="shared" ca="1" si="120"/>
        <v>0</v>
      </c>
      <c r="CI203" s="34">
        <f t="shared" ca="1" si="120"/>
        <v>0</v>
      </c>
      <c r="CJ203" s="34">
        <f t="shared" ca="1" si="120"/>
        <v>0</v>
      </c>
      <c r="CK203" s="34">
        <f t="shared" ca="1" si="120"/>
        <v>0</v>
      </c>
      <c r="CL203" s="34">
        <f t="shared" ca="1" si="120"/>
        <v>0</v>
      </c>
      <c r="CM203" s="34">
        <f t="shared" ca="1" si="120"/>
        <v>0</v>
      </c>
      <c r="CN203" s="34">
        <f t="shared" ca="1" si="120"/>
        <v>0</v>
      </c>
      <c r="CO203" s="34">
        <f t="shared" ca="1" si="120"/>
        <v>0</v>
      </c>
      <c r="CP203" s="34">
        <f t="shared" ca="1" si="120"/>
        <v>0</v>
      </c>
      <c r="CQ203" s="34">
        <f t="shared" ca="1" si="114"/>
        <v>137636.55373357402</v>
      </c>
      <c r="CR203" s="363">
        <v>0</v>
      </c>
      <c r="CS203" s="34">
        <f t="shared" ca="1" si="115"/>
        <v>137636.55373357402</v>
      </c>
      <c r="CT203" s="233"/>
    </row>
    <row r="204" spans="2:98" x14ac:dyDescent="0.3">
      <c r="B204" s="232"/>
      <c r="C204" s="250">
        <f t="shared" si="116"/>
        <v>2038</v>
      </c>
      <c r="D204" s="263">
        <f t="shared" ca="1" si="96"/>
        <v>62590.837588404815</v>
      </c>
      <c r="E204" s="263">
        <f t="shared" ca="1" si="84"/>
        <v>414.00379954036231</v>
      </c>
      <c r="F204" s="263">
        <f t="shared" ca="1" si="85"/>
        <v>0</v>
      </c>
      <c r="G204" s="263">
        <f t="shared" ca="1" si="97"/>
        <v>65074.860385646985</v>
      </c>
      <c r="H204" s="15"/>
      <c r="I204" s="271">
        <f ca="1">Assumptions!O$68</f>
        <v>4.5</v>
      </c>
      <c r="J204" s="271">
        <f ca="1">Assumptions!P$68</f>
        <v>80</v>
      </c>
      <c r="K204" s="271">
        <f t="shared" ca="1" si="86"/>
        <v>40</v>
      </c>
      <c r="L204" s="15"/>
      <c r="M204" s="35">
        <f t="shared" ca="1" si="98"/>
        <v>4.2299999999999995</v>
      </c>
      <c r="N204" s="35">
        <f t="shared" ca="1" si="87"/>
        <v>74.400000000000006</v>
      </c>
      <c r="O204" s="35">
        <f t="shared" ca="1" si="88"/>
        <v>37.200000000000003</v>
      </c>
      <c r="P204" s="15"/>
      <c r="Q204" s="34">
        <f t="shared" ca="1" si="99"/>
        <v>264759.24299895234</v>
      </c>
      <c r="R204" s="34">
        <f t="shared" ca="1" si="99"/>
        <v>30801.882685802957</v>
      </c>
      <c r="S204" s="34">
        <f t="shared" ca="1" si="99"/>
        <v>0</v>
      </c>
      <c r="T204" s="34">
        <f t="shared" ca="1" si="100"/>
        <v>295561.12568475527</v>
      </c>
      <c r="U204" s="15"/>
      <c r="V204" s="35">
        <f t="shared" si="101"/>
        <v>0.31</v>
      </c>
      <c r="W204" s="34">
        <f t="shared" ca="1" si="102"/>
        <v>20173.206719550566</v>
      </c>
      <c r="X204" s="35">
        <f t="shared" si="103"/>
        <v>0.37</v>
      </c>
      <c r="Y204" s="34">
        <f t="shared" ca="1" si="104"/>
        <v>24077.698342689386</v>
      </c>
      <c r="Z204" s="35">
        <f t="shared" si="105"/>
        <v>0.57999999999999996</v>
      </c>
      <c r="AA204" s="34">
        <f t="shared" ca="1" si="106"/>
        <v>37743.419023675247</v>
      </c>
      <c r="AB204" s="34">
        <f t="shared" ca="1" si="107"/>
        <v>81994.324085915199</v>
      </c>
      <c r="AC204" s="15"/>
      <c r="AD204" s="34">
        <f t="shared" ca="1" si="108"/>
        <v>213566.80159884007</v>
      </c>
      <c r="AE204" s="34">
        <f ca="1"/>
        <v>0</v>
      </c>
      <c r="AF204" s="34">
        <f t="shared" ca="1" si="109"/>
        <v>213566.80159884007</v>
      </c>
      <c r="AG204" s="15"/>
      <c r="AH204" s="272">
        <f t="shared" si="117"/>
        <v>50770</v>
      </c>
      <c r="AI204" s="267">
        <f t="shared" si="89"/>
        <v>24.666666666666668</v>
      </c>
      <c r="AJ204" s="267">
        <f t="shared" si="90"/>
        <v>9.5275323654380323E-2</v>
      </c>
      <c r="AK204" s="34">
        <f t="shared" ca="1" si="118"/>
        <v>20347.646144160317</v>
      </c>
      <c r="AL204" s="233"/>
      <c r="AN204" s="232"/>
      <c r="AO204" s="237">
        <f t="shared" si="110"/>
        <v>25</v>
      </c>
      <c r="AP204" s="34">
        <f t="shared" ca="1" si="121"/>
        <v>50.60914475805879</v>
      </c>
      <c r="AQ204" s="34">
        <f t="shared" ca="1" si="121"/>
        <v>0.33475152320387003</v>
      </c>
      <c r="AR204" s="34">
        <f t="shared" ca="1" si="121"/>
        <v>0</v>
      </c>
      <c r="AS204" s="34">
        <f t="shared" ca="1" si="121"/>
        <v>52.617653897282011</v>
      </c>
      <c r="AT204" s="15"/>
      <c r="AW204" s="34">
        <f t="shared" ca="1" si="112"/>
        <v>50.60914475805879</v>
      </c>
      <c r="AX204" s="34">
        <f t="shared" ca="1" si="92"/>
        <v>0.33475152320387003</v>
      </c>
      <c r="AY204" s="34">
        <f t="shared" ca="1" si="92"/>
        <v>0</v>
      </c>
      <c r="AZ204" s="34">
        <f t="shared" ca="1" si="92"/>
        <v>52.617653897282011</v>
      </c>
      <c r="BB204" s="34">
        <f t="shared" ca="1" si="122"/>
        <v>0</v>
      </c>
      <c r="BC204" s="34">
        <f t="shared" ca="1" si="122"/>
        <v>0</v>
      </c>
      <c r="BD204" s="34">
        <f t="shared" ca="1" si="122"/>
        <v>212.01431203419344</v>
      </c>
      <c r="BE204" s="34">
        <f t="shared" ca="1" si="122"/>
        <v>5352.8859248187791</v>
      </c>
      <c r="BF204" s="34">
        <f t="shared" ca="1" si="122"/>
        <v>5937.9865157213453</v>
      </c>
      <c r="BG204" s="34">
        <f t="shared" ca="1" si="122"/>
        <v>6562.8465338649185</v>
      </c>
      <c r="BH204" s="34">
        <f t="shared" ca="1" si="122"/>
        <v>6838.9783023546261</v>
      </c>
      <c r="BI204" s="34">
        <f t="shared" ca="1" si="122"/>
        <v>7126.7286367494125</v>
      </c>
      <c r="BJ204" s="34">
        <f t="shared" ca="1" si="122"/>
        <v>7426.5858958563194</v>
      </c>
      <c r="BK204" s="34">
        <f t="shared" ca="1" si="122"/>
        <v>7739.0915400099075</v>
      </c>
      <c r="BL204" s="34">
        <f t="shared" ca="1" si="122"/>
        <v>8071.0294729372445</v>
      </c>
      <c r="BM204" s="34">
        <f t="shared" ca="1" si="122"/>
        <v>8438.922939185426</v>
      </c>
      <c r="BN204" s="34">
        <f t="shared" ca="1" si="122"/>
        <v>8851.5606169716175</v>
      </c>
      <c r="BO204" s="34">
        <f t="shared" ca="1" si="122"/>
        <v>9318.325317806557</v>
      </c>
      <c r="BP204" s="34">
        <f t="shared" ca="1" si="122"/>
        <v>9851.5358362481165</v>
      </c>
      <c r="BQ204" s="34">
        <f t="shared" ca="1" si="122"/>
        <v>10467.726774517054</v>
      </c>
      <c r="BR204" s="34">
        <f t="shared" ca="1" si="119"/>
        <v>11189.67338156575</v>
      </c>
      <c r="BS204" s="34">
        <f t="shared" ca="1" si="119"/>
        <v>12049.738311753243</v>
      </c>
      <c r="BT204" s="34">
        <f t="shared" ca="1" si="119"/>
        <v>4714.0904588994581</v>
      </c>
      <c r="BU204" s="34">
        <f t="shared" ca="1" si="119"/>
        <v>0</v>
      </c>
      <c r="BV204" s="34">
        <f t="shared" ca="1" si="119"/>
        <v>0</v>
      </c>
      <c r="BW204" s="34">
        <f t="shared" ca="1" si="119"/>
        <v>0</v>
      </c>
      <c r="BX204" s="34">
        <f t="shared" ca="1" si="119"/>
        <v>0</v>
      </c>
      <c r="BY204" s="34">
        <f t="shared" ca="1" si="119"/>
        <v>0</v>
      </c>
      <c r="BZ204" s="34">
        <f t="shared" ca="1" si="119"/>
        <v>0</v>
      </c>
      <c r="CA204" s="34">
        <f t="shared" ca="1" si="119"/>
        <v>0</v>
      </c>
      <c r="CB204" s="34">
        <f t="shared" ca="1" si="119"/>
        <v>0</v>
      </c>
      <c r="CC204" s="34">
        <f t="shared" ca="1" si="119"/>
        <v>0</v>
      </c>
      <c r="CD204" s="34">
        <f t="shared" ca="1" si="119"/>
        <v>0</v>
      </c>
      <c r="CE204" s="34">
        <f t="shared" ca="1" si="119"/>
        <v>0</v>
      </c>
      <c r="CF204" s="34">
        <f t="shared" ca="1" si="119"/>
        <v>0</v>
      </c>
      <c r="CG204" s="34">
        <f t="shared" ca="1" si="119"/>
        <v>0</v>
      </c>
      <c r="CH204" s="34">
        <f t="shared" ca="1" si="120"/>
        <v>0</v>
      </c>
      <c r="CI204" s="34">
        <f t="shared" ca="1" si="120"/>
        <v>0</v>
      </c>
      <c r="CJ204" s="34">
        <f t="shared" ca="1" si="120"/>
        <v>0</v>
      </c>
      <c r="CK204" s="34">
        <f t="shared" ca="1" si="120"/>
        <v>0</v>
      </c>
      <c r="CL204" s="34">
        <f t="shared" ca="1" si="120"/>
        <v>0</v>
      </c>
      <c r="CM204" s="34">
        <f t="shared" ca="1" si="120"/>
        <v>0</v>
      </c>
      <c r="CN204" s="34">
        <f t="shared" ca="1" si="120"/>
        <v>0</v>
      </c>
      <c r="CO204" s="34">
        <f t="shared" ca="1" si="120"/>
        <v>0</v>
      </c>
      <c r="CP204" s="34">
        <f t="shared" ca="1" si="120"/>
        <v>0</v>
      </c>
      <c r="CQ204" s="34">
        <f t="shared" ca="1" si="114"/>
        <v>130149.72077129397</v>
      </c>
      <c r="CR204" s="363">
        <v>0</v>
      </c>
      <c r="CS204" s="34">
        <f t="shared" ca="1" si="115"/>
        <v>130149.72077129397</v>
      </c>
      <c r="CT204" s="233"/>
    </row>
    <row r="205" spans="2:98" x14ac:dyDescent="0.3">
      <c r="B205" s="232"/>
      <c r="C205" s="250">
        <f t="shared" si="116"/>
        <v>2039</v>
      </c>
      <c r="D205" s="263">
        <f t="shared" ca="1" si="96"/>
        <v>59420.254414828698</v>
      </c>
      <c r="E205" s="263">
        <f t="shared" ca="1" si="84"/>
        <v>393.03214408415829</v>
      </c>
      <c r="F205" s="263">
        <f t="shared" ca="1" si="85"/>
        <v>0</v>
      </c>
      <c r="G205" s="263">
        <f t="shared" ca="1" si="97"/>
        <v>61778.447279333646</v>
      </c>
      <c r="H205" s="15"/>
      <c r="I205" s="271">
        <f ca="1">Assumptions!O$68</f>
        <v>4.5</v>
      </c>
      <c r="J205" s="271">
        <f ca="1">Assumptions!P$68</f>
        <v>80</v>
      </c>
      <c r="K205" s="271">
        <f t="shared" ca="1" si="86"/>
        <v>40</v>
      </c>
      <c r="L205" s="15"/>
      <c r="M205" s="35">
        <f t="shared" ca="1" si="98"/>
        <v>4.2299999999999995</v>
      </c>
      <c r="N205" s="35">
        <f t="shared" ca="1" si="87"/>
        <v>74.400000000000006</v>
      </c>
      <c r="O205" s="35">
        <f t="shared" ca="1" si="88"/>
        <v>37.200000000000003</v>
      </c>
      <c r="P205" s="15"/>
      <c r="Q205" s="34">
        <f t="shared" ca="1" si="99"/>
        <v>251347.67617472538</v>
      </c>
      <c r="R205" s="34">
        <f t="shared" ca="1" si="99"/>
        <v>29241.59151986138</v>
      </c>
      <c r="S205" s="34">
        <f t="shared" ca="1" si="99"/>
        <v>0</v>
      </c>
      <c r="T205" s="34">
        <f t="shared" ca="1" si="100"/>
        <v>280589.26769458677</v>
      </c>
      <c r="U205" s="15"/>
      <c r="V205" s="35">
        <f t="shared" si="101"/>
        <v>0.31</v>
      </c>
      <c r="W205" s="34">
        <f t="shared" ca="1" si="102"/>
        <v>19151.31865659343</v>
      </c>
      <c r="X205" s="35">
        <f t="shared" si="103"/>
        <v>0.37</v>
      </c>
      <c r="Y205" s="34">
        <f t="shared" ca="1" si="104"/>
        <v>22858.025493353449</v>
      </c>
      <c r="Z205" s="35">
        <f t="shared" si="105"/>
        <v>0.57999999999999996</v>
      </c>
      <c r="AA205" s="34">
        <f t="shared" ca="1" si="106"/>
        <v>35831.499422013512</v>
      </c>
      <c r="AB205" s="34">
        <f t="shared" ca="1" si="107"/>
        <v>77840.843571960388</v>
      </c>
      <c r="AC205" s="15"/>
      <c r="AD205" s="34">
        <f t="shared" ca="1" si="108"/>
        <v>202748.42412262637</v>
      </c>
      <c r="AE205" s="34">
        <f ca="1"/>
        <v>0</v>
      </c>
      <c r="AF205" s="34">
        <f t="shared" ca="1" si="109"/>
        <v>202748.42412262637</v>
      </c>
      <c r="AG205" s="15"/>
      <c r="AH205" s="272">
        <f t="shared" si="117"/>
        <v>51135</v>
      </c>
      <c r="AI205" s="267">
        <f t="shared" si="89"/>
        <v>25.666666666666668</v>
      </c>
      <c r="AJ205" s="267">
        <f t="shared" si="90"/>
        <v>8.661393059489117E-2</v>
      </c>
      <c r="AK205" s="34">
        <f t="shared" ca="1" si="118"/>
        <v>17560.83793518072</v>
      </c>
      <c r="AL205" s="233"/>
      <c r="AN205" s="232"/>
      <c r="AO205" s="237">
        <f t="shared" si="110"/>
        <v>26</v>
      </c>
      <c r="AP205" s="34">
        <f t="shared" ca="1" si="121"/>
        <v>48.565746851600586</v>
      </c>
      <c r="AQ205" s="34">
        <f t="shared" ca="1" si="121"/>
        <v>0.32123557534566083</v>
      </c>
      <c r="AR205" s="34">
        <f t="shared" ca="1" si="121"/>
        <v>0</v>
      </c>
      <c r="AS205" s="34">
        <f t="shared" ca="1" si="121"/>
        <v>50.49316030367455</v>
      </c>
      <c r="AT205" s="15"/>
      <c r="AW205" s="34">
        <f t="shared" ca="1" si="112"/>
        <v>48.565746851600586</v>
      </c>
      <c r="AX205" s="34">
        <f t="shared" ca="1" si="92"/>
        <v>0.32123557534566083</v>
      </c>
      <c r="AY205" s="34">
        <f t="shared" ca="1" si="92"/>
        <v>0</v>
      </c>
      <c r="AZ205" s="34">
        <f t="shared" ca="1" si="92"/>
        <v>50.49316030367455</v>
      </c>
      <c r="BB205" s="34">
        <f t="shared" ca="1" si="122"/>
        <v>0</v>
      </c>
      <c r="BC205" s="34">
        <f t="shared" ca="1" si="122"/>
        <v>0</v>
      </c>
      <c r="BD205" s="34">
        <f t="shared" ca="1" si="122"/>
        <v>203.45402004101871</v>
      </c>
      <c r="BE205" s="34">
        <f t="shared" ca="1" si="122"/>
        <v>5136.757360135357</v>
      </c>
      <c r="BF205" s="34">
        <f t="shared" ca="1" si="122"/>
        <v>5698.2334038393456</v>
      </c>
      <c r="BG205" s="34">
        <f t="shared" ca="1" si="122"/>
        <v>6297.8644863711243</v>
      </c>
      <c r="BH205" s="34">
        <f t="shared" ca="1" si="122"/>
        <v>6562.8465338649185</v>
      </c>
      <c r="BI205" s="34">
        <f t="shared" ca="1" si="122"/>
        <v>6838.9783023546261</v>
      </c>
      <c r="BJ205" s="34">
        <f t="shared" ca="1" si="122"/>
        <v>7126.7286367494125</v>
      </c>
      <c r="BK205" s="34">
        <f t="shared" ca="1" si="122"/>
        <v>7426.5858958563194</v>
      </c>
      <c r="BL205" s="34">
        <f t="shared" ca="1" si="122"/>
        <v>7739.0915400099075</v>
      </c>
      <c r="BM205" s="34">
        <f t="shared" ca="1" si="122"/>
        <v>8071.0294729372445</v>
      </c>
      <c r="BN205" s="34">
        <f t="shared" ca="1" si="122"/>
        <v>8438.922939185426</v>
      </c>
      <c r="BO205" s="34">
        <f t="shared" ca="1" si="122"/>
        <v>8851.5606169716175</v>
      </c>
      <c r="BP205" s="34">
        <f t="shared" ca="1" si="122"/>
        <v>9318.325317806557</v>
      </c>
      <c r="BQ205" s="34">
        <f t="shared" ca="1" si="122"/>
        <v>9851.5358362481165</v>
      </c>
      <c r="BR205" s="34">
        <f t="shared" ca="1" si="119"/>
        <v>10467.726774517054</v>
      </c>
      <c r="BS205" s="34">
        <f t="shared" ca="1" si="119"/>
        <v>11189.67338156575</v>
      </c>
      <c r="BT205" s="34">
        <f t="shared" ca="1" si="119"/>
        <v>4337.580040213501</v>
      </c>
      <c r="BU205" s="34">
        <f t="shared" ca="1" si="119"/>
        <v>0</v>
      </c>
      <c r="BV205" s="34">
        <f t="shared" ca="1" si="119"/>
        <v>0</v>
      </c>
      <c r="BW205" s="34">
        <f t="shared" ca="1" si="119"/>
        <v>0</v>
      </c>
      <c r="BX205" s="34">
        <f t="shared" ca="1" si="119"/>
        <v>0</v>
      </c>
      <c r="BY205" s="34">
        <f t="shared" ca="1" si="119"/>
        <v>0</v>
      </c>
      <c r="BZ205" s="34">
        <f t="shared" ca="1" si="119"/>
        <v>0</v>
      </c>
      <c r="CA205" s="34">
        <f t="shared" ca="1" si="119"/>
        <v>0</v>
      </c>
      <c r="CB205" s="34">
        <f t="shared" ca="1" si="119"/>
        <v>0</v>
      </c>
      <c r="CC205" s="34">
        <f t="shared" ca="1" si="119"/>
        <v>0</v>
      </c>
      <c r="CD205" s="34">
        <f t="shared" ca="1" si="119"/>
        <v>0</v>
      </c>
      <c r="CE205" s="34">
        <f t="shared" ca="1" si="119"/>
        <v>0</v>
      </c>
      <c r="CF205" s="34">
        <f t="shared" ca="1" si="119"/>
        <v>0</v>
      </c>
      <c r="CG205" s="34">
        <f t="shared" ca="1" si="119"/>
        <v>0</v>
      </c>
      <c r="CH205" s="34">
        <f t="shared" ca="1" si="120"/>
        <v>0</v>
      </c>
      <c r="CI205" s="34">
        <f t="shared" ca="1" si="120"/>
        <v>0</v>
      </c>
      <c r="CJ205" s="34">
        <f t="shared" ca="1" si="120"/>
        <v>0</v>
      </c>
      <c r="CK205" s="34">
        <f t="shared" ca="1" si="120"/>
        <v>0</v>
      </c>
      <c r="CL205" s="34">
        <f t="shared" ca="1" si="120"/>
        <v>0</v>
      </c>
      <c r="CM205" s="34">
        <f t="shared" ca="1" si="120"/>
        <v>0</v>
      </c>
      <c r="CN205" s="34">
        <f t="shared" ca="1" si="120"/>
        <v>0</v>
      </c>
      <c r="CO205" s="34">
        <f t="shared" ca="1" si="120"/>
        <v>0</v>
      </c>
      <c r="CP205" s="34">
        <f t="shared" ca="1" si="120"/>
        <v>0</v>
      </c>
      <c r="CQ205" s="34">
        <f t="shared" ca="1" si="114"/>
        <v>123556.89455866729</v>
      </c>
      <c r="CR205" s="363">
        <v>0</v>
      </c>
      <c r="CS205" s="34">
        <f t="shared" ca="1" si="115"/>
        <v>123556.89455866729</v>
      </c>
      <c r="CT205" s="233"/>
    </row>
    <row r="206" spans="2:98" x14ac:dyDescent="0.3">
      <c r="B206" s="232"/>
      <c r="C206" s="250">
        <f t="shared" si="116"/>
        <v>2040</v>
      </c>
      <c r="D206" s="263">
        <f t="shared" ca="1" si="96"/>
        <v>56582.196797414443</v>
      </c>
      <c r="E206" s="263">
        <f t="shared" ca="1" si="84"/>
        <v>374.25996141022591</v>
      </c>
      <c r="F206" s="263">
        <f t="shared" ca="1" si="85"/>
        <v>0</v>
      </c>
      <c r="G206" s="263">
        <f t="shared" ca="1" si="97"/>
        <v>58827.756565875796</v>
      </c>
      <c r="H206" s="15"/>
      <c r="I206" s="271">
        <f ca="1">Assumptions!O$68</f>
        <v>4.5</v>
      </c>
      <c r="J206" s="271">
        <f ca="1">Assumptions!P$68</f>
        <v>80</v>
      </c>
      <c r="K206" s="271">
        <f t="shared" ca="1" si="86"/>
        <v>40</v>
      </c>
      <c r="L206" s="15"/>
      <c r="M206" s="35">
        <f t="shared" ca="1" si="98"/>
        <v>4.2299999999999995</v>
      </c>
      <c r="N206" s="35">
        <f t="shared" ca="1" si="87"/>
        <v>74.400000000000006</v>
      </c>
      <c r="O206" s="35">
        <f t="shared" ca="1" si="88"/>
        <v>37.200000000000003</v>
      </c>
      <c r="P206" s="15"/>
      <c r="Q206" s="34">
        <f t="shared" ca="1" si="99"/>
        <v>239342.69245306306</v>
      </c>
      <c r="R206" s="34">
        <f t="shared" ca="1" si="99"/>
        <v>27844.941128920811</v>
      </c>
      <c r="S206" s="34">
        <f t="shared" ca="1" si="99"/>
        <v>0</v>
      </c>
      <c r="T206" s="34">
        <f t="shared" ca="1" si="100"/>
        <v>267187.63358198386</v>
      </c>
      <c r="U206" s="15"/>
      <c r="V206" s="35">
        <f t="shared" si="101"/>
        <v>0.31</v>
      </c>
      <c r="W206" s="34">
        <f t="shared" ca="1" si="102"/>
        <v>18236.604535421495</v>
      </c>
      <c r="X206" s="35">
        <f t="shared" si="103"/>
        <v>0.37</v>
      </c>
      <c r="Y206" s="34">
        <f t="shared" ca="1" si="104"/>
        <v>21766.269929374044</v>
      </c>
      <c r="Z206" s="35">
        <f t="shared" si="105"/>
        <v>0.57999999999999996</v>
      </c>
      <c r="AA206" s="34">
        <f t="shared" ca="1" si="106"/>
        <v>34120.098808207957</v>
      </c>
      <c r="AB206" s="34">
        <f t="shared" ca="1" si="107"/>
        <v>74122.973273003503</v>
      </c>
      <c r="AC206" s="15"/>
      <c r="AD206" s="34">
        <f t="shared" ca="1" si="108"/>
        <v>193064.66030898035</v>
      </c>
      <c r="AE206" s="34">
        <f ca="1"/>
        <v>0</v>
      </c>
      <c r="AF206" s="34">
        <f t="shared" ca="1" si="109"/>
        <v>193064.66030898035</v>
      </c>
      <c r="AG206" s="15"/>
      <c r="AH206" s="272">
        <f t="shared" si="117"/>
        <v>51501</v>
      </c>
      <c r="AI206" s="267">
        <f t="shared" si="89"/>
        <v>26.666666666666668</v>
      </c>
      <c r="AJ206" s="267">
        <f t="shared" si="90"/>
        <v>7.8739936904446528E-2</v>
      </c>
      <c r="AK206" s="34">
        <f t="shared" ca="1" si="118"/>
        <v>15201.899171207515</v>
      </c>
      <c r="AL206" s="233"/>
      <c r="AN206" s="232"/>
      <c r="AO206" s="237">
        <f t="shared" si="110"/>
        <v>27</v>
      </c>
      <c r="AP206" s="34">
        <f t="shared" ca="1" si="121"/>
        <v>46.604853563919889</v>
      </c>
      <c r="AQ206" s="34">
        <f t="shared" ca="1" si="121"/>
        <v>0.30826534994411747</v>
      </c>
      <c r="AR206" s="34">
        <f t="shared" ca="1" si="121"/>
        <v>0</v>
      </c>
      <c r="AS206" s="34">
        <f t="shared" ca="1" si="121"/>
        <v>48.454445663584593</v>
      </c>
      <c r="AT206" s="15"/>
      <c r="AW206" s="34">
        <f t="shared" ca="1" si="112"/>
        <v>46.604853563919889</v>
      </c>
      <c r="AX206" s="34">
        <f t="shared" ca="1" si="92"/>
        <v>0.30826534994411747</v>
      </c>
      <c r="AY206" s="34">
        <f t="shared" ca="1" si="92"/>
        <v>0</v>
      </c>
      <c r="AZ206" s="34">
        <f t="shared" ca="1" si="92"/>
        <v>48.454445663584593</v>
      </c>
      <c r="BB206" s="34">
        <f t="shared" ca="1" si="122"/>
        <v>0</v>
      </c>
      <c r="BC206" s="34">
        <f t="shared" ca="1" si="122"/>
        <v>0</v>
      </c>
      <c r="BD206" s="34">
        <f t="shared" ca="1" si="122"/>
        <v>195.23932558770559</v>
      </c>
      <c r="BE206" s="34">
        <f t="shared" ca="1" si="122"/>
        <v>4929.3555933444613</v>
      </c>
      <c r="BF206" s="34">
        <f t="shared" ca="1" si="122"/>
        <v>5468.1610607892517</v>
      </c>
      <c r="BG206" s="34">
        <f t="shared" ca="1" si="122"/>
        <v>6043.5808828599129</v>
      </c>
      <c r="BH206" s="34">
        <f t="shared" ca="1" si="122"/>
        <v>6297.8644863711243</v>
      </c>
      <c r="BI206" s="34">
        <f t="shared" ca="1" si="122"/>
        <v>6562.8465338649185</v>
      </c>
      <c r="BJ206" s="34">
        <f t="shared" ca="1" si="122"/>
        <v>6838.9783023546261</v>
      </c>
      <c r="BK206" s="34">
        <f t="shared" ca="1" si="122"/>
        <v>7126.7286367494125</v>
      </c>
      <c r="BL206" s="34">
        <f t="shared" ca="1" si="122"/>
        <v>7426.5858958563194</v>
      </c>
      <c r="BM206" s="34">
        <f t="shared" ca="1" si="122"/>
        <v>7739.0915400099075</v>
      </c>
      <c r="BN206" s="34">
        <f t="shared" ca="1" si="122"/>
        <v>8071.0294729372445</v>
      </c>
      <c r="BO206" s="34">
        <f t="shared" ca="1" si="122"/>
        <v>8438.922939185426</v>
      </c>
      <c r="BP206" s="34">
        <f t="shared" ca="1" si="122"/>
        <v>8851.5606169716175</v>
      </c>
      <c r="BQ206" s="34">
        <f t="shared" ca="1" si="122"/>
        <v>9318.325317806557</v>
      </c>
      <c r="BR206" s="34">
        <f t="shared" ca="1" si="119"/>
        <v>9851.5358362481165</v>
      </c>
      <c r="BS206" s="34">
        <f t="shared" ca="1" si="119"/>
        <v>10467.726774517054</v>
      </c>
      <c r="BT206" s="34">
        <f t="shared" ca="1" si="119"/>
        <v>4027.9799162979402</v>
      </c>
      <c r="BU206" s="34">
        <f t="shared" ca="1" si="119"/>
        <v>0</v>
      </c>
      <c r="BV206" s="34">
        <f t="shared" ca="1" si="119"/>
        <v>0</v>
      </c>
      <c r="BW206" s="34">
        <f t="shared" ca="1" si="119"/>
        <v>0</v>
      </c>
      <c r="BX206" s="34">
        <f t="shared" ca="1" si="119"/>
        <v>0</v>
      </c>
      <c r="BY206" s="34">
        <f t="shared" ca="1" si="119"/>
        <v>0</v>
      </c>
      <c r="BZ206" s="34">
        <f t="shared" ca="1" si="119"/>
        <v>0</v>
      </c>
      <c r="CA206" s="34">
        <f t="shared" ca="1" si="119"/>
        <v>0</v>
      </c>
      <c r="CB206" s="34">
        <f t="shared" ca="1" si="119"/>
        <v>0</v>
      </c>
      <c r="CC206" s="34">
        <f t="shared" ca="1" si="119"/>
        <v>0</v>
      </c>
      <c r="CD206" s="34">
        <f t="shared" ca="1" si="119"/>
        <v>0</v>
      </c>
      <c r="CE206" s="34">
        <f t="shared" ca="1" si="119"/>
        <v>0</v>
      </c>
      <c r="CF206" s="34">
        <f t="shared" ca="1" si="119"/>
        <v>0</v>
      </c>
      <c r="CG206" s="34">
        <f t="shared" ca="1" si="119"/>
        <v>0</v>
      </c>
      <c r="CH206" s="34">
        <f t="shared" ca="1" si="120"/>
        <v>0</v>
      </c>
      <c r="CI206" s="34">
        <f t="shared" ca="1" si="120"/>
        <v>0</v>
      </c>
      <c r="CJ206" s="34">
        <f t="shared" ca="1" si="120"/>
        <v>0</v>
      </c>
      <c r="CK206" s="34">
        <f t="shared" ca="1" si="120"/>
        <v>0</v>
      </c>
      <c r="CL206" s="34">
        <f t="shared" ca="1" si="120"/>
        <v>0</v>
      </c>
      <c r="CM206" s="34">
        <f t="shared" ca="1" si="120"/>
        <v>0</v>
      </c>
      <c r="CN206" s="34">
        <f t="shared" ca="1" si="120"/>
        <v>0</v>
      </c>
      <c r="CO206" s="34">
        <f t="shared" ca="1" si="120"/>
        <v>0</v>
      </c>
      <c r="CP206" s="34">
        <f t="shared" ca="1" si="120"/>
        <v>0</v>
      </c>
      <c r="CQ206" s="34">
        <f t="shared" ca="1" si="114"/>
        <v>117655.51313175159</v>
      </c>
      <c r="CR206" s="363">
        <v>0</v>
      </c>
      <c r="CS206" s="34">
        <f t="shared" ca="1" si="115"/>
        <v>117655.51313175159</v>
      </c>
      <c r="CT206" s="233"/>
    </row>
    <row r="207" spans="2:98" x14ac:dyDescent="0.3">
      <c r="B207" s="232"/>
      <c r="C207" s="250">
        <f t="shared" si="116"/>
        <v>2041</v>
      </c>
      <c r="D207" s="263">
        <f t="shared" ca="1" si="96"/>
        <v>54006.547139980124</v>
      </c>
      <c r="E207" s="263">
        <f t="shared" ca="1" si="84"/>
        <v>357.22346237062555</v>
      </c>
      <c r="F207" s="263">
        <f t="shared" ca="1" si="85"/>
        <v>0</v>
      </c>
      <c r="G207" s="263">
        <f t="shared" ca="1" si="97"/>
        <v>56149.887914203879</v>
      </c>
      <c r="H207" s="15"/>
      <c r="I207" s="271">
        <f ca="1">Assumptions!O$68</f>
        <v>4.5</v>
      </c>
      <c r="J207" s="271">
        <f ca="1">Assumptions!P$68</f>
        <v>80</v>
      </c>
      <c r="K207" s="271">
        <f t="shared" ca="1" si="86"/>
        <v>40</v>
      </c>
      <c r="L207" s="15"/>
      <c r="M207" s="35">
        <f t="shared" ca="1" si="98"/>
        <v>4.2299999999999995</v>
      </c>
      <c r="N207" s="35">
        <f t="shared" ca="1" si="87"/>
        <v>74.400000000000006</v>
      </c>
      <c r="O207" s="35">
        <f t="shared" ca="1" si="88"/>
        <v>37.200000000000003</v>
      </c>
      <c r="P207" s="15"/>
      <c r="Q207" s="34">
        <f t="shared" ca="1" si="99"/>
        <v>228447.69440211591</v>
      </c>
      <c r="R207" s="34">
        <f t="shared" ca="1" si="99"/>
        <v>26577.425600374543</v>
      </c>
      <c r="S207" s="34">
        <f t="shared" ca="1" si="99"/>
        <v>0</v>
      </c>
      <c r="T207" s="34">
        <f t="shared" ca="1" si="100"/>
        <v>255025.12000249047</v>
      </c>
      <c r="U207" s="15"/>
      <c r="V207" s="35">
        <f t="shared" si="101"/>
        <v>0.31</v>
      </c>
      <c r="W207" s="34">
        <f t="shared" ca="1" si="102"/>
        <v>17406.465253403203</v>
      </c>
      <c r="X207" s="35">
        <f t="shared" si="103"/>
        <v>0.37</v>
      </c>
      <c r="Y207" s="34">
        <f t="shared" ca="1" si="104"/>
        <v>20775.458528255436</v>
      </c>
      <c r="Z207" s="35">
        <f t="shared" si="105"/>
        <v>0.57999999999999996</v>
      </c>
      <c r="AA207" s="34">
        <f t="shared" ca="1" si="106"/>
        <v>32566.934990238249</v>
      </c>
      <c r="AB207" s="34">
        <f t="shared" ca="1" si="107"/>
        <v>70748.858771896892</v>
      </c>
      <c r="AC207" s="15"/>
      <c r="AD207" s="34">
        <f t="shared" ca="1" si="108"/>
        <v>184276.26123059358</v>
      </c>
      <c r="AE207" s="34">
        <f ca="1"/>
        <v>0</v>
      </c>
      <c r="AF207" s="34">
        <f t="shared" ca="1" si="109"/>
        <v>184276.26123059358</v>
      </c>
      <c r="AG207" s="15"/>
      <c r="AH207" s="272">
        <f t="shared" si="117"/>
        <v>51866</v>
      </c>
      <c r="AI207" s="267">
        <f t="shared" si="89"/>
        <v>27.666666666666668</v>
      </c>
      <c r="AJ207" s="267">
        <f t="shared" si="90"/>
        <v>7.1581760822224116E-2</v>
      </c>
      <c r="AK207" s="34">
        <f t="shared" ca="1" si="118"/>
        <v>13190.81925662204</v>
      </c>
      <c r="AL207" s="233"/>
      <c r="AN207" s="232"/>
      <c r="AO207" s="237">
        <f t="shared" si="110"/>
        <v>28</v>
      </c>
      <c r="AP207" s="34">
        <f t="shared" ca="1" si="121"/>
        <v>44.723130930124739</v>
      </c>
      <c r="AQ207" s="34">
        <f t="shared" ca="1" si="121"/>
        <v>0.29581879466401034</v>
      </c>
      <c r="AR207" s="34">
        <f t="shared" ca="1" si="121"/>
        <v>0</v>
      </c>
      <c r="AS207" s="34">
        <f t="shared" ca="1" si="121"/>
        <v>46.498043698108802</v>
      </c>
      <c r="AT207" s="15"/>
      <c r="AW207" s="34">
        <f t="shared" ca="1" si="112"/>
        <v>44.723130930124739</v>
      </c>
      <c r="AX207" s="34">
        <f t="shared" ca="1" si="92"/>
        <v>0.29581879466401034</v>
      </c>
      <c r="AY207" s="34">
        <f t="shared" ca="1" si="92"/>
        <v>0</v>
      </c>
      <c r="AZ207" s="34">
        <f t="shared" ca="1" si="92"/>
        <v>46.498043698108802</v>
      </c>
      <c r="BB207" s="34">
        <f t="shared" ca="1" si="122"/>
        <v>0</v>
      </c>
      <c r="BC207" s="34">
        <f t="shared" ca="1" si="122"/>
        <v>0</v>
      </c>
      <c r="BD207" s="34">
        <f t="shared" ca="1" si="122"/>
        <v>187.35633070463751</v>
      </c>
      <c r="BE207" s="34">
        <f t="shared" ca="1" si="122"/>
        <v>4730.3270853656522</v>
      </c>
      <c r="BF207" s="34">
        <f t="shared" ca="1" si="122"/>
        <v>5247.3785348505553</v>
      </c>
      <c r="BG207" s="34">
        <f t="shared" ca="1" si="122"/>
        <v>5799.5647614431464</v>
      </c>
      <c r="BH207" s="34">
        <f t="shared" ca="1" si="122"/>
        <v>6043.5808828599129</v>
      </c>
      <c r="BI207" s="34">
        <f t="shared" ca="1" si="122"/>
        <v>6297.8644863711243</v>
      </c>
      <c r="BJ207" s="34">
        <f t="shared" ca="1" si="122"/>
        <v>6562.8465338649185</v>
      </c>
      <c r="BK207" s="34">
        <f t="shared" ca="1" si="122"/>
        <v>6838.9783023546261</v>
      </c>
      <c r="BL207" s="34">
        <f t="shared" ca="1" si="122"/>
        <v>7126.7286367494125</v>
      </c>
      <c r="BM207" s="34">
        <f t="shared" ca="1" si="122"/>
        <v>7426.5858958563194</v>
      </c>
      <c r="BN207" s="34">
        <f t="shared" ca="1" si="122"/>
        <v>7739.0915400099075</v>
      </c>
      <c r="BO207" s="34">
        <f t="shared" ca="1" si="122"/>
        <v>8071.0294729372445</v>
      </c>
      <c r="BP207" s="34">
        <f t="shared" ca="1" si="122"/>
        <v>8438.922939185426</v>
      </c>
      <c r="BQ207" s="34">
        <f t="shared" ca="1" si="122"/>
        <v>8851.5606169716175</v>
      </c>
      <c r="BR207" s="34">
        <f t="shared" ca="1" si="119"/>
        <v>9318.325317806557</v>
      </c>
      <c r="BS207" s="34">
        <f t="shared" ca="1" si="119"/>
        <v>9851.5358362481165</v>
      </c>
      <c r="BT207" s="34">
        <f t="shared" ca="1" si="119"/>
        <v>3768.0986548285655</v>
      </c>
      <c r="BU207" s="34">
        <f t="shared" ca="1" si="119"/>
        <v>0</v>
      </c>
      <c r="BV207" s="34">
        <f t="shared" ca="1" si="119"/>
        <v>0</v>
      </c>
      <c r="BW207" s="34">
        <f t="shared" ca="1" si="119"/>
        <v>0</v>
      </c>
      <c r="BX207" s="34">
        <f t="shared" ca="1" si="119"/>
        <v>0</v>
      </c>
      <c r="BY207" s="34">
        <f t="shared" ca="1" si="119"/>
        <v>0</v>
      </c>
      <c r="BZ207" s="34">
        <f t="shared" ca="1" si="119"/>
        <v>0</v>
      </c>
      <c r="CA207" s="34">
        <f t="shared" ca="1" si="119"/>
        <v>0</v>
      </c>
      <c r="CB207" s="34">
        <f t="shared" ca="1" si="119"/>
        <v>0</v>
      </c>
      <c r="CC207" s="34">
        <f t="shared" ca="1" si="119"/>
        <v>0</v>
      </c>
      <c r="CD207" s="34">
        <f t="shared" ca="1" si="119"/>
        <v>0</v>
      </c>
      <c r="CE207" s="34">
        <f t="shared" ca="1" si="119"/>
        <v>0</v>
      </c>
      <c r="CF207" s="34">
        <f t="shared" ca="1" si="119"/>
        <v>0</v>
      </c>
      <c r="CG207" s="34">
        <f t="shared" ca="1" si="119"/>
        <v>0</v>
      </c>
      <c r="CH207" s="34">
        <f t="shared" ca="1" si="120"/>
        <v>0</v>
      </c>
      <c r="CI207" s="34">
        <f t="shared" ca="1" si="120"/>
        <v>0</v>
      </c>
      <c r="CJ207" s="34">
        <f t="shared" ca="1" si="120"/>
        <v>0</v>
      </c>
      <c r="CK207" s="34">
        <f t="shared" ca="1" si="120"/>
        <v>0</v>
      </c>
      <c r="CL207" s="34">
        <f t="shared" ca="1" si="120"/>
        <v>0</v>
      </c>
      <c r="CM207" s="34">
        <f t="shared" ca="1" si="120"/>
        <v>0</v>
      </c>
      <c r="CN207" s="34">
        <f t="shared" ca="1" si="120"/>
        <v>0</v>
      </c>
      <c r="CO207" s="34">
        <f t="shared" ca="1" si="120"/>
        <v>0</v>
      </c>
      <c r="CP207" s="34">
        <f t="shared" ca="1" si="120"/>
        <v>0</v>
      </c>
      <c r="CQ207" s="34">
        <f t="shared" ca="1" si="114"/>
        <v>112299.77582840776</v>
      </c>
      <c r="CR207" s="363">
        <v>0</v>
      </c>
      <c r="CS207" s="34">
        <f t="shared" ca="1" si="115"/>
        <v>112299.77582840776</v>
      </c>
      <c r="CT207" s="233"/>
    </row>
    <row r="208" spans="2:98" x14ac:dyDescent="0.3">
      <c r="B208" s="232"/>
      <c r="C208" s="250">
        <f t="shared" si="116"/>
        <v>2042</v>
      </c>
      <c r="D208" s="263">
        <f t="shared" ca="1" si="96"/>
        <v>51641.232543053688</v>
      </c>
      <c r="E208" s="263">
        <f t="shared" ca="1" si="84"/>
        <v>341.57821351367085</v>
      </c>
      <c r="F208" s="263">
        <f t="shared" ca="1" si="85"/>
        <v>0</v>
      </c>
      <c r="G208" s="263">
        <f t="shared" ca="1" si="97"/>
        <v>53690.701824135715</v>
      </c>
      <c r="H208" s="15"/>
      <c r="I208" s="271">
        <f ca="1">Assumptions!O$68</f>
        <v>4.5</v>
      </c>
      <c r="J208" s="271">
        <f ca="1">Assumptions!P$68</f>
        <v>80</v>
      </c>
      <c r="K208" s="271">
        <f t="shared" ca="1" si="86"/>
        <v>40</v>
      </c>
      <c r="L208" s="15"/>
      <c r="M208" s="35">
        <f t="shared" ca="1" si="98"/>
        <v>4.2299999999999995</v>
      </c>
      <c r="N208" s="35">
        <f t="shared" ca="1" si="87"/>
        <v>74.400000000000006</v>
      </c>
      <c r="O208" s="35">
        <f t="shared" ca="1" si="88"/>
        <v>37.200000000000003</v>
      </c>
      <c r="P208" s="15"/>
      <c r="Q208" s="34">
        <f t="shared" ca="1" si="99"/>
        <v>218442.41365711708</v>
      </c>
      <c r="R208" s="34">
        <f t="shared" ca="1" si="99"/>
        <v>25413.419085417114</v>
      </c>
      <c r="S208" s="34">
        <f t="shared" ca="1" si="99"/>
        <v>0</v>
      </c>
      <c r="T208" s="34">
        <f t="shared" ca="1" si="100"/>
        <v>243855.8327425342</v>
      </c>
      <c r="U208" s="15"/>
      <c r="V208" s="35">
        <f t="shared" si="101"/>
        <v>0.31</v>
      </c>
      <c r="W208" s="34">
        <f t="shared" ca="1" si="102"/>
        <v>16644.117565482073</v>
      </c>
      <c r="X208" s="35">
        <f t="shared" si="103"/>
        <v>0.37</v>
      </c>
      <c r="Y208" s="34">
        <f t="shared" ca="1" si="104"/>
        <v>19865.559674930213</v>
      </c>
      <c r="Z208" s="35">
        <f t="shared" si="105"/>
        <v>0.57999999999999996</v>
      </c>
      <c r="AA208" s="34">
        <f t="shared" ca="1" si="106"/>
        <v>31140.607057998714</v>
      </c>
      <c r="AB208" s="34">
        <f t="shared" ca="1" si="107"/>
        <v>67650.284298411003</v>
      </c>
      <c r="AC208" s="15"/>
      <c r="AD208" s="34">
        <f t="shared" ca="1" si="108"/>
        <v>176205.54844412318</v>
      </c>
      <c r="AE208" s="34">
        <f ca="1"/>
        <v>0</v>
      </c>
      <c r="AF208" s="34">
        <f t="shared" ca="1" si="109"/>
        <v>176205.54844412318</v>
      </c>
      <c r="AG208" s="15"/>
      <c r="AH208" s="272">
        <f t="shared" si="117"/>
        <v>52231</v>
      </c>
      <c r="AI208" s="267">
        <f t="shared" si="89"/>
        <v>28.666666666666668</v>
      </c>
      <c r="AJ208" s="267">
        <f t="shared" si="90"/>
        <v>6.5074328020203728E-2</v>
      </c>
      <c r="AK208" s="34">
        <f t="shared" ca="1" si="118"/>
        <v>11466.457658432771</v>
      </c>
      <c r="AL208" s="233"/>
      <c r="AN208" s="232"/>
      <c r="AO208" s="237">
        <f t="shared" si="110"/>
        <v>29</v>
      </c>
      <c r="AP208" s="34">
        <f t="shared" ca="1" si="121"/>
        <v>42.917382863175128</v>
      </c>
      <c r="AQ208" s="34">
        <f t="shared" ca="1" si="121"/>
        <v>0.28387476915590154</v>
      </c>
      <c r="AR208" s="34">
        <f t="shared" ca="1" si="121"/>
        <v>0</v>
      </c>
      <c r="AS208" s="34">
        <f t="shared" ca="1" si="121"/>
        <v>44.620631478110539</v>
      </c>
      <c r="AT208" s="15"/>
      <c r="AW208" s="34">
        <f t="shared" ca="1" si="112"/>
        <v>42.917382863175128</v>
      </c>
      <c r="AX208" s="34">
        <f t="shared" ca="1" si="92"/>
        <v>0.28387476915590154</v>
      </c>
      <c r="AY208" s="34">
        <f t="shared" ca="1" si="92"/>
        <v>0</v>
      </c>
      <c r="AZ208" s="34">
        <f t="shared" ca="1" si="92"/>
        <v>44.620631478110539</v>
      </c>
      <c r="BB208" s="34">
        <f t="shared" ca="1" si="122"/>
        <v>0</v>
      </c>
      <c r="BC208" s="34">
        <f t="shared" ca="1" si="122"/>
        <v>0</v>
      </c>
      <c r="BD208" s="34">
        <f t="shared" ca="1" si="122"/>
        <v>179.79162110785509</v>
      </c>
      <c r="BE208" s="34">
        <f t="shared" ca="1" si="122"/>
        <v>4539.3351113003419</v>
      </c>
      <c r="BF208" s="34">
        <f t="shared" ca="1" si="122"/>
        <v>5035.5094779698875</v>
      </c>
      <c r="BG208" s="34">
        <f t="shared" ca="1" si="122"/>
        <v>5565.4014763566502</v>
      </c>
      <c r="BH208" s="34">
        <f t="shared" ca="1" si="122"/>
        <v>5799.5647614431464</v>
      </c>
      <c r="BI208" s="34">
        <f t="shared" ca="1" si="122"/>
        <v>6043.5808828599129</v>
      </c>
      <c r="BJ208" s="34">
        <f t="shared" ca="1" si="122"/>
        <v>6297.8644863711243</v>
      </c>
      <c r="BK208" s="34">
        <f t="shared" ca="1" si="122"/>
        <v>6562.8465338649185</v>
      </c>
      <c r="BL208" s="34">
        <f t="shared" ca="1" si="122"/>
        <v>6838.9783023546261</v>
      </c>
      <c r="BM208" s="34">
        <f t="shared" ca="1" si="122"/>
        <v>7126.7286367494125</v>
      </c>
      <c r="BN208" s="34">
        <f t="shared" ca="1" si="122"/>
        <v>7426.5858958563194</v>
      </c>
      <c r="BO208" s="34">
        <f t="shared" ca="1" si="122"/>
        <v>7739.0915400099075</v>
      </c>
      <c r="BP208" s="34">
        <f t="shared" ca="1" si="122"/>
        <v>8071.0294729372445</v>
      </c>
      <c r="BQ208" s="34">
        <f t="shared" ca="1" si="122"/>
        <v>8438.922939185426</v>
      </c>
      <c r="BR208" s="34">
        <f t="shared" ca="1" si="119"/>
        <v>8851.5606169716175</v>
      </c>
      <c r="BS208" s="34">
        <f t="shared" ca="1" si="119"/>
        <v>9318.325317806557</v>
      </c>
      <c r="BT208" s="34">
        <f t="shared" ca="1" si="119"/>
        <v>3546.2865751264894</v>
      </c>
      <c r="BU208" s="34">
        <f t="shared" ca="1" si="119"/>
        <v>0</v>
      </c>
      <c r="BV208" s="34">
        <f t="shared" ca="1" si="119"/>
        <v>0</v>
      </c>
      <c r="BW208" s="34">
        <f t="shared" ca="1" si="119"/>
        <v>0</v>
      </c>
      <c r="BX208" s="34">
        <f t="shared" ca="1" si="119"/>
        <v>0</v>
      </c>
      <c r="BY208" s="34">
        <f t="shared" ca="1" si="119"/>
        <v>0</v>
      </c>
      <c r="BZ208" s="34">
        <f t="shared" ca="1" si="119"/>
        <v>0</v>
      </c>
      <c r="CA208" s="34">
        <f t="shared" ca="1" si="119"/>
        <v>0</v>
      </c>
      <c r="CB208" s="34">
        <f t="shared" ca="1" si="119"/>
        <v>0</v>
      </c>
      <c r="CC208" s="34">
        <f t="shared" ca="1" si="119"/>
        <v>0</v>
      </c>
      <c r="CD208" s="34">
        <f t="shared" ca="1" si="119"/>
        <v>0</v>
      </c>
      <c r="CE208" s="34">
        <f t="shared" ca="1" si="119"/>
        <v>0</v>
      </c>
      <c r="CF208" s="34">
        <f t="shared" ca="1" si="119"/>
        <v>0</v>
      </c>
      <c r="CG208" s="34">
        <f t="shared" ca="1" si="119"/>
        <v>0</v>
      </c>
      <c r="CH208" s="34">
        <f t="shared" ca="1" si="120"/>
        <v>0</v>
      </c>
      <c r="CI208" s="34">
        <f t="shared" ca="1" si="120"/>
        <v>0</v>
      </c>
      <c r="CJ208" s="34">
        <f t="shared" ca="1" si="120"/>
        <v>0</v>
      </c>
      <c r="CK208" s="34">
        <f t="shared" ca="1" si="120"/>
        <v>0</v>
      </c>
      <c r="CL208" s="34">
        <f t="shared" ca="1" si="120"/>
        <v>0</v>
      </c>
      <c r="CM208" s="34">
        <f t="shared" ca="1" si="120"/>
        <v>0</v>
      </c>
      <c r="CN208" s="34">
        <f t="shared" ca="1" si="120"/>
        <v>0</v>
      </c>
      <c r="CO208" s="34">
        <f t="shared" ca="1" si="120"/>
        <v>0</v>
      </c>
      <c r="CP208" s="34">
        <f t="shared" ca="1" si="120"/>
        <v>0</v>
      </c>
      <c r="CQ208" s="34">
        <f t="shared" ca="1" si="114"/>
        <v>107381.40364827143</v>
      </c>
      <c r="CR208" s="363">
        <v>0</v>
      </c>
      <c r="CS208" s="34">
        <f t="shared" ca="1" si="115"/>
        <v>107381.40364827143</v>
      </c>
      <c r="CT208" s="233"/>
    </row>
    <row r="209" spans="2:98" x14ac:dyDescent="0.3">
      <c r="B209" s="232"/>
      <c r="C209" s="250">
        <f t="shared" si="116"/>
        <v>2043</v>
      </c>
      <c r="D209" s="263">
        <f t="shared" ca="1" si="96"/>
        <v>49446.615329001193</v>
      </c>
      <c r="E209" s="263">
        <f t="shared" ca="1" si="84"/>
        <v>327.0620335077536</v>
      </c>
      <c r="F209" s="263">
        <f t="shared" ca="1" si="85"/>
        <v>0</v>
      </c>
      <c r="G209" s="263">
        <f t="shared" ca="1" si="97"/>
        <v>51408.987530047714</v>
      </c>
      <c r="H209" s="15"/>
      <c r="I209" s="271">
        <f ca="1">Assumptions!O$68</f>
        <v>4.5</v>
      </c>
      <c r="J209" s="271">
        <f ca="1">Assumptions!P$68</f>
        <v>80</v>
      </c>
      <c r="K209" s="271">
        <f t="shared" ca="1" si="86"/>
        <v>40</v>
      </c>
      <c r="L209" s="15"/>
      <c r="M209" s="35">
        <f t="shared" ca="1" si="98"/>
        <v>4.2299999999999995</v>
      </c>
      <c r="N209" s="35">
        <f t="shared" ca="1" si="87"/>
        <v>74.400000000000006</v>
      </c>
      <c r="O209" s="35">
        <f t="shared" ca="1" si="88"/>
        <v>37.200000000000003</v>
      </c>
      <c r="P209" s="15"/>
      <c r="Q209" s="34">
        <f t="shared" ca="1" si="99"/>
        <v>209159.18284167504</v>
      </c>
      <c r="R209" s="34">
        <f t="shared" ca="1" si="99"/>
        <v>24333.415292976868</v>
      </c>
      <c r="S209" s="34">
        <f t="shared" ca="1" si="99"/>
        <v>0</v>
      </c>
      <c r="T209" s="34">
        <f t="shared" ca="1" si="100"/>
        <v>233492.5981346519</v>
      </c>
      <c r="U209" s="15"/>
      <c r="V209" s="35">
        <f t="shared" si="101"/>
        <v>0.31</v>
      </c>
      <c r="W209" s="34">
        <f t="shared" ca="1" si="102"/>
        <v>15936.786134314791</v>
      </c>
      <c r="X209" s="35">
        <f t="shared" si="103"/>
        <v>0.37</v>
      </c>
      <c r="Y209" s="34">
        <f t="shared" ca="1" si="104"/>
        <v>19021.325386117653</v>
      </c>
      <c r="Z209" s="35">
        <f t="shared" si="105"/>
        <v>0.57999999999999996</v>
      </c>
      <c r="AA209" s="34">
        <f t="shared" ca="1" si="106"/>
        <v>29817.212767427671</v>
      </c>
      <c r="AB209" s="34">
        <f t="shared" ca="1" si="107"/>
        <v>64775.324287860116</v>
      </c>
      <c r="AC209" s="15"/>
      <c r="AD209" s="34">
        <f t="shared" ca="1" si="108"/>
        <v>168717.27384679177</v>
      </c>
      <c r="AE209" s="34">
        <f ca="1"/>
        <v>0</v>
      </c>
      <c r="AF209" s="34">
        <f t="shared" ca="1" si="109"/>
        <v>168717.27384679177</v>
      </c>
      <c r="AG209" s="15"/>
      <c r="AH209" s="272">
        <f t="shared" si="117"/>
        <v>52596</v>
      </c>
      <c r="AI209" s="267">
        <f t="shared" si="89"/>
        <v>29.666666666666668</v>
      </c>
      <c r="AJ209" s="267">
        <f t="shared" si="90"/>
        <v>5.915848001836703E-2</v>
      </c>
      <c r="AK209" s="34">
        <f t="shared" ca="1" si="118"/>
        <v>9981.0574736187882</v>
      </c>
      <c r="AL209" s="233"/>
      <c r="AN209" s="232"/>
      <c r="AO209" s="237">
        <f t="shared" si="110"/>
        <v>30</v>
      </c>
      <c r="AP209" s="34">
        <f t="shared" ca="1" si="121"/>
        <v>41.184539007360783</v>
      </c>
      <c r="AQ209" s="34">
        <f t="shared" ca="1" si="121"/>
        <v>0.27241296471361337</v>
      </c>
      <c r="AR209" s="34">
        <f t="shared" ca="1" si="121"/>
        <v>0</v>
      </c>
      <c r="AS209" s="34">
        <f t="shared" ca="1" si="121"/>
        <v>42.819016795642462</v>
      </c>
      <c r="AT209" s="15"/>
      <c r="AW209" s="34">
        <f t="shared" ca="1" si="112"/>
        <v>41.184539007360783</v>
      </c>
      <c r="AX209" s="34">
        <f t="shared" ca="1" si="92"/>
        <v>0.27241296471361337</v>
      </c>
      <c r="AY209" s="34">
        <f t="shared" ca="1" si="92"/>
        <v>0</v>
      </c>
      <c r="AZ209" s="34">
        <f t="shared" ca="1" si="92"/>
        <v>42.819016795642462</v>
      </c>
      <c r="BB209" s="34">
        <f t="shared" ca="1" si="122"/>
        <v>0</v>
      </c>
      <c r="BC209" s="34">
        <f t="shared" ca="1" si="122"/>
        <v>0</v>
      </c>
      <c r="BD209" s="34">
        <f t="shared" ca="1" si="122"/>
        <v>172.53233506930206</v>
      </c>
      <c r="BE209" s="34">
        <f t="shared" ca="1" si="122"/>
        <v>4356.0546651562545</v>
      </c>
      <c r="BF209" s="34">
        <f t="shared" ca="1" si="122"/>
        <v>4832.1954410616536</v>
      </c>
      <c r="BG209" s="34">
        <f t="shared" ca="1" si="122"/>
        <v>5340.6918705741246</v>
      </c>
      <c r="BH209" s="34">
        <f t="shared" ca="1" si="122"/>
        <v>5565.4014763566502</v>
      </c>
      <c r="BI209" s="34">
        <f t="shared" ca="1" si="122"/>
        <v>5799.5647614431464</v>
      </c>
      <c r="BJ209" s="34">
        <f t="shared" ca="1" si="122"/>
        <v>6043.5808828599129</v>
      </c>
      <c r="BK209" s="34">
        <f t="shared" ca="1" si="122"/>
        <v>6297.8644863711243</v>
      </c>
      <c r="BL209" s="34">
        <f t="shared" ca="1" si="122"/>
        <v>6562.8465338649185</v>
      </c>
      <c r="BM209" s="34">
        <f t="shared" ca="1" si="122"/>
        <v>6838.9783023546261</v>
      </c>
      <c r="BN209" s="34">
        <f t="shared" ca="1" si="122"/>
        <v>7126.7286367494125</v>
      </c>
      <c r="BO209" s="34">
        <f t="shared" ca="1" si="122"/>
        <v>7426.5858958563194</v>
      </c>
      <c r="BP209" s="34">
        <f t="shared" ca="1" si="122"/>
        <v>7739.0915400099075</v>
      </c>
      <c r="BQ209" s="34">
        <f t="shared" ca="1" si="122"/>
        <v>8071.0294729372445</v>
      </c>
      <c r="BR209" s="34">
        <f t="shared" ca="1" si="119"/>
        <v>8438.922939185426</v>
      </c>
      <c r="BS209" s="34">
        <f t="shared" ca="1" si="119"/>
        <v>8851.5606169716175</v>
      </c>
      <c r="BT209" s="34">
        <f t="shared" ca="1" si="119"/>
        <v>3354.3452032737855</v>
      </c>
      <c r="BU209" s="34">
        <f t="shared" ca="1" si="119"/>
        <v>0</v>
      </c>
      <c r="BV209" s="34">
        <f t="shared" ca="1" si="119"/>
        <v>0</v>
      </c>
      <c r="BW209" s="34">
        <f t="shared" ca="1" si="119"/>
        <v>0</v>
      </c>
      <c r="BX209" s="34">
        <f t="shared" ca="1" si="119"/>
        <v>0</v>
      </c>
      <c r="BY209" s="34">
        <f t="shared" ca="1" si="119"/>
        <v>0</v>
      </c>
      <c r="BZ209" s="34">
        <f t="shared" ca="1" si="119"/>
        <v>0</v>
      </c>
      <c r="CA209" s="34">
        <f t="shared" ca="1" si="119"/>
        <v>0</v>
      </c>
      <c r="CB209" s="34">
        <f t="shared" ca="1" si="119"/>
        <v>0</v>
      </c>
      <c r="CC209" s="34">
        <f t="shared" ca="1" si="119"/>
        <v>0</v>
      </c>
      <c r="CD209" s="34">
        <f t="shared" ca="1" si="119"/>
        <v>0</v>
      </c>
      <c r="CE209" s="34">
        <f t="shared" ca="1" si="119"/>
        <v>0</v>
      </c>
      <c r="CF209" s="34">
        <f t="shared" ca="1" si="119"/>
        <v>0</v>
      </c>
      <c r="CG209" s="34">
        <f t="shared" ca="1" si="119"/>
        <v>0</v>
      </c>
      <c r="CH209" s="34">
        <f t="shared" ca="1" si="120"/>
        <v>0</v>
      </c>
      <c r="CI209" s="34">
        <f t="shared" ca="1" si="120"/>
        <v>0</v>
      </c>
      <c r="CJ209" s="34">
        <f t="shared" ca="1" si="120"/>
        <v>0</v>
      </c>
      <c r="CK209" s="34">
        <f t="shared" ca="1" si="120"/>
        <v>0</v>
      </c>
      <c r="CL209" s="34">
        <f t="shared" ca="1" si="120"/>
        <v>0</v>
      </c>
      <c r="CM209" s="34">
        <f t="shared" ca="1" si="120"/>
        <v>0</v>
      </c>
      <c r="CN209" s="34">
        <f t="shared" ca="1" si="120"/>
        <v>0</v>
      </c>
      <c r="CO209" s="34">
        <f t="shared" ca="1" si="120"/>
        <v>0</v>
      </c>
      <c r="CP209" s="34">
        <f t="shared" ca="1" si="120"/>
        <v>0</v>
      </c>
      <c r="CQ209" s="34">
        <f t="shared" ca="1" si="114"/>
        <v>102817.97506009543</v>
      </c>
      <c r="CR209" s="363">
        <v>0</v>
      </c>
      <c r="CS209" s="34">
        <f t="shared" ca="1" si="115"/>
        <v>102817.97506009543</v>
      </c>
      <c r="CT209" s="233"/>
    </row>
    <row r="210" spans="2:98" x14ac:dyDescent="0.3">
      <c r="B210" s="232"/>
      <c r="C210" s="250">
        <f t="shared" si="116"/>
        <v>2044</v>
      </c>
      <c r="D210" s="263">
        <f t="shared" ca="1" si="96"/>
        <v>47391.91976279673</v>
      </c>
      <c r="E210" s="263">
        <f t="shared" ca="1" si="84"/>
        <v>313.47135787402522</v>
      </c>
      <c r="F210" s="263">
        <f t="shared" ca="1" si="85"/>
        <v>0</v>
      </c>
      <c r="G210" s="263">
        <f t="shared" ca="1" si="97"/>
        <v>49272.747910040882</v>
      </c>
      <c r="H210" s="15"/>
      <c r="I210" s="271">
        <f ca="1">Assumptions!O$68</f>
        <v>4.5</v>
      </c>
      <c r="J210" s="271">
        <f ca="1">Assumptions!P$68</f>
        <v>80</v>
      </c>
      <c r="K210" s="271">
        <f t="shared" ca="1" si="86"/>
        <v>40</v>
      </c>
      <c r="L210" s="15"/>
      <c r="M210" s="35">
        <f t="shared" ca="1" si="98"/>
        <v>4.2299999999999995</v>
      </c>
      <c r="N210" s="35">
        <f t="shared" ca="1" si="87"/>
        <v>74.400000000000006</v>
      </c>
      <c r="O210" s="35">
        <f t="shared" ca="1" si="88"/>
        <v>37.200000000000003</v>
      </c>
      <c r="P210" s="15"/>
      <c r="Q210" s="34">
        <f t="shared" ca="1" si="99"/>
        <v>200467.82059663013</v>
      </c>
      <c r="R210" s="34">
        <f t="shared" ca="1" si="99"/>
        <v>23322.269025827478</v>
      </c>
      <c r="S210" s="34">
        <f t="shared" ca="1" si="99"/>
        <v>0</v>
      </c>
      <c r="T210" s="34">
        <f t="shared" ca="1" si="100"/>
        <v>223790.0896224576</v>
      </c>
      <c r="U210" s="15"/>
      <c r="V210" s="35">
        <f t="shared" si="101"/>
        <v>0.31</v>
      </c>
      <c r="W210" s="34">
        <f t="shared" ca="1" si="102"/>
        <v>15274.551852112672</v>
      </c>
      <c r="X210" s="35">
        <f t="shared" si="103"/>
        <v>0.37</v>
      </c>
      <c r="Y210" s="34">
        <f t="shared" ca="1" si="104"/>
        <v>18230.916726715128</v>
      </c>
      <c r="Z210" s="35">
        <f t="shared" si="105"/>
        <v>0.57999999999999996</v>
      </c>
      <c r="AA210" s="34">
        <f t="shared" ca="1" si="106"/>
        <v>28578.193787823708</v>
      </c>
      <c r="AB210" s="34">
        <f t="shared" ca="1" si="107"/>
        <v>62083.662366651508</v>
      </c>
      <c r="AC210" s="15"/>
      <c r="AD210" s="34">
        <f t="shared" ca="1" si="108"/>
        <v>161706.42725580611</v>
      </c>
      <c r="AE210" s="34">
        <f ca="1"/>
        <v>0</v>
      </c>
      <c r="AF210" s="34">
        <f t="shared" ca="1" si="109"/>
        <v>161706.42725580611</v>
      </c>
      <c r="AG210" s="15"/>
      <c r="AH210" s="272">
        <f t="shared" si="117"/>
        <v>52962</v>
      </c>
      <c r="AI210" s="267">
        <f t="shared" si="89"/>
        <v>30.666666666666668</v>
      </c>
      <c r="AJ210" s="267">
        <f t="shared" si="90"/>
        <v>5.3780436380333668E-2</v>
      </c>
      <c r="AK210" s="34">
        <f t="shared" ca="1" si="118"/>
        <v>8696.6422233219346</v>
      </c>
      <c r="AL210" s="233"/>
      <c r="AN210" s="232"/>
      <c r="AO210" s="237">
        <f t="shared" si="110"/>
        <v>31</v>
      </c>
      <c r="AP210" s="34">
        <f t="shared" ca="1" si="121"/>
        <v>39.521664291939835</v>
      </c>
      <c r="AQ210" s="34">
        <f t="shared" ca="1" si="121"/>
        <v>0.2614139674662686</v>
      </c>
      <c r="AR210" s="34">
        <f t="shared" ca="1" si="121"/>
        <v>0</v>
      </c>
      <c r="AS210" s="34">
        <f t="shared" ca="1" si="121"/>
        <v>41.090148096737444</v>
      </c>
      <c r="AT210" s="15"/>
      <c r="AW210" s="34">
        <f t="shared" ca="1" si="112"/>
        <v>39.521664291939835</v>
      </c>
      <c r="AX210" s="34">
        <f t="shared" ca="1" si="92"/>
        <v>0.2614139674662686</v>
      </c>
      <c r="AY210" s="34">
        <f t="shared" ca="1" si="92"/>
        <v>0</v>
      </c>
      <c r="AZ210" s="34">
        <f t="shared" ca="1" si="92"/>
        <v>41.090148096737444</v>
      </c>
      <c r="BB210" s="34">
        <f t="shared" ca="1" si="122"/>
        <v>0</v>
      </c>
      <c r="BC210" s="34">
        <f t="shared" ca="1" si="122"/>
        <v>0</v>
      </c>
      <c r="BD210" s="34">
        <f t="shared" ca="1" si="122"/>
        <v>165.56614276437469</v>
      </c>
      <c r="BE210" s="34">
        <f t="shared" ca="1" si="122"/>
        <v>4180.1741284599811</v>
      </c>
      <c r="BF210" s="34">
        <f t="shared" ca="1" si="122"/>
        <v>4637.0904500050447</v>
      </c>
      <c r="BG210" s="34">
        <f t="shared" ca="1" si="122"/>
        <v>5125.0557708229671</v>
      </c>
      <c r="BH210" s="34">
        <f t="shared" ca="1" si="122"/>
        <v>5340.6918705741246</v>
      </c>
      <c r="BI210" s="34">
        <f t="shared" ca="1" si="122"/>
        <v>5565.4014763566502</v>
      </c>
      <c r="BJ210" s="34">
        <f t="shared" ca="1" si="122"/>
        <v>5799.5647614431464</v>
      </c>
      <c r="BK210" s="34">
        <f t="shared" ca="1" si="122"/>
        <v>6043.5808828599129</v>
      </c>
      <c r="BL210" s="34">
        <f t="shared" ca="1" si="122"/>
        <v>6297.8644863711243</v>
      </c>
      <c r="BM210" s="34">
        <f t="shared" ca="1" si="122"/>
        <v>6562.8465338649185</v>
      </c>
      <c r="BN210" s="34">
        <f t="shared" ca="1" si="122"/>
        <v>6838.9783023546261</v>
      </c>
      <c r="BO210" s="34">
        <f t="shared" ca="1" si="122"/>
        <v>7126.7286367494125</v>
      </c>
      <c r="BP210" s="34">
        <f t="shared" ca="1" si="122"/>
        <v>7426.5858958563194</v>
      </c>
      <c r="BQ210" s="34">
        <f t="shared" ca="1" si="122"/>
        <v>7739.0915400099075</v>
      </c>
      <c r="BR210" s="34">
        <f t="shared" ref="BR210:CG219" ca="1" si="123">IF($AO210&lt;BR$178,0,OFFSET($AZ$178,$AO210-BR$178+1,0)*BR$176)</f>
        <v>8071.0294729372445</v>
      </c>
      <c r="BS210" s="34">
        <f t="shared" ca="1" si="123"/>
        <v>8438.922939185426</v>
      </c>
      <c r="BT210" s="34">
        <f t="shared" ca="1" si="123"/>
        <v>3186.3225294665835</v>
      </c>
      <c r="BU210" s="34">
        <f t="shared" ca="1" si="123"/>
        <v>0</v>
      </c>
      <c r="BV210" s="34">
        <f t="shared" ca="1" si="123"/>
        <v>0</v>
      </c>
      <c r="BW210" s="34">
        <f t="shared" ca="1" si="123"/>
        <v>0</v>
      </c>
      <c r="BX210" s="34">
        <f t="shared" ca="1" si="123"/>
        <v>0</v>
      </c>
      <c r="BY210" s="34">
        <f t="shared" ca="1" si="123"/>
        <v>0</v>
      </c>
      <c r="BZ210" s="34">
        <f t="shared" ca="1" si="123"/>
        <v>0</v>
      </c>
      <c r="CA210" s="34">
        <f t="shared" ca="1" si="123"/>
        <v>0</v>
      </c>
      <c r="CB210" s="34">
        <f t="shared" ca="1" si="123"/>
        <v>0</v>
      </c>
      <c r="CC210" s="34">
        <f t="shared" ca="1" si="123"/>
        <v>0</v>
      </c>
      <c r="CD210" s="34">
        <f t="shared" ca="1" si="123"/>
        <v>0</v>
      </c>
      <c r="CE210" s="34">
        <f t="shared" ca="1" si="123"/>
        <v>0</v>
      </c>
      <c r="CF210" s="34">
        <f t="shared" ca="1" si="123"/>
        <v>0</v>
      </c>
      <c r="CG210" s="34">
        <f t="shared" ca="1" si="123"/>
        <v>0</v>
      </c>
      <c r="CH210" s="34">
        <f t="shared" ref="CH210:CP219" ca="1" si="124">IF($AO210&lt;CH$178,0,OFFSET($AZ$178,$AO210-CH$178+1,0)*CH$176)</f>
        <v>0</v>
      </c>
      <c r="CI210" s="34">
        <f t="shared" ca="1" si="124"/>
        <v>0</v>
      </c>
      <c r="CJ210" s="34">
        <f t="shared" ca="1" si="124"/>
        <v>0</v>
      </c>
      <c r="CK210" s="34">
        <f t="shared" ca="1" si="124"/>
        <v>0</v>
      </c>
      <c r="CL210" s="34">
        <f t="shared" ca="1" si="124"/>
        <v>0</v>
      </c>
      <c r="CM210" s="34">
        <f t="shared" ca="1" si="124"/>
        <v>0</v>
      </c>
      <c r="CN210" s="34">
        <f t="shared" ca="1" si="124"/>
        <v>0</v>
      </c>
      <c r="CO210" s="34">
        <f t="shared" ca="1" si="124"/>
        <v>0</v>
      </c>
      <c r="CP210" s="34">
        <f t="shared" ca="1" si="124"/>
        <v>0</v>
      </c>
      <c r="CQ210" s="34">
        <f t="shared" ca="1" si="114"/>
        <v>98545.495820081764</v>
      </c>
      <c r="CR210" s="363">
        <v>0</v>
      </c>
      <c r="CS210" s="34">
        <f t="shared" ca="1" si="115"/>
        <v>98545.495820081764</v>
      </c>
      <c r="CT210" s="233"/>
    </row>
    <row r="211" spans="2:98" x14ac:dyDescent="0.3">
      <c r="B211" s="232"/>
      <c r="C211" s="250">
        <f t="shared" si="116"/>
        <v>2045</v>
      </c>
      <c r="D211" s="263">
        <f t="shared" ca="1" si="96"/>
        <v>45452.861032460052</v>
      </c>
      <c r="E211" s="263">
        <f t="shared" ca="1" si="84"/>
        <v>300.64555600234661</v>
      </c>
      <c r="F211" s="263">
        <f t="shared" ca="1" si="85"/>
        <v>0</v>
      </c>
      <c r="G211" s="263">
        <f t="shared" ca="1" si="97"/>
        <v>47256.734368474128</v>
      </c>
      <c r="H211" s="15"/>
      <c r="I211" s="271">
        <f ca="1">Assumptions!O$68</f>
        <v>4.5</v>
      </c>
      <c r="J211" s="271">
        <f ca="1">Assumptions!P$68</f>
        <v>80</v>
      </c>
      <c r="K211" s="271">
        <f t="shared" ca="1" si="86"/>
        <v>40</v>
      </c>
      <c r="L211" s="15"/>
      <c r="M211" s="35">
        <f t="shared" ca="1" si="98"/>
        <v>4.2299999999999995</v>
      </c>
      <c r="N211" s="35">
        <f t="shared" ca="1" si="87"/>
        <v>74.400000000000006</v>
      </c>
      <c r="O211" s="35">
        <f t="shared" ca="1" si="88"/>
        <v>37.200000000000003</v>
      </c>
      <c r="P211" s="15"/>
      <c r="Q211" s="34">
        <f t="shared" ca="1" si="99"/>
        <v>192265.602167306</v>
      </c>
      <c r="R211" s="34">
        <f t="shared" ca="1" si="99"/>
        <v>22368.029366574588</v>
      </c>
      <c r="S211" s="34">
        <f t="shared" ca="1" si="99"/>
        <v>0</v>
      </c>
      <c r="T211" s="34">
        <f t="shared" ca="1" si="100"/>
        <v>214633.6315338806</v>
      </c>
      <c r="U211" s="15"/>
      <c r="V211" s="35">
        <f t="shared" si="101"/>
        <v>0.31</v>
      </c>
      <c r="W211" s="34">
        <f t="shared" ca="1" si="102"/>
        <v>14649.58765422698</v>
      </c>
      <c r="X211" s="35">
        <f t="shared" si="103"/>
        <v>0.37</v>
      </c>
      <c r="Y211" s="34">
        <f t="shared" ca="1" si="104"/>
        <v>17484.991716335426</v>
      </c>
      <c r="Z211" s="35">
        <f t="shared" si="105"/>
        <v>0.57999999999999996</v>
      </c>
      <c r="AA211" s="34">
        <f t="shared" ca="1" si="106"/>
        <v>27408.905933714992</v>
      </c>
      <c r="AB211" s="34">
        <f t="shared" ca="1" si="107"/>
        <v>59543.485304277398</v>
      </c>
      <c r="AC211" s="15"/>
      <c r="AD211" s="34">
        <f t="shared" ca="1" si="108"/>
        <v>155090.14622960321</v>
      </c>
      <c r="AE211" s="34">
        <f ca="1"/>
        <v>0</v>
      </c>
      <c r="AF211" s="34">
        <f t="shared" ca="1" si="109"/>
        <v>155090.14622960321</v>
      </c>
      <c r="AG211" s="15"/>
      <c r="AH211" s="272">
        <f t="shared" si="117"/>
        <v>53327</v>
      </c>
      <c r="AI211" s="267">
        <f t="shared" si="89"/>
        <v>31.666666666666664</v>
      </c>
      <c r="AJ211" s="267">
        <f t="shared" si="90"/>
        <v>4.889130580030334E-2</v>
      </c>
      <c r="AK211" s="34">
        <f t="shared" ca="1" si="118"/>
        <v>7582.5597659252926</v>
      </c>
      <c r="AL211" s="233"/>
      <c r="AN211" s="232"/>
      <c r="AO211" s="237">
        <f t="shared" si="110"/>
        <v>32</v>
      </c>
      <c r="AP211" s="34">
        <f t="shared" ca="1" si="121"/>
        <v>37.925933993696638</v>
      </c>
      <c r="AQ211" s="34">
        <f t="shared" ca="1" si="121"/>
        <v>0.25085909343089147</v>
      </c>
      <c r="AR211" s="34">
        <f t="shared" ca="1" si="121"/>
        <v>0</v>
      </c>
      <c r="AS211" s="34">
        <f t="shared" ca="1" si="121"/>
        <v>39.431088554281985</v>
      </c>
      <c r="AT211" s="15"/>
      <c r="AW211" s="34">
        <f t="shared" ca="1" si="112"/>
        <v>37.925933993696638</v>
      </c>
      <c r="AX211" s="34">
        <f t="shared" ca="1" si="92"/>
        <v>0.25085909343089147</v>
      </c>
      <c r="AY211" s="34">
        <f t="shared" ca="1" si="92"/>
        <v>0</v>
      </c>
      <c r="AZ211" s="34">
        <f t="shared" ca="1" si="92"/>
        <v>39.431088554281985</v>
      </c>
      <c r="BB211" s="34">
        <f t="shared" ca="1" si="122"/>
        <v>0</v>
      </c>
      <c r="BC211" s="34">
        <f t="shared" ca="1" si="122"/>
        <v>0</v>
      </c>
      <c r="BD211" s="34">
        <f t="shared" ca="1" si="122"/>
        <v>158.88119941322034</v>
      </c>
      <c r="BE211" s="34">
        <f t="shared" ca="1" si="122"/>
        <v>4011.3947698821371</v>
      </c>
      <c r="BF211" s="34">
        <f t="shared" ca="1" si="122"/>
        <v>4449.8627819090116</v>
      </c>
      <c r="BG211" s="34">
        <f t="shared" ca="1" si="122"/>
        <v>4918.1262348538366</v>
      </c>
      <c r="BH211" s="34">
        <f t="shared" ca="1" si="122"/>
        <v>5125.0557708229671</v>
      </c>
      <c r="BI211" s="34">
        <f t="shared" ca="1" si="122"/>
        <v>5340.6918705741246</v>
      </c>
      <c r="BJ211" s="34">
        <f t="shared" ca="1" si="122"/>
        <v>5565.4014763566502</v>
      </c>
      <c r="BK211" s="34">
        <f t="shared" ca="1" si="122"/>
        <v>5799.5647614431464</v>
      </c>
      <c r="BL211" s="34">
        <f t="shared" ca="1" si="122"/>
        <v>6043.5808828599129</v>
      </c>
      <c r="BM211" s="34">
        <f t="shared" ca="1" si="122"/>
        <v>6297.8644863711243</v>
      </c>
      <c r="BN211" s="34">
        <f t="shared" ca="1" si="122"/>
        <v>6562.8465338649185</v>
      </c>
      <c r="BO211" s="34">
        <f t="shared" ca="1" si="122"/>
        <v>6838.9783023546261</v>
      </c>
      <c r="BP211" s="34">
        <f t="shared" ca="1" si="122"/>
        <v>7126.7286367494125</v>
      </c>
      <c r="BQ211" s="34">
        <f t="shared" ref="BQ211:BQ219" ca="1" si="125">IF($AO211&lt;BQ$178,0,OFFSET($AZ$178,$AO211-BQ$178+1,0)*BQ$176)</f>
        <v>7426.5858958563194</v>
      </c>
      <c r="BR211" s="34">
        <f t="shared" ca="1" si="123"/>
        <v>7739.0915400099075</v>
      </c>
      <c r="BS211" s="34">
        <f t="shared" ca="1" si="123"/>
        <v>8071.0294729372445</v>
      </c>
      <c r="BT211" s="34">
        <f t="shared" ca="1" si="123"/>
        <v>3037.7841206897206</v>
      </c>
      <c r="BU211" s="34">
        <f t="shared" ca="1" si="123"/>
        <v>0</v>
      </c>
      <c r="BV211" s="34">
        <f t="shared" ca="1" si="123"/>
        <v>0</v>
      </c>
      <c r="BW211" s="34">
        <f t="shared" ca="1" si="123"/>
        <v>0</v>
      </c>
      <c r="BX211" s="34">
        <f t="shared" ca="1" si="123"/>
        <v>0</v>
      </c>
      <c r="BY211" s="34">
        <f t="shared" ca="1" si="123"/>
        <v>0</v>
      </c>
      <c r="BZ211" s="34">
        <f t="shared" ca="1" si="123"/>
        <v>0</v>
      </c>
      <c r="CA211" s="34">
        <f t="shared" ca="1" si="123"/>
        <v>0</v>
      </c>
      <c r="CB211" s="34">
        <f t="shared" ca="1" si="123"/>
        <v>0</v>
      </c>
      <c r="CC211" s="34">
        <f t="shared" ca="1" si="123"/>
        <v>0</v>
      </c>
      <c r="CD211" s="34">
        <f t="shared" ca="1" si="123"/>
        <v>0</v>
      </c>
      <c r="CE211" s="34">
        <f t="shared" ca="1" si="123"/>
        <v>0</v>
      </c>
      <c r="CF211" s="34">
        <f t="shared" ca="1" si="123"/>
        <v>0</v>
      </c>
      <c r="CG211" s="34">
        <f t="shared" ca="1" si="123"/>
        <v>0</v>
      </c>
      <c r="CH211" s="34">
        <f t="shared" ca="1" si="124"/>
        <v>0</v>
      </c>
      <c r="CI211" s="34">
        <f t="shared" ca="1" si="124"/>
        <v>0</v>
      </c>
      <c r="CJ211" s="34">
        <f t="shared" ca="1" si="124"/>
        <v>0</v>
      </c>
      <c r="CK211" s="34">
        <f t="shared" ca="1" si="124"/>
        <v>0</v>
      </c>
      <c r="CL211" s="34">
        <f t="shared" ca="1" si="124"/>
        <v>0</v>
      </c>
      <c r="CM211" s="34">
        <f t="shared" ca="1" si="124"/>
        <v>0</v>
      </c>
      <c r="CN211" s="34">
        <f t="shared" ca="1" si="124"/>
        <v>0</v>
      </c>
      <c r="CO211" s="34">
        <f t="shared" ca="1" si="124"/>
        <v>0</v>
      </c>
      <c r="CP211" s="34">
        <f t="shared" ca="1" si="124"/>
        <v>0</v>
      </c>
      <c r="CQ211" s="34">
        <f t="shared" ca="1" si="114"/>
        <v>94513.468736948256</v>
      </c>
      <c r="CR211" s="363">
        <v>0</v>
      </c>
      <c r="CS211" s="34">
        <f t="shared" ca="1" si="115"/>
        <v>94513.468736948256</v>
      </c>
      <c r="CT211" s="233"/>
    </row>
    <row r="212" spans="2:98" x14ac:dyDescent="0.3">
      <c r="B212" s="232"/>
      <c r="C212" s="250">
        <f t="shared" si="116"/>
        <v>2046</v>
      </c>
      <c r="D212" s="263">
        <f t="shared" ca="1" si="96"/>
        <v>43610.018219716112</v>
      </c>
      <c r="E212" s="263">
        <f t="shared" ca="1" si="84"/>
        <v>288.4561692513858</v>
      </c>
      <c r="F212" s="263">
        <f t="shared" ca="1" si="85"/>
        <v>0</v>
      </c>
      <c r="G212" s="263">
        <f t="shared" ca="1" si="97"/>
        <v>45340.755235224424</v>
      </c>
      <c r="H212" s="15"/>
      <c r="I212" s="271">
        <f ca="1">Assumptions!O$68</f>
        <v>4.5</v>
      </c>
      <c r="J212" s="271">
        <f ca="1">Assumptions!P$68</f>
        <v>80</v>
      </c>
      <c r="K212" s="271">
        <f t="shared" ca="1" si="86"/>
        <v>40</v>
      </c>
      <c r="L212" s="15"/>
      <c r="M212" s="35">
        <f t="shared" ca="1" si="98"/>
        <v>4.2299999999999995</v>
      </c>
      <c r="N212" s="35">
        <f t="shared" ca="1" si="87"/>
        <v>74.400000000000006</v>
      </c>
      <c r="O212" s="35">
        <f t="shared" ca="1" si="88"/>
        <v>37.200000000000003</v>
      </c>
      <c r="P212" s="15"/>
      <c r="Q212" s="34">
        <f t="shared" ca="1" si="99"/>
        <v>184470.37706939914</v>
      </c>
      <c r="R212" s="34">
        <f t="shared" ca="1" si="99"/>
        <v>21461.138992303106</v>
      </c>
      <c r="S212" s="34">
        <f t="shared" ca="1" si="99"/>
        <v>0</v>
      </c>
      <c r="T212" s="34">
        <f t="shared" ca="1" si="100"/>
        <v>205931.51606170225</v>
      </c>
      <c r="U212" s="15"/>
      <c r="V212" s="35">
        <f t="shared" si="101"/>
        <v>0.31</v>
      </c>
      <c r="W212" s="34">
        <f t="shared" ca="1" si="102"/>
        <v>14055.634122919571</v>
      </c>
      <c r="X212" s="35">
        <f t="shared" si="103"/>
        <v>0.37</v>
      </c>
      <c r="Y212" s="34">
        <f t="shared" ca="1" si="104"/>
        <v>16776.079437033037</v>
      </c>
      <c r="Z212" s="35">
        <f t="shared" si="105"/>
        <v>0.57999999999999996</v>
      </c>
      <c r="AA212" s="34">
        <f t="shared" ca="1" si="106"/>
        <v>26297.638036430166</v>
      </c>
      <c r="AB212" s="34">
        <f t="shared" ca="1" si="107"/>
        <v>57129.351596382774</v>
      </c>
      <c r="AC212" s="15"/>
      <c r="AD212" s="34">
        <f t="shared" ca="1" si="108"/>
        <v>148802.16446531948</v>
      </c>
      <c r="AE212" s="34">
        <f ca="1"/>
        <v>0</v>
      </c>
      <c r="AF212" s="34">
        <f t="shared" ca="1" si="109"/>
        <v>148802.16446531948</v>
      </c>
      <c r="AG212" s="15"/>
      <c r="AH212" s="272">
        <f t="shared" si="117"/>
        <v>53692</v>
      </c>
      <c r="AI212" s="267">
        <f t="shared" si="89"/>
        <v>32.666666666666664</v>
      </c>
      <c r="AJ212" s="267">
        <f t="shared" si="90"/>
        <v>4.4446641636639403E-2</v>
      </c>
      <c r="AK212" s="34">
        <f t="shared" ca="1" si="118"/>
        <v>6613.7564787463334</v>
      </c>
      <c r="AL212" s="233"/>
      <c r="AN212" s="232"/>
      <c r="AO212" s="237">
        <f t="shared" si="110"/>
        <v>33</v>
      </c>
      <c r="AP212" s="34">
        <f t="shared" ref="AP212:AS219" ca="1" si="126">+AP162</f>
        <v>36.394629831879065</v>
      </c>
      <c r="AQ212" s="34">
        <f t="shared" ca="1" si="126"/>
        <v>0.24073036268257683</v>
      </c>
      <c r="AR212" s="34">
        <f t="shared" ca="1" si="126"/>
        <v>0</v>
      </c>
      <c r="AS212" s="34">
        <f t="shared" ca="1" si="126"/>
        <v>37.839012007974524</v>
      </c>
      <c r="AT212" s="15"/>
      <c r="AW212" s="34">
        <f t="shared" ca="1" si="112"/>
        <v>36.394629831879065</v>
      </c>
      <c r="AX212" s="34">
        <f t="shared" ca="1" si="92"/>
        <v>0.24073036268257683</v>
      </c>
      <c r="AY212" s="34">
        <f t="shared" ca="1" si="92"/>
        <v>0</v>
      </c>
      <c r="AZ212" s="34">
        <f t="shared" ca="1" si="92"/>
        <v>37.839012007974524</v>
      </c>
      <c r="BB212" s="34">
        <f t="shared" ref="BB212:BP219" ca="1" si="127">IF($AO212&lt;BB$178,0,OFFSET($AZ$178,$AO212-BB$178+1,0)*BB$176)</f>
        <v>0</v>
      </c>
      <c r="BC212" s="34">
        <f t="shared" ca="1" si="127"/>
        <v>0</v>
      </c>
      <c r="BD212" s="34">
        <f t="shared" ca="1" si="127"/>
        <v>152.4661821366453</v>
      </c>
      <c r="BE212" s="34">
        <f t="shared" ca="1" si="127"/>
        <v>3849.4296099282569</v>
      </c>
      <c r="BF212" s="34">
        <f t="shared" ca="1" si="127"/>
        <v>4270.1944324551778</v>
      </c>
      <c r="BG212" s="34">
        <f t="shared" ca="1" si="127"/>
        <v>4719.5514353580438</v>
      </c>
      <c r="BH212" s="34">
        <f t="shared" ca="1" si="127"/>
        <v>4918.1262348538366</v>
      </c>
      <c r="BI212" s="34">
        <f t="shared" ca="1" si="127"/>
        <v>5125.0557708229671</v>
      </c>
      <c r="BJ212" s="34">
        <f t="shared" ca="1" si="127"/>
        <v>5340.6918705741246</v>
      </c>
      <c r="BK212" s="34">
        <f t="shared" ca="1" si="127"/>
        <v>5565.4014763566502</v>
      </c>
      <c r="BL212" s="34">
        <f t="shared" ca="1" si="127"/>
        <v>5799.5647614431464</v>
      </c>
      <c r="BM212" s="34">
        <f t="shared" ca="1" si="127"/>
        <v>6043.5808828599129</v>
      </c>
      <c r="BN212" s="34">
        <f t="shared" ca="1" si="127"/>
        <v>6297.8644863711243</v>
      </c>
      <c r="BO212" s="34">
        <f t="shared" ca="1" si="127"/>
        <v>6562.8465338649185</v>
      </c>
      <c r="BP212" s="34">
        <f t="shared" ca="1" si="127"/>
        <v>6838.9783023546261</v>
      </c>
      <c r="BQ212" s="34">
        <f t="shared" ca="1" si="125"/>
        <v>7126.7286367494125</v>
      </c>
      <c r="BR212" s="34">
        <f t="shared" ca="1" si="123"/>
        <v>7426.5858958563194</v>
      </c>
      <c r="BS212" s="34">
        <f t="shared" ca="1" si="123"/>
        <v>7739.0915400099075</v>
      </c>
      <c r="BT212" s="34">
        <f t="shared" ca="1" si="123"/>
        <v>2905.3524184537828</v>
      </c>
      <c r="BU212" s="34">
        <f t="shared" ca="1" si="123"/>
        <v>0</v>
      </c>
      <c r="BV212" s="34">
        <f t="shared" ca="1" si="123"/>
        <v>0</v>
      </c>
      <c r="BW212" s="34">
        <f t="shared" ca="1" si="123"/>
        <v>0</v>
      </c>
      <c r="BX212" s="34">
        <f t="shared" ca="1" si="123"/>
        <v>0</v>
      </c>
      <c r="BY212" s="34">
        <f t="shared" ca="1" si="123"/>
        <v>0</v>
      </c>
      <c r="BZ212" s="34">
        <f t="shared" ca="1" si="123"/>
        <v>0</v>
      </c>
      <c r="CA212" s="34">
        <f t="shared" ca="1" si="123"/>
        <v>0</v>
      </c>
      <c r="CB212" s="34">
        <f t="shared" ca="1" si="123"/>
        <v>0</v>
      </c>
      <c r="CC212" s="34">
        <f t="shared" ca="1" si="123"/>
        <v>0</v>
      </c>
      <c r="CD212" s="34">
        <f t="shared" ca="1" si="123"/>
        <v>0</v>
      </c>
      <c r="CE212" s="34">
        <f t="shared" ca="1" si="123"/>
        <v>0</v>
      </c>
      <c r="CF212" s="34">
        <f t="shared" ca="1" si="123"/>
        <v>0</v>
      </c>
      <c r="CG212" s="34">
        <f t="shared" ca="1" si="123"/>
        <v>0</v>
      </c>
      <c r="CH212" s="34">
        <f t="shared" ca="1" si="124"/>
        <v>0</v>
      </c>
      <c r="CI212" s="34">
        <f t="shared" ca="1" si="124"/>
        <v>0</v>
      </c>
      <c r="CJ212" s="34">
        <f t="shared" ca="1" si="124"/>
        <v>0</v>
      </c>
      <c r="CK212" s="34">
        <f t="shared" ca="1" si="124"/>
        <v>0</v>
      </c>
      <c r="CL212" s="34">
        <f t="shared" ca="1" si="124"/>
        <v>0</v>
      </c>
      <c r="CM212" s="34">
        <f t="shared" ca="1" si="124"/>
        <v>0</v>
      </c>
      <c r="CN212" s="34">
        <f t="shared" ca="1" si="124"/>
        <v>0</v>
      </c>
      <c r="CO212" s="34">
        <f t="shared" ca="1" si="124"/>
        <v>0</v>
      </c>
      <c r="CP212" s="34">
        <f t="shared" ca="1" si="124"/>
        <v>0</v>
      </c>
      <c r="CQ212" s="34">
        <f t="shared" ca="1" si="114"/>
        <v>90681.510470448848</v>
      </c>
      <c r="CR212" s="363">
        <v>0</v>
      </c>
      <c r="CS212" s="34">
        <f t="shared" ca="1" si="115"/>
        <v>90681.510470448848</v>
      </c>
      <c r="CT212" s="233"/>
    </row>
    <row r="213" spans="2:98" x14ac:dyDescent="0.3">
      <c r="B213" s="232"/>
      <c r="C213" s="250">
        <f t="shared" si="116"/>
        <v>2047</v>
      </c>
      <c r="D213" s="263">
        <f t="shared" ca="1" si="96"/>
        <v>41848.149960320276</v>
      </c>
      <c r="E213" s="263">
        <f t="shared" ca="1" si="84"/>
        <v>276.80238441987291</v>
      </c>
      <c r="F213" s="263">
        <f t="shared" ca="1" si="85"/>
        <v>0</v>
      </c>
      <c r="G213" s="263">
        <f t="shared" ca="1" si="97"/>
        <v>43508.96426683951</v>
      </c>
      <c r="H213" s="15"/>
      <c r="I213" s="271">
        <f ca="1">Assumptions!O$68</f>
        <v>4.5</v>
      </c>
      <c r="J213" s="271">
        <f ca="1">Assumptions!P$68</f>
        <v>80</v>
      </c>
      <c r="K213" s="271">
        <f t="shared" ca="1" si="86"/>
        <v>40</v>
      </c>
      <c r="L213" s="15"/>
      <c r="M213" s="35">
        <f t="shared" ca="1" si="98"/>
        <v>4.2299999999999995</v>
      </c>
      <c r="N213" s="35">
        <f t="shared" ca="1" si="87"/>
        <v>74.400000000000006</v>
      </c>
      <c r="O213" s="35">
        <f t="shared" ca="1" si="88"/>
        <v>37.200000000000003</v>
      </c>
      <c r="P213" s="15"/>
      <c r="Q213" s="34">
        <f t="shared" ca="1" si="99"/>
        <v>177017.67433215474</v>
      </c>
      <c r="R213" s="34">
        <f t="shared" ca="1" si="99"/>
        <v>20594.097400838546</v>
      </c>
      <c r="S213" s="34">
        <f t="shared" ca="1" si="99"/>
        <v>0</v>
      </c>
      <c r="T213" s="34">
        <f t="shared" ca="1" si="100"/>
        <v>197611.77173299328</v>
      </c>
      <c r="U213" s="15"/>
      <c r="V213" s="35">
        <f t="shared" si="101"/>
        <v>0.31</v>
      </c>
      <c r="W213" s="34">
        <f t="shared" ca="1" si="102"/>
        <v>13487.778922720248</v>
      </c>
      <c r="X213" s="35">
        <f t="shared" si="103"/>
        <v>0.37</v>
      </c>
      <c r="Y213" s="34">
        <f t="shared" ca="1" si="104"/>
        <v>16098.316778730619</v>
      </c>
      <c r="Z213" s="35">
        <f t="shared" si="105"/>
        <v>0.57999999999999996</v>
      </c>
      <c r="AA213" s="34">
        <f t="shared" ca="1" si="106"/>
        <v>25235.199274766914</v>
      </c>
      <c r="AB213" s="34">
        <f t="shared" ca="1" si="107"/>
        <v>54821.294976217781</v>
      </c>
      <c r="AC213" s="15"/>
      <c r="AD213" s="34">
        <f t="shared" ca="1" si="108"/>
        <v>142790.47675677549</v>
      </c>
      <c r="AE213" s="34">
        <f ca="1"/>
        <v>0</v>
      </c>
      <c r="AF213" s="34">
        <f t="shared" ca="1" si="109"/>
        <v>142790.47675677549</v>
      </c>
      <c r="AG213" s="15"/>
      <c r="AH213" s="272">
        <f t="shared" si="117"/>
        <v>54057</v>
      </c>
      <c r="AI213" s="267">
        <f t="shared" si="89"/>
        <v>33.666666666666664</v>
      </c>
      <c r="AJ213" s="267">
        <f t="shared" si="90"/>
        <v>4.0406037851490349E-2</v>
      </c>
      <c r="AK213" s="34">
        <f t="shared" ca="1" si="118"/>
        <v>5769.5974086666238</v>
      </c>
      <c r="AL213" s="233"/>
      <c r="AN213" s="232"/>
      <c r="AO213" s="237">
        <f t="shared" si="110"/>
        <v>34</v>
      </c>
      <c r="AP213" s="34">
        <f t="shared" ca="1" si="126"/>
        <v>34.925155684008786</v>
      </c>
      <c r="AQ213" s="34">
        <f t="shared" ca="1" si="126"/>
        <v>0.23101060330588916</v>
      </c>
      <c r="AR213" s="34">
        <f t="shared" ca="1" si="126"/>
        <v>0</v>
      </c>
      <c r="AS213" s="34">
        <f t="shared" ca="1" si="126"/>
        <v>36.311219303844119</v>
      </c>
      <c r="AT213" s="15"/>
      <c r="AW213" s="34">
        <f t="shared" ca="1" si="112"/>
        <v>34.925155684008786</v>
      </c>
      <c r="AX213" s="34">
        <f t="shared" ca="1" si="92"/>
        <v>0.23101060330588916</v>
      </c>
      <c r="AY213" s="34">
        <f t="shared" ca="1" si="92"/>
        <v>0</v>
      </c>
      <c r="AZ213" s="34">
        <f t="shared" ca="1" si="92"/>
        <v>36.311219303844119</v>
      </c>
      <c r="BB213" s="34">
        <f t="shared" ca="1" si="127"/>
        <v>0</v>
      </c>
      <c r="BC213" s="34">
        <f t="shared" ca="1" si="127"/>
        <v>0</v>
      </c>
      <c r="BD213" s="34">
        <f t="shared" ca="1" si="127"/>
        <v>146.31019375276216</v>
      </c>
      <c r="BE213" s="34">
        <f t="shared" ca="1" si="127"/>
        <v>3694.0043138966957</v>
      </c>
      <c r="BF213" s="34">
        <f t="shared" ca="1" si="127"/>
        <v>4097.7799073429833</v>
      </c>
      <c r="BG213" s="34">
        <f t="shared" ca="1" si="127"/>
        <v>4528.9940950282198</v>
      </c>
      <c r="BH213" s="34">
        <f t="shared" ca="1" si="127"/>
        <v>4719.5514353580438</v>
      </c>
      <c r="BI213" s="34">
        <f t="shared" ca="1" si="127"/>
        <v>4918.1262348538366</v>
      </c>
      <c r="BJ213" s="34">
        <f t="shared" ca="1" si="127"/>
        <v>5125.0557708229671</v>
      </c>
      <c r="BK213" s="34">
        <f t="shared" ca="1" si="127"/>
        <v>5340.6918705741246</v>
      </c>
      <c r="BL213" s="34">
        <f t="shared" ca="1" si="127"/>
        <v>5565.4014763566502</v>
      </c>
      <c r="BM213" s="34">
        <f t="shared" ca="1" si="127"/>
        <v>5799.5647614431464</v>
      </c>
      <c r="BN213" s="34">
        <f t="shared" ca="1" si="127"/>
        <v>6043.5808828599129</v>
      </c>
      <c r="BO213" s="34">
        <f t="shared" ca="1" si="127"/>
        <v>6297.8644863711243</v>
      </c>
      <c r="BP213" s="34">
        <f t="shared" ca="1" si="127"/>
        <v>6562.8465338649185</v>
      </c>
      <c r="BQ213" s="34">
        <f t="shared" ca="1" si="125"/>
        <v>6838.9783023546261</v>
      </c>
      <c r="BR213" s="34">
        <f t="shared" ca="1" si="123"/>
        <v>7126.7286367494125</v>
      </c>
      <c r="BS213" s="34">
        <f t="shared" ca="1" si="123"/>
        <v>7426.5858958563194</v>
      </c>
      <c r="BT213" s="34">
        <f t="shared" ca="1" si="123"/>
        <v>2785.8637361932756</v>
      </c>
      <c r="BU213" s="34">
        <f t="shared" ca="1" si="123"/>
        <v>0</v>
      </c>
      <c r="BV213" s="34">
        <f t="shared" ca="1" si="123"/>
        <v>0</v>
      </c>
      <c r="BW213" s="34">
        <f t="shared" ca="1" si="123"/>
        <v>0</v>
      </c>
      <c r="BX213" s="34">
        <f t="shared" ca="1" si="123"/>
        <v>0</v>
      </c>
      <c r="BY213" s="34">
        <f t="shared" ca="1" si="123"/>
        <v>0</v>
      </c>
      <c r="BZ213" s="34">
        <f t="shared" ca="1" si="123"/>
        <v>0</v>
      </c>
      <c r="CA213" s="34">
        <f t="shared" ca="1" si="123"/>
        <v>0</v>
      </c>
      <c r="CB213" s="34">
        <f t="shared" ca="1" si="123"/>
        <v>0</v>
      </c>
      <c r="CC213" s="34">
        <f t="shared" ca="1" si="123"/>
        <v>0</v>
      </c>
      <c r="CD213" s="34">
        <f t="shared" ca="1" si="123"/>
        <v>0</v>
      </c>
      <c r="CE213" s="34">
        <f t="shared" ca="1" si="123"/>
        <v>0</v>
      </c>
      <c r="CF213" s="34">
        <f t="shared" ca="1" si="123"/>
        <v>0</v>
      </c>
      <c r="CG213" s="34">
        <f t="shared" ca="1" si="123"/>
        <v>0</v>
      </c>
      <c r="CH213" s="34">
        <f t="shared" ca="1" si="124"/>
        <v>0</v>
      </c>
      <c r="CI213" s="34">
        <f t="shared" ca="1" si="124"/>
        <v>0</v>
      </c>
      <c r="CJ213" s="34">
        <f t="shared" ca="1" si="124"/>
        <v>0</v>
      </c>
      <c r="CK213" s="34">
        <f t="shared" ca="1" si="124"/>
        <v>0</v>
      </c>
      <c r="CL213" s="34">
        <f t="shared" ca="1" si="124"/>
        <v>0</v>
      </c>
      <c r="CM213" s="34">
        <f t="shared" ca="1" si="124"/>
        <v>0</v>
      </c>
      <c r="CN213" s="34">
        <f t="shared" ca="1" si="124"/>
        <v>0</v>
      </c>
      <c r="CO213" s="34">
        <f t="shared" ca="1" si="124"/>
        <v>0</v>
      </c>
      <c r="CP213" s="34">
        <f t="shared" ca="1" si="124"/>
        <v>0</v>
      </c>
      <c r="CQ213" s="34">
        <f t="shared" ca="1" si="114"/>
        <v>87017.92853367902</v>
      </c>
      <c r="CR213" s="363">
        <v>0</v>
      </c>
      <c r="CS213" s="34">
        <f t="shared" ca="1" si="115"/>
        <v>87017.92853367902</v>
      </c>
      <c r="CT213" s="233"/>
    </row>
    <row r="214" spans="2:98" x14ac:dyDescent="0.3">
      <c r="B214" s="232"/>
      <c r="C214" s="250">
        <f t="shared" si="116"/>
        <v>2048</v>
      </c>
      <c r="D214" s="263">
        <f t="shared" ca="1" si="96"/>
        <v>40158.477984162862</v>
      </c>
      <c r="E214" s="263">
        <f t="shared" ca="1" si="84"/>
        <v>265.62613810238258</v>
      </c>
      <c r="F214" s="263">
        <f t="shared" ca="1" si="85"/>
        <v>0</v>
      </c>
      <c r="G214" s="263">
        <f t="shared" ca="1" si="97"/>
        <v>41752.234812777155</v>
      </c>
      <c r="H214" s="15"/>
      <c r="I214" s="271">
        <f ca="1">Assumptions!O$68</f>
        <v>4.5</v>
      </c>
      <c r="J214" s="271">
        <f ca="1">Assumptions!P$68</f>
        <v>80</v>
      </c>
      <c r="K214" s="271">
        <f t="shared" ca="1" si="86"/>
        <v>40</v>
      </c>
      <c r="L214" s="15"/>
      <c r="M214" s="35">
        <f t="shared" ca="1" si="98"/>
        <v>4.2299999999999995</v>
      </c>
      <c r="N214" s="35">
        <f t="shared" ca="1" si="87"/>
        <v>74.400000000000006</v>
      </c>
      <c r="O214" s="35">
        <f t="shared" ca="1" si="88"/>
        <v>37.200000000000003</v>
      </c>
      <c r="P214" s="15"/>
      <c r="Q214" s="34">
        <f t="shared" ca="1" si="99"/>
        <v>169870.36187300889</v>
      </c>
      <c r="R214" s="34">
        <f t="shared" ca="1" si="99"/>
        <v>19762.584674817266</v>
      </c>
      <c r="S214" s="34">
        <f t="shared" ca="1" si="99"/>
        <v>0</v>
      </c>
      <c r="T214" s="34">
        <f t="shared" ca="1" si="100"/>
        <v>189632.94654782617</v>
      </c>
      <c r="U214" s="15"/>
      <c r="V214" s="35">
        <f t="shared" si="101"/>
        <v>0.31</v>
      </c>
      <c r="W214" s="34">
        <f t="shared" ca="1" si="102"/>
        <v>12943.192791960917</v>
      </c>
      <c r="X214" s="35">
        <f t="shared" si="103"/>
        <v>0.37</v>
      </c>
      <c r="Y214" s="34">
        <f t="shared" ca="1" si="104"/>
        <v>15448.326880727547</v>
      </c>
      <c r="Z214" s="35">
        <f t="shared" si="105"/>
        <v>0.57999999999999996</v>
      </c>
      <c r="AA214" s="34">
        <f t="shared" ca="1" si="106"/>
        <v>24216.296191410747</v>
      </c>
      <c r="AB214" s="34">
        <f t="shared" ca="1" si="107"/>
        <v>52607.815864099211</v>
      </c>
      <c r="AC214" s="15"/>
      <c r="AD214" s="34">
        <f t="shared" ca="1" si="108"/>
        <v>137025.13068372695</v>
      </c>
      <c r="AE214" s="34">
        <f ca="1"/>
        <v>0</v>
      </c>
      <c r="AF214" s="34">
        <f t="shared" ca="1" si="109"/>
        <v>137025.13068372695</v>
      </c>
      <c r="AG214" s="15"/>
      <c r="AH214" s="272">
        <f t="shared" si="117"/>
        <v>54423</v>
      </c>
      <c r="AI214" s="267">
        <f t="shared" si="89"/>
        <v>34.666666666666664</v>
      </c>
      <c r="AJ214" s="267">
        <f t="shared" si="90"/>
        <v>3.6732761683173049E-2</v>
      </c>
      <c r="AK214" s="34">
        <f t="shared" ca="1" si="118"/>
        <v>5033.3114700109845</v>
      </c>
      <c r="AL214" s="233"/>
      <c r="AN214" s="232"/>
      <c r="AO214" s="237">
        <f t="shared" si="110"/>
        <v>35</v>
      </c>
      <c r="AP214" s="34">
        <f t="shared" ca="1" si="126"/>
        <v>33.515011941127355</v>
      </c>
      <c r="AQ214" s="34">
        <f t="shared" ca="1" si="126"/>
        <v>0.22168328176898847</v>
      </c>
      <c r="AR214" s="34">
        <f t="shared" ca="1" si="126"/>
        <v>0</v>
      </c>
      <c r="AS214" s="34">
        <f t="shared" ca="1" si="126"/>
        <v>34.845111631741283</v>
      </c>
      <c r="AT214" s="15"/>
      <c r="AW214" s="34">
        <f t="shared" ca="1" si="112"/>
        <v>33.515011941127355</v>
      </c>
      <c r="AX214" s="34">
        <f t="shared" ca="1" si="92"/>
        <v>0.22168328176898847</v>
      </c>
      <c r="AY214" s="34">
        <f t="shared" ca="1" si="92"/>
        <v>0</v>
      </c>
      <c r="AZ214" s="34">
        <f t="shared" ca="1" si="92"/>
        <v>34.845111631741283</v>
      </c>
      <c r="BB214" s="34">
        <f t="shared" ca="1" si="127"/>
        <v>0</v>
      </c>
      <c r="BC214" s="34">
        <f t="shared" ca="1" si="127"/>
        <v>0</v>
      </c>
      <c r="BD214" s="34">
        <f t="shared" ca="1" si="127"/>
        <v>140.4027477120878</v>
      </c>
      <c r="BE214" s="34">
        <f t="shared" ca="1" si="127"/>
        <v>3544.8548610299499</v>
      </c>
      <c r="BF214" s="34">
        <f t="shared" ca="1" si="127"/>
        <v>3932.3271728577729</v>
      </c>
      <c r="BG214" s="34">
        <f t="shared" ca="1" si="127"/>
        <v>4346.1302047577101</v>
      </c>
      <c r="BH214" s="34">
        <f t="shared" ca="1" si="127"/>
        <v>4528.9940950282198</v>
      </c>
      <c r="BI214" s="34">
        <f t="shared" ca="1" si="127"/>
        <v>4719.5514353580438</v>
      </c>
      <c r="BJ214" s="34">
        <f t="shared" ca="1" si="127"/>
        <v>4918.1262348538366</v>
      </c>
      <c r="BK214" s="34">
        <f t="shared" ca="1" si="127"/>
        <v>5125.0557708229671</v>
      </c>
      <c r="BL214" s="34">
        <f t="shared" ca="1" si="127"/>
        <v>5340.6918705741246</v>
      </c>
      <c r="BM214" s="34">
        <f t="shared" ca="1" si="127"/>
        <v>5565.4014763566502</v>
      </c>
      <c r="BN214" s="34">
        <f t="shared" ca="1" si="127"/>
        <v>5799.5647614431464</v>
      </c>
      <c r="BO214" s="34">
        <f t="shared" ca="1" si="127"/>
        <v>6043.5808828599129</v>
      </c>
      <c r="BP214" s="34">
        <f t="shared" ca="1" si="127"/>
        <v>6297.8644863711243</v>
      </c>
      <c r="BQ214" s="34">
        <f t="shared" ca="1" si="125"/>
        <v>6562.8465338649185</v>
      </c>
      <c r="BR214" s="34">
        <f t="shared" ca="1" si="123"/>
        <v>6838.9783023546261</v>
      </c>
      <c r="BS214" s="34">
        <f t="shared" ca="1" si="123"/>
        <v>7126.7286367494125</v>
      </c>
      <c r="BT214" s="34">
        <f t="shared" ca="1" si="123"/>
        <v>2673.370152559803</v>
      </c>
      <c r="BU214" s="34">
        <f t="shared" ca="1" si="123"/>
        <v>0</v>
      </c>
      <c r="BV214" s="34">
        <f t="shared" ca="1" si="123"/>
        <v>0</v>
      </c>
      <c r="BW214" s="34">
        <f t="shared" ca="1" si="123"/>
        <v>0</v>
      </c>
      <c r="BX214" s="34">
        <f t="shared" ca="1" si="123"/>
        <v>0</v>
      </c>
      <c r="BY214" s="34">
        <f t="shared" ca="1" si="123"/>
        <v>0</v>
      </c>
      <c r="BZ214" s="34">
        <f t="shared" ca="1" si="123"/>
        <v>0</v>
      </c>
      <c r="CA214" s="34">
        <f t="shared" ca="1" si="123"/>
        <v>0</v>
      </c>
      <c r="CB214" s="34">
        <f t="shared" ca="1" si="123"/>
        <v>0</v>
      </c>
      <c r="CC214" s="34">
        <f t="shared" ca="1" si="123"/>
        <v>0</v>
      </c>
      <c r="CD214" s="34">
        <f t="shared" ca="1" si="123"/>
        <v>0</v>
      </c>
      <c r="CE214" s="34">
        <f t="shared" ca="1" si="123"/>
        <v>0</v>
      </c>
      <c r="CF214" s="34">
        <f t="shared" ca="1" si="123"/>
        <v>0</v>
      </c>
      <c r="CG214" s="34">
        <f t="shared" ca="1" si="123"/>
        <v>0</v>
      </c>
      <c r="CH214" s="34">
        <f t="shared" ca="1" si="124"/>
        <v>0</v>
      </c>
      <c r="CI214" s="34">
        <f t="shared" ca="1" si="124"/>
        <v>0</v>
      </c>
      <c r="CJ214" s="34">
        <f t="shared" ca="1" si="124"/>
        <v>0</v>
      </c>
      <c r="CK214" s="34">
        <f t="shared" ca="1" si="124"/>
        <v>0</v>
      </c>
      <c r="CL214" s="34">
        <f t="shared" ca="1" si="124"/>
        <v>0</v>
      </c>
      <c r="CM214" s="34">
        <f t="shared" ca="1" si="124"/>
        <v>0</v>
      </c>
      <c r="CN214" s="34">
        <f t="shared" ca="1" si="124"/>
        <v>0</v>
      </c>
      <c r="CO214" s="34">
        <f t="shared" ca="1" si="124"/>
        <v>0</v>
      </c>
      <c r="CP214" s="34">
        <f t="shared" ca="1" si="124"/>
        <v>0</v>
      </c>
      <c r="CQ214" s="34">
        <f t="shared" ca="1" si="114"/>
        <v>83504.469625554309</v>
      </c>
      <c r="CR214" s="363">
        <v>0</v>
      </c>
      <c r="CS214" s="34">
        <f t="shared" ca="1" si="115"/>
        <v>83504.469625554309</v>
      </c>
      <c r="CT214" s="233"/>
    </row>
    <row r="215" spans="2:98" x14ac:dyDescent="0.3">
      <c r="B215" s="232"/>
      <c r="C215" s="250">
        <f t="shared" si="116"/>
        <v>2049</v>
      </c>
      <c r="D215" s="263">
        <f t="shared" ca="1" si="96"/>
        <v>38537.033869198</v>
      </c>
      <c r="E215" s="263">
        <f t="shared" ca="1" si="84"/>
        <v>254.90118138024775</v>
      </c>
      <c r="F215" s="263">
        <f t="shared" ca="1" si="85"/>
        <v>0</v>
      </c>
      <c r="G215" s="263">
        <f t="shared" ca="1" si="97"/>
        <v>40066.440957479484</v>
      </c>
      <c r="H215" s="15"/>
      <c r="I215" s="271">
        <f ca="1">Assumptions!O$68</f>
        <v>4.5</v>
      </c>
      <c r="J215" s="271">
        <f ca="1">Assumptions!P$68</f>
        <v>80</v>
      </c>
      <c r="K215" s="271">
        <f t="shared" ca="1" si="86"/>
        <v>40</v>
      </c>
      <c r="L215" s="15"/>
      <c r="M215" s="35">
        <f t="shared" ca="1" si="98"/>
        <v>4.2299999999999995</v>
      </c>
      <c r="N215" s="35">
        <f t="shared" ca="1" si="87"/>
        <v>74.400000000000006</v>
      </c>
      <c r="O215" s="35">
        <f t="shared" ca="1" si="88"/>
        <v>37.200000000000003</v>
      </c>
      <c r="P215" s="15"/>
      <c r="Q215" s="34">
        <f t="shared" ca="1" si="99"/>
        <v>163011.65326670752</v>
      </c>
      <c r="R215" s="34">
        <f t="shared" ca="1" si="99"/>
        <v>18964.647894690435</v>
      </c>
      <c r="S215" s="34">
        <f t="shared" ca="1" si="99"/>
        <v>0</v>
      </c>
      <c r="T215" s="34">
        <f t="shared" ca="1" si="100"/>
        <v>181976.30116139795</v>
      </c>
      <c r="U215" s="15"/>
      <c r="V215" s="35">
        <f t="shared" si="101"/>
        <v>0.31</v>
      </c>
      <c r="W215" s="34">
        <f t="shared" ca="1" si="102"/>
        <v>12420.59669681864</v>
      </c>
      <c r="X215" s="35">
        <f t="shared" si="103"/>
        <v>0.37</v>
      </c>
      <c r="Y215" s="34">
        <f t="shared" ca="1" si="104"/>
        <v>14824.58315426741</v>
      </c>
      <c r="Z215" s="35">
        <f t="shared" si="105"/>
        <v>0.57999999999999996</v>
      </c>
      <c r="AA215" s="34">
        <f t="shared" ca="1" si="106"/>
        <v>23238.5357553381</v>
      </c>
      <c r="AB215" s="34">
        <f t="shared" ca="1" si="107"/>
        <v>50483.71560642415</v>
      </c>
      <c r="AC215" s="15"/>
      <c r="AD215" s="34">
        <f t="shared" ca="1" si="108"/>
        <v>131492.5855549738</v>
      </c>
      <c r="AE215" s="34">
        <f ca="1"/>
        <v>0</v>
      </c>
      <c r="AF215" s="34">
        <f t="shared" ca="1" si="109"/>
        <v>131492.5855549738</v>
      </c>
      <c r="AG215" s="15"/>
      <c r="AH215" s="272">
        <f t="shared" si="117"/>
        <v>54788</v>
      </c>
      <c r="AI215" s="267">
        <f t="shared" si="89"/>
        <v>35.666666666666664</v>
      </c>
      <c r="AJ215" s="267">
        <f t="shared" si="90"/>
        <v>3.3393419711975486E-2</v>
      </c>
      <c r="AK215" s="34">
        <f t="shared" ca="1" si="118"/>
        <v>4390.9870984500849</v>
      </c>
      <c r="AL215" s="233"/>
      <c r="AN215" s="232"/>
      <c r="AO215" s="237">
        <f t="shared" si="110"/>
        <v>36</v>
      </c>
      <c r="AP215" s="34">
        <f t="shared" ca="1" si="126"/>
        <v>32.161807107660991</v>
      </c>
      <c r="AQ215" s="34">
        <f t="shared" ca="1" si="126"/>
        <v>0.21273257965032499</v>
      </c>
      <c r="AR215" s="34">
        <f t="shared" ca="1" si="126"/>
        <v>0</v>
      </c>
      <c r="AS215" s="34">
        <f t="shared" ca="1" si="126"/>
        <v>33.438202585562941</v>
      </c>
      <c r="AT215" s="15"/>
      <c r="AW215" s="34">
        <f t="shared" ca="1" si="112"/>
        <v>32.161807107660991</v>
      </c>
      <c r="AX215" s="34">
        <f t="shared" ca="1" si="92"/>
        <v>0.21273257965032499</v>
      </c>
      <c r="AY215" s="34">
        <f t="shared" ca="1" si="92"/>
        <v>0</v>
      </c>
      <c r="AZ215" s="34">
        <f t="shared" ca="1" si="92"/>
        <v>33.438202585562941</v>
      </c>
      <c r="BB215" s="34">
        <f t="shared" ca="1" si="127"/>
        <v>0</v>
      </c>
      <c r="BC215" s="34">
        <f t="shared" ca="1" si="127"/>
        <v>0</v>
      </c>
      <c r="BD215" s="34">
        <f t="shared" ca="1" si="127"/>
        <v>134.73382872579973</v>
      </c>
      <c r="BE215" s="34">
        <f t="shared" ca="1" si="127"/>
        <v>3401.7271795169095</v>
      </c>
      <c r="BF215" s="34">
        <f t="shared" ca="1" si="127"/>
        <v>3773.5551746447854</v>
      </c>
      <c r="BG215" s="34">
        <f t="shared" ca="1" si="127"/>
        <v>4170.6500318188509</v>
      </c>
      <c r="BH215" s="34">
        <f t="shared" ca="1" si="127"/>
        <v>4346.1302047577101</v>
      </c>
      <c r="BI215" s="34">
        <f t="shared" ca="1" si="127"/>
        <v>4528.9940950282198</v>
      </c>
      <c r="BJ215" s="34">
        <f t="shared" ca="1" si="127"/>
        <v>4719.5514353580438</v>
      </c>
      <c r="BK215" s="34">
        <f t="shared" ca="1" si="127"/>
        <v>4918.1262348538366</v>
      </c>
      <c r="BL215" s="34">
        <f t="shared" ca="1" si="127"/>
        <v>5125.0557708229671</v>
      </c>
      <c r="BM215" s="34">
        <f t="shared" ca="1" si="127"/>
        <v>5340.6918705741246</v>
      </c>
      <c r="BN215" s="34">
        <f t="shared" ca="1" si="127"/>
        <v>5565.4014763566502</v>
      </c>
      <c r="BO215" s="34">
        <f t="shared" ca="1" si="127"/>
        <v>5799.5647614431464</v>
      </c>
      <c r="BP215" s="34">
        <f t="shared" ca="1" si="127"/>
        <v>6043.5808828599129</v>
      </c>
      <c r="BQ215" s="34">
        <f t="shared" ca="1" si="125"/>
        <v>6297.8644863711243</v>
      </c>
      <c r="BR215" s="34">
        <f t="shared" ca="1" si="123"/>
        <v>6562.8465338649185</v>
      </c>
      <c r="BS215" s="34">
        <f t="shared" ca="1" si="123"/>
        <v>6838.9783023546261</v>
      </c>
      <c r="BT215" s="34">
        <f t="shared" ca="1" si="123"/>
        <v>2565.429645607333</v>
      </c>
      <c r="BU215" s="34">
        <f t="shared" ca="1" si="123"/>
        <v>0</v>
      </c>
      <c r="BV215" s="34">
        <f t="shared" ca="1" si="123"/>
        <v>0</v>
      </c>
      <c r="BW215" s="34">
        <f t="shared" ca="1" si="123"/>
        <v>0</v>
      </c>
      <c r="BX215" s="34">
        <f t="shared" ca="1" si="123"/>
        <v>0</v>
      </c>
      <c r="BY215" s="34">
        <f t="shared" ca="1" si="123"/>
        <v>0</v>
      </c>
      <c r="BZ215" s="34">
        <f t="shared" ca="1" si="123"/>
        <v>0</v>
      </c>
      <c r="CA215" s="34">
        <f t="shared" ca="1" si="123"/>
        <v>0</v>
      </c>
      <c r="CB215" s="34">
        <f t="shared" ca="1" si="123"/>
        <v>0</v>
      </c>
      <c r="CC215" s="34">
        <f t="shared" ca="1" si="123"/>
        <v>0</v>
      </c>
      <c r="CD215" s="34">
        <f t="shared" ca="1" si="123"/>
        <v>0</v>
      </c>
      <c r="CE215" s="34">
        <f t="shared" ca="1" si="123"/>
        <v>0</v>
      </c>
      <c r="CF215" s="34">
        <f t="shared" ca="1" si="123"/>
        <v>0</v>
      </c>
      <c r="CG215" s="34">
        <f t="shared" ca="1" si="123"/>
        <v>0</v>
      </c>
      <c r="CH215" s="34">
        <f t="shared" ca="1" si="124"/>
        <v>0</v>
      </c>
      <c r="CI215" s="34">
        <f t="shared" ca="1" si="124"/>
        <v>0</v>
      </c>
      <c r="CJ215" s="34">
        <f t="shared" ca="1" si="124"/>
        <v>0</v>
      </c>
      <c r="CK215" s="34">
        <f t="shared" ca="1" si="124"/>
        <v>0</v>
      </c>
      <c r="CL215" s="34">
        <f t="shared" ca="1" si="124"/>
        <v>0</v>
      </c>
      <c r="CM215" s="34">
        <f t="shared" ca="1" si="124"/>
        <v>0</v>
      </c>
      <c r="CN215" s="34">
        <f t="shared" ca="1" si="124"/>
        <v>0</v>
      </c>
      <c r="CO215" s="34">
        <f t="shared" ca="1" si="124"/>
        <v>0</v>
      </c>
      <c r="CP215" s="34">
        <f t="shared" ca="1" si="124"/>
        <v>0</v>
      </c>
      <c r="CQ215" s="34">
        <f t="shared" ca="1" si="114"/>
        <v>80132.881914958969</v>
      </c>
      <c r="CR215" s="363">
        <v>0</v>
      </c>
      <c r="CS215" s="34">
        <f t="shared" ca="1" si="115"/>
        <v>80132.881914958969</v>
      </c>
      <c r="CT215" s="233"/>
    </row>
    <row r="216" spans="2:98" x14ac:dyDescent="0.3">
      <c r="B216" s="232"/>
      <c r="C216" s="250">
        <f t="shared" si="116"/>
        <v>2050</v>
      </c>
      <c r="D216" s="263">
        <f t="shared" ca="1" si="96"/>
        <v>36981.057665266628</v>
      </c>
      <c r="E216" s="263">
        <f t="shared" ca="1" si="84"/>
        <v>244.60925870846498</v>
      </c>
      <c r="F216" s="263">
        <f t="shared" ca="1" si="85"/>
        <v>0</v>
      </c>
      <c r="G216" s="263">
        <f t="shared" ca="1" si="97"/>
        <v>38448.713217517419</v>
      </c>
      <c r="H216" s="15"/>
      <c r="I216" s="271">
        <f ca="1">Assumptions!O$68</f>
        <v>4.5</v>
      </c>
      <c r="J216" s="271">
        <f ca="1">Assumptions!P$68</f>
        <v>80</v>
      </c>
      <c r="K216" s="271">
        <f t="shared" ca="1" si="86"/>
        <v>40</v>
      </c>
      <c r="L216" s="15"/>
      <c r="M216" s="35">
        <f t="shared" ca="1" si="98"/>
        <v>4.2299999999999995</v>
      </c>
      <c r="N216" s="35">
        <f t="shared" ca="1" si="87"/>
        <v>74.400000000000006</v>
      </c>
      <c r="O216" s="35">
        <f t="shared" ca="1" si="88"/>
        <v>37.200000000000003</v>
      </c>
      <c r="P216" s="15"/>
      <c r="Q216" s="34">
        <f t="shared" ca="1" si="99"/>
        <v>156429.87392407781</v>
      </c>
      <c r="R216" s="34">
        <f t="shared" ca="1" si="99"/>
        <v>18198.928847909796</v>
      </c>
      <c r="S216" s="34">
        <f t="shared" ca="1" si="99"/>
        <v>0</v>
      </c>
      <c r="T216" s="34">
        <f t="shared" ca="1" si="100"/>
        <v>174628.8027719876</v>
      </c>
      <c r="U216" s="15"/>
      <c r="V216" s="35">
        <f t="shared" si="101"/>
        <v>0.31</v>
      </c>
      <c r="W216" s="34">
        <f t="shared" ca="1" si="102"/>
        <v>11919.101097430399</v>
      </c>
      <c r="X216" s="35">
        <f t="shared" si="103"/>
        <v>0.37</v>
      </c>
      <c r="Y216" s="34">
        <f t="shared" ca="1" si="104"/>
        <v>14226.023890481445</v>
      </c>
      <c r="Z216" s="35">
        <f t="shared" si="105"/>
        <v>0.57999999999999996</v>
      </c>
      <c r="AA216" s="34">
        <f t="shared" ca="1" si="106"/>
        <v>22300.253666160101</v>
      </c>
      <c r="AB216" s="34">
        <f t="shared" ca="1" si="107"/>
        <v>48445.378654071945</v>
      </c>
      <c r="AC216" s="15"/>
      <c r="AD216" s="34">
        <f t="shared" ca="1" si="108"/>
        <v>126183.42411791565</v>
      </c>
      <c r="AE216" s="34">
        <f ca="1"/>
        <v>0</v>
      </c>
      <c r="AF216" s="34">
        <f t="shared" ca="1" si="109"/>
        <v>126183.42411791565</v>
      </c>
      <c r="AG216" s="15"/>
      <c r="AH216" s="272">
        <f t="shared" si="117"/>
        <v>55153</v>
      </c>
      <c r="AI216" s="267">
        <f t="shared" si="89"/>
        <v>36.666666666666664</v>
      </c>
      <c r="AJ216" s="267">
        <f t="shared" si="90"/>
        <v>3.0357654283614078E-2</v>
      </c>
      <c r="AK216" s="34">
        <f t="shared" ca="1" si="118"/>
        <v>3830.632765694334</v>
      </c>
      <c r="AL216" s="233"/>
      <c r="AN216" s="232"/>
      <c r="AO216" s="237">
        <f t="shared" si="110"/>
        <v>37</v>
      </c>
      <c r="AP216" s="34">
        <f t="shared" ca="1" si="126"/>
        <v>30.863236778989918</v>
      </c>
      <c r="AQ216" s="34">
        <f t="shared" ca="1" si="126"/>
        <v>0.2041432545868784</v>
      </c>
      <c r="AR216" s="34">
        <f t="shared" ca="1" si="126"/>
        <v>0</v>
      </c>
      <c r="AS216" s="34">
        <f t="shared" ca="1" si="126"/>
        <v>32.08809630651119</v>
      </c>
      <c r="AT216" s="15"/>
      <c r="AW216" s="34">
        <f t="shared" ca="1" si="112"/>
        <v>30.863236778989918</v>
      </c>
      <c r="AX216" s="34">
        <f t="shared" ca="1" si="92"/>
        <v>0.2041432545868784</v>
      </c>
      <c r="AY216" s="34">
        <f t="shared" ca="1" si="92"/>
        <v>0</v>
      </c>
      <c r="AZ216" s="34">
        <f t="shared" ca="1" si="92"/>
        <v>32.08809630651119</v>
      </c>
      <c r="BB216" s="34">
        <f t="shared" ca="1" si="127"/>
        <v>0</v>
      </c>
      <c r="BC216" s="34">
        <f t="shared" ca="1" si="127"/>
        <v>0</v>
      </c>
      <c r="BD216" s="34">
        <f t="shared" ca="1" si="127"/>
        <v>129.29379383372512</v>
      </c>
      <c r="BE216" s="34">
        <f t="shared" ca="1" si="127"/>
        <v>3264.378615415586</v>
      </c>
      <c r="BF216" s="34">
        <f t="shared" ca="1" si="127"/>
        <v>3621.1934491631614</v>
      </c>
      <c r="BG216" s="34">
        <f t="shared" ca="1" si="127"/>
        <v>4002.2554882596214</v>
      </c>
      <c r="BH216" s="34">
        <f t="shared" ca="1" si="127"/>
        <v>4170.6500318188509</v>
      </c>
      <c r="BI216" s="34">
        <f t="shared" ca="1" si="127"/>
        <v>4346.1302047577101</v>
      </c>
      <c r="BJ216" s="34">
        <f t="shared" ca="1" si="127"/>
        <v>4528.9940950282198</v>
      </c>
      <c r="BK216" s="34">
        <f t="shared" ca="1" si="127"/>
        <v>4719.5514353580438</v>
      </c>
      <c r="BL216" s="34">
        <f t="shared" ca="1" si="127"/>
        <v>4918.1262348538366</v>
      </c>
      <c r="BM216" s="34">
        <f t="shared" ca="1" si="127"/>
        <v>5125.0557708229671</v>
      </c>
      <c r="BN216" s="34">
        <f t="shared" ca="1" si="127"/>
        <v>5340.6918705741246</v>
      </c>
      <c r="BO216" s="34">
        <f t="shared" ca="1" si="127"/>
        <v>5565.4014763566502</v>
      </c>
      <c r="BP216" s="34">
        <f t="shared" ca="1" si="127"/>
        <v>5799.5647614431464</v>
      </c>
      <c r="BQ216" s="34">
        <f t="shared" ca="1" si="125"/>
        <v>6043.5808828599129</v>
      </c>
      <c r="BR216" s="34">
        <f t="shared" ca="1" si="123"/>
        <v>6297.8644863711243</v>
      </c>
      <c r="BS216" s="34">
        <f t="shared" ca="1" si="123"/>
        <v>6562.8465338649185</v>
      </c>
      <c r="BT216" s="34">
        <f t="shared" ca="1" si="123"/>
        <v>2461.8473042532346</v>
      </c>
      <c r="BU216" s="34">
        <f t="shared" ca="1" si="123"/>
        <v>0</v>
      </c>
      <c r="BV216" s="34">
        <f t="shared" ca="1" si="123"/>
        <v>0</v>
      </c>
      <c r="BW216" s="34">
        <f t="shared" ca="1" si="123"/>
        <v>0</v>
      </c>
      <c r="BX216" s="34">
        <f t="shared" ca="1" si="123"/>
        <v>0</v>
      </c>
      <c r="BY216" s="34">
        <f t="shared" ca="1" si="123"/>
        <v>0</v>
      </c>
      <c r="BZ216" s="34">
        <f t="shared" ca="1" si="123"/>
        <v>0</v>
      </c>
      <c r="CA216" s="34">
        <f t="shared" ca="1" si="123"/>
        <v>0</v>
      </c>
      <c r="CB216" s="34">
        <f t="shared" ca="1" si="123"/>
        <v>0</v>
      </c>
      <c r="CC216" s="34">
        <f t="shared" ca="1" si="123"/>
        <v>0</v>
      </c>
      <c r="CD216" s="34">
        <f t="shared" ca="1" si="123"/>
        <v>0</v>
      </c>
      <c r="CE216" s="34">
        <f t="shared" ca="1" si="123"/>
        <v>0</v>
      </c>
      <c r="CF216" s="34">
        <f t="shared" ca="1" si="123"/>
        <v>0</v>
      </c>
      <c r="CG216" s="34">
        <f t="shared" ca="1" si="123"/>
        <v>0</v>
      </c>
      <c r="CH216" s="34">
        <f t="shared" ca="1" si="124"/>
        <v>0</v>
      </c>
      <c r="CI216" s="34">
        <f t="shared" ca="1" si="124"/>
        <v>0</v>
      </c>
      <c r="CJ216" s="34">
        <f t="shared" ca="1" si="124"/>
        <v>0</v>
      </c>
      <c r="CK216" s="34">
        <f t="shared" ca="1" si="124"/>
        <v>0</v>
      </c>
      <c r="CL216" s="34">
        <f t="shared" ca="1" si="124"/>
        <v>0</v>
      </c>
      <c r="CM216" s="34">
        <f t="shared" ca="1" si="124"/>
        <v>0</v>
      </c>
      <c r="CN216" s="34">
        <f t="shared" ca="1" si="124"/>
        <v>0</v>
      </c>
      <c r="CO216" s="34">
        <f t="shared" ca="1" si="124"/>
        <v>0</v>
      </c>
      <c r="CP216" s="34">
        <f t="shared" ca="1" si="124"/>
        <v>0</v>
      </c>
      <c r="CQ216" s="34">
        <f t="shared" ca="1" si="114"/>
        <v>76897.426435034839</v>
      </c>
      <c r="CR216" s="363">
        <v>0</v>
      </c>
      <c r="CS216" s="34">
        <f t="shared" ca="1" si="115"/>
        <v>76897.426435034839</v>
      </c>
      <c r="CT216" s="233"/>
    </row>
    <row r="217" spans="2:98" x14ac:dyDescent="0.3">
      <c r="B217" s="232"/>
      <c r="C217" s="250">
        <f t="shared" si="116"/>
        <v>2051</v>
      </c>
      <c r="D217" s="263">
        <f t="shared" ca="1" si="96"/>
        <v>35487.905904967622</v>
      </c>
      <c r="E217" s="263">
        <f t="shared" ca="1" si="84"/>
        <v>234.73288501109991</v>
      </c>
      <c r="F217" s="263">
        <f t="shared" ca="1" si="85"/>
        <v>0</v>
      </c>
      <c r="G217" s="263">
        <f t="shared" ca="1" si="97"/>
        <v>36896.303215034219</v>
      </c>
      <c r="H217" s="15"/>
      <c r="I217" s="271">
        <f ca="1">Assumptions!O$68</f>
        <v>4.5</v>
      </c>
      <c r="J217" s="271">
        <f ca="1">Assumptions!P$68</f>
        <v>80</v>
      </c>
      <c r="K217" s="271">
        <f t="shared" ca="1" si="86"/>
        <v>40</v>
      </c>
      <c r="L217" s="15"/>
      <c r="M217" s="35">
        <f t="shared" ca="1" si="98"/>
        <v>4.2299999999999995</v>
      </c>
      <c r="N217" s="35">
        <f t="shared" ca="1" si="87"/>
        <v>74.400000000000006</v>
      </c>
      <c r="O217" s="35">
        <f t="shared" ca="1" si="88"/>
        <v>37.200000000000003</v>
      </c>
      <c r="P217" s="15"/>
      <c r="Q217" s="34">
        <f t="shared" ca="1" si="99"/>
        <v>150113.84197801302</v>
      </c>
      <c r="R217" s="34">
        <f t="shared" ca="1" si="99"/>
        <v>17464.126644825836</v>
      </c>
      <c r="S217" s="34">
        <f t="shared" ca="1" si="99"/>
        <v>0</v>
      </c>
      <c r="T217" s="34">
        <f t="shared" ca="1" si="100"/>
        <v>167577.96862283885</v>
      </c>
      <c r="U217" s="15"/>
      <c r="V217" s="35">
        <f t="shared" si="101"/>
        <v>0.31</v>
      </c>
      <c r="W217" s="34">
        <f t="shared" ca="1" si="102"/>
        <v>11437.853996660608</v>
      </c>
      <c r="X217" s="35">
        <f t="shared" si="103"/>
        <v>0.37</v>
      </c>
      <c r="Y217" s="34">
        <f t="shared" ca="1" si="104"/>
        <v>13651.632189562661</v>
      </c>
      <c r="Z217" s="35">
        <f t="shared" si="105"/>
        <v>0.57999999999999996</v>
      </c>
      <c r="AA217" s="34">
        <f t="shared" ca="1" si="106"/>
        <v>21399.855864719844</v>
      </c>
      <c r="AB217" s="34">
        <f t="shared" ca="1" si="107"/>
        <v>46489.342050943116</v>
      </c>
      <c r="AC217" s="15"/>
      <c r="AD217" s="34">
        <f t="shared" ca="1" si="108"/>
        <v>121088.62657189573</v>
      </c>
      <c r="AE217" s="34">
        <f ca="1"/>
        <v>0</v>
      </c>
      <c r="AF217" s="34">
        <f t="shared" ca="1" si="109"/>
        <v>121088.62657189573</v>
      </c>
      <c r="AG217" s="15"/>
      <c r="AH217" s="272">
        <f t="shared" si="117"/>
        <v>55518</v>
      </c>
      <c r="AI217" s="267">
        <f t="shared" si="89"/>
        <v>37.666666666666664</v>
      </c>
      <c r="AJ217" s="267">
        <f t="shared" si="90"/>
        <v>2.7597867530558259E-2</v>
      </c>
      <c r="AK217" s="34">
        <f t="shared" ca="1" si="118"/>
        <v>3341.7878755884153</v>
      </c>
      <c r="AL217" s="233"/>
      <c r="AN217" s="232"/>
      <c r="AO217" s="250">
        <f t="shared" si="110"/>
        <v>38</v>
      </c>
      <c r="AP217" s="34">
        <f t="shared" ca="1" si="126"/>
        <v>29.617098645645033</v>
      </c>
      <c r="AQ217" s="34">
        <f t="shared" ca="1" si="126"/>
        <v>0.19590073951862677</v>
      </c>
      <c r="AR217" s="34">
        <f t="shared" ca="1" si="126"/>
        <v>0</v>
      </c>
      <c r="AS217" s="34">
        <f t="shared" ca="1" si="126"/>
        <v>30.792503082756795</v>
      </c>
      <c r="AT217" s="15"/>
      <c r="AW217" s="34">
        <f t="shared" ca="1" si="112"/>
        <v>29.617098645645033</v>
      </c>
      <c r="AX217" s="34">
        <f t="shared" ca="1" si="92"/>
        <v>0.19590073951862677</v>
      </c>
      <c r="AY217" s="34">
        <f t="shared" ca="1" si="92"/>
        <v>0</v>
      </c>
      <c r="AZ217" s="34">
        <f t="shared" ca="1" si="92"/>
        <v>30.792503082756795</v>
      </c>
      <c r="BB217" s="34">
        <f t="shared" ca="1" si="127"/>
        <v>0</v>
      </c>
      <c r="BC217" s="34">
        <f t="shared" ca="1" si="127"/>
        <v>0</v>
      </c>
      <c r="BD217" s="34">
        <f t="shared" ca="1" si="127"/>
        <v>124.07341715415427</v>
      </c>
      <c r="BE217" s="34">
        <f t="shared" ca="1" si="127"/>
        <v>3132.575535693541</v>
      </c>
      <c r="BF217" s="34">
        <f t="shared" ca="1" si="127"/>
        <v>3474.9836873778818</v>
      </c>
      <c r="BG217" s="34">
        <f t="shared" ca="1" si="127"/>
        <v>3840.6597188094142</v>
      </c>
      <c r="BH217" s="34">
        <f t="shared" ca="1" si="127"/>
        <v>4002.2554882596214</v>
      </c>
      <c r="BI217" s="34">
        <f t="shared" ca="1" si="127"/>
        <v>4170.6500318188509</v>
      </c>
      <c r="BJ217" s="34">
        <f t="shared" ca="1" si="127"/>
        <v>4346.1302047577101</v>
      </c>
      <c r="BK217" s="34">
        <f t="shared" ca="1" si="127"/>
        <v>4528.9940950282198</v>
      </c>
      <c r="BL217" s="34">
        <f t="shared" ca="1" si="127"/>
        <v>4719.5514353580438</v>
      </c>
      <c r="BM217" s="34">
        <f t="shared" ca="1" si="127"/>
        <v>4918.1262348538366</v>
      </c>
      <c r="BN217" s="34">
        <f t="shared" ca="1" si="127"/>
        <v>5125.0557708229671</v>
      </c>
      <c r="BO217" s="34">
        <f t="shared" ca="1" si="127"/>
        <v>5340.6918705741246</v>
      </c>
      <c r="BP217" s="34">
        <f t="shared" ca="1" si="127"/>
        <v>5565.4014763566502</v>
      </c>
      <c r="BQ217" s="34">
        <f t="shared" ca="1" si="125"/>
        <v>5799.5647614431464</v>
      </c>
      <c r="BR217" s="34">
        <f t="shared" ca="1" si="123"/>
        <v>6043.5808828599129</v>
      </c>
      <c r="BS217" s="34">
        <f t="shared" ca="1" si="123"/>
        <v>6297.8644863711243</v>
      </c>
      <c r="BT217" s="34">
        <f t="shared" ca="1" si="123"/>
        <v>2362.4473325292392</v>
      </c>
      <c r="BU217" s="34">
        <f t="shared" ca="1" si="123"/>
        <v>0</v>
      </c>
      <c r="BV217" s="34">
        <f t="shared" ca="1" si="123"/>
        <v>0</v>
      </c>
      <c r="BW217" s="34">
        <f t="shared" ca="1" si="123"/>
        <v>0</v>
      </c>
      <c r="BX217" s="34">
        <f t="shared" ca="1" si="123"/>
        <v>0</v>
      </c>
      <c r="BY217" s="34">
        <f t="shared" ca="1" si="123"/>
        <v>0</v>
      </c>
      <c r="BZ217" s="34">
        <f t="shared" ca="1" si="123"/>
        <v>0</v>
      </c>
      <c r="CA217" s="34">
        <f t="shared" ca="1" si="123"/>
        <v>0</v>
      </c>
      <c r="CB217" s="34">
        <f t="shared" ca="1" si="123"/>
        <v>0</v>
      </c>
      <c r="CC217" s="34">
        <f t="shared" ca="1" si="123"/>
        <v>0</v>
      </c>
      <c r="CD217" s="34">
        <f t="shared" ca="1" si="123"/>
        <v>0</v>
      </c>
      <c r="CE217" s="34">
        <f t="shared" ca="1" si="123"/>
        <v>0</v>
      </c>
      <c r="CF217" s="34">
        <f t="shared" ca="1" si="123"/>
        <v>0</v>
      </c>
      <c r="CG217" s="34">
        <f t="shared" ca="1" si="123"/>
        <v>0</v>
      </c>
      <c r="CH217" s="34">
        <f t="shared" ca="1" si="124"/>
        <v>0</v>
      </c>
      <c r="CI217" s="34">
        <f t="shared" ca="1" si="124"/>
        <v>0</v>
      </c>
      <c r="CJ217" s="34">
        <f t="shared" ca="1" si="124"/>
        <v>0</v>
      </c>
      <c r="CK217" s="34">
        <f t="shared" ca="1" si="124"/>
        <v>0</v>
      </c>
      <c r="CL217" s="34">
        <f t="shared" ca="1" si="124"/>
        <v>0</v>
      </c>
      <c r="CM217" s="34">
        <f t="shared" ca="1" si="124"/>
        <v>0</v>
      </c>
      <c r="CN217" s="34">
        <f t="shared" ca="1" si="124"/>
        <v>0</v>
      </c>
      <c r="CO217" s="34">
        <f t="shared" ca="1" si="124"/>
        <v>0</v>
      </c>
      <c r="CP217" s="34">
        <f t="shared" ca="1" si="124"/>
        <v>0</v>
      </c>
      <c r="CQ217" s="34">
        <f t="shared" ca="1" si="114"/>
        <v>73792.606430068437</v>
      </c>
      <c r="CR217" s="363">
        <v>0</v>
      </c>
      <c r="CS217" s="34">
        <f t="shared" ca="1" si="115"/>
        <v>73792.606430068437</v>
      </c>
      <c r="CT217" s="233"/>
    </row>
    <row r="218" spans="2:98" x14ac:dyDescent="0.3">
      <c r="B218" s="232"/>
      <c r="C218" s="250">
        <f t="shared" si="116"/>
        <v>2052</v>
      </c>
      <c r="D218" s="263">
        <f t="shared" ca="1" si="96"/>
        <v>34055.041859432742</v>
      </c>
      <c r="E218" s="263">
        <f t="shared" ca="1" si="84"/>
        <v>225.25528122862377</v>
      </c>
      <c r="F218" s="263">
        <f t="shared" ca="1" si="85"/>
        <v>0</v>
      </c>
      <c r="G218" s="263">
        <f t="shared" ca="1" si="97"/>
        <v>35406.573546804488</v>
      </c>
      <c r="H218" s="15"/>
      <c r="I218" s="271">
        <f ca="1">Assumptions!O$68</f>
        <v>4.5</v>
      </c>
      <c r="J218" s="271">
        <f ca="1">Assumptions!P$68</f>
        <v>80</v>
      </c>
      <c r="K218" s="271">
        <f t="shared" ca="1" si="86"/>
        <v>40</v>
      </c>
      <c r="L218" s="15"/>
      <c r="M218" s="35">
        <f t="shared" ca="1" si="98"/>
        <v>4.2299999999999995</v>
      </c>
      <c r="N218" s="35">
        <f t="shared" ca="1" si="87"/>
        <v>74.400000000000006</v>
      </c>
      <c r="O218" s="35">
        <f t="shared" ca="1" si="88"/>
        <v>37.200000000000003</v>
      </c>
      <c r="P218" s="15"/>
      <c r="Q218" s="34">
        <f t="shared" ca="1" si="99"/>
        <v>144052.82706540049</v>
      </c>
      <c r="R218" s="34">
        <f t="shared" ca="1" si="99"/>
        <v>16758.992923409609</v>
      </c>
      <c r="S218" s="34">
        <f t="shared" ca="1" si="99"/>
        <v>0</v>
      </c>
      <c r="T218" s="34">
        <f t="shared" ca="1" si="100"/>
        <v>160811.81998881011</v>
      </c>
      <c r="U218" s="15"/>
      <c r="V218" s="35">
        <f t="shared" si="101"/>
        <v>0.31</v>
      </c>
      <c r="W218" s="34">
        <f ca="1">V218*$G218/(1-$M$6)</f>
        <v>10976.037799509391</v>
      </c>
      <c r="X218" s="35">
        <f t="shared" si="103"/>
        <v>0.37</v>
      </c>
      <c r="Y218" s="34">
        <f t="shared" ca="1" si="104"/>
        <v>13100.432212317661</v>
      </c>
      <c r="Z218" s="35">
        <f t="shared" si="105"/>
        <v>0.57999999999999996</v>
      </c>
      <c r="AA218" s="34">
        <f t="shared" ca="1" si="106"/>
        <v>20535.812657146602</v>
      </c>
      <c r="AB218" s="34">
        <f t="shared" ca="1" si="107"/>
        <v>44612.282668973654</v>
      </c>
      <c r="AC218" s="15"/>
      <c r="AD218" s="34">
        <f t="shared" ca="1" si="108"/>
        <v>116199.53731983645</v>
      </c>
      <c r="AE218" s="34">
        <f ca="1"/>
        <v>0</v>
      </c>
      <c r="AF218" s="34">
        <f t="shared" ca="1" si="109"/>
        <v>116199.53731983645</v>
      </c>
      <c r="AG218" s="15"/>
      <c r="AH218" s="272">
        <f t="shared" si="117"/>
        <v>55884</v>
      </c>
      <c r="AI218" s="267">
        <f t="shared" si="89"/>
        <v>38.666666666666664</v>
      </c>
      <c r="AJ218" s="267">
        <f t="shared" si="90"/>
        <v>2.5088970482325681E-2</v>
      </c>
      <c r="AK218" s="34">
        <f t="shared" ca="1" si="118"/>
        <v>2915.3267618772784</v>
      </c>
      <c r="AL218" s="233"/>
      <c r="AN218" s="232"/>
      <c r="AO218" s="250">
        <f t="shared" si="110"/>
        <v>39</v>
      </c>
      <c r="AP218" s="34">
        <f t="shared" ca="1" si="126"/>
        <v>28.421273232042306</v>
      </c>
      <c r="AQ218" s="34">
        <f t="shared" ca="1" si="126"/>
        <v>0.18799101528591944</v>
      </c>
      <c r="AR218" s="34">
        <f t="shared" ca="1" si="126"/>
        <v>0</v>
      </c>
      <c r="AS218" s="34">
        <f t="shared" ca="1" si="126"/>
        <v>29.549219323757825</v>
      </c>
      <c r="AT218" s="15"/>
      <c r="AW218" s="34">
        <f t="shared" ca="1" si="112"/>
        <v>28.421273232042306</v>
      </c>
      <c r="AX218" s="34">
        <f t="shared" ca="1" si="92"/>
        <v>0.18799101528591944</v>
      </c>
      <c r="AY218" s="34">
        <f t="shared" ca="1" si="92"/>
        <v>0</v>
      </c>
      <c r="AZ218" s="34">
        <f t="shared" ca="1" si="92"/>
        <v>29.549219323757825</v>
      </c>
      <c r="BB218" s="34">
        <f t="shared" ca="1" si="127"/>
        <v>0</v>
      </c>
      <c r="BC218" s="34">
        <f t="shared" ca="1" si="127"/>
        <v>0</v>
      </c>
      <c r="BD218" s="34">
        <f t="shared" ca="1" si="127"/>
        <v>119.0638087837703</v>
      </c>
      <c r="BE218" s="34">
        <f t="shared" ca="1" si="127"/>
        <v>3006.094412442108</v>
      </c>
      <c r="BF218" s="34">
        <f t="shared" ca="1" si="127"/>
        <v>3334.6771831576402</v>
      </c>
      <c r="BG218" s="34">
        <f t="shared" ca="1" si="127"/>
        <v>3685.5887593401781</v>
      </c>
      <c r="BH218" s="34">
        <f t="shared" ca="1" si="127"/>
        <v>3840.6597188094142</v>
      </c>
      <c r="BI218" s="34">
        <f t="shared" ca="1" si="127"/>
        <v>4002.2554882596214</v>
      </c>
      <c r="BJ218" s="34">
        <f t="shared" ca="1" si="127"/>
        <v>4170.6500318188509</v>
      </c>
      <c r="BK218" s="34">
        <f t="shared" ca="1" si="127"/>
        <v>4346.1302047577101</v>
      </c>
      <c r="BL218" s="34">
        <f t="shared" ca="1" si="127"/>
        <v>4528.9940950282198</v>
      </c>
      <c r="BM218" s="34">
        <f t="shared" ca="1" si="127"/>
        <v>4719.5514353580438</v>
      </c>
      <c r="BN218" s="34">
        <f t="shared" ca="1" si="127"/>
        <v>4918.1262348538366</v>
      </c>
      <c r="BO218" s="34">
        <f t="shared" ca="1" si="127"/>
        <v>5125.0557708229671</v>
      </c>
      <c r="BP218" s="34">
        <f t="shared" ca="1" si="127"/>
        <v>5340.6918705741246</v>
      </c>
      <c r="BQ218" s="34">
        <f t="shared" ca="1" si="125"/>
        <v>5565.4014763566502</v>
      </c>
      <c r="BR218" s="34">
        <f t="shared" ca="1" si="123"/>
        <v>5799.5647614431464</v>
      </c>
      <c r="BS218" s="34">
        <f t="shared" ca="1" si="123"/>
        <v>6043.5808828599129</v>
      </c>
      <c r="BT218" s="34">
        <f t="shared" ca="1" si="123"/>
        <v>2267.0609589427786</v>
      </c>
      <c r="BU218" s="34">
        <f t="shared" ca="1" si="123"/>
        <v>0</v>
      </c>
      <c r="BV218" s="34">
        <f t="shared" ca="1" si="123"/>
        <v>0</v>
      </c>
      <c r="BW218" s="34">
        <f t="shared" ca="1" si="123"/>
        <v>0</v>
      </c>
      <c r="BX218" s="34">
        <f t="shared" ca="1" si="123"/>
        <v>0</v>
      </c>
      <c r="BY218" s="34">
        <f t="shared" ca="1" si="123"/>
        <v>0</v>
      </c>
      <c r="BZ218" s="34">
        <f t="shared" ca="1" si="123"/>
        <v>0</v>
      </c>
      <c r="CA218" s="34">
        <f t="shared" ca="1" si="123"/>
        <v>0</v>
      </c>
      <c r="CB218" s="34">
        <f t="shared" ca="1" si="123"/>
        <v>0</v>
      </c>
      <c r="CC218" s="34">
        <f t="shared" ca="1" si="123"/>
        <v>0</v>
      </c>
      <c r="CD218" s="34">
        <f t="shared" ca="1" si="123"/>
        <v>0</v>
      </c>
      <c r="CE218" s="34">
        <f t="shared" ca="1" si="123"/>
        <v>0</v>
      </c>
      <c r="CF218" s="34">
        <f t="shared" ca="1" si="123"/>
        <v>0</v>
      </c>
      <c r="CG218" s="34">
        <f t="shared" ca="1" si="123"/>
        <v>0</v>
      </c>
      <c r="CH218" s="34">
        <f t="shared" ca="1" si="124"/>
        <v>0</v>
      </c>
      <c r="CI218" s="34">
        <f t="shared" ca="1" si="124"/>
        <v>0</v>
      </c>
      <c r="CJ218" s="34">
        <f t="shared" ca="1" si="124"/>
        <v>0</v>
      </c>
      <c r="CK218" s="34">
        <f t="shared" ca="1" si="124"/>
        <v>0</v>
      </c>
      <c r="CL218" s="34">
        <f t="shared" ca="1" si="124"/>
        <v>0</v>
      </c>
      <c r="CM218" s="34">
        <f t="shared" ca="1" si="124"/>
        <v>0</v>
      </c>
      <c r="CN218" s="34">
        <f t="shared" ca="1" si="124"/>
        <v>0</v>
      </c>
      <c r="CO218" s="34">
        <f t="shared" ca="1" si="124"/>
        <v>0</v>
      </c>
      <c r="CP218" s="34">
        <f t="shared" ca="1" si="124"/>
        <v>0</v>
      </c>
      <c r="CQ218" s="34">
        <f t="shared" ca="1" si="114"/>
        <v>70813.147093608975</v>
      </c>
      <c r="CR218" s="363">
        <v>0</v>
      </c>
      <c r="CS218" s="34">
        <f t="shared" ca="1" si="115"/>
        <v>70813.147093608975</v>
      </c>
      <c r="CT218" s="233"/>
    </row>
    <row r="219" spans="2:98" x14ac:dyDescent="0.3">
      <c r="B219" s="232"/>
      <c r="C219" s="250">
        <f t="shared" si="116"/>
        <v>2053</v>
      </c>
      <c r="D219" s="263">
        <f t="shared" ca="1" si="96"/>
        <v>32680.031288786544</v>
      </c>
      <c r="E219" s="263">
        <f t="shared" ca="1" si="84"/>
        <v>216.16034620955406</v>
      </c>
      <c r="F219" s="263">
        <f t="shared" ca="1" si="85"/>
        <v>0</v>
      </c>
      <c r="G219" s="263">
        <f t="shared" ca="1" si="97"/>
        <v>33976.993366043869</v>
      </c>
      <c r="H219" s="15"/>
      <c r="I219" s="271">
        <f ca="1">Assumptions!O$68</f>
        <v>4.5</v>
      </c>
      <c r="J219" s="271">
        <f ca="1">Assumptions!P$68</f>
        <v>80</v>
      </c>
      <c r="K219" s="271">
        <f t="shared" ca="1" si="86"/>
        <v>40</v>
      </c>
      <c r="L219" s="15"/>
      <c r="M219" s="35">
        <f t="shared" ca="1" si="98"/>
        <v>4.2299999999999995</v>
      </c>
      <c r="N219" s="35">
        <f t="shared" ca="1" si="87"/>
        <v>74.400000000000006</v>
      </c>
      <c r="O219" s="35">
        <f t="shared" ca="1" si="88"/>
        <v>37.200000000000003</v>
      </c>
      <c r="P219" s="15"/>
      <c r="Q219" s="34">
        <f t="shared" ca="1" si="99"/>
        <v>138236.53235156706</v>
      </c>
      <c r="R219" s="34">
        <f t="shared" ca="1" si="99"/>
        <v>16082.329757990823</v>
      </c>
      <c r="S219" s="34">
        <f t="shared" ca="1" si="99"/>
        <v>0</v>
      </c>
      <c r="T219" s="34">
        <f t="shared" ca="1" si="100"/>
        <v>154318.86210955787</v>
      </c>
      <c r="U219" s="15"/>
      <c r="V219" s="35">
        <f t="shared" si="101"/>
        <v>0.31</v>
      </c>
      <c r="W219" s="34">
        <f t="shared" ref="W219" ca="1" si="128">V219*$G219/(1-$M$6)</f>
        <v>10532.867943473599</v>
      </c>
      <c r="X219" s="35">
        <f t="shared" si="103"/>
        <v>0.37</v>
      </c>
      <c r="Y219" s="34">
        <f t="shared" ca="1" si="104"/>
        <v>12571.487545436232</v>
      </c>
      <c r="Z219" s="35">
        <f t="shared" si="105"/>
        <v>0.57999999999999996</v>
      </c>
      <c r="AA219" s="34">
        <f t="shared" ca="1" si="106"/>
        <v>19706.656152305444</v>
      </c>
      <c r="AB219" s="34">
        <f t="shared" ca="1" si="107"/>
        <v>42811.011641215271</v>
      </c>
      <c r="AC219" s="15"/>
      <c r="AD219" s="34">
        <f t="shared" ca="1" si="108"/>
        <v>111507.8504683426</v>
      </c>
      <c r="AE219" s="34">
        <f ca="1"/>
        <v>0</v>
      </c>
      <c r="AF219" s="34">
        <f t="shared" ca="1" si="109"/>
        <v>111507.8504683426</v>
      </c>
      <c r="AG219" s="15"/>
      <c r="AH219" s="272">
        <f t="shared" si="117"/>
        <v>56249</v>
      </c>
      <c r="AI219" s="267">
        <f t="shared" si="89"/>
        <v>39.666666666666664</v>
      </c>
      <c r="AJ219" s="267">
        <f t="shared" si="90"/>
        <v>2.280815498393244E-2</v>
      </c>
      <c r="AK219" s="34">
        <f t="shared" ca="1" si="118"/>
        <v>2543.2883354071214</v>
      </c>
      <c r="AL219" s="233"/>
      <c r="AN219" s="232"/>
      <c r="AO219" s="250">
        <f t="shared" si="110"/>
        <v>40</v>
      </c>
      <c r="AP219" s="34">
        <f t="shared" ca="1" si="126"/>
        <v>27.273728812074932</v>
      </c>
      <c r="AQ219" s="34">
        <f t="shared" ca="1" si="126"/>
        <v>0.18040064314340243</v>
      </c>
      <c r="AR219" s="34">
        <f t="shared" ca="1" si="126"/>
        <v>0</v>
      </c>
      <c r="AS219" s="34">
        <f t="shared" ca="1" si="126"/>
        <v>28.356132670935345</v>
      </c>
      <c r="AT219" s="15"/>
      <c r="AW219" s="34">
        <f t="shared" ca="1" si="112"/>
        <v>27.273728812074932</v>
      </c>
      <c r="AX219" s="34">
        <f t="shared" ca="1" si="92"/>
        <v>0.18040064314340243</v>
      </c>
      <c r="AY219" s="34">
        <f t="shared" ca="1" si="92"/>
        <v>0</v>
      </c>
      <c r="AZ219" s="34">
        <f t="shared" ca="1" si="92"/>
        <v>28.356132670935345</v>
      </c>
      <c r="BB219" s="34">
        <f t="shared" ca="1" si="127"/>
        <v>0</v>
      </c>
      <c r="BC219" s="34">
        <f t="shared" ca="1" si="127"/>
        <v>0</v>
      </c>
      <c r="BD219" s="34">
        <f t="shared" ca="1" si="127"/>
        <v>114.25647268065158</v>
      </c>
      <c r="BE219" s="34">
        <f t="shared" ca="1" si="127"/>
        <v>2884.7198579553556</v>
      </c>
      <c r="BF219" s="34">
        <f t="shared" ca="1" si="127"/>
        <v>3200.035987438373</v>
      </c>
      <c r="BG219" s="34">
        <f t="shared" ca="1" si="127"/>
        <v>3536.7788306217403</v>
      </c>
      <c r="BH219" s="34">
        <f t="shared" ca="1" si="127"/>
        <v>3685.5887593401781</v>
      </c>
      <c r="BI219" s="34">
        <f t="shared" ca="1" si="127"/>
        <v>3840.6597188094142</v>
      </c>
      <c r="BJ219" s="34">
        <f t="shared" ca="1" si="127"/>
        <v>4002.2554882596214</v>
      </c>
      <c r="BK219" s="34">
        <f t="shared" ca="1" si="127"/>
        <v>4170.6500318188509</v>
      </c>
      <c r="BL219" s="34">
        <f t="shared" ca="1" si="127"/>
        <v>4346.1302047577101</v>
      </c>
      <c r="BM219" s="34">
        <f t="shared" ca="1" si="127"/>
        <v>4528.9940950282198</v>
      </c>
      <c r="BN219" s="34">
        <f t="shared" ca="1" si="127"/>
        <v>4719.5514353580438</v>
      </c>
      <c r="BO219" s="34">
        <f t="shared" ca="1" si="127"/>
        <v>4918.1262348538366</v>
      </c>
      <c r="BP219" s="34">
        <f t="shared" ca="1" si="127"/>
        <v>5125.0557708229671</v>
      </c>
      <c r="BQ219" s="34">
        <f t="shared" ca="1" si="125"/>
        <v>5340.6918705741246</v>
      </c>
      <c r="BR219" s="34">
        <f t="shared" ca="1" si="123"/>
        <v>5565.4014763566502</v>
      </c>
      <c r="BS219" s="34">
        <f t="shared" ca="1" si="123"/>
        <v>5799.5647614431464</v>
      </c>
      <c r="BT219" s="34">
        <f t="shared" ca="1" si="123"/>
        <v>2175.5257359688521</v>
      </c>
      <c r="BU219" s="34">
        <f t="shared" ca="1" si="123"/>
        <v>0</v>
      </c>
      <c r="BV219" s="34">
        <f t="shared" ca="1" si="123"/>
        <v>0</v>
      </c>
      <c r="BW219" s="34">
        <f t="shared" ca="1" si="123"/>
        <v>0</v>
      </c>
      <c r="BX219" s="34">
        <f t="shared" ca="1" si="123"/>
        <v>0</v>
      </c>
      <c r="BY219" s="34">
        <f t="shared" ca="1" si="123"/>
        <v>0</v>
      </c>
      <c r="BZ219" s="34">
        <f t="shared" ca="1" si="123"/>
        <v>0</v>
      </c>
      <c r="CA219" s="34">
        <f t="shared" ca="1" si="123"/>
        <v>0</v>
      </c>
      <c r="CB219" s="34">
        <f t="shared" ca="1" si="123"/>
        <v>0</v>
      </c>
      <c r="CC219" s="34">
        <f t="shared" ca="1" si="123"/>
        <v>0</v>
      </c>
      <c r="CD219" s="34">
        <f t="shared" ca="1" si="123"/>
        <v>0</v>
      </c>
      <c r="CE219" s="34">
        <f t="shared" ca="1" si="123"/>
        <v>0</v>
      </c>
      <c r="CF219" s="34">
        <f t="shared" ca="1" si="123"/>
        <v>0</v>
      </c>
      <c r="CG219" s="34">
        <f t="shared" ca="1" si="123"/>
        <v>0</v>
      </c>
      <c r="CH219" s="34">
        <f t="shared" ca="1" si="124"/>
        <v>0</v>
      </c>
      <c r="CI219" s="34">
        <f t="shared" ca="1" si="124"/>
        <v>0</v>
      </c>
      <c r="CJ219" s="34">
        <f t="shared" ca="1" si="124"/>
        <v>0</v>
      </c>
      <c r="CK219" s="34">
        <f t="shared" ca="1" si="124"/>
        <v>0</v>
      </c>
      <c r="CL219" s="34">
        <f t="shared" ca="1" si="124"/>
        <v>0</v>
      </c>
      <c r="CM219" s="34">
        <f t="shared" ca="1" si="124"/>
        <v>0</v>
      </c>
      <c r="CN219" s="34">
        <f t="shared" ca="1" si="124"/>
        <v>0</v>
      </c>
      <c r="CO219" s="34">
        <f t="shared" ca="1" si="124"/>
        <v>0</v>
      </c>
      <c r="CP219" s="34">
        <f t="shared" ca="1" si="124"/>
        <v>0</v>
      </c>
      <c r="CQ219" s="34">
        <f t="shared" ca="1" si="114"/>
        <v>67953.986732087738</v>
      </c>
      <c r="CR219" s="363">
        <v>0</v>
      </c>
      <c r="CS219" s="34">
        <f t="shared" ca="1" si="115"/>
        <v>67953.986732087738</v>
      </c>
      <c r="CT219" s="233"/>
    </row>
    <row r="220" spans="2:98" x14ac:dyDescent="0.3">
      <c r="B220" s="232"/>
      <c r="C220" s="274" t="s">
        <v>302</v>
      </c>
      <c r="D220" s="39">
        <f ca="1">SUM(D179:D219)</f>
        <v>2914284.952434815</v>
      </c>
      <c r="E220" s="39">
        <f t="shared" ref="E220:F220" ca="1" si="129">SUM(E179:E219)</f>
        <v>19276.384367715047</v>
      </c>
      <c r="F220" s="39">
        <f t="shared" ca="1" si="129"/>
        <v>0</v>
      </c>
      <c r="G220" s="39">
        <f ca="1">SUM(G179:G219)</f>
        <v>3029943.2586411065</v>
      </c>
      <c r="H220" s="15"/>
      <c r="I220" s="15"/>
      <c r="J220" s="15"/>
      <c r="K220" s="15"/>
      <c r="L220" s="15"/>
      <c r="M220" s="35"/>
      <c r="N220" s="35"/>
      <c r="O220" s="35"/>
      <c r="P220" s="15"/>
      <c r="Q220" s="8">
        <f ca="1">SUM(Q179:Q219)</f>
        <v>12297132.363425711</v>
      </c>
      <c r="R220" s="8">
        <f ca="1">SUM(R179:R219)</f>
        <v>1435832.2340105155</v>
      </c>
      <c r="S220" s="8">
        <f ca="1">SUM(S179:S219)</f>
        <v>0</v>
      </c>
      <c r="T220" s="8">
        <f t="shared" ca="1" si="100"/>
        <v>13732964.597436227</v>
      </c>
      <c r="U220" s="15"/>
      <c r="V220" s="275"/>
      <c r="W220" s="276">
        <f ca="1">SUM(W179:W219)</f>
        <v>939282.41017874272</v>
      </c>
      <c r="X220" s="275"/>
      <c r="Y220" s="276">
        <f ca="1">SUM(Y179:Y219)</f>
        <v>1121079.0056972092</v>
      </c>
      <c r="Z220" s="275"/>
      <c r="AA220" s="276">
        <f ca="1">SUM(AA179:AA219)</f>
        <v>1757367.0900118419</v>
      </c>
      <c r="AB220" s="276">
        <f ca="1">SUM(AB179:AB219)</f>
        <v>3817728.5058877938</v>
      </c>
      <c r="AC220" s="15"/>
      <c r="AD220" s="276">
        <f ca="1">SUM(AD179:AD219)</f>
        <v>9915236.0915484354</v>
      </c>
      <c r="AE220" s="276">
        <f ca="1">SUM(AE179:AE219)</f>
        <v>3167962.9591618543</v>
      </c>
      <c r="AF220" s="276">
        <f ca="1">SUM(AF179:AF219)</f>
        <v>6747273.1323865782</v>
      </c>
      <c r="AG220" s="15"/>
      <c r="AH220" s="277"/>
      <c r="AI220" s="278"/>
      <c r="AJ220" s="278"/>
      <c r="AK220" s="279">
        <f ca="1">SUM(AK179:AK219)</f>
        <v>1127299.2257367475</v>
      </c>
      <c r="AL220" s="233"/>
      <c r="AN220" s="232"/>
      <c r="AO220" s="274" t="s">
        <v>302</v>
      </c>
      <c r="AP220" s="8">
        <f ca="1">SUM(AP179:AP219)</f>
        <v>4128.6936362449387</v>
      </c>
      <c r="AQ220" s="8">
        <f t="shared" ref="AQ220:AS220" ca="1" si="130">SUM(AQ179:AQ219)</f>
        <v>27.309026662716732</v>
      </c>
      <c r="AR220" s="8">
        <f t="shared" ca="1" si="130"/>
        <v>0</v>
      </c>
      <c r="AS220" s="8">
        <f t="shared" ca="1" si="130"/>
        <v>4292.5477962212371</v>
      </c>
      <c r="AT220" s="15"/>
      <c r="AW220" s="8">
        <f ca="1">SUM(AW179:AW219)</f>
        <v>4128.6936362449387</v>
      </c>
      <c r="AX220" s="8">
        <f ca="1">SUM(AX179:AX219)</f>
        <v>27.309026662716732</v>
      </c>
      <c r="AY220" s="8">
        <f ca="1">SUM(AY179:AY219)</f>
        <v>0</v>
      </c>
      <c r="AZ220" s="8">
        <f ca="1">SUM(AZ179:AZ219)</f>
        <v>4292.5477962212371</v>
      </c>
      <c r="BB220" s="8">
        <f ca="1">SUM(BB179:BB219)</f>
        <v>0</v>
      </c>
      <c r="BC220" s="8">
        <f t="shared" ref="BC220:CS220" ca="1" si="131">SUM(BC179:BC219)</f>
        <v>0</v>
      </c>
      <c r="BD220" s="8">
        <f t="shared" ca="1" si="131"/>
        <v>15712.763182673396</v>
      </c>
      <c r="BE220" s="8">
        <f t="shared" ca="1" si="131"/>
        <v>377926.1097088267</v>
      </c>
      <c r="BF220" s="8">
        <f t="shared" ca="1" si="131"/>
        <v>399237.60855092754</v>
      </c>
      <c r="BG220" s="8">
        <f t="shared" ca="1" si="131"/>
        <v>420039.84968854912</v>
      </c>
      <c r="BH220" s="8">
        <f t="shared" ca="1" si="131"/>
        <v>416503.07085792738</v>
      </c>
      <c r="BI220" s="8">
        <f t="shared" ca="1" si="131"/>
        <v>412817.48209858721</v>
      </c>
      <c r="BJ220" s="8">
        <f t="shared" ca="1" si="131"/>
        <v>408976.82237977779</v>
      </c>
      <c r="BK220" s="8">
        <f t="shared" ca="1" si="131"/>
        <v>404974.56689151819</v>
      </c>
      <c r="BL220" s="8">
        <f t="shared" ca="1" si="131"/>
        <v>400803.91685969935</v>
      </c>
      <c r="BM220" s="8">
        <f t="shared" ca="1" si="131"/>
        <v>396457.78665494162</v>
      </c>
      <c r="BN220" s="8">
        <f t="shared" ca="1" si="131"/>
        <v>391928.79255991342</v>
      </c>
      <c r="BO220" s="8">
        <f t="shared" ca="1" si="131"/>
        <v>387209.24112455535</v>
      </c>
      <c r="BP220" s="8">
        <f t="shared" ca="1" si="131"/>
        <v>382291.11488970154</v>
      </c>
      <c r="BQ220" s="8">
        <f t="shared" ca="1" si="131"/>
        <v>377166.05911887856</v>
      </c>
      <c r="BR220" s="8">
        <f t="shared" ca="1" si="131"/>
        <v>371825.36724830442</v>
      </c>
      <c r="BS220" s="8">
        <f t="shared" ca="1" si="131"/>
        <v>366259.96577194775</v>
      </c>
      <c r="BT220" s="8">
        <f t="shared" ca="1" si="131"/>
        <v>129755.99969548432</v>
      </c>
      <c r="BU220" s="8">
        <f t="shared" ca="1" si="131"/>
        <v>0</v>
      </c>
      <c r="BV220" s="8">
        <f t="shared" ca="1" si="131"/>
        <v>0</v>
      </c>
      <c r="BW220" s="8">
        <f t="shared" ca="1" si="131"/>
        <v>0</v>
      </c>
      <c r="BX220" s="8">
        <f t="shared" ca="1" si="131"/>
        <v>0</v>
      </c>
      <c r="BY220" s="8">
        <f t="shared" ca="1" si="131"/>
        <v>0</v>
      </c>
      <c r="BZ220" s="8">
        <f t="shared" ca="1" si="131"/>
        <v>0</v>
      </c>
      <c r="CA220" s="8">
        <f t="shared" ca="1" si="131"/>
        <v>0</v>
      </c>
      <c r="CB220" s="8">
        <f t="shared" ca="1" si="131"/>
        <v>0</v>
      </c>
      <c r="CC220" s="8">
        <f t="shared" ca="1" si="131"/>
        <v>0</v>
      </c>
      <c r="CD220" s="8">
        <f t="shared" ca="1" si="131"/>
        <v>0</v>
      </c>
      <c r="CE220" s="8">
        <f t="shared" ca="1" si="131"/>
        <v>0</v>
      </c>
      <c r="CF220" s="8">
        <f t="shared" ca="1" si="131"/>
        <v>0</v>
      </c>
      <c r="CG220" s="8">
        <f t="shared" ca="1" si="131"/>
        <v>0</v>
      </c>
      <c r="CH220" s="8">
        <f t="shared" ca="1" si="131"/>
        <v>0</v>
      </c>
      <c r="CI220" s="8">
        <f t="shared" ca="1" si="131"/>
        <v>0</v>
      </c>
      <c r="CJ220" s="8">
        <f t="shared" ca="1" si="131"/>
        <v>0</v>
      </c>
      <c r="CK220" s="8">
        <f t="shared" ca="1" si="131"/>
        <v>0</v>
      </c>
      <c r="CL220" s="8">
        <f t="shared" ca="1" si="131"/>
        <v>0</v>
      </c>
      <c r="CM220" s="8">
        <f t="shared" ca="1" si="131"/>
        <v>0</v>
      </c>
      <c r="CN220" s="8">
        <f t="shared" ca="1" si="131"/>
        <v>0</v>
      </c>
      <c r="CO220" s="8">
        <f t="shared" ca="1" si="131"/>
        <v>0</v>
      </c>
      <c r="CP220" s="8">
        <f t="shared" ca="1" si="131"/>
        <v>0</v>
      </c>
      <c r="CQ220" s="8">
        <f t="shared" ca="1" si="131"/>
        <v>6059886.5172822131</v>
      </c>
      <c r="CR220" s="8">
        <f t="shared" si="131"/>
        <v>0</v>
      </c>
      <c r="CS220" s="8">
        <f t="shared" ca="1" si="131"/>
        <v>6059886.5172822131</v>
      </c>
      <c r="CT220" s="233"/>
    </row>
    <row r="221" spans="2:98" x14ac:dyDescent="0.3">
      <c r="B221" s="232"/>
      <c r="C221" s="283" t="s">
        <v>303</v>
      </c>
      <c r="D221" s="263">
        <f t="shared" ref="D221:F221" ca="1" si="132">D222-D220</f>
        <v>275848.83167503541</v>
      </c>
      <c r="E221" s="263">
        <f t="shared" ca="1" si="132"/>
        <v>1824.587572437129</v>
      </c>
      <c r="F221" s="263">
        <f t="shared" ca="1" si="132"/>
        <v>0</v>
      </c>
      <c r="G221" s="263">
        <f ca="1">G222-G220</f>
        <v>286796.35710965702</v>
      </c>
      <c r="H221" s="15"/>
      <c r="I221" s="15"/>
      <c r="J221" s="15"/>
      <c r="K221" s="15"/>
      <c r="L221" s="15"/>
      <c r="M221" s="35">
        <f ca="1">M219</f>
        <v>4.2299999999999995</v>
      </c>
      <c r="N221" s="35">
        <f t="shared" ref="N221:O221" ca="1" si="133">N219</f>
        <v>74.400000000000006</v>
      </c>
      <c r="O221" s="35">
        <f t="shared" ca="1" si="133"/>
        <v>37.200000000000003</v>
      </c>
      <c r="P221" s="15"/>
      <c r="Q221" s="34">
        <f t="shared" ref="Q221:S221" ca="1" si="134">D221*M221</f>
        <v>1166840.5579853996</v>
      </c>
      <c r="R221" s="34">
        <f t="shared" ca="1" si="134"/>
        <v>135749.31538932241</v>
      </c>
      <c r="S221" s="34">
        <f t="shared" ca="1" si="134"/>
        <v>0</v>
      </c>
      <c r="T221" s="34">
        <f t="shared" ref="T221" ca="1" si="135">SUM(Q221:S221)</f>
        <v>1302589.873374722</v>
      </c>
      <c r="U221" s="15"/>
      <c r="V221" s="35">
        <f>V219</f>
        <v>0.31</v>
      </c>
      <c r="W221" s="34">
        <f ca="1">V221*$G221/(1-$M$6)</f>
        <v>88906.870703993671</v>
      </c>
      <c r="X221" s="35">
        <f>X219</f>
        <v>0.37</v>
      </c>
      <c r="Y221" s="34">
        <f ca="1">X221*$G221/(1-$M$6)</f>
        <v>106114.6521305731</v>
      </c>
      <c r="Z221" s="35">
        <f>Z219</f>
        <v>0.57999999999999996</v>
      </c>
      <c r="AA221" s="34">
        <f ca="1">Z221*$G221/(1-$M$6)</f>
        <v>166341.88712360107</v>
      </c>
      <c r="AB221" s="34">
        <f ca="1">W221+Y221+AA221</f>
        <v>361363.40995816782</v>
      </c>
      <c r="AC221" s="15"/>
      <c r="AD221" s="34">
        <f ca="1">T221-AB221</f>
        <v>941226.46341655415</v>
      </c>
      <c r="AE221" s="62">
        <f ca="1">CR176*$M$9*$AQ$10*Units</f>
        <v>0</v>
      </c>
      <c r="AF221" s="34">
        <f ca="1">AD221-AE221</f>
        <v>941226.46341655415</v>
      </c>
      <c r="AG221" s="15"/>
      <c r="AH221" s="266">
        <f>Remainder_Date</f>
        <v>56249</v>
      </c>
      <c r="AI221" s="267">
        <f t="shared" ref="AI221" si="136">DAYS360(Valuation_Date,AH221)/360-MIN(0.5,0.5*DAYS360(Valuation_Date,AH221)/360)</f>
        <v>39.666666666666664</v>
      </c>
      <c r="AJ221" s="267">
        <f t="shared" ref="AJ221" si="137">1/((1+Discount_Rate)^AI221)</f>
        <v>2.280815498393244E-2</v>
      </c>
      <c r="AK221" s="34">
        <f t="shared" ref="AK221" ca="1" si="138">AJ221*AF221</f>
        <v>21467.639052583385</v>
      </c>
      <c r="AL221" s="233"/>
      <c r="AN221" s="232"/>
      <c r="AO221" s="352" t="s">
        <v>303</v>
      </c>
      <c r="AP221" s="34">
        <f ca="1">AP222-AP220</f>
        <v>1.7358652257826179E-6</v>
      </c>
      <c r="AQ221" s="34">
        <f t="shared" ref="AQ221:AS221" ca="1" si="139">AQ222-AQ220</f>
        <v>1.1481784412126217E-8</v>
      </c>
      <c r="AR221" s="34">
        <f t="shared" ca="1" si="139"/>
        <v>0</v>
      </c>
      <c r="AS221" s="34">
        <f t="shared" ca="1" si="139"/>
        <v>1.8047576304525137E-6</v>
      </c>
      <c r="AT221" s="15"/>
      <c r="AW221" s="34">
        <f ca="1">AW222-AW220</f>
        <v>1.7358652257826179E-6</v>
      </c>
      <c r="AX221" s="34">
        <f t="shared" ref="AX221:AZ221" ca="1" si="140">AX222-AX220</f>
        <v>1.1481784412126217E-8</v>
      </c>
      <c r="AY221" s="34">
        <f t="shared" ca="1" si="140"/>
        <v>0</v>
      </c>
      <c r="AZ221" s="34">
        <f t="shared" ca="1" si="140"/>
        <v>1.8047576304525137E-6</v>
      </c>
      <c r="BB221" s="180">
        <f ca="1">BB222-BB220</f>
        <v>0</v>
      </c>
      <c r="BC221" s="180">
        <f t="shared" ref="BC221:CP221" ca="1" si="141">BC222-BC220</f>
        <v>0</v>
      </c>
      <c r="BD221" s="180">
        <f t="shared" ca="1" si="141"/>
        <v>214.85948890446161</v>
      </c>
      <c r="BE221" s="180">
        <f t="shared" ca="1" si="141"/>
        <v>7973.9373337102006</v>
      </c>
      <c r="BF221" s="180">
        <f t="shared" ca="1" si="141"/>
        <v>11559.215720160108</v>
      </c>
      <c r="BG221" s="180">
        <f t="shared" ca="1" si="141"/>
        <v>15653.751811089343</v>
      </c>
      <c r="BH221" s="180">
        <f t="shared" ca="1" si="141"/>
        <v>19190.530641711084</v>
      </c>
      <c r="BI221" s="180">
        <f t="shared" ca="1" si="141"/>
        <v>22876.119401051255</v>
      </c>
      <c r="BJ221" s="180">
        <f t="shared" ca="1" si="141"/>
        <v>26716.779119860672</v>
      </c>
      <c r="BK221" s="180">
        <f t="shared" ca="1" si="141"/>
        <v>30719.034608120273</v>
      </c>
      <c r="BL221" s="180">
        <f t="shared" ca="1" si="141"/>
        <v>34889.684639939107</v>
      </c>
      <c r="BM221" s="180">
        <f t="shared" ca="1" si="141"/>
        <v>39235.814844696841</v>
      </c>
      <c r="BN221" s="180">
        <f t="shared" ca="1" si="141"/>
        <v>43764.808939725044</v>
      </c>
      <c r="BO221" s="180">
        <f t="shared" ca="1" si="141"/>
        <v>48484.36037508311</v>
      </c>
      <c r="BP221" s="180">
        <f t="shared" ca="1" si="141"/>
        <v>53402.486609936925</v>
      </c>
      <c r="BQ221" s="180">
        <f t="shared" ca="1" si="141"/>
        <v>58527.5423807599</v>
      </c>
      <c r="BR221" s="180">
        <f t="shared" ca="1" si="141"/>
        <v>63868.234251334041</v>
      </c>
      <c r="BS221" s="180">
        <f t="shared" ca="1" si="141"/>
        <v>69433.635727690707</v>
      </c>
      <c r="BT221" s="180">
        <f t="shared" ca="1" si="141"/>
        <v>27081.918325541308</v>
      </c>
      <c r="BU221" s="180">
        <f t="shared" ca="1" si="141"/>
        <v>0</v>
      </c>
      <c r="BV221" s="180">
        <f t="shared" ca="1" si="141"/>
        <v>0</v>
      </c>
      <c r="BW221" s="180">
        <f t="shared" ca="1" si="141"/>
        <v>0</v>
      </c>
      <c r="BX221" s="180">
        <f t="shared" ca="1" si="141"/>
        <v>0</v>
      </c>
      <c r="BY221" s="180">
        <f t="shared" ca="1" si="141"/>
        <v>0</v>
      </c>
      <c r="BZ221" s="180">
        <f t="shared" ca="1" si="141"/>
        <v>0</v>
      </c>
      <c r="CA221" s="180">
        <f t="shared" ca="1" si="141"/>
        <v>0</v>
      </c>
      <c r="CB221" s="180">
        <f t="shared" ca="1" si="141"/>
        <v>0</v>
      </c>
      <c r="CC221" s="180">
        <f t="shared" ca="1" si="141"/>
        <v>0</v>
      </c>
      <c r="CD221" s="180">
        <f t="shared" ca="1" si="141"/>
        <v>0</v>
      </c>
      <c r="CE221" s="180">
        <f t="shared" ca="1" si="141"/>
        <v>0</v>
      </c>
      <c r="CF221" s="180">
        <f t="shared" ca="1" si="141"/>
        <v>0</v>
      </c>
      <c r="CG221" s="180">
        <f t="shared" ca="1" si="141"/>
        <v>0</v>
      </c>
      <c r="CH221" s="180">
        <f t="shared" ca="1" si="141"/>
        <v>0</v>
      </c>
      <c r="CI221" s="180">
        <f t="shared" ca="1" si="141"/>
        <v>0</v>
      </c>
      <c r="CJ221" s="180">
        <f t="shared" ca="1" si="141"/>
        <v>0</v>
      </c>
      <c r="CK221" s="180">
        <f t="shared" ca="1" si="141"/>
        <v>0</v>
      </c>
      <c r="CL221" s="180">
        <f t="shared" ca="1" si="141"/>
        <v>0</v>
      </c>
      <c r="CM221" s="180">
        <f t="shared" ca="1" si="141"/>
        <v>0</v>
      </c>
      <c r="CN221" s="180">
        <f t="shared" ca="1" si="141"/>
        <v>0</v>
      </c>
      <c r="CO221" s="180">
        <f t="shared" ca="1" si="141"/>
        <v>0</v>
      </c>
      <c r="CP221" s="180">
        <f t="shared" ca="1" si="141"/>
        <v>0</v>
      </c>
      <c r="CQ221" s="180">
        <f ca="1">CQ222-CQ220</f>
        <v>573592.71421931405</v>
      </c>
      <c r="CR221" s="180">
        <f t="shared" ref="CR221:CS221" ca="1" si="142">CR222-CR220</f>
        <v>0</v>
      </c>
      <c r="CS221" s="180">
        <f t="shared" ca="1" si="142"/>
        <v>573592.71421931405</v>
      </c>
      <c r="CT221" s="233"/>
    </row>
    <row r="222" spans="2:98" x14ac:dyDescent="0.3">
      <c r="B222" s="232"/>
      <c r="C222" s="60" t="s">
        <v>26</v>
      </c>
      <c r="D222" s="39">
        <f t="shared" ca="1" si="96"/>
        <v>3190133.7841098504</v>
      </c>
      <c r="E222" s="39">
        <f ca="1">$G222*$M$14/Bbl_to_Mcfe</f>
        <v>21100.971940152176</v>
      </c>
      <c r="F222" s="39">
        <f ca="1">$G222*$M$13/Bbl_to_Mcfe</f>
        <v>0</v>
      </c>
      <c r="G222" s="39">
        <f t="shared" ref="G222" ca="1" si="143">CS222*$AQ$10</f>
        <v>3316739.6157507636</v>
      </c>
      <c r="H222" s="15"/>
      <c r="I222" s="15"/>
      <c r="J222" s="15"/>
      <c r="K222" s="15"/>
      <c r="L222" s="15"/>
      <c r="M222" s="15"/>
      <c r="N222" s="15"/>
      <c r="O222" s="15"/>
      <c r="P222" s="15"/>
      <c r="Q222" s="8">
        <f ca="1">Q221+Q220</f>
        <v>13463972.92141111</v>
      </c>
      <c r="R222" s="8">
        <f t="shared" ref="R222:T222" ca="1" si="144">R221+R220</f>
        <v>1571581.5493998379</v>
      </c>
      <c r="S222" s="8">
        <f t="shared" ca="1" si="144"/>
        <v>0</v>
      </c>
      <c r="T222" s="8">
        <f t="shared" ca="1" si="144"/>
        <v>15035554.47081095</v>
      </c>
      <c r="U222" s="15"/>
      <c r="V222" s="9"/>
      <c r="W222" s="8">
        <f ca="1">W221+W220</f>
        <v>1028189.2808827364</v>
      </c>
      <c r="X222" s="9"/>
      <c r="Y222" s="8">
        <f ca="1">Y221+Y220</f>
        <v>1227193.6578277822</v>
      </c>
      <c r="Z222" s="9"/>
      <c r="AA222" s="8">
        <f ca="1">AA221+AA220</f>
        <v>1923708.9771354429</v>
      </c>
      <c r="AB222" s="8">
        <f ca="1">AB221+AB220</f>
        <v>4179091.9158459618</v>
      </c>
      <c r="AC222" s="15"/>
      <c r="AD222" s="8">
        <f ca="1">AD221+AD220</f>
        <v>10856462.554964989</v>
      </c>
      <c r="AE222" s="8">
        <f ca="1">AE221+AE220</f>
        <v>3167962.9591618543</v>
      </c>
      <c r="AF222" s="8">
        <f ca="1">AF221+AF220</f>
        <v>7688499.5958031323</v>
      </c>
      <c r="AG222" s="15"/>
      <c r="AH222" s="9"/>
      <c r="AI222" s="9"/>
      <c r="AJ222" s="9"/>
      <c r="AK222" s="65">
        <f ca="1">SUM(AK220:AK221)</f>
        <v>1148766.8647893309</v>
      </c>
      <c r="AL222" s="233"/>
      <c r="AN222" s="232"/>
      <c r="AO222" s="249" t="s">
        <v>26</v>
      </c>
      <c r="AP222" s="8">
        <f ca="1">+AP172</f>
        <v>4128.6936379808039</v>
      </c>
      <c r="AQ222" s="8">
        <f t="shared" ref="AQ222:AS222" ca="1" si="145">+AQ172</f>
        <v>27.309026674198517</v>
      </c>
      <c r="AR222" s="8">
        <f t="shared" ca="1" si="145"/>
        <v>0</v>
      </c>
      <c r="AS222" s="8">
        <f t="shared" ca="1" si="145"/>
        <v>4292.5477980259948</v>
      </c>
      <c r="AT222" s="15"/>
      <c r="AW222" s="8">
        <f t="shared" ref="AW222:AZ222" ca="1" si="146">AP222*(1-$M$6)</f>
        <v>4128.6936379808039</v>
      </c>
      <c r="AX222" s="8">
        <f t="shared" ca="1" si="146"/>
        <v>27.309026674198517</v>
      </c>
      <c r="AY222" s="8">
        <f t="shared" ca="1" si="146"/>
        <v>0</v>
      </c>
      <c r="AZ222" s="8">
        <f t="shared" ca="1" si="146"/>
        <v>4292.5477980259948</v>
      </c>
      <c r="BB222" s="364">
        <f ca="1">$AS222*BB176</f>
        <v>0</v>
      </c>
      <c r="BC222" s="364">
        <f t="shared" ref="BC222:CS222" ca="1" si="147">$AS222*BC176</f>
        <v>0</v>
      </c>
      <c r="BD222" s="364">
        <f t="shared" ca="1" si="147"/>
        <v>15927.622671577858</v>
      </c>
      <c r="BE222" s="364">
        <f t="shared" ca="1" si="147"/>
        <v>385900.0470425369</v>
      </c>
      <c r="BF222" s="364">
        <f t="shared" ca="1" si="147"/>
        <v>410796.82427108765</v>
      </c>
      <c r="BG222" s="364">
        <f t="shared" ca="1" si="147"/>
        <v>435693.60149963846</v>
      </c>
      <c r="BH222" s="364">
        <f t="shared" ca="1" si="147"/>
        <v>435693.60149963846</v>
      </c>
      <c r="BI222" s="364">
        <f t="shared" ca="1" si="147"/>
        <v>435693.60149963846</v>
      </c>
      <c r="BJ222" s="364">
        <f t="shared" ca="1" si="147"/>
        <v>435693.60149963846</v>
      </c>
      <c r="BK222" s="364">
        <f t="shared" ca="1" si="147"/>
        <v>435693.60149963846</v>
      </c>
      <c r="BL222" s="364">
        <f t="shared" ca="1" si="147"/>
        <v>435693.60149963846</v>
      </c>
      <c r="BM222" s="364">
        <f t="shared" ca="1" si="147"/>
        <v>435693.60149963846</v>
      </c>
      <c r="BN222" s="364">
        <f t="shared" ca="1" si="147"/>
        <v>435693.60149963846</v>
      </c>
      <c r="BO222" s="364">
        <f t="shared" ca="1" si="147"/>
        <v>435693.60149963846</v>
      </c>
      <c r="BP222" s="364">
        <f t="shared" ca="1" si="147"/>
        <v>435693.60149963846</v>
      </c>
      <c r="BQ222" s="364">
        <f t="shared" ca="1" si="147"/>
        <v>435693.60149963846</v>
      </c>
      <c r="BR222" s="364">
        <f t="shared" ca="1" si="147"/>
        <v>435693.60149963846</v>
      </c>
      <c r="BS222" s="364">
        <f t="shared" ca="1" si="147"/>
        <v>435693.60149963846</v>
      </c>
      <c r="BT222" s="364">
        <f t="shared" ca="1" si="147"/>
        <v>156837.91802102563</v>
      </c>
      <c r="BU222" s="364">
        <f t="shared" ca="1" si="147"/>
        <v>0</v>
      </c>
      <c r="BV222" s="364">
        <f t="shared" ca="1" si="147"/>
        <v>0</v>
      </c>
      <c r="BW222" s="364">
        <f t="shared" ca="1" si="147"/>
        <v>0</v>
      </c>
      <c r="BX222" s="364">
        <f t="shared" ca="1" si="147"/>
        <v>0</v>
      </c>
      <c r="BY222" s="364">
        <f t="shared" ca="1" si="147"/>
        <v>0</v>
      </c>
      <c r="BZ222" s="364">
        <f t="shared" ca="1" si="147"/>
        <v>0</v>
      </c>
      <c r="CA222" s="364">
        <f t="shared" ca="1" si="147"/>
        <v>0</v>
      </c>
      <c r="CB222" s="364">
        <f t="shared" ca="1" si="147"/>
        <v>0</v>
      </c>
      <c r="CC222" s="364">
        <f t="shared" ca="1" si="147"/>
        <v>0</v>
      </c>
      <c r="CD222" s="364">
        <f t="shared" ca="1" si="147"/>
        <v>0</v>
      </c>
      <c r="CE222" s="364">
        <f t="shared" ca="1" si="147"/>
        <v>0</v>
      </c>
      <c r="CF222" s="364">
        <f t="shared" ca="1" si="147"/>
        <v>0</v>
      </c>
      <c r="CG222" s="364">
        <f t="shared" ca="1" si="147"/>
        <v>0</v>
      </c>
      <c r="CH222" s="364">
        <f t="shared" ca="1" si="147"/>
        <v>0</v>
      </c>
      <c r="CI222" s="364">
        <f t="shared" ca="1" si="147"/>
        <v>0</v>
      </c>
      <c r="CJ222" s="364">
        <f t="shared" ca="1" si="147"/>
        <v>0</v>
      </c>
      <c r="CK222" s="364">
        <f t="shared" ca="1" si="147"/>
        <v>0</v>
      </c>
      <c r="CL222" s="364">
        <f t="shared" ca="1" si="147"/>
        <v>0</v>
      </c>
      <c r="CM222" s="364">
        <f t="shared" ca="1" si="147"/>
        <v>0</v>
      </c>
      <c r="CN222" s="364">
        <f t="shared" ca="1" si="147"/>
        <v>0</v>
      </c>
      <c r="CO222" s="364">
        <f t="shared" ca="1" si="147"/>
        <v>0</v>
      </c>
      <c r="CP222" s="364">
        <f t="shared" ca="1" si="147"/>
        <v>0</v>
      </c>
      <c r="CQ222" s="364">
        <f t="shared" ca="1" si="147"/>
        <v>6633479.2315015271</v>
      </c>
      <c r="CR222" s="364">
        <f t="shared" ca="1" si="147"/>
        <v>0</v>
      </c>
      <c r="CS222" s="364">
        <f t="shared" ca="1" si="147"/>
        <v>6633479.2315015271</v>
      </c>
      <c r="CT222" s="233"/>
    </row>
    <row r="223" spans="2:98" x14ac:dyDescent="0.3">
      <c r="B223" s="232"/>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233"/>
      <c r="AN223" s="232"/>
      <c r="AO223" s="15"/>
      <c r="AP223" s="15"/>
      <c r="AQ223" s="15"/>
      <c r="AR223" s="15"/>
      <c r="AS223" s="15"/>
      <c r="AT223" s="15"/>
      <c r="AW223" s="15"/>
      <c r="AX223" s="15"/>
      <c r="AY223" s="15"/>
      <c r="AZ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233"/>
    </row>
    <row r="224" spans="2:98" x14ac:dyDescent="0.3">
      <c r="B224" s="285" t="s">
        <v>31</v>
      </c>
      <c r="C224" s="286"/>
      <c r="D224" s="287"/>
      <c r="E224" s="287"/>
      <c r="F224" s="287"/>
      <c r="G224" s="287"/>
      <c r="H224" s="287"/>
      <c r="I224" s="287"/>
      <c r="J224" s="287"/>
      <c r="K224" s="287"/>
      <c r="L224" s="287"/>
      <c r="M224" s="287"/>
      <c r="N224" s="287"/>
      <c r="O224" s="287"/>
      <c r="P224" s="287"/>
      <c r="Q224" s="286" t="str">
        <f>B224</f>
        <v>POSS</v>
      </c>
      <c r="R224" s="287"/>
      <c r="S224" s="287"/>
      <c r="T224" s="287"/>
      <c r="U224" s="287"/>
      <c r="V224" s="287"/>
      <c r="W224" s="287"/>
      <c r="X224" s="287"/>
      <c r="Y224" s="287"/>
      <c r="Z224" s="287"/>
      <c r="AA224" s="287"/>
      <c r="AB224" s="287"/>
      <c r="AC224" s="287"/>
      <c r="AD224" s="286" t="str">
        <f>Q224</f>
        <v>POSS</v>
      </c>
      <c r="AE224" s="287"/>
      <c r="AF224" s="287"/>
      <c r="AG224" s="287"/>
      <c r="AH224" s="287"/>
      <c r="AI224" s="287"/>
      <c r="AJ224" s="287"/>
      <c r="AK224" s="287"/>
      <c r="AL224" s="288"/>
      <c r="AN224" s="285" t="str">
        <f>B224&amp;" - Total Production (Net) (Mmcfe)"</f>
        <v>POSS - Total Production (Net) (Mmcfe)</v>
      </c>
      <c r="AO224" s="286"/>
      <c r="AP224" s="287"/>
      <c r="AQ224" s="287"/>
      <c r="AR224" s="287"/>
      <c r="AS224" s="287"/>
      <c r="AT224" s="287"/>
      <c r="AU224" s="287"/>
      <c r="AV224" s="287"/>
      <c r="AW224" s="287"/>
      <c r="AX224" s="287"/>
      <c r="AY224" s="287"/>
      <c r="AZ224" s="287"/>
      <c r="BA224" s="287"/>
      <c r="BB224" s="287"/>
      <c r="BC224" s="287"/>
      <c r="BD224" s="287"/>
      <c r="BE224" s="287"/>
      <c r="BF224" s="287"/>
      <c r="BG224" s="287"/>
      <c r="BH224" s="287"/>
      <c r="BI224" s="287"/>
      <c r="BJ224" s="287"/>
      <c r="BK224" s="287"/>
      <c r="BL224" s="287"/>
      <c r="BM224" s="287"/>
      <c r="BN224" s="287"/>
      <c r="BO224" s="287"/>
      <c r="BP224" s="287"/>
      <c r="BQ224" s="287"/>
      <c r="BR224" s="287"/>
      <c r="BS224" s="287"/>
      <c r="BT224" s="287"/>
      <c r="BU224" s="287"/>
      <c r="BV224" s="287"/>
      <c r="BW224" s="287"/>
      <c r="BX224" s="287"/>
      <c r="BY224" s="287"/>
      <c r="BZ224" s="287"/>
      <c r="CA224" s="287"/>
      <c r="CB224" s="287"/>
      <c r="CC224" s="287"/>
      <c r="CD224" s="287"/>
      <c r="CE224" s="287"/>
      <c r="CF224" s="287"/>
      <c r="CG224" s="287"/>
      <c r="CH224" s="287"/>
      <c r="CI224" s="287"/>
      <c r="CJ224" s="287"/>
      <c r="CK224" s="287"/>
      <c r="CL224" s="287"/>
      <c r="CM224" s="287"/>
      <c r="CN224" s="287"/>
      <c r="CO224" s="287"/>
      <c r="CP224" s="287"/>
      <c r="CQ224" s="287"/>
      <c r="CR224" s="287"/>
      <c r="CS224" s="287"/>
      <c r="CT224" s="288"/>
    </row>
    <row r="225" spans="2:98" x14ac:dyDescent="0.3">
      <c r="B225" s="232"/>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233"/>
      <c r="AN225" s="232"/>
      <c r="AQ225" s="289"/>
      <c r="AR225" s="15"/>
      <c r="AS225" s="15"/>
      <c r="AT225" s="15"/>
      <c r="AW225" s="15"/>
      <c r="AX225" s="15"/>
      <c r="AY225" s="15"/>
      <c r="AZ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233"/>
    </row>
    <row r="226" spans="2:98" x14ac:dyDescent="0.3">
      <c r="B226" s="232"/>
      <c r="C226" s="37" t="s">
        <v>277</v>
      </c>
      <c r="D226" s="23"/>
      <c r="E226" s="23"/>
      <c r="F226" s="23"/>
      <c r="G226" s="23"/>
      <c r="H226" s="261"/>
      <c r="I226" s="37" t="s">
        <v>15</v>
      </c>
      <c r="J226" s="23"/>
      <c r="K226" s="23"/>
      <c r="L226" s="15"/>
      <c r="M226" s="37" t="s">
        <v>278</v>
      </c>
      <c r="N226" s="23"/>
      <c r="O226" s="23"/>
      <c r="P226" s="15"/>
      <c r="Q226" s="37" t="s">
        <v>279</v>
      </c>
      <c r="R226" s="23"/>
      <c r="S226" s="23"/>
      <c r="T226" s="23"/>
      <c r="U226" s="15"/>
      <c r="V226" s="37" t="s">
        <v>280</v>
      </c>
      <c r="W226" s="23"/>
      <c r="X226" s="23"/>
      <c r="Y226" s="23"/>
      <c r="Z226" s="23"/>
      <c r="AA226" s="23"/>
      <c r="AB226" s="4"/>
      <c r="AC226" s="15"/>
      <c r="AD226" s="37" t="s">
        <v>281</v>
      </c>
      <c r="AE226" s="23"/>
      <c r="AF226" s="23"/>
      <c r="AG226" s="15"/>
      <c r="AH226" s="37" t="s">
        <v>282</v>
      </c>
      <c r="AI226" s="23"/>
      <c r="AJ226" s="23"/>
      <c r="AK226" s="23"/>
      <c r="AL226" s="233"/>
      <c r="AN226" s="232"/>
      <c r="AO226" s="15"/>
      <c r="AP226" s="15"/>
      <c r="AQ226" s="15"/>
      <c r="AR226" s="15"/>
      <c r="AS226" s="15"/>
      <c r="AT226" s="15"/>
      <c r="AW226" s="15"/>
      <c r="AX226" s="15"/>
      <c r="AY226" s="15"/>
      <c r="AZ226" s="338" t="s">
        <v>343</v>
      </c>
      <c r="BB226" s="339">
        <f t="array" aca="1" ref="BB226:CR226" ca="1">TRANSPOSE(BA29:BA71)*$AR$11</f>
        <v>0</v>
      </c>
      <c r="BC226" s="339">
        <f ca="1"/>
        <v>0</v>
      </c>
      <c r="BD226" s="339">
        <f ca="1"/>
        <v>0</v>
      </c>
      <c r="BE226" s="339">
        <f ca="1"/>
        <v>0</v>
      </c>
      <c r="BF226" s="339">
        <f ca="1"/>
        <v>0</v>
      </c>
      <c r="BG226" s="339">
        <f ca="1"/>
        <v>0</v>
      </c>
      <c r="BH226" s="339">
        <f ca="1"/>
        <v>0</v>
      </c>
      <c r="BI226" s="339">
        <f ca="1"/>
        <v>0</v>
      </c>
      <c r="BJ226" s="339">
        <f ca="1"/>
        <v>0</v>
      </c>
      <c r="BK226" s="339">
        <f ca="1"/>
        <v>0</v>
      </c>
      <c r="BL226" s="339">
        <f ca="1"/>
        <v>0</v>
      </c>
      <c r="BM226" s="339">
        <f ca="1"/>
        <v>0</v>
      </c>
      <c r="BN226" s="339">
        <f ca="1"/>
        <v>0</v>
      </c>
      <c r="BO226" s="339">
        <f ca="1"/>
        <v>0</v>
      </c>
      <c r="BP226" s="339">
        <f ca="1"/>
        <v>0</v>
      </c>
      <c r="BQ226" s="339">
        <f ca="1"/>
        <v>0</v>
      </c>
      <c r="BR226" s="339">
        <f ca="1"/>
        <v>0</v>
      </c>
      <c r="BS226" s="339">
        <f ca="1"/>
        <v>0</v>
      </c>
      <c r="BT226" s="339">
        <f ca="1"/>
        <v>64.962743945879794</v>
      </c>
      <c r="BU226" s="339">
        <f ca="1"/>
        <v>101.5</v>
      </c>
      <c r="BV226" s="339">
        <f ca="1"/>
        <v>101.5</v>
      </c>
      <c r="BW226" s="339">
        <f ca="1"/>
        <v>101.5</v>
      </c>
      <c r="BX226" s="339">
        <f ca="1"/>
        <v>101.5</v>
      </c>
      <c r="BY226" s="339">
        <f ca="1"/>
        <v>101.5</v>
      </c>
      <c r="BZ226" s="339">
        <f ca="1"/>
        <v>101.5</v>
      </c>
      <c r="CA226" s="339">
        <f ca="1"/>
        <v>101.5</v>
      </c>
      <c r="CB226" s="339">
        <f ca="1"/>
        <v>101.5</v>
      </c>
      <c r="CC226" s="339">
        <f ca="1"/>
        <v>0</v>
      </c>
      <c r="CD226" s="339">
        <f ca="1"/>
        <v>0</v>
      </c>
      <c r="CE226" s="339">
        <f ca="1"/>
        <v>0</v>
      </c>
      <c r="CF226" s="339">
        <f ca="1"/>
        <v>0</v>
      </c>
      <c r="CG226" s="339">
        <f ca="1"/>
        <v>0</v>
      </c>
      <c r="CH226" s="339">
        <f ca="1"/>
        <v>0</v>
      </c>
      <c r="CI226" s="339">
        <f ca="1"/>
        <v>0</v>
      </c>
      <c r="CJ226" s="339">
        <f ca="1"/>
        <v>0</v>
      </c>
      <c r="CK226" s="339">
        <f ca="1"/>
        <v>0</v>
      </c>
      <c r="CL226" s="339">
        <f ca="1"/>
        <v>0</v>
      </c>
      <c r="CM226" s="339">
        <f ca="1"/>
        <v>0</v>
      </c>
      <c r="CN226" s="339">
        <f ca="1"/>
        <v>0</v>
      </c>
      <c r="CO226" s="339">
        <f ca="1"/>
        <v>0</v>
      </c>
      <c r="CP226" s="339">
        <f ca="1"/>
        <v>0</v>
      </c>
      <c r="CQ226" s="339">
        <f ca="1"/>
        <v>876.96274394587977</v>
      </c>
      <c r="CR226" s="340">
        <f ca="1"/>
        <v>248.24000000000024</v>
      </c>
      <c r="CS226" s="340">
        <f ca="1">CQ226+CR226</f>
        <v>1125.20274394588</v>
      </c>
      <c r="CT226" s="233"/>
    </row>
    <row r="227" spans="2:98" x14ac:dyDescent="0.3">
      <c r="B227" s="232"/>
      <c r="C227" s="250"/>
      <c r="D227" s="250" t="s">
        <v>10</v>
      </c>
      <c r="E227" s="250" t="s">
        <v>11</v>
      </c>
      <c r="F227" s="250" t="s">
        <v>245</v>
      </c>
      <c r="G227" s="250" t="s">
        <v>12</v>
      </c>
      <c r="H227" s="261"/>
      <c r="I227" s="262" t="s">
        <v>10</v>
      </c>
      <c r="J227" s="262" t="s">
        <v>11</v>
      </c>
      <c r="K227" s="262" t="s">
        <v>245</v>
      </c>
      <c r="L227" s="15"/>
      <c r="M227" s="262" t="s">
        <v>10</v>
      </c>
      <c r="N227" s="262" t="s">
        <v>11</v>
      </c>
      <c r="O227" s="262" t="s">
        <v>245</v>
      </c>
      <c r="P227" s="15"/>
      <c r="Q227" s="262" t="s">
        <v>10</v>
      </c>
      <c r="R227" s="262" t="s">
        <v>11</v>
      </c>
      <c r="S227" s="262" t="s">
        <v>245</v>
      </c>
      <c r="T227" s="262" t="s">
        <v>12</v>
      </c>
      <c r="U227" s="15"/>
      <c r="V227" s="262" t="s">
        <v>283</v>
      </c>
      <c r="W227" s="262" t="s">
        <v>283</v>
      </c>
      <c r="X227" s="262" t="s">
        <v>284</v>
      </c>
      <c r="Y227" s="262" t="s">
        <v>284</v>
      </c>
      <c r="Z227" s="262" t="s">
        <v>285</v>
      </c>
      <c r="AA227" s="262" t="s">
        <v>285</v>
      </c>
      <c r="AB227" s="262" t="s">
        <v>12</v>
      </c>
      <c r="AC227" s="15"/>
      <c r="AD227" s="262" t="s">
        <v>286</v>
      </c>
      <c r="AE227" s="262" t="s">
        <v>287</v>
      </c>
      <c r="AF227" s="262" t="s">
        <v>281</v>
      </c>
      <c r="AG227" s="15"/>
      <c r="AH227" s="262"/>
      <c r="AI227" s="262" t="s">
        <v>288</v>
      </c>
      <c r="AJ227" s="262" t="s">
        <v>288</v>
      </c>
      <c r="AK227" s="262" t="s">
        <v>289</v>
      </c>
      <c r="AL227" s="233"/>
      <c r="AN227" s="232"/>
      <c r="AO227" s="18"/>
      <c r="AP227" s="37" t="s">
        <v>344</v>
      </c>
      <c r="AQ227" s="331"/>
      <c r="AR227" s="331"/>
      <c r="AS227" s="11" t="s">
        <v>12</v>
      </c>
      <c r="AT227" s="15"/>
      <c r="AW227" s="37" t="s">
        <v>346</v>
      </c>
      <c r="AX227" s="331"/>
      <c r="AY227" s="331"/>
      <c r="AZ227" s="11" t="s">
        <v>12</v>
      </c>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233"/>
    </row>
    <row r="228" spans="2:98" x14ac:dyDescent="0.3">
      <c r="B228" s="232"/>
      <c r="C228" s="13" t="s">
        <v>9</v>
      </c>
      <c r="D228" s="13" t="s">
        <v>307</v>
      </c>
      <c r="E228" s="13" t="s">
        <v>308</v>
      </c>
      <c r="F228" s="13" t="s">
        <v>308</v>
      </c>
      <c r="G228" s="13" t="s">
        <v>248</v>
      </c>
      <c r="H228" s="4"/>
      <c r="I228" s="13" t="s">
        <v>24</v>
      </c>
      <c r="J228" s="13" t="s">
        <v>25</v>
      </c>
      <c r="K228" s="13" t="s">
        <v>25</v>
      </c>
      <c r="L228" s="4"/>
      <c r="M228" s="13" t="s">
        <v>24</v>
      </c>
      <c r="N228" s="13" t="s">
        <v>25</v>
      </c>
      <c r="O228" s="13" t="s">
        <v>25</v>
      </c>
      <c r="P228" s="4"/>
      <c r="Q228" s="13" t="s">
        <v>293</v>
      </c>
      <c r="R228" s="13" t="s">
        <v>293</v>
      </c>
      <c r="S228" s="13" t="s">
        <v>293</v>
      </c>
      <c r="T228" s="13" t="s">
        <v>293</v>
      </c>
      <c r="U228" s="4"/>
      <c r="V228" s="13" t="s">
        <v>294</v>
      </c>
      <c r="W228" s="13" t="s">
        <v>293</v>
      </c>
      <c r="X228" s="13" t="s">
        <v>294</v>
      </c>
      <c r="Y228" s="13" t="s">
        <v>293</v>
      </c>
      <c r="Z228" s="13" t="s">
        <v>294</v>
      </c>
      <c r="AA228" s="13" t="s">
        <v>293</v>
      </c>
      <c r="AB228" s="13" t="s">
        <v>293</v>
      </c>
      <c r="AC228" s="4"/>
      <c r="AD228" s="13" t="s">
        <v>293</v>
      </c>
      <c r="AE228" s="13" t="s">
        <v>293</v>
      </c>
      <c r="AF228" s="13" t="s">
        <v>293</v>
      </c>
      <c r="AG228" s="4"/>
      <c r="AH228" s="13" t="s">
        <v>295</v>
      </c>
      <c r="AI228" s="13" t="s">
        <v>296</v>
      </c>
      <c r="AJ228" s="13" t="s">
        <v>297</v>
      </c>
      <c r="AK228" s="13" t="s">
        <v>293</v>
      </c>
      <c r="AL228" s="233"/>
      <c r="AN228" s="232"/>
      <c r="AO228" s="24" t="s">
        <v>296</v>
      </c>
      <c r="AP228" s="24" t="s">
        <v>347</v>
      </c>
      <c r="AQ228" s="24" t="s">
        <v>351</v>
      </c>
      <c r="AR228" s="24" t="s">
        <v>352</v>
      </c>
      <c r="AS228" s="343" t="s">
        <v>169</v>
      </c>
      <c r="AT228" s="15"/>
      <c r="AW228" s="24" t="s">
        <v>347</v>
      </c>
      <c r="AX228" s="24" t="s">
        <v>351</v>
      </c>
      <c r="AY228" s="24" t="s">
        <v>352</v>
      </c>
      <c r="AZ228" s="343" t="s">
        <v>169</v>
      </c>
      <c r="BB228" s="353">
        <f>BB178</f>
        <v>0</v>
      </c>
      <c r="BC228" s="13">
        <f t="shared" ref="BC228:CS228" si="148">BC178</f>
        <v>1</v>
      </c>
      <c r="BD228" s="13">
        <f t="shared" si="148"/>
        <v>2</v>
      </c>
      <c r="BE228" s="13">
        <f t="shared" si="148"/>
        <v>3</v>
      </c>
      <c r="BF228" s="13">
        <f t="shared" si="148"/>
        <v>4</v>
      </c>
      <c r="BG228" s="13">
        <f t="shared" si="148"/>
        <v>5</v>
      </c>
      <c r="BH228" s="13">
        <f t="shared" si="148"/>
        <v>6</v>
      </c>
      <c r="BI228" s="13">
        <f t="shared" si="148"/>
        <v>7</v>
      </c>
      <c r="BJ228" s="13">
        <f t="shared" si="148"/>
        <v>8</v>
      </c>
      <c r="BK228" s="13">
        <f t="shared" si="148"/>
        <v>9</v>
      </c>
      <c r="BL228" s="13">
        <f t="shared" si="148"/>
        <v>10</v>
      </c>
      <c r="BM228" s="13">
        <f t="shared" si="148"/>
        <v>11</v>
      </c>
      <c r="BN228" s="13">
        <f t="shared" si="148"/>
        <v>12</v>
      </c>
      <c r="BO228" s="13">
        <f t="shared" si="148"/>
        <v>13</v>
      </c>
      <c r="BP228" s="13">
        <f t="shared" si="148"/>
        <v>14</v>
      </c>
      <c r="BQ228" s="13">
        <f t="shared" si="148"/>
        <v>15</v>
      </c>
      <c r="BR228" s="13">
        <f t="shared" si="148"/>
        <v>16</v>
      </c>
      <c r="BS228" s="13">
        <f t="shared" si="148"/>
        <v>17</v>
      </c>
      <c r="BT228" s="13">
        <f t="shared" si="148"/>
        <v>18</v>
      </c>
      <c r="BU228" s="13">
        <f t="shared" si="148"/>
        <v>19</v>
      </c>
      <c r="BV228" s="13">
        <f t="shared" si="148"/>
        <v>20</v>
      </c>
      <c r="BW228" s="13">
        <f t="shared" si="148"/>
        <v>21</v>
      </c>
      <c r="BX228" s="13">
        <f t="shared" si="148"/>
        <v>22</v>
      </c>
      <c r="BY228" s="13">
        <f t="shared" si="148"/>
        <v>23</v>
      </c>
      <c r="BZ228" s="13">
        <f t="shared" si="148"/>
        <v>24</v>
      </c>
      <c r="CA228" s="13">
        <f t="shared" si="148"/>
        <v>25</v>
      </c>
      <c r="CB228" s="13">
        <f t="shared" si="148"/>
        <v>26</v>
      </c>
      <c r="CC228" s="13">
        <f t="shared" si="148"/>
        <v>27</v>
      </c>
      <c r="CD228" s="13">
        <f t="shared" si="148"/>
        <v>28</v>
      </c>
      <c r="CE228" s="13">
        <f t="shared" si="148"/>
        <v>29</v>
      </c>
      <c r="CF228" s="13">
        <f t="shared" si="148"/>
        <v>30</v>
      </c>
      <c r="CG228" s="13">
        <f t="shared" si="148"/>
        <v>31</v>
      </c>
      <c r="CH228" s="13">
        <f t="shared" si="148"/>
        <v>32</v>
      </c>
      <c r="CI228" s="13">
        <f t="shared" si="148"/>
        <v>33</v>
      </c>
      <c r="CJ228" s="13">
        <f t="shared" si="148"/>
        <v>34</v>
      </c>
      <c r="CK228" s="13">
        <f t="shared" si="148"/>
        <v>35</v>
      </c>
      <c r="CL228" s="13">
        <f t="shared" si="148"/>
        <v>36</v>
      </c>
      <c r="CM228" s="13">
        <f t="shared" si="148"/>
        <v>37</v>
      </c>
      <c r="CN228" s="13">
        <f t="shared" si="148"/>
        <v>38</v>
      </c>
      <c r="CO228" s="13">
        <f t="shared" si="148"/>
        <v>39</v>
      </c>
      <c r="CP228" s="13">
        <f t="shared" si="148"/>
        <v>40</v>
      </c>
      <c r="CQ228" s="11" t="str">
        <f t="shared" si="148"/>
        <v>Subtotal</v>
      </c>
      <c r="CR228" s="11" t="str">
        <f t="shared" si="148"/>
        <v>Remainder</v>
      </c>
      <c r="CS228" s="11" t="str">
        <f t="shared" si="148"/>
        <v>Total</v>
      </c>
      <c r="CT228" s="233"/>
    </row>
    <row r="229" spans="2:98" x14ac:dyDescent="0.3">
      <c r="B229" s="232"/>
      <c r="C229" s="250">
        <f>YEAR(FY_Date)</f>
        <v>2013</v>
      </c>
      <c r="D229" s="263">
        <f ca="1">$G229*$M$12</f>
        <v>0</v>
      </c>
      <c r="E229" s="263">
        <f t="shared" ref="E229:E269" ca="1" si="149">$G229*$M$14/Bbl_to_Mcfe</f>
        <v>0</v>
      </c>
      <c r="F229" s="263">
        <f t="shared" ref="F229:F269" ca="1" si="150">$G229*$M$13/Bbl_to_Mcfe</f>
        <v>0</v>
      </c>
      <c r="G229" s="263">
        <f ca="1">CS229*$AQ$11</f>
        <v>0</v>
      </c>
      <c r="H229" s="15"/>
      <c r="I229" s="264">
        <f ca="1">Assumptions!O$63</f>
        <v>3.7</v>
      </c>
      <c r="J229" s="264">
        <f ca="1">Assumptions!P$63</f>
        <v>101</v>
      </c>
      <c r="K229" s="264">
        <f t="shared" ref="K229:K269" ca="1" si="151">J229*$R$7</f>
        <v>50.5</v>
      </c>
      <c r="L229" s="15"/>
      <c r="M229" s="51">
        <f ca="1">I229*$R$5</f>
        <v>3.4779999999999998</v>
      </c>
      <c r="N229" s="51">
        <f t="shared" ref="N229:N269" ca="1" si="152">J229*$R$6</f>
        <v>93.93</v>
      </c>
      <c r="O229" s="51">
        <f t="shared" ref="O229:O269" ca="1" si="153">N229*$R$7</f>
        <v>46.965000000000003</v>
      </c>
      <c r="P229" s="15"/>
      <c r="Q229" s="265">
        <f ca="1">D229*M229</f>
        <v>0</v>
      </c>
      <c r="R229" s="265">
        <f ca="1">E229*N229</f>
        <v>0</v>
      </c>
      <c r="S229" s="265">
        <f ca="1">F229*O229</f>
        <v>0</v>
      </c>
      <c r="T229" s="265">
        <f ca="1">SUM(Q229:S229)</f>
        <v>0</v>
      </c>
      <c r="U229" s="15"/>
      <c r="V229" s="51">
        <f>$M$18</f>
        <v>0.31</v>
      </c>
      <c r="W229" s="265">
        <f ca="1">V229*$G229/(1-$M$6)</f>
        <v>0</v>
      </c>
      <c r="X229" s="51">
        <f>$M$17</f>
        <v>0.37</v>
      </c>
      <c r="Y229" s="265">
        <f ca="1">X229*$G229/(1-$M$6)</f>
        <v>0</v>
      </c>
      <c r="Z229" s="51">
        <f>$M$19</f>
        <v>0.57999999999999996</v>
      </c>
      <c r="AA229" s="265">
        <f ca="1">Z229*$G229/(1-$M$6)</f>
        <v>0</v>
      </c>
      <c r="AB229" s="265">
        <f ca="1">W229+Y229+AA229</f>
        <v>0</v>
      </c>
      <c r="AC229" s="15"/>
      <c r="AD229" s="265">
        <f ca="1">T229-AB229</f>
        <v>0</v>
      </c>
      <c r="AE229" s="265">
        <f t="array" aca="1" ref="AE229:AE269" ca="1">TRANSPOSE(BB226:CP226)*$M$9*$AQ$11*Units</f>
        <v>0</v>
      </c>
      <c r="AF229" s="265">
        <f ca="1">AD229-AE229</f>
        <v>0</v>
      </c>
      <c r="AG229" s="15"/>
      <c r="AH229" s="272">
        <f>FY_Date</f>
        <v>41639</v>
      </c>
      <c r="AI229" s="267">
        <f t="shared" ref="AI229:AI269" si="154">DAYS360(Valuation_Date,AH229)/360-MIN(0.5,0.5*DAYS360(Valuation_Date,AH229)/360)</f>
        <v>8.3333333333333329E-2</v>
      </c>
      <c r="AJ229" s="267">
        <f t="shared" ref="AJ229:AJ269" si="155">1/((1+Discount_Rate)^AI229)</f>
        <v>0.99208894344699095</v>
      </c>
      <c r="AK229" s="265">
        <f ca="1">AJ229*AF229*Stub_Per_Adj</f>
        <v>0</v>
      </c>
      <c r="AL229" s="233"/>
      <c r="AN229" s="232"/>
      <c r="AO229" s="290">
        <f>AO179</f>
        <v>0</v>
      </c>
      <c r="AP229" s="34">
        <f ca="1">+AP179</f>
        <v>810.96546961325964</v>
      </c>
      <c r="AQ229" s="34">
        <f t="shared" ref="AQ229:AS229" ca="1" si="156">+AQ179</f>
        <v>5.3640883977900522</v>
      </c>
      <c r="AR229" s="34">
        <f t="shared" ca="1" si="156"/>
        <v>0</v>
      </c>
      <c r="AS229" s="34">
        <f t="shared" ca="1" si="156"/>
        <v>843.15</v>
      </c>
      <c r="AT229" s="15"/>
      <c r="AW229" s="34">
        <f ca="1">AP229*(1-$M$6)</f>
        <v>810.96546961325964</v>
      </c>
      <c r="AX229" s="34">
        <f t="shared" ref="AX229:AZ269" ca="1" si="157">AQ229*(1-$M$6)</f>
        <v>5.3640883977900522</v>
      </c>
      <c r="AY229" s="34">
        <f t="shared" ca="1" si="157"/>
        <v>0</v>
      </c>
      <c r="AZ229" s="34">
        <f t="shared" ca="1" si="157"/>
        <v>843.15</v>
      </c>
      <c r="BB229" s="34">
        <f ca="1">IF($AO229&lt;BB$228,0,OFFSET($AZ$228,$AO229-BB$228+1,0)*BB$226)</f>
        <v>0</v>
      </c>
      <c r="BC229" s="34">
        <f t="shared" ref="BC229:BR244" ca="1" si="158">IF($AO229&lt;BC$228,0,OFFSET($AZ$228,$AO229-BC$228+1,0)*BC$226)</f>
        <v>0</v>
      </c>
      <c r="BD229" s="34">
        <f t="shared" ca="1" si="158"/>
        <v>0</v>
      </c>
      <c r="BE229" s="34">
        <f t="shared" ca="1" si="158"/>
        <v>0</v>
      </c>
      <c r="BF229" s="34">
        <f t="shared" ca="1" si="158"/>
        <v>0</v>
      </c>
      <c r="BG229" s="34">
        <f t="shared" ca="1" si="158"/>
        <v>0</v>
      </c>
      <c r="BH229" s="34">
        <f t="shared" ca="1" si="158"/>
        <v>0</v>
      </c>
      <c r="BI229" s="34">
        <f t="shared" ca="1" si="158"/>
        <v>0</v>
      </c>
      <c r="BJ229" s="34">
        <f t="shared" ca="1" si="158"/>
        <v>0</v>
      </c>
      <c r="BK229" s="34">
        <f t="shared" ca="1" si="158"/>
        <v>0</v>
      </c>
      <c r="BL229" s="34">
        <f t="shared" ca="1" si="158"/>
        <v>0</v>
      </c>
      <c r="BM229" s="34">
        <f t="shared" ca="1" si="158"/>
        <v>0</v>
      </c>
      <c r="BN229" s="34">
        <f t="shared" ca="1" si="158"/>
        <v>0</v>
      </c>
      <c r="BO229" s="34">
        <f t="shared" ca="1" si="158"/>
        <v>0</v>
      </c>
      <c r="BP229" s="34">
        <f t="shared" ca="1" si="158"/>
        <v>0</v>
      </c>
      <c r="BQ229" s="34">
        <f t="shared" ca="1" si="158"/>
        <v>0</v>
      </c>
      <c r="BR229" s="34">
        <f t="shared" ca="1" si="158"/>
        <v>0</v>
      </c>
      <c r="BS229" s="34">
        <f t="shared" ref="BS229:CH244" ca="1" si="159">IF($AO229&lt;BS$228,0,OFFSET($AZ$228,$AO229-BS$228+1,0)*BS$226)</f>
        <v>0</v>
      </c>
      <c r="BT229" s="34">
        <f t="shared" ca="1" si="159"/>
        <v>0</v>
      </c>
      <c r="BU229" s="34">
        <f t="shared" ca="1" si="159"/>
        <v>0</v>
      </c>
      <c r="BV229" s="34">
        <f t="shared" ca="1" si="159"/>
        <v>0</v>
      </c>
      <c r="BW229" s="34">
        <f t="shared" ca="1" si="159"/>
        <v>0</v>
      </c>
      <c r="BX229" s="34">
        <f t="shared" ca="1" si="159"/>
        <v>0</v>
      </c>
      <c r="BY229" s="34">
        <f t="shared" ca="1" si="159"/>
        <v>0</v>
      </c>
      <c r="BZ229" s="34">
        <f t="shared" ca="1" si="159"/>
        <v>0</v>
      </c>
      <c r="CA229" s="34">
        <f t="shared" ca="1" si="159"/>
        <v>0</v>
      </c>
      <c r="CB229" s="34">
        <f t="shared" ca="1" si="159"/>
        <v>0</v>
      </c>
      <c r="CC229" s="34">
        <f t="shared" ca="1" si="159"/>
        <v>0</v>
      </c>
      <c r="CD229" s="34">
        <f t="shared" ca="1" si="159"/>
        <v>0</v>
      </c>
      <c r="CE229" s="34">
        <f t="shared" ca="1" si="159"/>
        <v>0</v>
      </c>
      <c r="CF229" s="34">
        <f t="shared" ca="1" si="159"/>
        <v>0</v>
      </c>
      <c r="CG229" s="34">
        <f t="shared" ca="1" si="159"/>
        <v>0</v>
      </c>
      <c r="CH229" s="34">
        <f t="shared" ca="1" si="159"/>
        <v>0</v>
      </c>
      <c r="CI229" s="34">
        <f t="shared" ref="CI229:CP244" ca="1" si="160">IF($AO229&lt;CI$228,0,OFFSET($AZ$228,$AO229-CI$228+1,0)*CI$226)</f>
        <v>0</v>
      </c>
      <c r="CJ229" s="34">
        <f t="shared" ca="1" si="160"/>
        <v>0</v>
      </c>
      <c r="CK229" s="34">
        <f t="shared" ca="1" si="160"/>
        <v>0</v>
      </c>
      <c r="CL229" s="34">
        <f t="shared" ca="1" si="160"/>
        <v>0</v>
      </c>
      <c r="CM229" s="34">
        <f t="shared" ca="1" si="160"/>
        <v>0</v>
      </c>
      <c r="CN229" s="34">
        <f t="shared" ca="1" si="160"/>
        <v>0</v>
      </c>
      <c r="CO229" s="34">
        <f t="shared" ca="1" si="160"/>
        <v>0</v>
      </c>
      <c r="CP229" s="34">
        <f t="shared" ca="1" si="160"/>
        <v>0</v>
      </c>
      <c r="CQ229" s="34">
        <f ca="1">SUM(BB229:CP229)</f>
        <v>0</v>
      </c>
      <c r="CR229" s="363">
        <v>0</v>
      </c>
      <c r="CS229" s="34">
        <f ca="1">CQ229+CR229</f>
        <v>0</v>
      </c>
      <c r="CT229" s="233"/>
    </row>
    <row r="230" spans="2:98" x14ac:dyDescent="0.3">
      <c r="B230" s="232"/>
      <c r="C230" s="270">
        <f>C229+1</f>
        <v>2014</v>
      </c>
      <c r="D230" s="263">
        <f t="shared" ref="D230:D272" ca="1" si="161">$G230*$M$12</f>
        <v>0</v>
      </c>
      <c r="E230" s="263">
        <f t="shared" ca="1" si="149"/>
        <v>0</v>
      </c>
      <c r="F230" s="263">
        <f t="shared" ca="1" si="150"/>
        <v>0</v>
      </c>
      <c r="G230" s="263">
        <f t="shared" ref="G230:G269" ca="1" si="162">CS230*$AQ$11</f>
        <v>0</v>
      </c>
      <c r="H230" s="15"/>
      <c r="I230" s="271">
        <f ca="1">Assumptions!O$64</f>
        <v>3.8</v>
      </c>
      <c r="J230" s="271">
        <f ca="1">Assumptions!P$64</f>
        <v>92</v>
      </c>
      <c r="K230" s="271">
        <f t="shared" ca="1" si="151"/>
        <v>46</v>
      </c>
      <c r="L230" s="15"/>
      <c r="M230" s="35">
        <f t="shared" ref="M230:M269" ca="1" si="163">I230*$R$5</f>
        <v>3.5719999999999996</v>
      </c>
      <c r="N230" s="35">
        <f t="shared" ca="1" si="152"/>
        <v>85.56</v>
      </c>
      <c r="O230" s="35">
        <f t="shared" ca="1" si="153"/>
        <v>42.78</v>
      </c>
      <c r="P230" s="15"/>
      <c r="Q230" s="34">
        <f t="shared" ref="Q230:S269" ca="1" si="164">D230*M230</f>
        <v>0</v>
      </c>
      <c r="R230" s="34">
        <f t="shared" ca="1" si="164"/>
        <v>0</v>
      </c>
      <c r="S230" s="34">
        <f t="shared" ca="1" si="164"/>
        <v>0</v>
      </c>
      <c r="T230" s="34">
        <f t="shared" ref="T230:T270" ca="1" si="165">SUM(Q230:S230)</f>
        <v>0</v>
      </c>
      <c r="U230" s="15"/>
      <c r="V230" s="35">
        <f t="shared" ref="V230:V269" si="166">$M$18</f>
        <v>0.31</v>
      </c>
      <c r="W230" s="34">
        <f t="shared" ref="W230:W267" ca="1" si="167">V230*$G230/(1-$M$6)</f>
        <v>0</v>
      </c>
      <c r="X230" s="35">
        <f t="shared" ref="X230:X269" si="168">$M$17</f>
        <v>0.37</v>
      </c>
      <c r="Y230" s="34">
        <f t="shared" ref="Y230:Y269" ca="1" si="169">X230*$G230/(1-$M$6)</f>
        <v>0</v>
      </c>
      <c r="Z230" s="35">
        <f t="shared" ref="Z230:Z269" si="170">$M$19</f>
        <v>0.57999999999999996</v>
      </c>
      <c r="AA230" s="34">
        <f t="shared" ref="AA230:AA269" ca="1" si="171">Z230*$G230/(1-$M$6)</f>
        <v>0</v>
      </c>
      <c r="AB230" s="34">
        <f t="shared" ref="AB230:AB269" ca="1" si="172">W230+Y230+AA230</f>
        <v>0</v>
      </c>
      <c r="AC230" s="15"/>
      <c r="AD230" s="34">
        <f t="shared" ref="AD230:AD269" ca="1" si="173">T230-AB230</f>
        <v>0</v>
      </c>
      <c r="AE230" s="34">
        <f ca="1"/>
        <v>0</v>
      </c>
      <c r="AF230" s="34">
        <f t="shared" ref="AF230:AF269" ca="1" si="174">AD230-AE230</f>
        <v>0</v>
      </c>
      <c r="AG230" s="15"/>
      <c r="AH230" s="272">
        <f>EOMONTH(AH229,12)</f>
        <v>42004</v>
      </c>
      <c r="AI230" s="267">
        <f t="shared" si="154"/>
        <v>0.66666666666666674</v>
      </c>
      <c r="AJ230" s="267">
        <f t="shared" si="155"/>
        <v>0.93843646859669738</v>
      </c>
      <c r="AK230" s="34">
        <f ca="1">AJ230*AF230</f>
        <v>0</v>
      </c>
      <c r="AL230" s="233"/>
      <c r="AN230" s="232"/>
      <c r="AO230" s="237">
        <f t="shared" ref="AO230:AO269" si="175">AO180</f>
        <v>1</v>
      </c>
      <c r="AP230" s="34">
        <f t="shared" ref="AP230:AS245" ca="1" si="176">+AP180</f>
        <v>359.10236158751934</v>
      </c>
      <c r="AQ230" s="34">
        <f t="shared" ca="1" si="176"/>
        <v>2.3752636623717542</v>
      </c>
      <c r="AR230" s="34">
        <f t="shared" ca="1" si="176"/>
        <v>0</v>
      </c>
      <c r="AS230" s="34">
        <f t="shared" ca="1" si="176"/>
        <v>373.35394356174987</v>
      </c>
      <c r="AT230" s="15"/>
      <c r="AW230" s="34">
        <f t="shared" ref="AW230:AW269" ca="1" si="177">AP230*(1-$M$6)</f>
        <v>359.10236158751934</v>
      </c>
      <c r="AX230" s="34">
        <f t="shared" ca="1" si="157"/>
        <v>2.3752636623717542</v>
      </c>
      <c r="AY230" s="34">
        <f t="shared" ca="1" si="157"/>
        <v>0</v>
      </c>
      <c r="AZ230" s="34">
        <f t="shared" ca="1" si="157"/>
        <v>373.35394356174987</v>
      </c>
      <c r="BB230" s="34">
        <f t="shared" ref="BB230:BQ245" ca="1" si="178">IF($AO230&lt;BB$228,0,OFFSET($AZ$228,$AO230-BB$228+1,0)*BB$226)</f>
        <v>0</v>
      </c>
      <c r="BC230" s="34">
        <f t="shared" ca="1" si="158"/>
        <v>0</v>
      </c>
      <c r="BD230" s="34">
        <f t="shared" ca="1" si="158"/>
        <v>0</v>
      </c>
      <c r="BE230" s="34">
        <f t="shared" ca="1" si="158"/>
        <v>0</v>
      </c>
      <c r="BF230" s="34">
        <f t="shared" ca="1" si="158"/>
        <v>0</v>
      </c>
      <c r="BG230" s="34">
        <f t="shared" ca="1" si="158"/>
        <v>0</v>
      </c>
      <c r="BH230" s="34">
        <f t="shared" ca="1" si="158"/>
        <v>0</v>
      </c>
      <c r="BI230" s="34">
        <f t="shared" ca="1" si="158"/>
        <v>0</v>
      </c>
      <c r="BJ230" s="34">
        <f t="shared" ca="1" si="158"/>
        <v>0</v>
      </c>
      <c r="BK230" s="34">
        <f t="shared" ca="1" si="158"/>
        <v>0</v>
      </c>
      <c r="BL230" s="34">
        <f t="shared" ca="1" si="158"/>
        <v>0</v>
      </c>
      <c r="BM230" s="34">
        <f t="shared" ca="1" si="158"/>
        <v>0</v>
      </c>
      <c r="BN230" s="34">
        <f t="shared" ca="1" si="158"/>
        <v>0</v>
      </c>
      <c r="BO230" s="34">
        <f t="shared" ca="1" si="158"/>
        <v>0</v>
      </c>
      <c r="BP230" s="34">
        <f t="shared" ca="1" si="158"/>
        <v>0</v>
      </c>
      <c r="BQ230" s="34">
        <f t="shared" ca="1" si="158"/>
        <v>0</v>
      </c>
      <c r="BR230" s="34">
        <f t="shared" ca="1" si="158"/>
        <v>0</v>
      </c>
      <c r="BS230" s="34">
        <f t="shared" ca="1" si="159"/>
        <v>0</v>
      </c>
      <c r="BT230" s="34">
        <f t="shared" ca="1" si="159"/>
        <v>0</v>
      </c>
      <c r="BU230" s="34">
        <f t="shared" ca="1" si="159"/>
        <v>0</v>
      </c>
      <c r="BV230" s="34">
        <f t="shared" ca="1" si="159"/>
        <v>0</v>
      </c>
      <c r="BW230" s="34">
        <f t="shared" ca="1" si="159"/>
        <v>0</v>
      </c>
      <c r="BX230" s="34">
        <f t="shared" ca="1" si="159"/>
        <v>0</v>
      </c>
      <c r="BY230" s="34">
        <f t="shared" ca="1" si="159"/>
        <v>0</v>
      </c>
      <c r="BZ230" s="34">
        <f t="shared" ca="1" si="159"/>
        <v>0</v>
      </c>
      <c r="CA230" s="34">
        <f t="shared" ca="1" si="159"/>
        <v>0</v>
      </c>
      <c r="CB230" s="34">
        <f t="shared" ca="1" si="159"/>
        <v>0</v>
      </c>
      <c r="CC230" s="34">
        <f t="shared" ca="1" si="159"/>
        <v>0</v>
      </c>
      <c r="CD230" s="34">
        <f t="shared" ca="1" si="159"/>
        <v>0</v>
      </c>
      <c r="CE230" s="34">
        <f t="shared" ca="1" si="159"/>
        <v>0</v>
      </c>
      <c r="CF230" s="34">
        <f t="shared" ca="1" si="159"/>
        <v>0</v>
      </c>
      <c r="CG230" s="34">
        <f t="shared" ca="1" si="159"/>
        <v>0</v>
      </c>
      <c r="CH230" s="34">
        <f t="shared" ca="1" si="159"/>
        <v>0</v>
      </c>
      <c r="CI230" s="34">
        <f t="shared" ca="1" si="160"/>
        <v>0</v>
      </c>
      <c r="CJ230" s="34">
        <f t="shared" ca="1" si="160"/>
        <v>0</v>
      </c>
      <c r="CK230" s="34">
        <f t="shared" ca="1" si="160"/>
        <v>0</v>
      </c>
      <c r="CL230" s="34">
        <f t="shared" ca="1" si="160"/>
        <v>0</v>
      </c>
      <c r="CM230" s="34">
        <f t="shared" ca="1" si="160"/>
        <v>0</v>
      </c>
      <c r="CN230" s="34">
        <f t="shared" ca="1" si="160"/>
        <v>0</v>
      </c>
      <c r="CO230" s="34">
        <f t="shared" ca="1" si="160"/>
        <v>0</v>
      </c>
      <c r="CP230" s="34">
        <f t="shared" ca="1" si="160"/>
        <v>0</v>
      </c>
      <c r="CQ230" s="34">
        <f t="shared" ref="CQ230:CQ269" ca="1" si="179">SUM(BB230:CP230)</f>
        <v>0</v>
      </c>
      <c r="CR230" s="363">
        <v>0</v>
      </c>
      <c r="CS230" s="34">
        <f t="shared" ref="CS230:CS269" ca="1" si="180">CQ230+CR230</f>
        <v>0</v>
      </c>
      <c r="CT230" s="233"/>
    </row>
    <row r="231" spans="2:98" x14ac:dyDescent="0.3">
      <c r="B231" s="232"/>
      <c r="C231" s="250">
        <f t="shared" ref="C231:C269" si="181">C230+1</f>
        <v>2015</v>
      </c>
      <c r="D231" s="263">
        <f t="shared" ca="1" si="161"/>
        <v>0</v>
      </c>
      <c r="E231" s="263">
        <f t="shared" ca="1" si="149"/>
        <v>0</v>
      </c>
      <c r="F231" s="263">
        <f t="shared" ca="1" si="150"/>
        <v>0</v>
      </c>
      <c r="G231" s="263">
        <f t="shared" ca="1" si="162"/>
        <v>0</v>
      </c>
      <c r="H231" s="15"/>
      <c r="I231" s="271">
        <f ca="1">Assumptions!O$65</f>
        <v>4</v>
      </c>
      <c r="J231" s="271">
        <f ca="1">Assumptions!P$65</f>
        <v>88</v>
      </c>
      <c r="K231" s="271">
        <f t="shared" ca="1" si="151"/>
        <v>44</v>
      </c>
      <c r="L231" s="15"/>
      <c r="M231" s="35">
        <f t="shared" ca="1" si="163"/>
        <v>3.76</v>
      </c>
      <c r="N231" s="35">
        <f t="shared" ca="1" si="152"/>
        <v>81.84</v>
      </c>
      <c r="O231" s="35">
        <f t="shared" ca="1" si="153"/>
        <v>40.92</v>
      </c>
      <c r="P231" s="15"/>
      <c r="Q231" s="34">
        <f t="shared" ca="1" si="164"/>
        <v>0</v>
      </c>
      <c r="R231" s="34">
        <f t="shared" ca="1" si="164"/>
        <v>0</v>
      </c>
      <c r="S231" s="34">
        <f t="shared" ca="1" si="164"/>
        <v>0</v>
      </c>
      <c r="T231" s="34">
        <f t="shared" ca="1" si="165"/>
        <v>0</v>
      </c>
      <c r="U231" s="15"/>
      <c r="V231" s="35">
        <f t="shared" si="166"/>
        <v>0.31</v>
      </c>
      <c r="W231" s="34">
        <f t="shared" ca="1" si="167"/>
        <v>0</v>
      </c>
      <c r="X231" s="35">
        <f t="shared" si="168"/>
        <v>0.37</v>
      </c>
      <c r="Y231" s="34">
        <f t="shared" ca="1" si="169"/>
        <v>0</v>
      </c>
      <c r="Z231" s="35">
        <f t="shared" si="170"/>
        <v>0.57999999999999996</v>
      </c>
      <c r="AA231" s="34">
        <f t="shared" ca="1" si="171"/>
        <v>0</v>
      </c>
      <c r="AB231" s="34">
        <f t="shared" ca="1" si="172"/>
        <v>0</v>
      </c>
      <c r="AC231" s="15"/>
      <c r="AD231" s="34">
        <f t="shared" ca="1" si="173"/>
        <v>0</v>
      </c>
      <c r="AE231" s="34">
        <f ca="1"/>
        <v>0</v>
      </c>
      <c r="AF231" s="34">
        <f t="shared" ca="1" si="174"/>
        <v>0</v>
      </c>
      <c r="AG231" s="15"/>
      <c r="AH231" s="272">
        <f t="shared" ref="AH231:AH269" si="182">EOMONTH(AH230,12)</f>
        <v>42369</v>
      </c>
      <c r="AI231" s="267">
        <f t="shared" si="154"/>
        <v>1.6666666666666665</v>
      </c>
      <c r="AJ231" s="267">
        <f t="shared" si="155"/>
        <v>0.85312406236063398</v>
      </c>
      <c r="AK231" s="34">
        <f t="shared" ref="AK231:AK269" ca="1" si="183">AJ231*AF231</f>
        <v>0</v>
      </c>
      <c r="AL231" s="233"/>
      <c r="AN231" s="232"/>
      <c r="AO231" s="237">
        <f t="shared" si="175"/>
        <v>2</v>
      </c>
      <c r="AP231" s="34">
        <f t="shared" ca="1" si="176"/>
        <v>256.47149954076446</v>
      </c>
      <c r="AQ231" s="34">
        <f t="shared" ca="1" si="176"/>
        <v>1.6964172293383892</v>
      </c>
      <c r="AR231" s="34">
        <f t="shared" ca="1" si="176"/>
        <v>0</v>
      </c>
      <c r="AS231" s="34">
        <f t="shared" ca="1" si="176"/>
        <v>266.65000291679479</v>
      </c>
      <c r="AT231" s="15"/>
      <c r="AW231" s="34">
        <f t="shared" ca="1" si="177"/>
        <v>256.47149954076446</v>
      </c>
      <c r="AX231" s="34">
        <f t="shared" ca="1" si="157"/>
        <v>1.6964172293383892</v>
      </c>
      <c r="AY231" s="34">
        <f t="shared" ca="1" si="157"/>
        <v>0</v>
      </c>
      <c r="AZ231" s="34">
        <f t="shared" ca="1" si="157"/>
        <v>266.65000291679479</v>
      </c>
      <c r="BB231" s="34">
        <f t="shared" ca="1" si="178"/>
        <v>0</v>
      </c>
      <c r="BC231" s="34">
        <f t="shared" ca="1" si="158"/>
        <v>0</v>
      </c>
      <c r="BD231" s="34">
        <f t="shared" ca="1" si="158"/>
        <v>0</v>
      </c>
      <c r="BE231" s="34">
        <f t="shared" ca="1" si="158"/>
        <v>0</v>
      </c>
      <c r="BF231" s="34">
        <f t="shared" ca="1" si="158"/>
        <v>0</v>
      </c>
      <c r="BG231" s="34">
        <f t="shared" ca="1" si="158"/>
        <v>0</v>
      </c>
      <c r="BH231" s="34">
        <f t="shared" ca="1" si="158"/>
        <v>0</v>
      </c>
      <c r="BI231" s="34">
        <f t="shared" ca="1" si="158"/>
        <v>0</v>
      </c>
      <c r="BJ231" s="34">
        <f t="shared" ca="1" si="158"/>
        <v>0</v>
      </c>
      <c r="BK231" s="34">
        <f t="shared" ca="1" si="158"/>
        <v>0</v>
      </c>
      <c r="BL231" s="34">
        <f t="shared" ca="1" si="158"/>
        <v>0</v>
      </c>
      <c r="BM231" s="34">
        <f t="shared" ca="1" si="158"/>
        <v>0</v>
      </c>
      <c r="BN231" s="34">
        <f t="shared" ca="1" si="158"/>
        <v>0</v>
      </c>
      <c r="BO231" s="34">
        <f t="shared" ca="1" si="158"/>
        <v>0</v>
      </c>
      <c r="BP231" s="34">
        <f t="shared" ca="1" si="158"/>
        <v>0</v>
      </c>
      <c r="BQ231" s="34">
        <f t="shared" ca="1" si="158"/>
        <v>0</v>
      </c>
      <c r="BR231" s="34">
        <f t="shared" ca="1" si="158"/>
        <v>0</v>
      </c>
      <c r="BS231" s="34">
        <f t="shared" ca="1" si="159"/>
        <v>0</v>
      </c>
      <c r="BT231" s="34">
        <f t="shared" ca="1" si="159"/>
        <v>0</v>
      </c>
      <c r="BU231" s="34">
        <f t="shared" ca="1" si="159"/>
        <v>0</v>
      </c>
      <c r="BV231" s="34">
        <f t="shared" ca="1" si="159"/>
        <v>0</v>
      </c>
      <c r="BW231" s="34">
        <f t="shared" ca="1" si="159"/>
        <v>0</v>
      </c>
      <c r="BX231" s="34">
        <f t="shared" ca="1" si="159"/>
        <v>0</v>
      </c>
      <c r="BY231" s="34">
        <f t="shared" ca="1" si="159"/>
        <v>0</v>
      </c>
      <c r="BZ231" s="34">
        <f t="shared" ca="1" si="159"/>
        <v>0</v>
      </c>
      <c r="CA231" s="34">
        <f t="shared" ca="1" si="159"/>
        <v>0</v>
      </c>
      <c r="CB231" s="34">
        <f t="shared" ca="1" si="159"/>
        <v>0</v>
      </c>
      <c r="CC231" s="34">
        <f t="shared" ca="1" si="159"/>
        <v>0</v>
      </c>
      <c r="CD231" s="34">
        <f t="shared" ca="1" si="159"/>
        <v>0</v>
      </c>
      <c r="CE231" s="34">
        <f t="shared" ca="1" si="159"/>
        <v>0</v>
      </c>
      <c r="CF231" s="34">
        <f t="shared" ca="1" si="159"/>
        <v>0</v>
      </c>
      <c r="CG231" s="34">
        <f t="shared" ca="1" si="159"/>
        <v>0</v>
      </c>
      <c r="CH231" s="34">
        <f t="shared" ca="1" si="159"/>
        <v>0</v>
      </c>
      <c r="CI231" s="34">
        <f t="shared" ca="1" si="160"/>
        <v>0</v>
      </c>
      <c r="CJ231" s="34">
        <f t="shared" ca="1" si="160"/>
        <v>0</v>
      </c>
      <c r="CK231" s="34">
        <f t="shared" ca="1" si="160"/>
        <v>0</v>
      </c>
      <c r="CL231" s="34">
        <f t="shared" ca="1" si="160"/>
        <v>0</v>
      </c>
      <c r="CM231" s="34">
        <f t="shared" ca="1" si="160"/>
        <v>0</v>
      </c>
      <c r="CN231" s="34">
        <f t="shared" ca="1" si="160"/>
        <v>0</v>
      </c>
      <c r="CO231" s="34">
        <f t="shared" ca="1" si="160"/>
        <v>0</v>
      </c>
      <c r="CP231" s="34">
        <f t="shared" ca="1" si="160"/>
        <v>0</v>
      </c>
      <c r="CQ231" s="34">
        <f t="shared" ca="1" si="179"/>
        <v>0</v>
      </c>
      <c r="CR231" s="363">
        <v>0</v>
      </c>
      <c r="CS231" s="34">
        <f t="shared" ca="1" si="180"/>
        <v>0</v>
      </c>
      <c r="CT231" s="233"/>
    </row>
    <row r="232" spans="2:98" x14ac:dyDescent="0.3">
      <c r="B232" s="232"/>
      <c r="C232" s="250">
        <f t="shared" si="181"/>
        <v>2016</v>
      </c>
      <c r="D232" s="263">
        <f t="shared" ca="1" si="161"/>
        <v>0</v>
      </c>
      <c r="E232" s="263">
        <f t="shared" ca="1" si="149"/>
        <v>0</v>
      </c>
      <c r="F232" s="263">
        <f t="shared" ca="1" si="150"/>
        <v>0</v>
      </c>
      <c r="G232" s="263">
        <f t="shared" ca="1" si="162"/>
        <v>0</v>
      </c>
      <c r="H232" s="15"/>
      <c r="I232" s="271">
        <f ca="1">Assumptions!O$66</f>
        <v>4.0999999999999996</v>
      </c>
      <c r="J232" s="271">
        <f ca="1">Assumptions!P$66</f>
        <v>84</v>
      </c>
      <c r="K232" s="271">
        <f t="shared" ca="1" si="151"/>
        <v>42</v>
      </c>
      <c r="L232" s="15"/>
      <c r="M232" s="35">
        <f t="shared" ca="1" si="163"/>
        <v>3.8539999999999996</v>
      </c>
      <c r="N232" s="35">
        <f t="shared" ca="1" si="152"/>
        <v>78.12</v>
      </c>
      <c r="O232" s="35">
        <f t="shared" ca="1" si="153"/>
        <v>39.06</v>
      </c>
      <c r="P232" s="15"/>
      <c r="Q232" s="34">
        <f t="shared" ca="1" si="164"/>
        <v>0</v>
      </c>
      <c r="R232" s="34">
        <f t="shared" ca="1" si="164"/>
        <v>0</v>
      </c>
      <c r="S232" s="34">
        <f t="shared" ca="1" si="164"/>
        <v>0</v>
      </c>
      <c r="T232" s="34">
        <f t="shared" ca="1" si="165"/>
        <v>0</v>
      </c>
      <c r="U232" s="15"/>
      <c r="V232" s="35">
        <f t="shared" si="166"/>
        <v>0.31</v>
      </c>
      <c r="W232" s="34">
        <f t="shared" ca="1" si="167"/>
        <v>0</v>
      </c>
      <c r="X232" s="35">
        <f t="shared" si="168"/>
        <v>0.37</v>
      </c>
      <c r="Y232" s="34">
        <f t="shared" ca="1" si="169"/>
        <v>0</v>
      </c>
      <c r="Z232" s="35">
        <f t="shared" si="170"/>
        <v>0.57999999999999996</v>
      </c>
      <c r="AA232" s="34">
        <f t="shared" ca="1" si="171"/>
        <v>0</v>
      </c>
      <c r="AB232" s="34">
        <f t="shared" ca="1" si="172"/>
        <v>0</v>
      </c>
      <c r="AC232" s="15"/>
      <c r="AD232" s="34">
        <f t="shared" ca="1" si="173"/>
        <v>0</v>
      </c>
      <c r="AE232" s="34">
        <f ca="1"/>
        <v>0</v>
      </c>
      <c r="AF232" s="34">
        <f t="shared" ca="1" si="174"/>
        <v>0</v>
      </c>
      <c r="AG232" s="15"/>
      <c r="AH232" s="272">
        <f t="shared" si="182"/>
        <v>42735</v>
      </c>
      <c r="AI232" s="267">
        <f t="shared" si="154"/>
        <v>2.6666666666666665</v>
      </c>
      <c r="AJ232" s="267">
        <f t="shared" si="155"/>
        <v>0.77556732941875806</v>
      </c>
      <c r="AK232" s="34">
        <f t="shared" ca="1" si="183"/>
        <v>0</v>
      </c>
      <c r="AL232" s="233"/>
      <c r="AN232" s="232"/>
      <c r="AO232" s="237">
        <f t="shared" si="175"/>
        <v>3</v>
      </c>
      <c r="AP232" s="34">
        <f t="shared" ca="1" si="176"/>
        <v>205.51711055248782</v>
      </c>
      <c r="AQ232" s="34">
        <f t="shared" ca="1" si="176"/>
        <v>1.3593821063523992</v>
      </c>
      <c r="AR232" s="34">
        <f t="shared" ca="1" si="176"/>
        <v>0</v>
      </c>
      <c r="AS232" s="34">
        <f t="shared" ca="1" si="176"/>
        <v>213.67340319060222</v>
      </c>
      <c r="AT232" s="15"/>
      <c r="AW232" s="34">
        <f t="shared" ca="1" si="177"/>
        <v>205.51711055248782</v>
      </c>
      <c r="AX232" s="34">
        <f t="shared" ca="1" si="157"/>
        <v>1.3593821063523992</v>
      </c>
      <c r="AY232" s="34">
        <f t="shared" ca="1" si="157"/>
        <v>0</v>
      </c>
      <c r="AZ232" s="34">
        <f t="shared" ca="1" si="157"/>
        <v>213.67340319060222</v>
      </c>
      <c r="BB232" s="34">
        <f t="shared" ca="1" si="178"/>
        <v>0</v>
      </c>
      <c r="BC232" s="34">
        <f t="shared" ca="1" si="158"/>
        <v>0</v>
      </c>
      <c r="BD232" s="34">
        <f t="shared" ca="1" si="158"/>
        <v>0</v>
      </c>
      <c r="BE232" s="34">
        <f t="shared" ca="1" si="158"/>
        <v>0</v>
      </c>
      <c r="BF232" s="34">
        <f t="shared" ca="1" si="158"/>
        <v>0</v>
      </c>
      <c r="BG232" s="34">
        <f t="shared" ca="1" si="158"/>
        <v>0</v>
      </c>
      <c r="BH232" s="34">
        <f t="shared" ca="1" si="158"/>
        <v>0</v>
      </c>
      <c r="BI232" s="34">
        <f t="shared" ca="1" si="158"/>
        <v>0</v>
      </c>
      <c r="BJ232" s="34">
        <f t="shared" ca="1" si="158"/>
        <v>0</v>
      </c>
      <c r="BK232" s="34">
        <f t="shared" ca="1" si="158"/>
        <v>0</v>
      </c>
      <c r="BL232" s="34">
        <f t="shared" ca="1" si="158"/>
        <v>0</v>
      </c>
      <c r="BM232" s="34">
        <f t="shared" ca="1" si="158"/>
        <v>0</v>
      </c>
      <c r="BN232" s="34">
        <f t="shared" ca="1" si="158"/>
        <v>0</v>
      </c>
      <c r="BO232" s="34">
        <f t="shared" ca="1" si="158"/>
        <v>0</v>
      </c>
      <c r="BP232" s="34">
        <f t="shared" ca="1" si="158"/>
        <v>0</v>
      </c>
      <c r="BQ232" s="34">
        <f t="shared" ca="1" si="158"/>
        <v>0</v>
      </c>
      <c r="BR232" s="34">
        <f t="shared" ca="1" si="158"/>
        <v>0</v>
      </c>
      <c r="BS232" s="34">
        <f t="shared" ca="1" si="159"/>
        <v>0</v>
      </c>
      <c r="BT232" s="34">
        <f t="shared" ca="1" si="159"/>
        <v>0</v>
      </c>
      <c r="BU232" s="34">
        <f t="shared" ca="1" si="159"/>
        <v>0</v>
      </c>
      <c r="BV232" s="34">
        <f t="shared" ca="1" si="159"/>
        <v>0</v>
      </c>
      <c r="BW232" s="34">
        <f t="shared" ca="1" si="159"/>
        <v>0</v>
      </c>
      <c r="BX232" s="34">
        <f t="shared" ca="1" si="159"/>
        <v>0</v>
      </c>
      <c r="BY232" s="34">
        <f t="shared" ca="1" si="159"/>
        <v>0</v>
      </c>
      <c r="BZ232" s="34">
        <f t="shared" ca="1" si="159"/>
        <v>0</v>
      </c>
      <c r="CA232" s="34">
        <f t="shared" ca="1" si="159"/>
        <v>0</v>
      </c>
      <c r="CB232" s="34">
        <f t="shared" ca="1" si="159"/>
        <v>0</v>
      </c>
      <c r="CC232" s="34">
        <f t="shared" ca="1" si="159"/>
        <v>0</v>
      </c>
      <c r="CD232" s="34">
        <f t="shared" ca="1" si="159"/>
        <v>0</v>
      </c>
      <c r="CE232" s="34">
        <f t="shared" ca="1" si="159"/>
        <v>0</v>
      </c>
      <c r="CF232" s="34">
        <f t="shared" ca="1" si="159"/>
        <v>0</v>
      </c>
      <c r="CG232" s="34">
        <f t="shared" ca="1" si="159"/>
        <v>0</v>
      </c>
      <c r="CH232" s="34">
        <f t="shared" ca="1" si="159"/>
        <v>0</v>
      </c>
      <c r="CI232" s="34">
        <f t="shared" ca="1" si="160"/>
        <v>0</v>
      </c>
      <c r="CJ232" s="34">
        <f t="shared" ca="1" si="160"/>
        <v>0</v>
      </c>
      <c r="CK232" s="34">
        <f t="shared" ca="1" si="160"/>
        <v>0</v>
      </c>
      <c r="CL232" s="34">
        <f t="shared" ca="1" si="160"/>
        <v>0</v>
      </c>
      <c r="CM232" s="34">
        <f t="shared" ca="1" si="160"/>
        <v>0</v>
      </c>
      <c r="CN232" s="34">
        <f t="shared" ca="1" si="160"/>
        <v>0</v>
      </c>
      <c r="CO232" s="34">
        <f t="shared" ca="1" si="160"/>
        <v>0</v>
      </c>
      <c r="CP232" s="34">
        <f t="shared" ca="1" si="160"/>
        <v>0</v>
      </c>
      <c r="CQ232" s="34">
        <f t="shared" ca="1" si="179"/>
        <v>0</v>
      </c>
      <c r="CR232" s="363">
        <v>0</v>
      </c>
      <c r="CS232" s="34">
        <f t="shared" ca="1" si="180"/>
        <v>0</v>
      </c>
      <c r="CT232" s="233"/>
    </row>
    <row r="233" spans="2:98" x14ac:dyDescent="0.3">
      <c r="B233" s="232"/>
      <c r="C233" s="250">
        <f t="shared" si="181"/>
        <v>2017</v>
      </c>
      <c r="D233" s="263">
        <f t="shared" ca="1" si="161"/>
        <v>0</v>
      </c>
      <c r="E233" s="263">
        <f t="shared" ca="1" si="149"/>
        <v>0</v>
      </c>
      <c r="F233" s="263">
        <f t="shared" ca="1" si="150"/>
        <v>0</v>
      </c>
      <c r="G233" s="263">
        <f t="shared" ca="1" si="162"/>
        <v>0</v>
      </c>
      <c r="H233" s="15"/>
      <c r="I233" s="271">
        <f ca="1">Assumptions!O$67</f>
        <v>4.2</v>
      </c>
      <c r="J233" s="271">
        <f ca="1">Assumptions!P$67</f>
        <v>82</v>
      </c>
      <c r="K233" s="271">
        <f t="shared" ca="1" si="151"/>
        <v>41</v>
      </c>
      <c r="L233" s="15"/>
      <c r="M233" s="35">
        <f t="shared" ca="1" si="163"/>
        <v>3.948</v>
      </c>
      <c r="N233" s="35">
        <f t="shared" ca="1" si="152"/>
        <v>76.260000000000005</v>
      </c>
      <c r="O233" s="35">
        <f t="shared" ca="1" si="153"/>
        <v>38.130000000000003</v>
      </c>
      <c r="P233" s="15"/>
      <c r="Q233" s="34">
        <f t="shared" ca="1" si="164"/>
        <v>0</v>
      </c>
      <c r="R233" s="34">
        <f t="shared" ca="1" si="164"/>
        <v>0</v>
      </c>
      <c r="S233" s="34">
        <f t="shared" ca="1" si="164"/>
        <v>0</v>
      </c>
      <c r="T233" s="34">
        <f t="shared" ca="1" si="165"/>
        <v>0</v>
      </c>
      <c r="U233" s="15"/>
      <c r="V233" s="35">
        <f t="shared" si="166"/>
        <v>0.31</v>
      </c>
      <c r="W233" s="34">
        <f t="shared" ca="1" si="167"/>
        <v>0</v>
      </c>
      <c r="X233" s="35">
        <f t="shared" si="168"/>
        <v>0.37</v>
      </c>
      <c r="Y233" s="34">
        <f t="shared" ca="1" si="169"/>
        <v>0</v>
      </c>
      <c r="Z233" s="35">
        <f t="shared" si="170"/>
        <v>0.57999999999999996</v>
      </c>
      <c r="AA233" s="34">
        <f t="shared" ca="1" si="171"/>
        <v>0</v>
      </c>
      <c r="AB233" s="34">
        <f t="shared" ca="1" si="172"/>
        <v>0</v>
      </c>
      <c r="AC233" s="15"/>
      <c r="AD233" s="34">
        <f t="shared" ca="1" si="173"/>
        <v>0</v>
      </c>
      <c r="AE233" s="34">
        <f ca="1"/>
        <v>0</v>
      </c>
      <c r="AF233" s="34">
        <f t="shared" ca="1" si="174"/>
        <v>0</v>
      </c>
      <c r="AG233" s="15"/>
      <c r="AH233" s="272">
        <f t="shared" si="182"/>
        <v>43100</v>
      </c>
      <c r="AI233" s="267">
        <f t="shared" si="154"/>
        <v>3.666666666666667</v>
      </c>
      <c r="AJ233" s="267">
        <f t="shared" si="155"/>
        <v>0.7050612085625072</v>
      </c>
      <c r="AK233" s="34">
        <f t="shared" ca="1" si="183"/>
        <v>0</v>
      </c>
      <c r="AL233" s="233"/>
      <c r="AN233" s="232"/>
      <c r="AO233" s="237">
        <f t="shared" si="175"/>
        <v>4</v>
      </c>
      <c r="AP233" s="34">
        <f t="shared" ca="1" si="176"/>
        <v>174.10405258804877</v>
      </c>
      <c r="AQ233" s="34">
        <f t="shared" ca="1" si="176"/>
        <v>1.1516020884849174</v>
      </c>
      <c r="AR233" s="34">
        <f t="shared" ca="1" si="176"/>
        <v>0</v>
      </c>
      <c r="AS233" s="34">
        <f t="shared" ca="1" si="176"/>
        <v>181.01366511895827</v>
      </c>
      <c r="AT233" s="15"/>
      <c r="AW233" s="34">
        <f t="shared" ca="1" si="177"/>
        <v>174.10405258804877</v>
      </c>
      <c r="AX233" s="34">
        <f t="shared" ca="1" si="157"/>
        <v>1.1516020884849174</v>
      </c>
      <c r="AY233" s="34">
        <f t="shared" ca="1" si="157"/>
        <v>0</v>
      </c>
      <c r="AZ233" s="34">
        <f t="shared" ca="1" si="157"/>
        <v>181.01366511895827</v>
      </c>
      <c r="BB233" s="34">
        <f t="shared" ca="1" si="178"/>
        <v>0</v>
      </c>
      <c r="BC233" s="34">
        <f t="shared" ca="1" si="158"/>
        <v>0</v>
      </c>
      <c r="BD233" s="34">
        <f t="shared" ca="1" si="158"/>
        <v>0</v>
      </c>
      <c r="BE233" s="34">
        <f t="shared" ca="1" si="158"/>
        <v>0</v>
      </c>
      <c r="BF233" s="34">
        <f t="shared" ca="1" si="158"/>
        <v>0</v>
      </c>
      <c r="BG233" s="34">
        <f t="shared" ca="1" si="158"/>
        <v>0</v>
      </c>
      <c r="BH233" s="34">
        <f t="shared" ca="1" si="158"/>
        <v>0</v>
      </c>
      <c r="BI233" s="34">
        <f t="shared" ca="1" si="158"/>
        <v>0</v>
      </c>
      <c r="BJ233" s="34">
        <f t="shared" ca="1" si="158"/>
        <v>0</v>
      </c>
      <c r="BK233" s="34">
        <f t="shared" ca="1" si="158"/>
        <v>0</v>
      </c>
      <c r="BL233" s="34">
        <f t="shared" ca="1" si="158"/>
        <v>0</v>
      </c>
      <c r="BM233" s="34">
        <f t="shared" ca="1" si="158"/>
        <v>0</v>
      </c>
      <c r="BN233" s="34">
        <f t="shared" ca="1" si="158"/>
        <v>0</v>
      </c>
      <c r="BO233" s="34">
        <f t="shared" ca="1" si="158"/>
        <v>0</v>
      </c>
      <c r="BP233" s="34">
        <f t="shared" ca="1" si="158"/>
        <v>0</v>
      </c>
      <c r="BQ233" s="34">
        <f t="shared" ca="1" si="158"/>
        <v>0</v>
      </c>
      <c r="BR233" s="34">
        <f t="shared" ca="1" si="158"/>
        <v>0</v>
      </c>
      <c r="BS233" s="34">
        <f t="shared" ca="1" si="159"/>
        <v>0</v>
      </c>
      <c r="BT233" s="34">
        <f t="shared" ca="1" si="159"/>
        <v>0</v>
      </c>
      <c r="BU233" s="34">
        <f t="shared" ca="1" si="159"/>
        <v>0</v>
      </c>
      <c r="BV233" s="34">
        <f t="shared" ca="1" si="159"/>
        <v>0</v>
      </c>
      <c r="BW233" s="34">
        <f t="shared" ca="1" si="159"/>
        <v>0</v>
      </c>
      <c r="BX233" s="34">
        <f t="shared" ca="1" si="159"/>
        <v>0</v>
      </c>
      <c r="BY233" s="34">
        <f t="shared" ca="1" si="159"/>
        <v>0</v>
      </c>
      <c r="BZ233" s="34">
        <f t="shared" ca="1" si="159"/>
        <v>0</v>
      </c>
      <c r="CA233" s="34">
        <f t="shared" ca="1" si="159"/>
        <v>0</v>
      </c>
      <c r="CB233" s="34">
        <f t="shared" ca="1" si="159"/>
        <v>0</v>
      </c>
      <c r="CC233" s="34">
        <f t="shared" ca="1" si="159"/>
        <v>0</v>
      </c>
      <c r="CD233" s="34">
        <f t="shared" ca="1" si="159"/>
        <v>0</v>
      </c>
      <c r="CE233" s="34">
        <f t="shared" ca="1" si="159"/>
        <v>0</v>
      </c>
      <c r="CF233" s="34">
        <f t="shared" ca="1" si="159"/>
        <v>0</v>
      </c>
      <c r="CG233" s="34">
        <f t="shared" ca="1" si="159"/>
        <v>0</v>
      </c>
      <c r="CH233" s="34">
        <f t="shared" ca="1" si="159"/>
        <v>0</v>
      </c>
      <c r="CI233" s="34">
        <f t="shared" ca="1" si="160"/>
        <v>0</v>
      </c>
      <c r="CJ233" s="34">
        <f t="shared" ca="1" si="160"/>
        <v>0</v>
      </c>
      <c r="CK233" s="34">
        <f t="shared" ca="1" si="160"/>
        <v>0</v>
      </c>
      <c r="CL233" s="34">
        <f t="shared" ca="1" si="160"/>
        <v>0</v>
      </c>
      <c r="CM233" s="34">
        <f t="shared" ca="1" si="160"/>
        <v>0</v>
      </c>
      <c r="CN233" s="34">
        <f t="shared" ca="1" si="160"/>
        <v>0</v>
      </c>
      <c r="CO233" s="34">
        <f t="shared" ca="1" si="160"/>
        <v>0</v>
      </c>
      <c r="CP233" s="34">
        <f t="shared" ca="1" si="160"/>
        <v>0</v>
      </c>
      <c r="CQ233" s="34">
        <f t="shared" ca="1" si="179"/>
        <v>0</v>
      </c>
      <c r="CR233" s="363">
        <v>0</v>
      </c>
      <c r="CS233" s="34">
        <f t="shared" ca="1" si="180"/>
        <v>0</v>
      </c>
      <c r="CT233" s="233"/>
    </row>
    <row r="234" spans="2:98" x14ac:dyDescent="0.3">
      <c r="B234" s="232"/>
      <c r="C234" s="250">
        <f t="shared" si="181"/>
        <v>2018</v>
      </c>
      <c r="D234" s="263">
        <f t="shared" ca="1" si="161"/>
        <v>0</v>
      </c>
      <c r="E234" s="263">
        <f t="shared" ca="1" si="149"/>
        <v>0</v>
      </c>
      <c r="F234" s="263">
        <f t="shared" ca="1" si="150"/>
        <v>0</v>
      </c>
      <c r="G234" s="263">
        <f t="shared" ca="1" si="162"/>
        <v>0</v>
      </c>
      <c r="H234" s="15"/>
      <c r="I234" s="271">
        <f ca="1">Assumptions!O$68</f>
        <v>4.5</v>
      </c>
      <c r="J234" s="271">
        <f ca="1">Assumptions!P$68</f>
        <v>80</v>
      </c>
      <c r="K234" s="271">
        <f t="shared" ca="1" si="151"/>
        <v>40</v>
      </c>
      <c r="L234" s="15"/>
      <c r="M234" s="35">
        <f t="shared" ca="1" si="163"/>
        <v>4.2299999999999995</v>
      </c>
      <c r="N234" s="35">
        <f t="shared" ca="1" si="152"/>
        <v>74.400000000000006</v>
      </c>
      <c r="O234" s="35">
        <f t="shared" ca="1" si="153"/>
        <v>37.200000000000003</v>
      </c>
      <c r="P234" s="15"/>
      <c r="Q234" s="34">
        <f t="shared" ca="1" si="164"/>
        <v>0</v>
      </c>
      <c r="R234" s="34">
        <f t="shared" ca="1" si="164"/>
        <v>0</v>
      </c>
      <c r="S234" s="34">
        <f t="shared" ca="1" si="164"/>
        <v>0</v>
      </c>
      <c r="T234" s="34">
        <f t="shared" ca="1" si="165"/>
        <v>0</v>
      </c>
      <c r="U234" s="15"/>
      <c r="V234" s="35">
        <f t="shared" si="166"/>
        <v>0.31</v>
      </c>
      <c r="W234" s="34">
        <f t="shared" ca="1" si="167"/>
        <v>0</v>
      </c>
      <c r="X234" s="35">
        <f t="shared" si="168"/>
        <v>0.37</v>
      </c>
      <c r="Y234" s="34">
        <f t="shared" ca="1" si="169"/>
        <v>0</v>
      </c>
      <c r="Z234" s="35">
        <f t="shared" si="170"/>
        <v>0.57999999999999996</v>
      </c>
      <c r="AA234" s="34">
        <f t="shared" ca="1" si="171"/>
        <v>0</v>
      </c>
      <c r="AB234" s="34">
        <f t="shared" ca="1" si="172"/>
        <v>0</v>
      </c>
      <c r="AC234" s="15"/>
      <c r="AD234" s="34">
        <f t="shared" ca="1" si="173"/>
        <v>0</v>
      </c>
      <c r="AE234" s="34">
        <f ca="1"/>
        <v>0</v>
      </c>
      <c r="AF234" s="34">
        <f t="shared" ca="1" si="174"/>
        <v>0</v>
      </c>
      <c r="AG234" s="15"/>
      <c r="AH234" s="272">
        <f t="shared" si="182"/>
        <v>43465</v>
      </c>
      <c r="AI234" s="267">
        <f t="shared" si="154"/>
        <v>4.666666666666667</v>
      </c>
      <c r="AJ234" s="267">
        <f t="shared" si="155"/>
        <v>0.64096473505682472</v>
      </c>
      <c r="AK234" s="34">
        <f t="shared" ca="1" si="183"/>
        <v>0</v>
      </c>
      <c r="AL234" s="233"/>
      <c r="AN234" s="232"/>
      <c r="AO234" s="237">
        <f t="shared" si="175"/>
        <v>5</v>
      </c>
      <c r="AP234" s="34">
        <f t="shared" ca="1" si="176"/>
        <v>152.45488975460211</v>
      </c>
      <c r="AQ234" s="34">
        <f t="shared" ca="1" si="176"/>
        <v>1.0084048408485426</v>
      </c>
      <c r="AR234" s="34">
        <f t="shared" ca="1" si="176"/>
        <v>0</v>
      </c>
      <c r="AS234" s="34">
        <f t="shared" ca="1" si="176"/>
        <v>158.50531879969336</v>
      </c>
      <c r="AT234" s="15"/>
      <c r="AW234" s="34">
        <f t="shared" ca="1" si="177"/>
        <v>152.45488975460211</v>
      </c>
      <c r="AX234" s="34">
        <f t="shared" ca="1" si="157"/>
        <v>1.0084048408485426</v>
      </c>
      <c r="AY234" s="34">
        <f t="shared" ca="1" si="157"/>
        <v>0</v>
      </c>
      <c r="AZ234" s="34">
        <f t="shared" ca="1" si="157"/>
        <v>158.50531879969336</v>
      </c>
      <c r="BB234" s="34">
        <f t="shared" ca="1" si="178"/>
        <v>0</v>
      </c>
      <c r="BC234" s="34">
        <f t="shared" ca="1" si="158"/>
        <v>0</v>
      </c>
      <c r="BD234" s="34">
        <f t="shared" ca="1" si="158"/>
        <v>0</v>
      </c>
      <c r="BE234" s="34">
        <f t="shared" ca="1" si="158"/>
        <v>0</v>
      </c>
      <c r="BF234" s="34">
        <f t="shared" ca="1" si="158"/>
        <v>0</v>
      </c>
      <c r="BG234" s="34">
        <f t="shared" ca="1" si="158"/>
        <v>0</v>
      </c>
      <c r="BH234" s="34">
        <f t="shared" ca="1" si="158"/>
        <v>0</v>
      </c>
      <c r="BI234" s="34">
        <f t="shared" ca="1" si="158"/>
        <v>0</v>
      </c>
      <c r="BJ234" s="34">
        <f t="shared" ca="1" si="158"/>
        <v>0</v>
      </c>
      <c r="BK234" s="34">
        <f t="shared" ca="1" si="158"/>
        <v>0</v>
      </c>
      <c r="BL234" s="34">
        <f t="shared" ca="1" si="158"/>
        <v>0</v>
      </c>
      <c r="BM234" s="34">
        <f t="shared" ca="1" si="158"/>
        <v>0</v>
      </c>
      <c r="BN234" s="34">
        <f t="shared" ca="1" si="158"/>
        <v>0</v>
      </c>
      <c r="BO234" s="34">
        <f t="shared" ca="1" si="158"/>
        <v>0</v>
      </c>
      <c r="BP234" s="34">
        <f t="shared" ca="1" si="158"/>
        <v>0</v>
      </c>
      <c r="BQ234" s="34">
        <f t="shared" ca="1" si="158"/>
        <v>0</v>
      </c>
      <c r="BR234" s="34">
        <f t="shared" ca="1" si="158"/>
        <v>0</v>
      </c>
      <c r="BS234" s="34">
        <f t="shared" ca="1" si="159"/>
        <v>0</v>
      </c>
      <c r="BT234" s="34">
        <f t="shared" ca="1" si="159"/>
        <v>0</v>
      </c>
      <c r="BU234" s="34">
        <f t="shared" ca="1" si="159"/>
        <v>0</v>
      </c>
      <c r="BV234" s="34">
        <f t="shared" ca="1" si="159"/>
        <v>0</v>
      </c>
      <c r="BW234" s="34">
        <f t="shared" ca="1" si="159"/>
        <v>0</v>
      </c>
      <c r="BX234" s="34">
        <f t="shared" ca="1" si="159"/>
        <v>0</v>
      </c>
      <c r="BY234" s="34">
        <f t="shared" ca="1" si="159"/>
        <v>0</v>
      </c>
      <c r="BZ234" s="34">
        <f t="shared" ca="1" si="159"/>
        <v>0</v>
      </c>
      <c r="CA234" s="34">
        <f t="shared" ca="1" si="159"/>
        <v>0</v>
      </c>
      <c r="CB234" s="34">
        <f t="shared" ca="1" si="159"/>
        <v>0</v>
      </c>
      <c r="CC234" s="34">
        <f t="shared" ca="1" si="159"/>
        <v>0</v>
      </c>
      <c r="CD234" s="34">
        <f t="shared" ca="1" si="159"/>
        <v>0</v>
      </c>
      <c r="CE234" s="34">
        <f t="shared" ca="1" si="159"/>
        <v>0</v>
      </c>
      <c r="CF234" s="34">
        <f t="shared" ca="1" si="159"/>
        <v>0</v>
      </c>
      <c r="CG234" s="34">
        <f t="shared" ca="1" si="159"/>
        <v>0</v>
      </c>
      <c r="CH234" s="34">
        <f t="shared" ca="1" si="159"/>
        <v>0</v>
      </c>
      <c r="CI234" s="34">
        <f t="shared" ca="1" si="160"/>
        <v>0</v>
      </c>
      <c r="CJ234" s="34">
        <f t="shared" ca="1" si="160"/>
        <v>0</v>
      </c>
      <c r="CK234" s="34">
        <f t="shared" ca="1" si="160"/>
        <v>0</v>
      </c>
      <c r="CL234" s="34">
        <f t="shared" ca="1" si="160"/>
        <v>0</v>
      </c>
      <c r="CM234" s="34">
        <f t="shared" ca="1" si="160"/>
        <v>0</v>
      </c>
      <c r="CN234" s="34">
        <f t="shared" ca="1" si="160"/>
        <v>0</v>
      </c>
      <c r="CO234" s="34">
        <f t="shared" ca="1" si="160"/>
        <v>0</v>
      </c>
      <c r="CP234" s="34">
        <f t="shared" ca="1" si="160"/>
        <v>0</v>
      </c>
      <c r="CQ234" s="34">
        <f t="shared" ca="1" si="179"/>
        <v>0</v>
      </c>
      <c r="CR234" s="363">
        <v>0</v>
      </c>
      <c r="CS234" s="34">
        <f t="shared" ca="1" si="180"/>
        <v>0</v>
      </c>
      <c r="CT234" s="233"/>
    </row>
    <row r="235" spans="2:98" x14ac:dyDescent="0.3">
      <c r="B235" s="232"/>
      <c r="C235" s="250">
        <f t="shared" si="181"/>
        <v>2019</v>
      </c>
      <c r="D235" s="263">
        <f t="shared" ca="1" si="161"/>
        <v>0</v>
      </c>
      <c r="E235" s="263">
        <f t="shared" ca="1" si="149"/>
        <v>0</v>
      </c>
      <c r="F235" s="263">
        <f t="shared" ca="1" si="150"/>
        <v>0</v>
      </c>
      <c r="G235" s="263">
        <f t="shared" ca="1" si="162"/>
        <v>0</v>
      </c>
      <c r="H235" s="15"/>
      <c r="I235" s="271">
        <f ca="1">Assumptions!O$68</f>
        <v>4.5</v>
      </c>
      <c r="J235" s="271">
        <f ca="1">Assumptions!P$68</f>
        <v>80</v>
      </c>
      <c r="K235" s="271">
        <f t="shared" ca="1" si="151"/>
        <v>40</v>
      </c>
      <c r="L235" s="15"/>
      <c r="M235" s="35">
        <f t="shared" ca="1" si="163"/>
        <v>4.2299999999999995</v>
      </c>
      <c r="N235" s="35">
        <f t="shared" ca="1" si="152"/>
        <v>74.400000000000006</v>
      </c>
      <c r="O235" s="35">
        <f t="shared" ca="1" si="153"/>
        <v>37.200000000000003</v>
      </c>
      <c r="P235" s="15"/>
      <c r="Q235" s="34">
        <f t="shared" ca="1" si="164"/>
        <v>0</v>
      </c>
      <c r="R235" s="34">
        <f t="shared" ca="1" si="164"/>
        <v>0</v>
      </c>
      <c r="S235" s="34">
        <f t="shared" ca="1" si="164"/>
        <v>0</v>
      </c>
      <c r="T235" s="34">
        <f t="shared" ca="1" si="165"/>
        <v>0</v>
      </c>
      <c r="U235" s="15"/>
      <c r="V235" s="35">
        <f t="shared" si="166"/>
        <v>0.31</v>
      </c>
      <c r="W235" s="34">
        <f t="shared" ca="1" si="167"/>
        <v>0</v>
      </c>
      <c r="X235" s="35">
        <f t="shared" si="168"/>
        <v>0.37</v>
      </c>
      <c r="Y235" s="34">
        <f t="shared" ca="1" si="169"/>
        <v>0</v>
      </c>
      <c r="Z235" s="35">
        <f t="shared" si="170"/>
        <v>0.57999999999999996</v>
      </c>
      <c r="AA235" s="34">
        <f t="shared" ca="1" si="171"/>
        <v>0</v>
      </c>
      <c r="AB235" s="34">
        <f t="shared" ca="1" si="172"/>
        <v>0</v>
      </c>
      <c r="AC235" s="15"/>
      <c r="AD235" s="34">
        <f t="shared" ca="1" si="173"/>
        <v>0</v>
      </c>
      <c r="AE235" s="34">
        <f ca="1"/>
        <v>0</v>
      </c>
      <c r="AF235" s="34">
        <f t="shared" ca="1" si="174"/>
        <v>0</v>
      </c>
      <c r="AG235" s="15"/>
      <c r="AH235" s="272">
        <f t="shared" si="182"/>
        <v>43830</v>
      </c>
      <c r="AI235" s="267">
        <f t="shared" si="154"/>
        <v>5.666666666666667</v>
      </c>
      <c r="AJ235" s="267">
        <f t="shared" si="155"/>
        <v>0.58269521368802246</v>
      </c>
      <c r="AK235" s="34">
        <f t="shared" ca="1" si="183"/>
        <v>0</v>
      </c>
      <c r="AL235" s="233"/>
      <c r="AN235" s="232"/>
      <c r="AO235" s="237">
        <f t="shared" si="175"/>
        <v>6</v>
      </c>
      <c r="AP235" s="34">
        <f t="shared" ca="1" si="176"/>
        <v>136.46949636213967</v>
      </c>
      <c r="AQ235" s="34">
        <f t="shared" ca="1" si="176"/>
        <v>0.90267029795671105</v>
      </c>
      <c r="AR235" s="34">
        <f t="shared" ca="1" si="176"/>
        <v>0</v>
      </c>
      <c r="AS235" s="34">
        <f t="shared" ca="1" si="176"/>
        <v>141.88551814987994</v>
      </c>
      <c r="AT235" s="15"/>
      <c r="AW235" s="34">
        <f t="shared" ca="1" si="177"/>
        <v>136.46949636213967</v>
      </c>
      <c r="AX235" s="34">
        <f t="shared" ca="1" si="157"/>
        <v>0.90267029795671105</v>
      </c>
      <c r="AY235" s="34">
        <f t="shared" ca="1" si="157"/>
        <v>0</v>
      </c>
      <c r="AZ235" s="34">
        <f t="shared" ca="1" si="157"/>
        <v>141.88551814987994</v>
      </c>
      <c r="BB235" s="34">
        <f t="shared" ca="1" si="178"/>
        <v>0</v>
      </c>
      <c r="BC235" s="34">
        <f t="shared" ca="1" si="158"/>
        <v>0</v>
      </c>
      <c r="BD235" s="34">
        <f t="shared" ca="1" si="158"/>
        <v>0</v>
      </c>
      <c r="BE235" s="34">
        <f t="shared" ca="1" si="158"/>
        <v>0</v>
      </c>
      <c r="BF235" s="34">
        <f t="shared" ca="1" si="158"/>
        <v>0</v>
      </c>
      <c r="BG235" s="34">
        <f t="shared" ca="1" si="158"/>
        <v>0</v>
      </c>
      <c r="BH235" s="34">
        <f t="shared" ca="1" si="158"/>
        <v>0</v>
      </c>
      <c r="BI235" s="34">
        <f t="shared" ca="1" si="158"/>
        <v>0</v>
      </c>
      <c r="BJ235" s="34">
        <f t="shared" ca="1" si="158"/>
        <v>0</v>
      </c>
      <c r="BK235" s="34">
        <f t="shared" ca="1" si="158"/>
        <v>0</v>
      </c>
      <c r="BL235" s="34">
        <f t="shared" ca="1" si="158"/>
        <v>0</v>
      </c>
      <c r="BM235" s="34">
        <f t="shared" ca="1" si="158"/>
        <v>0</v>
      </c>
      <c r="BN235" s="34">
        <f t="shared" ca="1" si="158"/>
        <v>0</v>
      </c>
      <c r="BO235" s="34">
        <f t="shared" ca="1" si="158"/>
        <v>0</v>
      </c>
      <c r="BP235" s="34">
        <f t="shared" ca="1" si="158"/>
        <v>0</v>
      </c>
      <c r="BQ235" s="34">
        <f t="shared" ca="1" si="158"/>
        <v>0</v>
      </c>
      <c r="BR235" s="34">
        <f t="shared" ca="1" si="158"/>
        <v>0</v>
      </c>
      <c r="BS235" s="34">
        <f t="shared" ca="1" si="159"/>
        <v>0</v>
      </c>
      <c r="BT235" s="34">
        <f t="shared" ca="1" si="159"/>
        <v>0</v>
      </c>
      <c r="BU235" s="34">
        <f t="shared" ca="1" si="159"/>
        <v>0</v>
      </c>
      <c r="BV235" s="34">
        <f t="shared" ca="1" si="159"/>
        <v>0</v>
      </c>
      <c r="BW235" s="34">
        <f t="shared" ca="1" si="159"/>
        <v>0</v>
      </c>
      <c r="BX235" s="34">
        <f t="shared" ca="1" si="159"/>
        <v>0</v>
      </c>
      <c r="BY235" s="34">
        <f t="shared" ca="1" si="159"/>
        <v>0</v>
      </c>
      <c r="BZ235" s="34">
        <f t="shared" ca="1" si="159"/>
        <v>0</v>
      </c>
      <c r="CA235" s="34">
        <f t="shared" ca="1" si="159"/>
        <v>0</v>
      </c>
      <c r="CB235" s="34">
        <f t="shared" ca="1" si="159"/>
        <v>0</v>
      </c>
      <c r="CC235" s="34">
        <f t="shared" ca="1" si="159"/>
        <v>0</v>
      </c>
      <c r="CD235" s="34">
        <f t="shared" ca="1" si="159"/>
        <v>0</v>
      </c>
      <c r="CE235" s="34">
        <f t="shared" ca="1" si="159"/>
        <v>0</v>
      </c>
      <c r="CF235" s="34">
        <f t="shared" ca="1" si="159"/>
        <v>0</v>
      </c>
      <c r="CG235" s="34">
        <f t="shared" ca="1" si="159"/>
        <v>0</v>
      </c>
      <c r="CH235" s="34">
        <f t="shared" ca="1" si="159"/>
        <v>0</v>
      </c>
      <c r="CI235" s="34">
        <f t="shared" ca="1" si="160"/>
        <v>0</v>
      </c>
      <c r="CJ235" s="34">
        <f t="shared" ca="1" si="160"/>
        <v>0</v>
      </c>
      <c r="CK235" s="34">
        <f t="shared" ca="1" si="160"/>
        <v>0</v>
      </c>
      <c r="CL235" s="34">
        <f t="shared" ca="1" si="160"/>
        <v>0</v>
      </c>
      <c r="CM235" s="34">
        <f t="shared" ca="1" si="160"/>
        <v>0</v>
      </c>
      <c r="CN235" s="34">
        <f t="shared" ca="1" si="160"/>
        <v>0</v>
      </c>
      <c r="CO235" s="34">
        <f t="shared" ca="1" si="160"/>
        <v>0</v>
      </c>
      <c r="CP235" s="34">
        <f t="shared" ca="1" si="160"/>
        <v>0</v>
      </c>
      <c r="CQ235" s="34">
        <f t="shared" ca="1" si="179"/>
        <v>0</v>
      </c>
      <c r="CR235" s="363">
        <v>0</v>
      </c>
      <c r="CS235" s="34">
        <f t="shared" ca="1" si="180"/>
        <v>0</v>
      </c>
      <c r="CT235" s="233"/>
    </row>
    <row r="236" spans="2:98" x14ac:dyDescent="0.3">
      <c r="B236" s="232"/>
      <c r="C236" s="250">
        <f t="shared" si="181"/>
        <v>2020</v>
      </c>
      <c r="D236" s="263">
        <f t="shared" ca="1" si="161"/>
        <v>0</v>
      </c>
      <c r="E236" s="263">
        <f t="shared" ca="1" si="149"/>
        <v>0</v>
      </c>
      <c r="F236" s="263">
        <f t="shared" ca="1" si="150"/>
        <v>0</v>
      </c>
      <c r="G236" s="263">
        <f t="shared" ca="1" si="162"/>
        <v>0</v>
      </c>
      <c r="H236" s="15"/>
      <c r="I236" s="271">
        <f ca="1">Assumptions!O$68</f>
        <v>4.5</v>
      </c>
      <c r="J236" s="271">
        <f ca="1">Assumptions!P$68</f>
        <v>80</v>
      </c>
      <c r="K236" s="271">
        <f t="shared" ca="1" si="151"/>
        <v>40</v>
      </c>
      <c r="L236" s="15"/>
      <c r="M236" s="35">
        <f t="shared" ca="1" si="163"/>
        <v>4.2299999999999995</v>
      </c>
      <c r="N236" s="35">
        <f t="shared" ca="1" si="152"/>
        <v>74.400000000000006</v>
      </c>
      <c r="O236" s="35">
        <f t="shared" ca="1" si="153"/>
        <v>37.200000000000003</v>
      </c>
      <c r="P236" s="15"/>
      <c r="Q236" s="34">
        <f t="shared" ca="1" si="164"/>
        <v>0</v>
      </c>
      <c r="R236" s="34">
        <f t="shared" ca="1" si="164"/>
        <v>0</v>
      </c>
      <c r="S236" s="34">
        <f t="shared" ca="1" si="164"/>
        <v>0</v>
      </c>
      <c r="T236" s="34">
        <f t="shared" ca="1" si="165"/>
        <v>0</v>
      </c>
      <c r="U236" s="15"/>
      <c r="V236" s="35">
        <f t="shared" si="166"/>
        <v>0.31</v>
      </c>
      <c r="W236" s="34">
        <f t="shared" ca="1" si="167"/>
        <v>0</v>
      </c>
      <c r="X236" s="35">
        <f t="shared" si="168"/>
        <v>0.37</v>
      </c>
      <c r="Y236" s="34">
        <f t="shared" ca="1" si="169"/>
        <v>0</v>
      </c>
      <c r="Z236" s="35">
        <f t="shared" si="170"/>
        <v>0.57999999999999996</v>
      </c>
      <c r="AA236" s="34">
        <f t="shared" ca="1" si="171"/>
        <v>0</v>
      </c>
      <c r="AB236" s="34">
        <f t="shared" ca="1" si="172"/>
        <v>0</v>
      </c>
      <c r="AC236" s="15"/>
      <c r="AD236" s="34">
        <f t="shared" ca="1" si="173"/>
        <v>0</v>
      </c>
      <c r="AE236" s="34">
        <f ca="1"/>
        <v>0</v>
      </c>
      <c r="AF236" s="34">
        <f t="shared" ca="1" si="174"/>
        <v>0</v>
      </c>
      <c r="AG236" s="15"/>
      <c r="AH236" s="272">
        <f t="shared" si="182"/>
        <v>44196</v>
      </c>
      <c r="AI236" s="267">
        <f t="shared" si="154"/>
        <v>6.666666666666667</v>
      </c>
      <c r="AJ236" s="267">
        <f t="shared" si="155"/>
        <v>0.52972292153456579</v>
      </c>
      <c r="AK236" s="34">
        <f t="shared" ca="1" si="183"/>
        <v>0</v>
      </c>
      <c r="AL236" s="233"/>
      <c r="AN236" s="232"/>
      <c r="AO236" s="237">
        <f t="shared" si="175"/>
        <v>7</v>
      </c>
      <c r="AP236" s="34">
        <f t="shared" ca="1" si="176"/>
        <v>124.09649102785842</v>
      </c>
      <c r="AQ236" s="34">
        <f t="shared" ca="1" si="176"/>
        <v>0.82082970566729641</v>
      </c>
      <c r="AR236" s="34">
        <f t="shared" ca="1" si="176"/>
        <v>0</v>
      </c>
      <c r="AS236" s="34">
        <f t="shared" ca="1" si="176"/>
        <v>129.02146926186219</v>
      </c>
      <c r="AT236" s="15"/>
      <c r="AW236" s="34">
        <f t="shared" ca="1" si="177"/>
        <v>124.09649102785842</v>
      </c>
      <c r="AX236" s="34">
        <f t="shared" ca="1" si="157"/>
        <v>0.82082970566729641</v>
      </c>
      <c r="AY236" s="34">
        <f t="shared" ca="1" si="157"/>
        <v>0</v>
      </c>
      <c r="AZ236" s="34">
        <f t="shared" ca="1" si="157"/>
        <v>129.02146926186219</v>
      </c>
      <c r="BB236" s="34">
        <f t="shared" ca="1" si="178"/>
        <v>0</v>
      </c>
      <c r="BC236" s="34">
        <f t="shared" ca="1" si="158"/>
        <v>0</v>
      </c>
      <c r="BD236" s="34">
        <f t="shared" ca="1" si="158"/>
        <v>0</v>
      </c>
      <c r="BE236" s="34">
        <f t="shared" ca="1" si="158"/>
        <v>0</v>
      </c>
      <c r="BF236" s="34">
        <f t="shared" ca="1" si="158"/>
        <v>0</v>
      </c>
      <c r="BG236" s="34">
        <f t="shared" ca="1" si="158"/>
        <v>0</v>
      </c>
      <c r="BH236" s="34">
        <f t="shared" ca="1" si="158"/>
        <v>0</v>
      </c>
      <c r="BI236" s="34">
        <f t="shared" ca="1" si="158"/>
        <v>0</v>
      </c>
      <c r="BJ236" s="34">
        <f t="shared" ca="1" si="158"/>
        <v>0</v>
      </c>
      <c r="BK236" s="34">
        <f t="shared" ca="1" si="158"/>
        <v>0</v>
      </c>
      <c r="BL236" s="34">
        <f t="shared" ca="1" si="158"/>
        <v>0</v>
      </c>
      <c r="BM236" s="34">
        <f t="shared" ca="1" si="158"/>
        <v>0</v>
      </c>
      <c r="BN236" s="34">
        <f t="shared" ca="1" si="158"/>
        <v>0</v>
      </c>
      <c r="BO236" s="34">
        <f t="shared" ca="1" si="158"/>
        <v>0</v>
      </c>
      <c r="BP236" s="34">
        <f t="shared" ca="1" si="158"/>
        <v>0</v>
      </c>
      <c r="BQ236" s="34">
        <f t="shared" ca="1" si="158"/>
        <v>0</v>
      </c>
      <c r="BR236" s="34">
        <f t="shared" ca="1" si="158"/>
        <v>0</v>
      </c>
      <c r="BS236" s="34">
        <f t="shared" ca="1" si="159"/>
        <v>0</v>
      </c>
      <c r="BT236" s="34">
        <f t="shared" ca="1" si="159"/>
        <v>0</v>
      </c>
      <c r="BU236" s="34">
        <f t="shared" ca="1" si="159"/>
        <v>0</v>
      </c>
      <c r="BV236" s="34">
        <f t="shared" ca="1" si="159"/>
        <v>0</v>
      </c>
      <c r="BW236" s="34">
        <f t="shared" ca="1" si="159"/>
        <v>0</v>
      </c>
      <c r="BX236" s="34">
        <f t="shared" ca="1" si="159"/>
        <v>0</v>
      </c>
      <c r="BY236" s="34">
        <f t="shared" ca="1" si="159"/>
        <v>0</v>
      </c>
      <c r="BZ236" s="34">
        <f t="shared" ca="1" si="159"/>
        <v>0</v>
      </c>
      <c r="CA236" s="34">
        <f t="shared" ca="1" si="159"/>
        <v>0</v>
      </c>
      <c r="CB236" s="34">
        <f t="shared" ca="1" si="159"/>
        <v>0</v>
      </c>
      <c r="CC236" s="34">
        <f t="shared" ca="1" si="159"/>
        <v>0</v>
      </c>
      <c r="CD236" s="34">
        <f t="shared" ca="1" si="159"/>
        <v>0</v>
      </c>
      <c r="CE236" s="34">
        <f t="shared" ca="1" si="159"/>
        <v>0</v>
      </c>
      <c r="CF236" s="34">
        <f t="shared" ca="1" si="159"/>
        <v>0</v>
      </c>
      <c r="CG236" s="34">
        <f t="shared" ca="1" si="159"/>
        <v>0</v>
      </c>
      <c r="CH236" s="34">
        <f t="shared" ca="1" si="159"/>
        <v>0</v>
      </c>
      <c r="CI236" s="34">
        <f t="shared" ca="1" si="160"/>
        <v>0</v>
      </c>
      <c r="CJ236" s="34">
        <f t="shared" ca="1" si="160"/>
        <v>0</v>
      </c>
      <c r="CK236" s="34">
        <f t="shared" ca="1" si="160"/>
        <v>0</v>
      </c>
      <c r="CL236" s="34">
        <f t="shared" ca="1" si="160"/>
        <v>0</v>
      </c>
      <c r="CM236" s="34">
        <f t="shared" ca="1" si="160"/>
        <v>0</v>
      </c>
      <c r="CN236" s="34">
        <f t="shared" ca="1" si="160"/>
        <v>0</v>
      </c>
      <c r="CO236" s="34">
        <f t="shared" ca="1" si="160"/>
        <v>0</v>
      </c>
      <c r="CP236" s="34">
        <f t="shared" ca="1" si="160"/>
        <v>0</v>
      </c>
      <c r="CQ236" s="34">
        <f t="shared" ca="1" si="179"/>
        <v>0</v>
      </c>
      <c r="CR236" s="363">
        <v>0</v>
      </c>
      <c r="CS236" s="34">
        <f t="shared" ca="1" si="180"/>
        <v>0</v>
      </c>
      <c r="CT236" s="233"/>
    </row>
    <row r="237" spans="2:98" x14ac:dyDescent="0.3">
      <c r="B237" s="232"/>
      <c r="C237" s="250">
        <f t="shared" si="181"/>
        <v>2021</v>
      </c>
      <c r="D237" s="263">
        <f t="shared" ca="1" si="161"/>
        <v>0</v>
      </c>
      <c r="E237" s="263">
        <f t="shared" ca="1" si="149"/>
        <v>0</v>
      </c>
      <c r="F237" s="263">
        <f t="shared" ca="1" si="150"/>
        <v>0</v>
      </c>
      <c r="G237" s="263">
        <f t="shared" ca="1" si="162"/>
        <v>0</v>
      </c>
      <c r="H237" s="15"/>
      <c r="I237" s="271">
        <f ca="1">Assumptions!O$68</f>
        <v>4.5</v>
      </c>
      <c r="J237" s="271">
        <f ca="1">Assumptions!P$68</f>
        <v>80</v>
      </c>
      <c r="K237" s="271">
        <f t="shared" ca="1" si="151"/>
        <v>40</v>
      </c>
      <c r="L237" s="15"/>
      <c r="M237" s="35">
        <f t="shared" ca="1" si="163"/>
        <v>4.2299999999999995</v>
      </c>
      <c r="N237" s="35">
        <f t="shared" ca="1" si="152"/>
        <v>74.400000000000006</v>
      </c>
      <c r="O237" s="35">
        <f t="shared" ca="1" si="153"/>
        <v>37.200000000000003</v>
      </c>
      <c r="P237" s="15"/>
      <c r="Q237" s="34">
        <f t="shared" ca="1" si="164"/>
        <v>0</v>
      </c>
      <c r="R237" s="34">
        <f t="shared" ca="1" si="164"/>
        <v>0</v>
      </c>
      <c r="S237" s="34">
        <f t="shared" ca="1" si="164"/>
        <v>0</v>
      </c>
      <c r="T237" s="34">
        <f t="shared" ca="1" si="165"/>
        <v>0</v>
      </c>
      <c r="U237" s="15"/>
      <c r="V237" s="35">
        <f t="shared" si="166"/>
        <v>0.31</v>
      </c>
      <c r="W237" s="34">
        <f t="shared" ca="1" si="167"/>
        <v>0</v>
      </c>
      <c r="X237" s="35">
        <f t="shared" si="168"/>
        <v>0.37</v>
      </c>
      <c r="Y237" s="34">
        <f t="shared" ca="1" si="169"/>
        <v>0</v>
      </c>
      <c r="Z237" s="35">
        <f t="shared" si="170"/>
        <v>0.57999999999999996</v>
      </c>
      <c r="AA237" s="34">
        <f t="shared" ca="1" si="171"/>
        <v>0</v>
      </c>
      <c r="AB237" s="34">
        <f t="shared" ca="1" si="172"/>
        <v>0</v>
      </c>
      <c r="AC237" s="15"/>
      <c r="AD237" s="34">
        <f t="shared" ca="1" si="173"/>
        <v>0</v>
      </c>
      <c r="AE237" s="34">
        <f ca="1"/>
        <v>0</v>
      </c>
      <c r="AF237" s="34">
        <f t="shared" ca="1" si="174"/>
        <v>0</v>
      </c>
      <c r="AG237" s="15"/>
      <c r="AH237" s="272">
        <f t="shared" si="182"/>
        <v>44561</v>
      </c>
      <c r="AI237" s="267">
        <f t="shared" si="154"/>
        <v>7.6666666666666661</v>
      </c>
      <c r="AJ237" s="267">
        <f t="shared" si="155"/>
        <v>0.48156629230415066</v>
      </c>
      <c r="AK237" s="34">
        <f t="shared" ca="1" si="183"/>
        <v>0</v>
      </c>
      <c r="AL237" s="233"/>
      <c r="AN237" s="232"/>
      <c r="AO237" s="237">
        <f t="shared" si="175"/>
        <v>8</v>
      </c>
      <c r="AP237" s="34">
        <f t="shared" ca="1" si="176"/>
        <v>114.18500922628409</v>
      </c>
      <c r="AQ237" s="34">
        <f t="shared" ca="1" si="176"/>
        <v>0.75527073117472476</v>
      </c>
      <c r="AR237" s="34">
        <f t="shared" ca="1" si="176"/>
        <v>0</v>
      </c>
      <c r="AS237" s="34">
        <f t="shared" ca="1" si="176"/>
        <v>118.71663361333245</v>
      </c>
      <c r="AT237" s="15"/>
      <c r="AW237" s="34">
        <f t="shared" ca="1" si="177"/>
        <v>114.18500922628409</v>
      </c>
      <c r="AX237" s="34">
        <f t="shared" ca="1" si="157"/>
        <v>0.75527073117472476</v>
      </c>
      <c r="AY237" s="34">
        <f t="shared" ca="1" si="157"/>
        <v>0</v>
      </c>
      <c r="AZ237" s="34">
        <f t="shared" ca="1" si="157"/>
        <v>118.71663361333245</v>
      </c>
      <c r="BB237" s="34">
        <f t="shared" ca="1" si="178"/>
        <v>0</v>
      </c>
      <c r="BC237" s="34">
        <f t="shared" ca="1" si="158"/>
        <v>0</v>
      </c>
      <c r="BD237" s="34">
        <f t="shared" ca="1" si="158"/>
        <v>0</v>
      </c>
      <c r="BE237" s="34">
        <f t="shared" ca="1" si="158"/>
        <v>0</v>
      </c>
      <c r="BF237" s="34">
        <f t="shared" ca="1" si="158"/>
        <v>0</v>
      </c>
      <c r="BG237" s="34">
        <f t="shared" ca="1" si="158"/>
        <v>0</v>
      </c>
      <c r="BH237" s="34">
        <f t="shared" ca="1" si="158"/>
        <v>0</v>
      </c>
      <c r="BI237" s="34">
        <f t="shared" ca="1" si="158"/>
        <v>0</v>
      </c>
      <c r="BJ237" s="34">
        <f t="shared" ca="1" si="158"/>
        <v>0</v>
      </c>
      <c r="BK237" s="34">
        <f t="shared" ca="1" si="158"/>
        <v>0</v>
      </c>
      <c r="BL237" s="34">
        <f t="shared" ca="1" si="158"/>
        <v>0</v>
      </c>
      <c r="BM237" s="34">
        <f t="shared" ca="1" si="158"/>
        <v>0</v>
      </c>
      <c r="BN237" s="34">
        <f t="shared" ca="1" si="158"/>
        <v>0</v>
      </c>
      <c r="BO237" s="34">
        <f t="shared" ca="1" si="158"/>
        <v>0</v>
      </c>
      <c r="BP237" s="34">
        <f t="shared" ca="1" si="158"/>
        <v>0</v>
      </c>
      <c r="BQ237" s="34">
        <f t="shared" ca="1" si="158"/>
        <v>0</v>
      </c>
      <c r="BR237" s="34">
        <f t="shared" ca="1" si="158"/>
        <v>0</v>
      </c>
      <c r="BS237" s="34">
        <f t="shared" ca="1" si="159"/>
        <v>0</v>
      </c>
      <c r="BT237" s="34">
        <f t="shared" ca="1" si="159"/>
        <v>0</v>
      </c>
      <c r="BU237" s="34">
        <f t="shared" ca="1" si="159"/>
        <v>0</v>
      </c>
      <c r="BV237" s="34">
        <f t="shared" ca="1" si="159"/>
        <v>0</v>
      </c>
      <c r="BW237" s="34">
        <f t="shared" ca="1" si="159"/>
        <v>0</v>
      </c>
      <c r="BX237" s="34">
        <f t="shared" ca="1" si="159"/>
        <v>0</v>
      </c>
      <c r="BY237" s="34">
        <f t="shared" ca="1" si="159"/>
        <v>0</v>
      </c>
      <c r="BZ237" s="34">
        <f t="shared" ca="1" si="159"/>
        <v>0</v>
      </c>
      <c r="CA237" s="34">
        <f t="shared" ca="1" si="159"/>
        <v>0</v>
      </c>
      <c r="CB237" s="34">
        <f t="shared" ca="1" si="159"/>
        <v>0</v>
      </c>
      <c r="CC237" s="34">
        <f t="shared" ca="1" si="159"/>
        <v>0</v>
      </c>
      <c r="CD237" s="34">
        <f t="shared" ca="1" si="159"/>
        <v>0</v>
      </c>
      <c r="CE237" s="34">
        <f t="shared" ca="1" si="159"/>
        <v>0</v>
      </c>
      <c r="CF237" s="34">
        <f t="shared" ca="1" si="159"/>
        <v>0</v>
      </c>
      <c r="CG237" s="34">
        <f t="shared" ca="1" si="159"/>
        <v>0</v>
      </c>
      <c r="CH237" s="34">
        <f t="shared" ca="1" si="159"/>
        <v>0</v>
      </c>
      <c r="CI237" s="34">
        <f t="shared" ca="1" si="160"/>
        <v>0</v>
      </c>
      <c r="CJ237" s="34">
        <f t="shared" ca="1" si="160"/>
        <v>0</v>
      </c>
      <c r="CK237" s="34">
        <f t="shared" ca="1" si="160"/>
        <v>0</v>
      </c>
      <c r="CL237" s="34">
        <f t="shared" ca="1" si="160"/>
        <v>0</v>
      </c>
      <c r="CM237" s="34">
        <f t="shared" ca="1" si="160"/>
        <v>0</v>
      </c>
      <c r="CN237" s="34">
        <f t="shared" ca="1" si="160"/>
        <v>0</v>
      </c>
      <c r="CO237" s="34">
        <f t="shared" ca="1" si="160"/>
        <v>0</v>
      </c>
      <c r="CP237" s="34">
        <f t="shared" ca="1" si="160"/>
        <v>0</v>
      </c>
      <c r="CQ237" s="34">
        <f t="shared" ca="1" si="179"/>
        <v>0</v>
      </c>
      <c r="CR237" s="363">
        <v>0</v>
      </c>
      <c r="CS237" s="34">
        <f t="shared" ca="1" si="180"/>
        <v>0</v>
      </c>
      <c r="CT237" s="233"/>
    </row>
    <row r="238" spans="2:98" x14ac:dyDescent="0.3">
      <c r="B238" s="232"/>
      <c r="C238" s="250">
        <f t="shared" si="181"/>
        <v>2022</v>
      </c>
      <c r="D238" s="263">
        <f t="shared" ca="1" si="161"/>
        <v>0</v>
      </c>
      <c r="E238" s="263">
        <f t="shared" ca="1" si="149"/>
        <v>0</v>
      </c>
      <c r="F238" s="263">
        <f t="shared" ca="1" si="150"/>
        <v>0</v>
      </c>
      <c r="G238" s="263">
        <f t="shared" ca="1" si="162"/>
        <v>0</v>
      </c>
      <c r="H238" s="15"/>
      <c r="I238" s="271">
        <f ca="1">Assumptions!O$68</f>
        <v>4.5</v>
      </c>
      <c r="J238" s="271">
        <f ca="1">Assumptions!P$68</f>
        <v>80</v>
      </c>
      <c r="K238" s="271">
        <f t="shared" ca="1" si="151"/>
        <v>40</v>
      </c>
      <c r="L238" s="15"/>
      <c r="M238" s="35">
        <f t="shared" ca="1" si="163"/>
        <v>4.2299999999999995</v>
      </c>
      <c r="N238" s="35">
        <f t="shared" ca="1" si="152"/>
        <v>74.400000000000006</v>
      </c>
      <c r="O238" s="35">
        <f t="shared" ca="1" si="153"/>
        <v>37.200000000000003</v>
      </c>
      <c r="P238" s="15"/>
      <c r="Q238" s="34">
        <f t="shared" ca="1" si="164"/>
        <v>0</v>
      </c>
      <c r="R238" s="34">
        <f t="shared" ca="1" si="164"/>
        <v>0</v>
      </c>
      <c r="S238" s="34">
        <f t="shared" ca="1" si="164"/>
        <v>0</v>
      </c>
      <c r="T238" s="34">
        <f t="shared" ca="1" si="165"/>
        <v>0</v>
      </c>
      <c r="U238" s="15"/>
      <c r="V238" s="35">
        <f t="shared" si="166"/>
        <v>0.31</v>
      </c>
      <c r="W238" s="34">
        <f t="shared" ca="1" si="167"/>
        <v>0</v>
      </c>
      <c r="X238" s="35">
        <f t="shared" si="168"/>
        <v>0.37</v>
      </c>
      <c r="Y238" s="34">
        <f t="shared" ca="1" si="169"/>
        <v>0</v>
      </c>
      <c r="Z238" s="35">
        <f t="shared" si="170"/>
        <v>0.57999999999999996</v>
      </c>
      <c r="AA238" s="34">
        <f t="shared" ca="1" si="171"/>
        <v>0</v>
      </c>
      <c r="AB238" s="34">
        <f t="shared" ca="1" si="172"/>
        <v>0</v>
      </c>
      <c r="AC238" s="15"/>
      <c r="AD238" s="34">
        <f t="shared" ca="1" si="173"/>
        <v>0</v>
      </c>
      <c r="AE238" s="34">
        <f ca="1"/>
        <v>0</v>
      </c>
      <c r="AF238" s="34">
        <f t="shared" ca="1" si="174"/>
        <v>0</v>
      </c>
      <c r="AG238" s="15"/>
      <c r="AH238" s="272">
        <f t="shared" si="182"/>
        <v>44926</v>
      </c>
      <c r="AI238" s="267">
        <f t="shared" si="154"/>
        <v>8.6666666666666661</v>
      </c>
      <c r="AJ238" s="267">
        <f t="shared" si="155"/>
        <v>0.4377875384583188</v>
      </c>
      <c r="AK238" s="34">
        <f t="shared" ca="1" si="183"/>
        <v>0</v>
      </c>
      <c r="AL238" s="233"/>
      <c r="AN238" s="232"/>
      <c r="AO238" s="237">
        <f t="shared" si="175"/>
        <v>9</v>
      </c>
      <c r="AP238" s="34">
        <f t="shared" ca="1" si="176"/>
        <v>106.0349133945039</v>
      </c>
      <c r="AQ238" s="34">
        <f t="shared" ca="1" si="176"/>
        <v>0.70136235143449033</v>
      </c>
      <c r="AR238" s="34">
        <f t="shared" ca="1" si="176"/>
        <v>0</v>
      </c>
      <c r="AS238" s="34">
        <f t="shared" ca="1" si="176"/>
        <v>110.24308750311084</v>
      </c>
      <c r="AT238" s="15"/>
      <c r="AW238" s="34">
        <f t="shared" ca="1" si="177"/>
        <v>106.0349133945039</v>
      </c>
      <c r="AX238" s="34">
        <f t="shared" ca="1" si="157"/>
        <v>0.70136235143449033</v>
      </c>
      <c r="AY238" s="34">
        <f t="shared" ca="1" si="157"/>
        <v>0</v>
      </c>
      <c r="AZ238" s="34">
        <f t="shared" ca="1" si="157"/>
        <v>110.24308750311084</v>
      </c>
      <c r="BB238" s="34">
        <f t="shared" ca="1" si="178"/>
        <v>0</v>
      </c>
      <c r="BC238" s="34">
        <f t="shared" ca="1" si="158"/>
        <v>0</v>
      </c>
      <c r="BD238" s="34">
        <f t="shared" ca="1" si="158"/>
        <v>0</v>
      </c>
      <c r="BE238" s="34">
        <f t="shared" ca="1" si="158"/>
        <v>0</v>
      </c>
      <c r="BF238" s="34">
        <f t="shared" ca="1" si="158"/>
        <v>0</v>
      </c>
      <c r="BG238" s="34">
        <f t="shared" ca="1" si="158"/>
        <v>0</v>
      </c>
      <c r="BH238" s="34">
        <f t="shared" ca="1" si="158"/>
        <v>0</v>
      </c>
      <c r="BI238" s="34">
        <f t="shared" ca="1" si="158"/>
        <v>0</v>
      </c>
      <c r="BJ238" s="34">
        <f t="shared" ca="1" si="158"/>
        <v>0</v>
      </c>
      <c r="BK238" s="34">
        <f t="shared" ca="1" si="158"/>
        <v>0</v>
      </c>
      <c r="BL238" s="34">
        <f t="shared" ca="1" si="158"/>
        <v>0</v>
      </c>
      <c r="BM238" s="34">
        <f t="shared" ca="1" si="158"/>
        <v>0</v>
      </c>
      <c r="BN238" s="34">
        <f t="shared" ca="1" si="158"/>
        <v>0</v>
      </c>
      <c r="BO238" s="34">
        <f t="shared" ca="1" si="158"/>
        <v>0</v>
      </c>
      <c r="BP238" s="34">
        <f t="shared" ca="1" si="158"/>
        <v>0</v>
      </c>
      <c r="BQ238" s="34">
        <f t="shared" ca="1" si="158"/>
        <v>0</v>
      </c>
      <c r="BR238" s="34">
        <f t="shared" ca="1" si="158"/>
        <v>0</v>
      </c>
      <c r="BS238" s="34">
        <f t="shared" ca="1" si="159"/>
        <v>0</v>
      </c>
      <c r="BT238" s="34">
        <f t="shared" ca="1" si="159"/>
        <v>0</v>
      </c>
      <c r="BU238" s="34">
        <f t="shared" ca="1" si="159"/>
        <v>0</v>
      </c>
      <c r="BV238" s="34">
        <f t="shared" ca="1" si="159"/>
        <v>0</v>
      </c>
      <c r="BW238" s="34">
        <f t="shared" ca="1" si="159"/>
        <v>0</v>
      </c>
      <c r="BX238" s="34">
        <f t="shared" ca="1" si="159"/>
        <v>0</v>
      </c>
      <c r="BY238" s="34">
        <f t="shared" ca="1" si="159"/>
        <v>0</v>
      </c>
      <c r="BZ238" s="34">
        <f t="shared" ca="1" si="159"/>
        <v>0</v>
      </c>
      <c r="CA238" s="34">
        <f t="shared" ca="1" si="159"/>
        <v>0</v>
      </c>
      <c r="CB238" s="34">
        <f t="shared" ca="1" si="159"/>
        <v>0</v>
      </c>
      <c r="CC238" s="34">
        <f t="shared" ca="1" si="159"/>
        <v>0</v>
      </c>
      <c r="CD238" s="34">
        <f t="shared" ca="1" si="159"/>
        <v>0</v>
      </c>
      <c r="CE238" s="34">
        <f t="shared" ca="1" si="159"/>
        <v>0</v>
      </c>
      <c r="CF238" s="34">
        <f t="shared" ca="1" si="159"/>
        <v>0</v>
      </c>
      <c r="CG238" s="34">
        <f t="shared" ca="1" si="159"/>
        <v>0</v>
      </c>
      <c r="CH238" s="34">
        <f t="shared" ca="1" si="159"/>
        <v>0</v>
      </c>
      <c r="CI238" s="34">
        <f t="shared" ca="1" si="160"/>
        <v>0</v>
      </c>
      <c r="CJ238" s="34">
        <f t="shared" ca="1" si="160"/>
        <v>0</v>
      </c>
      <c r="CK238" s="34">
        <f t="shared" ca="1" si="160"/>
        <v>0</v>
      </c>
      <c r="CL238" s="34">
        <f t="shared" ca="1" si="160"/>
        <v>0</v>
      </c>
      <c r="CM238" s="34">
        <f t="shared" ca="1" si="160"/>
        <v>0</v>
      </c>
      <c r="CN238" s="34">
        <f t="shared" ca="1" si="160"/>
        <v>0</v>
      </c>
      <c r="CO238" s="34">
        <f t="shared" ca="1" si="160"/>
        <v>0</v>
      </c>
      <c r="CP238" s="34">
        <f t="shared" ca="1" si="160"/>
        <v>0</v>
      </c>
      <c r="CQ238" s="34">
        <f t="shared" ca="1" si="179"/>
        <v>0</v>
      </c>
      <c r="CR238" s="363">
        <v>0</v>
      </c>
      <c r="CS238" s="34">
        <f t="shared" ca="1" si="180"/>
        <v>0</v>
      </c>
      <c r="CT238" s="233"/>
    </row>
    <row r="239" spans="2:98" x14ac:dyDescent="0.3">
      <c r="B239" s="232"/>
      <c r="C239" s="250">
        <f t="shared" si="181"/>
        <v>2023</v>
      </c>
      <c r="D239" s="263">
        <f t="shared" ca="1" si="161"/>
        <v>0</v>
      </c>
      <c r="E239" s="263">
        <f t="shared" ca="1" si="149"/>
        <v>0</v>
      </c>
      <c r="F239" s="263">
        <f t="shared" ca="1" si="150"/>
        <v>0</v>
      </c>
      <c r="G239" s="263">
        <f t="shared" ca="1" si="162"/>
        <v>0</v>
      </c>
      <c r="H239" s="15"/>
      <c r="I239" s="271">
        <f ca="1">Assumptions!O$68</f>
        <v>4.5</v>
      </c>
      <c r="J239" s="271">
        <f ca="1">Assumptions!P$68</f>
        <v>80</v>
      </c>
      <c r="K239" s="271">
        <f t="shared" ca="1" si="151"/>
        <v>40</v>
      </c>
      <c r="L239" s="15"/>
      <c r="M239" s="35">
        <f t="shared" ca="1" si="163"/>
        <v>4.2299999999999995</v>
      </c>
      <c r="N239" s="35">
        <f t="shared" ca="1" si="152"/>
        <v>74.400000000000006</v>
      </c>
      <c r="O239" s="35">
        <f t="shared" ca="1" si="153"/>
        <v>37.200000000000003</v>
      </c>
      <c r="P239" s="15"/>
      <c r="Q239" s="34">
        <f t="shared" ca="1" si="164"/>
        <v>0</v>
      </c>
      <c r="R239" s="34">
        <f t="shared" ca="1" si="164"/>
        <v>0</v>
      </c>
      <c r="S239" s="34">
        <f t="shared" ca="1" si="164"/>
        <v>0</v>
      </c>
      <c r="T239" s="34">
        <f t="shared" ca="1" si="165"/>
        <v>0</v>
      </c>
      <c r="U239" s="15"/>
      <c r="V239" s="35">
        <f t="shared" si="166"/>
        <v>0.31</v>
      </c>
      <c r="W239" s="34">
        <f t="shared" ca="1" si="167"/>
        <v>0</v>
      </c>
      <c r="X239" s="35">
        <f t="shared" si="168"/>
        <v>0.37</v>
      </c>
      <c r="Y239" s="34">
        <f t="shared" ca="1" si="169"/>
        <v>0</v>
      </c>
      <c r="Z239" s="35">
        <f t="shared" si="170"/>
        <v>0.57999999999999996</v>
      </c>
      <c r="AA239" s="34">
        <f t="shared" ca="1" si="171"/>
        <v>0</v>
      </c>
      <c r="AB239" s="34">
        <f t="shared" ca="1" si="172"/>
        <v>0</v>
      </c>
      <c r="AC239" s="15"/>
      <c r="AD239" s="34">
        <f t="shared" ca="1" si="173"/>
        <v>0</v>
      </c>
      <c r="AE239" s="34">
        <f ca="1"/>
        <v>0</v>
      </c>
      <c r="AF239" s="34">
        <f t="shared" ca="1" si="174"/>
        <v>0</v>
      </c>
      <c r="AG239" s="15"/>
      <c r="AH239" s="272">
        <f t="shared" si="182"/>
        <v>45291</v>
      </c>
      <c r="AI239" s="267">
        <f t="shared" si="154"/>
        <v>9.6666666666666661</v>
      </c>
      <c r="AJ239" s="267">
        <f t="shared" si="155"/>
        <v>0.39798867132574434</v>
      </c>
      <c r="AK239" s="34">
        <f t="shared" ca="1" si="183"/>
        <v>0</v>
      </c>
      <c r="AL239" s="233"/>
      <c r="AN239" s="232"/>
      <c r="AO239" s="237">
        <f t="shared" si="175"/>
        <v>10</v>
      </c>
      <c r="AP239" s="34">
        <f t="shared" ca="1" si="176"/>
        <v>99.193646152514688</v>
      </c>
      <c r="AQ239" s="34">
        <f t="shared" ca="1" si="176"/>
        <v>0.65611114948573646</v>
      </c>
      <c r="AR239" s="34">
        <f t="shared" ca="1" si="176"/>
        <v>0</v>
      </c>
      <c r="AS239" s="34">
        <f t="shared" ca="1" si="176"/>
        <v>103.13031304942911</v>
      </c>
      <c r="AT239" s="15"/>
      <c r="AW239" s="34">
        <f t="shared" ca="1" si="177"/>
        <v>99.193646152514688</v>
      </c>
      <c r="AX239" s="34">
        <f t="shared" ca="1" si="157"/>
        <v>0.65611114948573646</v>
      </c>
      <c r="AY239" s="34">
        <f t="shared" ca="1" si="157"/>
        <v>0</v>
      </c>
      <c r="AZ239" s="34">
        <f t="shared" ca="1" si="157"/>
        <v>103.13031304942911</v>
      </c>
      <c r="BB239" s="34">
        <f t="shared" ca="1" si="178"/>
        <v>0</v>
      </c>
      <c r="BC239" s="34">
        <f t="shared" ca="1" si="158"/>
        <v>0</v>
      </c>
      <c r="BD239" s="34">
        <f t="shared" ca="1" si="158"/>
        <v>0</v>
      </c>
      <c r="BE239" s="34">
        <f t="shared" ca="1" si="158"/>
        <v>0</v>
      </c>
      <c r="BF239" s="34">
        <f t="shared" ca="1" si="158"/>
        <v>0</v>
      </c>
      <c r="BG239" s="34">
        <f t="shared" ca="1" si="158"/>
        <v>0</v>
      </c>
      <c r="BH239" s="34">
        <f t="shared" ca="1" si="158"/>
        <v>0</v>
      </c>
      <c r="BI239" s="34">
        <f t="shared" ca="1" si="158"/>
        <v>0</v>
      </c>
      <c r="BJ239" s="34">
        <f t="shared" ca="1" si="158"/>
        <v>0</v>
      </c>
      <c r="BK239" s="34">
        <f t="shared" ca="1" si="158"/>
        <v>0</v>
      </c>
      <c r="BL239" s="34">
        <f t="shared" ca="1" si="158"/>
        <v>0</v>
      </c>
      <c r="BM239" s="34">
        <f t="shared" ca="1" si="158"/>
        <v>0</v>
      </c>
      <c r="BN239" s="34">
        <f t="shared" ca="1" si="158"/>
        <v>0</v>
      </c>
      <c r="BO239" s="34">
        <f t="shared" ca="1" si="158"/>
        <v>0</v>
      </c>
      <c r="BP239" s="34">
        <f t="shared" ca="1" si="158"/>
        <v>0</v>
      </c>
      <c r="BQ239" s="34">
        <f t="shared" ca="1" si="158"/>
        <v>0</v>
      </c>
      <c r="BR239" s="34">
        <f t="shared" ca="1" si="158"/>
        <v>0</v>
      </c>
      <c r="BS239" s="34">
        <f t="shared" ca="1" si="159"/>
        <v>0</v>
      </c>
      <c r="BT239" s="34">
        <f t="shared" ca="1" si="159"/>
        <v>0</v>
      </c>
      <c r="BU239" s="34">
        <f t="shared" ca="1" si="159"/>
        <v>0</v>
      </c>
      <c r="BV239" s="34">
        <f t="shared" ca="1" si="159"/>
        <v>0</v>
      </c>
      <c r="BW239" s="34">
        <f t="shared" ca="1" si="159"/>
        <v>0</v>
      </c>
      <c r="BX239" s="34">
        <f t="shared" ca="1" si="159"/>
        <v>0</v>
      </c>
      <c r="BY239" s="34">
        <f t="shared" ca="1" si="159"/>
        <v>0</v>
      </c>
      <c r="BZ239" s="34">
        <f t="shared" ca="1" si="159"/>
        <v>0</v>
      </c>
      <c r="CA239" s="34">
        <f t="shared" ca="1" si="159"/>
        <v>0</v>
      </c>
      <c r="CB239" s="34">
        <f t="shared" ca="1" si="159"/>
        <v>0</v>
      </c>
      <c r="CC239" s="34">
        <f t="shared" ca="1" si="159"/>
        <v>0</v>
      </c>
      <c r="CD239" s="34">
        <f t="shared" ca="1" si="159"/>
        <v>0</v>
      </c>
      <c r="CE239" s="34">
        <f t="shared" ca="1" si="159"/>
        <v>0</v>
      </c>
      <c r="CF239" s="34">
        <f t="shared" ca="1" si="159"/>
        <v>0</v>
      </c>
      <c r="CG239" s="34">
        <f t="shared" ca="1" si="159"/>
        <v>0</v>
      </c>
      <c r="CH239" s="34">
        <f t="shared" ca="1" si="159"/>
        <v>0</v>
      </c>
      <c r="CI239" s="34">
        <f t="shared" ca="1" si="160"/>
        <v>0</v>
      </c>
      <c r="CJ239" s="34">
        <f t="shared" ca="1" si="160"/>
        <v>0</v>
      </c>
      <c r="CK239" s="34">
        <f t="shared" ca="1" si="160"/>
        <v>0</v>
      </c>
      <c r="CL239" s="34">
        <f t="shared" ca="1" si="160"/>
        <v>0</v>
      </c>
      <c r="CM239" s="34">
        <f t="shared" ca="1" si="160"/>
        <v>0</v>
      </c>
      <c r="CN239" s="34">
        <f t="shared" ca="1" si="160"/>
        <v>0</v>
      </c>
      <c r="CO239" s="34">
        <f t="shared" ca="1" si="160"/>
        <v>0</v>
      </c>
      <c r="CP239" s="34">
        <f t="shared" ca="1" si="160"/>
        <v>0</v>
      </c>
      <c r="CQ239" s="34">
        <f t="shared" ca="1" si="179"/>
        <v>0</v>
      </c>
      <c r="CR239" s="363">
        <v>0</v>
      </c>
      <c r="CS239" s="34">
        <f t="shared" ca="1" si="180"/>
        <v>0</v>
      </c>
      <c r="CT239" s="233"/>
    </row>
    <row r="240" spans="2:98" x14ac:dyDescent="0.3">
      <c r="B240" s="232"/>
      <c r="C240" s="250">
        <f t="shared" si="181"/>
        <v>2024</v>
      </c>
      <c r="D240" s="263">
        <f t="shared" ca="1" si="161"/>
        <v>0</v>
      </c>
      <c r="E240" s="263">
        <f t="shared" ca="1" si="149"/>
        <v>0</v>
      </c>
      <c r="F240" s="263">
        <f t="shared" ca="1" si="150"/>
        <v>0</v>
      </c>
      <c r="G240" s="263">
        <f t="shared" ca="1" si="162"/>
        <v>0</v>
      </c>
      <c r="H240" s="15"/>
      <c r="I240" s="271">
        <f ca="1">Assumptions!O$68</f>
        <v>4.5</v>
      </c>
      <c r="J240" s="271">
        <f ca="1">Assumptions!P$68</f>
        <v>80</v>
      </c>
      <c r="K240" s="271">
        <f t="shared" ca="1" si="151"/>
        <v>40</v>
      </c>
      <c r="L240" s="15"/>
      <c r="M240" s="35">
        <f t="shared" ca="1" si="163"/>
        <v>4.2299999999999995</v>
      </c>
      <c r="N240" s="35">
        <f t="shared" ca="1" si="152"/>
        <v>74.400000000000006</v>
      </c>
      <c r="O240" s="35">
        <f t="shared" ca="1" si="153"/>
        <v>37.200000000000003</v>
      </c>
      <c r="P240" s="15"/>
      <c r="Q240" s="34">
        <f t="shared" ca="1" si="164"/>
        <v>0</v>
      </c>
      <c r="R240" s="34">
        <f t="shared" ca="1" si="164"/>
        <v>0</v>
      </c>
      <c r="S240" s="34">
        <f t="shared" ca="1" si="164"/>
        <v>0</v>
      </c>
      <c r="T240" s="34">
        <f t="shared" ca="1" si="165"/>
        <v>0</v>
      </c>
      <c r="U240" s="15"/>
      <c r="V240" s="35">
        <f t="shared" si="166"/>
        <v>0.31</v>
      </c>
      <c r="W240" s="34">
        <f t="shared" ca="1" si="167"/>
        <v>0</v>
      </c>
      <c r="X240" s="35">
        <f t="shared" si="168"/>
        <v>0.37</v>
      </c>
      <c r="Y240" s="34">
        <f t="shared" ca="1" si="169"/>
        <v>0</v>
      </c>
      <c r="Z240" s="35">
        <f t="shared" si="170"/>
        <v>0.57999999999999996</v>
      </c>
      <c r="AA240" s="34">
        <f t="shared" ca="1" si="171"/>
        <v>0</v>
      </c>
      <c r="AB240" s="34">
        <f t="shared" ca="1" si="172"/>
        <v>0</v>
      </c>
      <c r="AC240" s="15"/>
      <c r="AD240" s="34">
        <f t="shared" ca="1" si="173"/>
        <v>0</v>
      </c>
      <c r="AE240" s="34">
        <f ca="1"/>
        <v>0</v>
      </c>
      <c r="AF240" s="34">
        <f t="shared" ca="1" si="174"/>
        <v>0</v>
      </c>
      <c r="AG240" s="15"/>
      <c r="AH240" s="272">
        <f t="shared" si="182"/>
        <v>45657</v>
      </c>
      <c r="AI240" s="267">
        <f t="shared" si="154"/>
        <v>10.666666666666666</v>
      </c>
      <c r="AJ240" s="267">
        <f t="shared" si="155"/>
        <v>0.36180788302340394</v>
      </c>
      <c r="AK240" s="34">
        <f t="shared" ca="1" si="183"/>
        <v>0</v>
      </c>
      <c r="AL240" s="233"/>
      <c r="AN240" s="232"/>
      <c r="AO240" s="237">
        <f t="shared" si="175"/>
        <v>11</v>
      </c>
      <c r="AP240" s="34">
        <f t="shared" ca="1" si="176"/>
        <v>93.354534451411368</v>
      </c>
      <c r="AQ240" s="34">
        <f t="shared" ca="1" si="176"/>
        <v>0.6174886525941915</v>
      </c>
      <c r="AR240" s="34">
        <f t="shared" ca="1" si="176"/>
        <v>0</v>
      </c>
      <c r="AS240" s="34">
        <f t="shared" ca="1" si="176"/>
        <v>97.059466366976523</v>
      </c>
      <c r="AT240" s="15"/>
      <c r="AW240" s="34">
        <f t="shared" ca="1" si="177"/>
        <v>93.354534451411368</v>
      </c>
      <c r="AX240" s="34">
        <f t="shared" ca="1" si="157"/>
        <v>0.6174886525941915</v>
      </c>
      <c r="AY240" s="34">
        <f t="shared" ca="1" si="157"/>
        <v>0</v>
      </c>
      <c r="AZ240" s="34">
        <f t="shared" ca="1" si="157"/>
        <v>97.059466366976523</v>
      </c>
      <c r="BB240" s="34">
        <f t="shared" ca="1" si="178"/>
        <v>0</v>
      </c>
      <c r="BC240" s="34">
        <f t="shared" ca="1" si="158"/>
        <v>0</v>
      </c>
      <c r="BD240" s="34">
        <f t="shared" ca="1" si="158"/>
        <v>0</v>
      </c>
      <c r="BE240" s="34">
        <f t="shared" ca="1" si="158"/>
        <v>0</v>
      </c>
      <c r="BF240" s="34">
        <f t="shared" ca="1" si="158"/>
        <v>0</v>
      </c>
      <c r="BG240" s="34">
        <f t="shared" ca="1" si="158"/>
        <v>0</v>
      </c>
      <c r="BH240" s="34">
        <f t="shared" ca="1" si="158"/>
        <v>0</v>
      </c>
      <c r="BI240" s="34">
        <f t="shared" ca="1" si="158"/>
        <v>0</v>
      </c>
      <c r="BJ240" s="34">
        <f t="shared" ca="1" si="158"/>
        <v>0</v>
      </c>
      <c r="BK240" s="34">
        <f t="shared" ca="1" si="158"/>
        <v>0</v>
      </c>
      <c r="BL240" s="34">
        <f t="shared" ca="1" si="158"/>
        <v>0</v>
      </c>
      <c r="BM240" s="34">
        <f t="shared" ca="1" si="158"/>
        <v>0</v>
      </c>
      <c r="BN240" s="34">
        <f t="shared" ca="1" si="158"/>
        <v>0</v>
      </c>
      <c r="BO240" s="34">
        <f t="shared" ca="1" si="158"/>
        <v>0</v>
      </c>
      <c r="BP240" s="34">
        <f t="shared" ca="1" si="158"/>
        <v>0</v>
      </c>
      <c r="BQ240" s="34">
        <f t="shared" ca="1" si="158"/>
        <v>0</v>
      </c>
      <c r="BR240" s="34">
        <f t="shared" ca="1" si="158"/>
        <v>0</v>
      </c>
      <c r="BS240" s="34">
        <f t="shared" ca="1" si="159"/>
        <v>0</v>
      </c>
      <c r="BT240" s="34">
        <f t="shared" ca="1" si="159"/>
        <v>0</v>
      </c>
      <c r="BU240" s="34">
        <f t="shared" ca="1" si="159"/>
        <v>0</v>
      </c>
      <c r="BV240" s="34">
        <f t="shared" ca="1" si="159"/>
        <v>0</v>
      </c>
      <c r="BW240" s="34">
        <f t="shared" ca="1" si="159"/>
        <v>0</v>
      </c>
      <c r="BX240" s="34">
        <f t="shared" ca="1" si="159"/>
        <v>0</v>
      </c>
      <c r="BY240" s="34">
        <f t="shared" ca="1" si="159"/>
        <v>0</v>
      </c>
      <c r="BZ240" s="34">
        <f t="shared" ca="1" si="159"/>
        <v>0</v>
      </c>
      <c r="CA240" s="34">
        <f t="shared" ca="1" si="159"/>
        <v>0</v>
      </c>
      <c r="CB240" s="34">
        <f t="shared" ca="1" si="159"/>
        <v>0</v>
      </c>
      <c r="CC240" s="34">
        <f t="shared" ca="1" si="159"/>
        <v>0</v>
      </c>
      <c r="CD240" s="34">
        <f t="shared" ca="1" si="159"/>
        <v>0</v>
      </c>
      <c r="CE240" s="34">
        <f t="shared" ca="1" si="159"/>
        <v>0</v>
      </c>
      <c r="CF240" s="34">
        <f t="shared" ca="1" si="159"/>
        <v>0</v>
      </c>
      <c r="CG240" s="34">
        <f t="shared" ca="1" si="159"/>
        <v>0</v>
      </c>
      <c r="CH240" s="34">
        <f t="shared" ca="1" si="159"/>
        <v>0</v>
      </c>
      <c r="CI240" s="34">
        <f t="shared" ca="1" si="160"/>
        <v>0</v>
      </c>
      <c r="CJ240" s="34">
        <f t="shared" ca="1" si="160"/>
        <v>0</v>
      </c>
      <c r="CK240" s="34">
        <f t="shared" ca="1" si="160"/>
        <v>0</v>
      </c>
      <c r="CL240" s="34">
        <f t="shared" ca="1" si="160"/>
        <v>0</v>
      </c>
      <c r="CM240" s="34">
        <f t="shared" ca="1" si="160"/>
        <v>0</v>
      </c>
      <c r="CN240" s="34">
        <f t="shared" ca="1" si="160"/>
        <v>0</v>
      </c>
      <c r="CO240" s="34">
        <f t="shared" ca="1" si="160"/>
        <v>0</v>
      </c>
      <c r="CP240" s="34">
        <f t="shared" ca="1" si="160"/>
        <v>0</v>
      </c>
      <c r="CQ240" s="34">
        <f t="shared" ca="1" si="179"/>
        <v>0</v>
      </c>
      <c r="CR240" s="363">
        <v>0</v>
      </c>
      <c r="CS240" s="34">
        <f t="shared" ca="1" si="180"/>
        <v>0</v>
      </c>
      <c r="CT240" s="233"/>
    </row>
    <row r="241" spans="2:98" x14ac:dyDescent="0.3">
      <c r="B241" s="232"/>
      <c r="C241" s="250">
        <f t="shared" si="181"/>
        <v>2025</v>
      </c>
      <c r="D241" s="263">
        <f t="shared" ca="1" si="161"/>
        <v>0</v>
      </c>
      <c r="E241" s="263">
        <f t="shared" ca="1" si="149"/>
        <v>0</v>
      </c>
      <c r="F241" s="263">
        <f t="shared" ca="1" si="150"/>
        <v>0</v>
      </c>
      <c r="G241" s="263">
        <f t="shared" ca="1" si="162"/>
        <v>0</v>
      </c>
      <c r="H241" s="15"/>
      <c r="I241" s="271">
        <f ca="1">Assumptions!O$68</f>
        <v>4.5</v>
      </c>
      <c r="J241" s="271">
        <f ca="1">Assumptions!P$68</f>
        <v>80</v>
      </c>
      <c r="K241" s="271">
        <f t="shared" ca="1" si="151"/>
        <v>40</v>
      </c>
      <c r="L241" s="15"/>
      <c r="M241" s="35">
        <f t="shared" ca="1" si="163"/>
        <v>4.2299999999999995</v>
      </c>
      <c r="N241" s="35">
        <f t="shared" ca="1" si="152"/>
        <v>74.400000000000006</v>
      </c>
      <c r="O241" s="35">
        <f t="shared" ca="1" si="153"/>
        <v>37.200000000000003</v>
      </c>
      <c r="P241" s="15"/>
      <c r="Q241" s="34">
        <f t="shared" ca="1" si="164"/>
        <v>0</v>
      </c>
      <c r="R241" s="34">
        <f t="shared" ca="1" si="164"/>
        <v>0</v>
      </c>
      <c r="S241" s="34">
        <f t="shared" ca="1" si="164"/>
        <v>0</v>
      </c>
      <c r="T241" s="34">
        <f t="shared" ca="1" si="165"/>
        <v>0</v>
      </c>
      <c r="U241" s="15"/>
      <c r="V241" s="35">
        <f t="shared" si="166"/>
        <v>0.31</v>
      </c>
      <c r="W241" s="34">
        <f t="shared" ca="1" si="167"/>
        <v>0</v>
      </c>
      <c r="X241" s="35">
        <f t="shared" si="168"/>
        <v>0.37</v>
      </c>
      <c r="Y241" s="34">
        <f t="shared" ca="1" si="169"/>
        <v>0</v>
      </c>
      <c r="Z241" s="35">
        <f t="shared" si="170"/>
        <v>0.57999999999999996</v>
      </c>
      <c r="AA241" s="34">
        <f t="shared" ca="1" si="171"/>
        <v>0</v>
      </c>
      <c r="AB241" s="34">
        <f t="shared" ca="1" si="172"/>
        <v>0</v>
      </c>
      <c r="AC241" s="15"/>
      <c r="AD241" s="34">
        <f t="shared" ca="1" si="173"/>
        <v>0</v>
      </c>
      <c r="AE241" s="34">
        <f ca="1"/>
        <v>0</v>
      </c>
      <c r="AF241" s="34">
        <f t="shared" ca="1" si="174"/>
        <v>0</v>
      </c>
      <c r="AG241" s="15"/>
      <c r="AH241" s="272">
        <f t="shared" si="182"/>
        <v>46022</v>
      </c>
      <c r="AI241" s="267">
        <f t="shared" si="154"/>
        <v>11.666666666666666</v>
      </c>
      <c r="AJ241" s="267">
        <f t="shared" si="155"/>
        <v>0.32891625729400353</v>
      </c>
      <c r="AK241" s="34">
        <f t="shared" ca="1" si="183"/>
        <v>0</v>
      </c>
      <c r="AL241" s="233"/>
      <c r="AN241" s="232"/>
      <c r="AO241" s="237">
        <f t="shared" si="175"/>
        <v>12</v>
      </c>
      <c r="AP241" s="34">
        <f t="shared" ca="1" si="176"/>
        <v>88.301756839766909</v>
      </c>
      <c r="AQ241" s="34">
        <f t="shared" ca="1" si="176"/>
        <v>0.58406732113335791</v>
      </c>
      <c r="AR241" s="34">
        <f t="shared" ca="1" si="176"/>
        <v>0</v>
      </c>
      <c r="AS241" s="34">
        <f t="shared" ca="1" si="176"/>
        <v>91.806160766567061</v>
      </c>
      <c r="AT241" s="15"/>
      <c r="AW241" s="34">
        <f t="shared" ca="1" si="177"/>
        <v>88.301756839766909</v>
      </c>
      <c r="AX241" s="34">
        <f t="shared" ca="1" si="157"/>
        <v>0.58406732113335791</v>
      </c>
      <c r="AY241" s="34">
        <f t="shared" ca="1" si="157"/>
        <v>0</v>
      </c>
      <c r="AZ241" s="34">
        <f t="shared" ca="1" si="157"/>
        <v>91.806160766567061</v>
      </c>
      <c r="BB241" s="34">
        <f t="shared" ca="1" si="178"/>
        <v>0</v>
      </c>
      <c r="BC241" s="34">
        <f t="shared" ca="1" si="158"/>
        <v>0</v>
      </c>
      <c r="BD241" s="34">
        <f t="shared" ca="1" si="158"/>
        <v>0</v>
      </c>
      <c r="BE241" s="34">
        <f t="shared" ca="1" si="158"/>
        <v>0</v>
      </c>
      <c r="BF241" s="34">
        <f t="shared" ca="1" si="158"/>
        <v>0</v>
      </c>
      <c r="BG241" s="34">
        <f t="shared" ca="1" si="158"/>
        <v>0</v>
      </c>
      <c r="BH241" s="34">
        <f t="shared" ca="1" si="158"/>
        <v>0</v>
      </c>
      <c r="BI241" s="34">
        <f t="shared" ca="1" si="158"/>
        <v>0</v>
      </c>
      <c r="BJ241" s="34">
        <f t="shared" ca="1" si="158"/>
        <v>0</v>
      </c>
      <c r="BK241" s="34">
        <f t="shared" ca="1" si="158"/>
        <v>0</v>
      </c>
      <c r="BL241" s="34">
        <f t="shared" ca="1" si="158"/>
        <v>0</v>
      </c>
      <c r="BM241" s="34">
        <f t="shared" ca="1" si="158"/>
        <v>0</v>
      </c>
      <c r="BN241" s="34">
        <f t="shared" ca="1" si="158"/>
        <v>0</v>
      </c>
      <c r="BO241" s="34">
        <f t="shared" ca="1" si="158"/>
        <v>0</v>
      </c>
      <c r="BP241" s="34">
        <f t="shared" ca="1" si="158"/>
        <v>0</v>
      </c>
      <c r="BQ241" s="34">
        <f t="shared" ca="1" si="158"/>
        <v>0</v>
      </c>
      <c r="BR241" s="34">
        <f t="shared" ca="1" si="158"/>
        <v>0</v>
      </c>
      <c r="BS241" s="34">
        <f t="shared" ca="1" si="159"/>
        <v>0</v>
      </c>
      <c r="BT241" s="34">
        <f t="shared" ca="1" si="159"/>
        <v>0</v>
      </c>
      <c r="BU241" s="34">
        <f t="shared" ca="1" si="159"/>
        <v>0</v>
      </c>
      <c r="BV241" s="34">
        <f t="shared" ca="1" si="159"/>
        <v>0</v>
      </c>
      <c r="BW241" s="34">
        <f t="shared" ca="1" si="159"/>
        <v>0</v>
      </c>
      <c r="BX241" s="34">
        <f t="shared" ca="1" si="159"/>
        <v>0</v>
      </c>
      <c r="BY241" s="34">
        <f t="shared" ca="1" si="159"/>
        <v>0</v>
      </c>
      <c r="BZ241" s="34">
        <f t="shared" ca="1" si="159"/>
        <v>0</v>
      </c>
      <c r="CA241" s="34">
        <f t="shared" ca="1" si="159"/>
        <v>0</v>
      </c>
      <c r="CB241" s="34">
        <f t="shared" ca="1" si="159"/>
        <v>0</v>
      </c>
      <c r="CC241" s="34">
        <f t="shared" ca="1" si="159"/>
        <v>0</v>
      </c>
      <c r="CD241" s="34">
        <f t="shared" ca="1" si="159"/>
        <v>0</v>
      </c>
      <c r="CE241" s="34">
        <f t="shared" ca="1" si="159"/>
        <v>0</v>
      </c>
      <c r="CF241" s="34">
        <f t="shared" ca="1" si="159"/>
        <v>0</v>
      </c>
      <c r="CG241" s="34">
        <f t="shared" ca="1" si="159"/>
        <v>0</v>
      </c>
      <c r="CH241" s="34">
        <f t="shared" ca="1" si="159"/>
        <v>0</v>
      </c>
      <c r="CI241" s="34">
        <f t="shared" ca="1" si="160"/>
        <v>0</v>
      </c>
      <c r="CJ241" s="34">
        <f t="shared" ca="1" si="160"/>
        <v>0</v>
      </c>
      <c r="CK241" s="34">
        <f t="shared" ca="1" si="160"/>
        <v>0</v>
      </c>
      <c r="CL241" s="34">
        <f t="shared" ca="1" si="160"/>
        <v>0</v>
      </c>
      <c r="CM241" s="34">
        <f t="shared" ca="1" si="160"/>
        <v>0</v>
      </c>
      <c r="CN241" s="34">
        <f t="shared" ca="1" si="160"/>
        <v>0</v>
      </c>
      <c r="CO241" s="34">
        <f t="shared" ca="1" si="160"/>
        <v>0</v>
      </c>
      <c r="CP241" s="34">
        <f t="shared" ca="1" si="160"/>
        <v>0</v>
      </c>
      <c r="CQ241" s="34">
        <f t="shared" ca="1" si="179"/>
        <v>0</v>
      </c>
      <c r="CR241" s="363">
        <v>0</v>
      </c>
      <c r="CS241" s="34">
        <f t="shared" ca="1" si="180"/>
        <v>0</v>
      </c>
      <c r="CT241" s="233"/>
    </row>
    <row r="242" spans="2:98" x14ac:dyDescent="0.3">
      <c r="B242" s="232"/>
      <c r="C242" s="250">
        <f t="shared" si="181"/>
        <v>2026</v>
      </c>
      <c r="D242" s="263">
        <f t="shared" ca="1" si="161"/>
        <v>0</v>
      </c>
      <c r="E242" s="263">
        <f t="shared" ca="1" si="149"/>
        <v>0</v>
      </c>
      <c r="F242" s="263">
        <f t="shared" ca="1" si="150"/>
        <v>0</v>
      </c>
      <c r="G242" s="263">
        <f t="shared" ca="1" si="162"/>
        <v>0</v>
      </c>
      <c r="H242" s="15"/>
      <c r="I242" s="271">
        <f ca="1">Assumptions!O$68</f>
        <v>4.5</v>
      </c>
      <c r="J242" s="271">
        <f ca="1">Assumptions!P$68</f>
        <v>80</v>
      </c>
      <c r="K242" s="271">
        <f t="shared" ca="1" si="151"/>
        <v>40</v>
      </c>
      <c r="L242" s="15"/>
      <c r="M242" s="35">
        <f t="shared" ca="1" si="163"/>
        <v>4.2299999999999995</v>
      </c>
      <c r="N242" s="35">
        <f t="shared" ca="1" si="152"/>
        <v>74.400000000000006</v>
      </c>
      <c r="O242" s="35">
        <f t="shared" ca="1" si="153"/>
        <v>37.200000000000003</v>
      </c>
      <c r="P242" s="15"/>
      <c r="Q242" s="34">
        <f t="shared" ca="1" si="164"/>
        <v>0</v>
      </c>
      <c r="R242" s="34">
        <f t="shared" ca="1" si="164"/>
        <v>0</v>
      </c>
      <c r="S242" s="34">
        <f t="shared" ca="1" si="164"/>
        <v>0</v>
      </c>
      <c r="T242" s="34">
        <f t="shared" ca="1" si="165"/>
        <v>0</v>
      </c>
      <c r="U242" s="15"/>
      <c r="V242" s="35">
        <f t="shared" si="166"/>
        <v>0.31</v>
      </c>
      <c r="W242" s="34">
        <f t="shared" ca="1" si="167"/>
        <v>0</v>
      </c>
      <c r="X242" s="35">
        <f t="shared" si="168"/>
        <v>0.37</v>
      </c>
      <c r="Y242" s="34">
        <f t="shared" ca="1" si="169"/>
        <v>0</v>
      </c>
      <c r="Z242" s="35">
        <f t="shared" si="170"/>
        <v>0.57999999999999996</v>
      </c>
      <c r="AA242" s="34">
        <f t="shared" ca="1" si="171"/>
        <v>0</v>
      </c>
      <c r="AB242" s="34">
        <f t="shared" ca="1" si="172"/>
        <v>0</v>
      </c>
      <c r="AC242" s="15"/>
      <c r="AD242" s="34">
        <f t="shared" ca="1" si="173"/>
        <v>0</v>
      </c>
      <c r="AE242" s="34">
        <f ca="1"/>
        <v>0</v>
      </c>
      <c r="AF242" s="34">
        <f t="shared" ca="1" si="174"/>
        <v>0</v>
      </c>
      <c r="AG242" s="15"/>
      <c r="AH242" s="272">
        <f t="shared" si="182"/>
        <v>46387</v>
      </c>
      <c r="AI242" s="267">
        <f t="shared" si="154"/>
        <v>12.666666666666666</v>
      </c>
      <c r="AJ242" s="267">
        <f t="shared" si="155"/>
        <v>0.29901477935818499</v>
      </c>
      <c r="AK242" s="34">
        <f t="shared" ca="1" si="183"/>
        <v>0</v>
      </c>
      <c r="AL242" s="233"/>
      <c r="AN242" s="232"/>
      <c r="AO242" s="237">
        <f t="shared" si="175"/>
        <v>13</v>
      </c>
      <c r="AP242" s="34">
        <f t="shared" ca="1" si="176"/>
        <v>83.878629109320258</v>
      </c>
      <c r="AQ242" s="34">
        <f t="shared" ca="1" si="176"/>
        <v>0.55481077565781867</v>
      </c>
      <c r="AR242" s="34">
        <f t="shared" ca="1" si="176"/>
        <v>0</v>
      </c>
      <c r="AS242" s="34">
        <f t="shared" ca="1" si="176"/>
        <v>87.207493763267166</v>
      </c>
      <c r="AT242" s="15"/>
      <c r="AW242" s="34">
        <f t="shared" ca="1" si="177"/>
        <v>83.878629109320258</v>
      </c>
      <c r="AX242" s="34">
        <f t="shared" ca="1" si="157"/>
        <v>0.55481077565781867</v>
      </c>
      <c r="AY242" s="34">
        <f t="shared" ca="1" si="157"/>
        <v>0</v>
      </c>
      <c r="AZ242" s="34">
        <f t="shared" ca="1" si="157"/>
        <v>87.207493763267166</v>
      </c>
      <c r="BB242" s="34">
        <f t="shared" ca="1" si="178"/>
        <v>0</v>
      </c>
      <c r="BC242" s="34">
        <f t="shared" ca="1" si="158"/>
        <v>0</v>
      </c>
      <c r="BD242" s="34">
        <f t="shared" ca="1" si="158"/>
        <v>0</v>
      </c>
      <c r="BE242" s="34">
        <f t="shared" ca="1" si="158"/>
        <v>0</v>
      </c>
      <c r="BF242" s="34">
        <f t="shared" ca="1" si="158"/>
        <v>0</v>
      </c>
      <c r="BG242" s="34">
        <f t="shared" ca="1" si="158"/>
        <v>0</v>
      </c>
      <c r="BH242" s="34">
        <f t="shared" ca="1" si="158"/>
        <v>0</v>
      </c>
      <c r="BI242" s="34">
        <f t="shared" ca="1" si="158"/>
        <v>0</v>
      </c>
      <c r="BJ242" s="34">
        <f t="shared" ca="1" si="158"/>
        <v>0</v>
      </c>
      <c r="BK242" s="34">
        <f t="shared" ca="1" si="158"/>
        <v>0</v>
      </c>
      <c r="BL242" s="34">
        <f t="shared" ca="1" si="158"/>
        <v>0</v>
      </c>
      <c r="BM242" s="34">
        <f t="shared" ca="1" si="158"/>
        <v>0</v>
      </c>
      <c r="BN242" s="34">
        <f t="shared" ca="1" si="158"/>
        <v>0</v>
      </c>
      <c r="BO242" s="34">
        <f t="shared" ca="1" si="158"/>
        <v>0</v>
      </c>
      <c r="BP242" s="34">
        <f t="shared" ca="1" si="158"/>
        <v>0</v>
      </c>
      <c r="BQ242" s="34">
        <f t="shared" ca="1" si="158"/>
        <v>0</v>
      </c>
      <c r="BR242" s="34">
        <f t="shared" ca="1" si="158"/>
        <v>0</v>
      </c>
      <c r="BS242" s="34">
        <f t="shared" ca="1" si="159"/>
        <v>0</v>
      </c>
      <c r="BT242" s="34">
        <f t="shared" ca="1" si="159"/>
        <v>0</v>
      </c>
      <c r="BU242" s="34">
        <f t="shared" ca="1" si="159"/>
        <v>0</v>
      </c>
      <c r="BV242" s="34">
        <f t="shared" ca="1" si="159"/>
        <v>0</v>
      </c>
      <c r="BW242" s="34">
        <f t="shared" ca="1" si="159"/>
        <v>0</v>
      </c>
      <c r="BX242" s="34">
        <f t="shared" ca="1" si="159"/>
        <v>0</v>
      </c>
      <c r="BY242" s="34">
        <f t="shared" ca="1" si="159"/>
        <v>0</v>
      </c>
      <c r="BZ242" s="34">
        <f t="shared" ca="1" si="159"/>
        <v>0</v>
      </c>
      <c r="CA242" s="34">
        <f t="shared" ca="1" si="159"/>
        <v>0</v>
      </c>
      <c r="CB242" s="34">
        <f t="shared" ca="1" si="159"/>
        <v>0</v>
      </c>
      <c r="CC242" s="34">
        <f t="shared" ca="1" si="159"/>
        <v>0</v>
      </c>
      <c r="CD242" s="34">
        <f t="shared" ca="1" si="159"/>
        <v>0</v>
      </c>
      <c r="CE242" s="34">
        <f t="shared" ca="1" si="159"/>
        <v>0</v>
      </c>
      <c r="CF242" s="34">
        <f t="shared" ca="1" si="159"/>
        <v>0</v>
      </c>
      <c r="CG242" s="34">
        <f t="shared" ca="1" si="159"/>
        <v>0</v>
      </c>
      <c r="CH242" s="34">
        <f t="shared" ca="1" si="159"/>
        <v>0</v>
      </c>
      <c r="CI242" s="34">
        <f t="shared" ca="1" si="160"/>
        <v>0</v>
      </c>
      <c r="CJ242" s="34">
        <f t="shared" ca="1" si="160"/>
        <v>0</v>
      </c>
      <c r="CK242" s="34">
        <f t="shared" ca="1" si="160"/>
        <v>0</v>
      </c>
      <c r="CL242" s="34">
        <f t="shared" ca="1" si="160"/>
        <v>0</v>
      </c>
      <c r="CM242" s="34">
        <f t="shared" ca="1" si="160"/>
        <v>0</v>
      </c>
      <c r="CN242" s="34">
        <f t="shared" ca="1" si="160"/>
        <v>0</v>
      </c>
      <c r="CO242" s="34">
        <f t="shared" ca="1" si="160"/>
        <v>0</v>
      </c>
      <c r="CP242" s="34">
        <f t="shared" ca="1" si="160"/>
        <v>0</v>
      </c>
      <c r="CQ242" s="34">
        <f t="shared" ca="1" si="179"/>
        <v>0</v>
      </c>
      <c r="CR242" s="363">
        <v>0</v>
      </c>
      <c r="CS242" s="34">
        <f t="shared" ca="1" si="180"/>
        <v>0</v>
      </c>
      <c r="CT242" s="233"/>
    </row>
    <row r="243" spans="2:98" x14ac:dyDescent="0.3">
      <c r="B243" s="232"/>
      <c r="C243" s="250">
        <f t="shared" si="181"/>
        <v>2027</v>
      </c>
      <c r="D243" s="263">
        <f t="shared" ca="1" si="161"/>
        <v>0</v>
      </c>
      <c r="E243" s="263">
        <f t="shared" ca="1" si="149"/>
        <v>0</v>
      </c>
      <c r="F243" s="263">
        <f t="shared" ca="1" si="150"/>
        <v>0</v>
      </c>
      <c r="G243" s="263">
        <f t="shared" ca="1" si="162"/>
        <v>0</v>
      </c>
      <c r="H243" s="15"/>
      <c r="I243" s="271">
        <f ca="1">Assumptions!O$68</f>
        <v>4.5</v>
      </c>
      <c r="J243" s="271">
        <f ca="1">Assumptions!P$68</f>
        <v>80</v>
      </c>
      <c r="K243" s="271">
        <f t="shared" ca="1" si="151"/>
        <v>40</v>
      </c>
      <c r="L243" s="15"/>
      <c r="M243" s="35">
        <f t="shared" ca="1" si="163"/>
        <v>4.2299999999999995</v>
      </c>
      <c r="N243" s="35">
        <f t="shared" ca="1" si="152"/>
        <v>74.400000000000006</v>
      </c>
      <c r="O243" s="35">
        <f t="shared" ca="1" si="153"/>
        <v>37.200000000000003</v>
      </c>
      <c r="P243" s="15"/>
      <c r="Q243" s="34">
        <f t="shared" ca="1" si="164"/>
        <v>0</v>
      </c>
      <c r="R243" s="34">
        <f t="shared" ca="1" si="164"/>
        <v>0</v>
      </c>
      <c r="S243" s="34">
        <f t="shared" ca="1" si="164"/>
        <v>0</v>
      </c>
      <c r="T243" s="34">
        <f t="shared" ca="1" si="165"/>
        <v>0</v>
      </c>
      <c r="U243" s="15"/>
      <c r="V243" s="35">
        <f t="shared" si="166"/>
        <v>0.31</v>
      </c>
      <c r="W243" s="34">
        <f t="shared" ca="1" si="167"/>
        <v>0</v>
      </c>
      <c r="X243" s="35">
        <f t="shared" si="168"/>
        <v>0.37</v>
      </c>
      <c r="Y243" s="34">
        <f t="shared" ca="1" si="169"/>
        <v>0</v>
      </c>
      <c r="Z243" s="35">
        <f t="shared" si="170"/>
        <v>0.57999999999999996</v>
      </c>
      <c r="AA243" s="34">
        <f t="shared" ca="1" si="171"/>
        <v>0</v>
      </c>
      <c r="AB243" s="34">
        <f t="shared" ca="1" si="172"/>
        <v>0</v>
      </c>
      <c r="AC243" s="15"/>
      <c r="AD243" s="34">
        <f t="shared" ca="1" si="173"/>
        <v>0</v>
      </c>
      <c r="AE243" s="34">
        <f ca="1"/>
        <v>0</v>
      </c>
      <c r="AF243" s="34">
        <f t="shared" ca="1" si="174"/>
        <v>0</v>
      </c>
      <c r="AG243" s="15"/>
      <c r="AH243" s="272">
        <f t="shared" si="182"/>
        <v>46752</v>
      </c>
      <c r="AI243" s="267">
        <f t="shared" si="154"/>
        <v>13.666666666666666</v>
      </c>
      <c r="AJ243" s="267">
        <f t="shared" si="155"/>
        <v>0.27183161759835001</v>
      </c>
      <c r="AK243" s="34">
        <f t="shared" ca="1" si="183"/>
        <v>0</v>
      </c>
      <c r="AL243" s="233"/>
      <c r="AN243" s="232"/>
      <c r="AO243" s="237">
        <f t="shared" si="175"/>
        <v>14</v>
      </c>
      <c r="AP243" s="34">
        <f t="shared" ca="1" si="176"/>
        <v>79.9684166361439</v>
      </c>
      <c r="AQ243" s="34">
        <f t="shared" ca="1" si="176"/>
        <v>0.52894688114420652</v>
      </c>
      <c r="AR243" s="34">
        <f t="shared" ca="1" si="176"/>
        <v>0</v>
      </c>
      <c r="AS243" s="34">
        <f t="shared" ca="1" si="176"/>
        <v>83.142097923009132</v>
      </c>
      <c r="AT243" s="15"/>
      <c r="AW243" s="34">
        <f t="shared" ca="1" si="177"/>
        <v>79.9684166361439</v>
      </c>
      <c r="AX243" s="34">
        <f t="shared" ca="1" si="157"/>
        <v>0.52894688114420652</v>
      </c>
      <c r="AY243" s="34">
        <f t="shared" ca="1" si="157"/>
        <v>0</v>
      </c>
      <c r="AZ243" s="34">
        <f t="shared" ca="1" si="157"/>
        <v>83.142097923009132</v>
      </c>
      <c r="BB243" s="34">
        <f t="shared" ca="1" si="178"/>
        <v>0</v>
      </c>
      <c r="BC243" s="34">
        <f t="shared" ca="1" si="158"/>
        <v>0</v>
      </c>
      <c r="BD243" s="34">
        <f t="shared" ca="1" si="158"/>
        <v>0</v>
      </c>
      <c r="BE243" s="34">
        <f t="shared" ca="1" si="158"/>
        <v>0</v>
      </c>
      <c r="BF243" s="34">
        <f t="shared" ca="1" si="158"/>
        <v>0</v>
      </c>
      <c r="BG243" s="34">
        <f t="shared" ca="1" si="158"/>
        <v>0</v>
      </c>
      <c r="BH243" s="34">
        <f t="shared" ca="1" si="158"/>
        <v>0</v>
      </c>
      <c r="BI243" s="34">
        <f t="shared" ca="1" si="158"/>
        <v>0</v>
      </c>
      <c r="BJ243" s="34">
        <f t="shared" ca="1" si="158"/>
        <v>0</v>
      </c>
      <c r="BK243" s="34">
        <f t="shared" ca="1" si="158"/>
        <v>0</v>
      </c>
      <c r="BL243" s="34">
        <f t="shared" ca="1" si="158"/>
        <v>0</v>
      </c>
      <c r="BM243" s="34">
        <f t="shared" ca="1" si="158"/>
        <v>0</v>
      </c>
      <c r="BN243" s="34">
        <f t="shared" ca="1" si="158"/>
        <v>0</v>
      </c>
      <c r="BO243" s="34">
        <f t="shared" ca="1" si="158"/>
        <v>0</v>
      </c>
      <c r="BP243" s="34">
        <f t="shared" ca="1" si="158"/>
        <v>0</v>
      </c>
      <c r="BQ243" s="34">
        <f t="shared" ca="1" si="158"/>
        <v>0</v>
      </c>
      <c r="BR243" s="34">
        <f t="shared" ca="1" si="158"/>
        <v>0</v>
      </c>
      <c r="BS243" s="34">
        <f t="shared" ca="1" si="159"/>
        <v>0</v>
      </c>
      <c r="BT243" s="34">
        <f t="shared" ca="1" si="159"/>
        <v>0</v>
      </c>
      <c r="BU243" s="34">
        <f t="shared" ca="1" si="159"/>
        <v>0</v>
      </c>
      <c r="BV243" s="34">
        <f t="shared" ca="1" si="159"/>
        <v>0</v>
      </c>
      <c r="BW243" s="34">
        <f t="shared" ca="1" si="159"/>
        <v>0</v>
      </c>
      <c r="BX243" s="34">
        <f t="shared" ca="1" si="159"/>
        <v>0</v>
      </c>
      <c r="BY243" s="34">
        <f t="shared" ca="1" si="159"/>
        <v>0</v>
      </c>
      <c r="BZ243" s="34">
        <f t="shared" ca="1" si="159"/>
        <v>0</v>
      </c>
      <c r="CA243" s="34">
        <f t="shared" ca="1" si="159"/>
        <v>0</v>
      </c>
      <c r="CB243" s="34">
        <f t="shared" ca="1" si="159"/>
        <v>0</v>
      </c>
      <c r="CC243" s="34">
        <f t="shared" ca="1" si="159"/>
        <v>0</v>
      </c>
      <c r="CD243" s="34">
        <f t="shared" ca="1" si="159"/>
        <v>0</v>
      </c>
      <c r="CE243" s="34">
        <f t="shared" ca="1" si="159"/>
        <v>0</v>
      </c>
      <c r="CF243" s="34">
        <f t="shared" ca="1" si="159"/>
        <v>0</v>
      </c>
      <c r="CG243" s="34">
        <f t="shared" ca="1" si="159"/>
        <v>0</v>
      </c>
      <c r="CH243" s="34">
        <f t="shared" ca="1" si="159"/>
        <v>0</v>
      </c>
      <c r="CI243" s="34">
        <f t="shared" ca="1" si="160"/>
        <v>0</v>
      </c>
      <c r="CJ243" s="34">
        <f t="shared" ca="1" si="160"/>
        <v>0</v>
      </c>
      <c r="CK243" s="34">
        <f t="shared" ca="1" si="160"/>
        <v>0</v>
      </c>
      <c r="CL243" s="34">
        <f t="shared" ca="1" si="160"/>
        <v>0</v>
      </c>
      <c r="CM243" s="34">
        <f t="shared" ca="1" si="160"/>
        <v>0</v>
      </c>
      <c r="CN243" s="34">
        <f t="shared" ca="1" si="160"/>
        <v>0</v>
      </c>
      <c r="CO243" s="34">
        <f t="shared" ca="1" si="160"/>
        <v>0</v>
      </c>
      <c r="CP243" s="34">
        <f t="shared" ca="1" si="160"/>
        <v>0</v>
      </c>
      <c r="CQ243" s="34">
        <f t="shared" ca="1" si="179"/>
        <v>0</v>
      </c>
      <c r="CR243" s="363">
        <v>0</v>
      </c>
      <c r="CS243" s="34">
        <f t="shared" ca="1" si="180"/>
        <v>0</v>
      </c>
      <c r="CT243" s="233"/>
    </row>
    <row r="244" spans="2:98" x14ac:dyDescent="0.3">
      <c r="B244" s="232"/>
      <c r="C244" s="250">
        <f t="shared" si="181"/>
        <v>2028</v>
      </c>
      <c r="D244" s="263">
        <f t="shared" ca="1" si="161"/>
        <v>0</v>
      </c>
      <c r="E244" s="263">
        <f t="shared" ca="1" si="149"/>
        <v>0</v>
      </c>
      <c r="F244" s="263">
        <f t="shared" ca="1" si="150"/>
        <v>0</v>
      </c>
      <c r="G244" s="263">
        <f t="shared" ca="1" si="162"/>
        <v>0</v>
      </c>
      <c r="H244" s="15"/>
      <c r="I244" s="271">
        <f ca="1">Assumptions!O$68</f>
        <v>4.5</v>
      </c>
      <c r="J244" s="271">
        <f ca="1">Assumptions!P$68</f>
        <v>80</v>
      </c>
      <c r="K244" s="271">
        <f t="shared" ca="1" si="151"/>
        <v>40</v>
      </c>
      <c r="L244" s="15"/>
      <c r="M244" s="35">
        <f t="shared" ca="1" si="163"/>
        <v>4.2299999999999995</v>
      </c>
      <c r="N244" s="35">
        <f t="shared" ca="1" si="152"/>
        <v>74.400000000000006</v>
      </c>
      <c r="O244" s="35">
        <f t="shared" ca="1" si="153"/>
        <v>37.200000000000003</v>
      </c>
      <c r="P244" s="15"/>
      <c r="Q244" s="34">
        <f t="shared" ca="1" si="164"/>
        <v>0</v>
      </c>
      <c r="R244" s="34">
        <f t="shared" ca="1" si="164"/>
        <v>0</v>
      </c>
      <c r="S244" s="34">
        <f t="shared" ca="1" si="164"/>
        <v>0</v>
      </c>
      <c r="T244" s="34">
        <f t="shared" ca="1" si="165"/>
        <v>0</v>
      </c>
      <c r="U244" s="15"/>
      <c r="V244" s="35">
        <f t="shared" si="166"/>
        <v>0.31</v>
      </c>
      <c r="W244" s="34">
        <f t="shared" ca="1" si="167"/>
        <v>0</v>
      </c>
      <c r="X244" s="35">
        <f t="shared" si="168"/>
        <v>0.37</v>
      </c>
      <c r="Y244" s="34">
        <f t="shared" ca="1" si="169"/>
        <v>0</v>
      </c>
      <c r="Z244" s="35">
        <f t="shared" si="170"/>
        <v>0.57999999999999996</v>
      </c>
      <c r="AA244" s="34">
        <f t="shared" ca="1" si="171"/>
        <v>0</v>
      </c>
      <c r="AB244" s="34">
        <f t="shared" ca="1" si="172"/>
        <v>0</v>
      </c>
      <c r="AC244" s="15"/>
      <c r="AD244" s="34">
        <f t="shared" ca="1" si="173"/>
        <v>0</v>
      </c>
      <c r="AE244" s="34">
        <f ca="1"/>
        <v>0</v>
      </c>
      <c r="AF244" s="34">
        <f t="shared" ca="1" si="174"/>
        <v>0</v>
      </c>
      <c r="AG244" s="15"/>
      <c r="AH244" s="272">
        <f t="shared" si="182"/>
        <v>47118</v>
      </c>
      <c r="AI244" s="267">
        <f t="shared" si="154"/>
        <v>14.666666666666666</v>
      </c>
      <c r="AJ244" s="267">
        <f t="shared" si="155"/>
        <v>0.24711965236213634</v>
      </c>
      <c r="AK244" s="34">
        <f t="shared" ca="1" si="183"/>
        <v>0</v>
      </c>
      <c r="AL244" s="233"/>
      <c r="AN244" s="232"/>
      <c r="AO244" s="237">
        <f t="shared" si="175"/>
        <v>15</v>
      </c>
      <c r="AP244" s="34">
        <f t="shared" ca="1" si="176"/>
        <v>76.482206583194937</v>
      </c>
      <c r="AQ244" s="34">
        <f t="shared" ca="1" si="176"/>
        <v>0.50588752831356076</v>
      </c>
      <c r="AR244" s="34">
        <f t="shared" ca="1" si="176"/>
        <v>0</v>
      </c>
      <c r="AS244" s="34">
        <f t="shared" ca="1" si="176"/>
        <v>79.517531753076298</v>
      </c>
      <c r="AT244" s="15"/>
      <c r="AW244" s="34">
        <f t="shared" ca="1" si="177"/>
        <v>76.482206583194937</v>
      </c>
      <c r="AX244" s="34">
        <f t="shared" ca="1" si="157"/>
        <v>0.50588752831356076</v>
      </c>
      <c r="AY244" s="34">
        <f t="shared" ca="1" si="157"/>
        <v>0</v>
      </c>
      <c r="AZ244" s="34">
        <f t="shared" ca="1" si="157"/>
        <v>79.517531753076298</v>
      </c>
      <c r="BB244" s="34">
        <f t="shared" ca="1" si="178"/>
        <v>0</v>
      </c>
      <c r="BC244" s="34">
        <f t="shared" ca="1" si="158"/>
        <v>0</v>
      </c>
      <c r="BD244" s="34">
        <f t="shared" ca="1" si="158"/>
        <v>0</v>
      </c>
      <c r="BE244" s="34">
        <f t="shared" ca="1" si="158"/>
        <v>0</v>
      </c>
      <c r="BF244" s="34">
        <f t="shared" ca="1" si="158"/>
        <v>0</v>
      </c>
      <c r="BG244" s="34">
        <f t="shared" ca="1" si="158"/>
        <v>0</v>
      </c>
      <c r="BH244" s="34">
        <f t="shared" ca="1" si="158"/>
        <v>0</v>
      </c>
      <c r="BI244" s="34">
        <f t="shared" ca="1" si="158"/>
        <v>0</v>
      </c>
      <c r="BJ244" s="34">
        <f t="shared" ca="1" si="158"/>
        <v>0</v>
      </c>
      <c r="BK244" s="34">
        <f t="shared" ca="1" si="158"/>
        <v>0</v>
      </c>
      <c r="BL244" s="34">
        <f t="shared" ca="1" si="158"/>
        <v>0</v>
      </c>
      <c r="BM244" s="34">
        <f t="shared" ca="1" si="158"/>
        <v>0</v>
      </c>
      <c r="BN244" s="34">
        <f t="shared" ca="1" si="158"/>
        <v>0</v>
      </c>
      <c r="BO244" s="34">
        <f t="shared" ca="1" si="158"/>
        <v>0</v>
      </c>
      <c r="BP244" s="34">
        <f t="shared" ca="1" si="158"/>
        <v>0</v>
      </c>
      <c r="BQ244" s="34">
        <f t="shared" ca="1" si="158"/>
        <v>0</v>
      </c>
      <c r="BR244" s="34">
        <f t="shared" ref="BR244:CG259" ca="1" si="184">IF($AO244&lt;BR$228,0,OFFSET($AZ$228,$AO244-BR$228+1,0)*BR$226)</f>
        <v>0</v>
      </c>
      <c r="BS244" s="34">
        <f t="shared" ca="1" si="159"/>
        <v>0</v>
      </c>
      <c r="BT244" s="34">
        <f t="shared" ca="1" si="159"/>
        <v>0</v>
      </c>
      <c r="BU244" s="34">
        <f t="shared" ca="1" si="159"/>
        <v>0</v>
      </c>
      <c r="BV244" s="34">
        <f t="shared" ca="1" si="159"/>
        <v>0</v>
      </c>
      <c r="BW244" s="34">
        <f t="shared" ca="1" si="159"/>
        <v>0</v>
      </c>
      <c r="BX244" s="34">
        <f t="shared" ca="1" si="159"/>
        <v>0</v>
      </c>
      <c r="BY244" s="34">
        <f t="shared" ca="1" si="159"/>
        <v>0</v>
      </c>
      <c r="BZ244" s="34">
        <f t="shared" ca="1" si="159"/>
        <v>0</v>
      </c>
      <c r="CA244" s="34">
        <f t="shared" ca="1" si="159"/>
        <v>0</v>
      </c>
      <c r="CB244" s="34">
        <f t="shared" ca="1" si="159"/>
        <v>0</v>
      </c>
      <c r="CC244" s="34">
        <f t="shared" ca="1" si="159"/>
        <v>0</v>
      </c>
      <c r="CD244" s="34">
        <f t="shared" ca="1" si="159"/>
        <v>0</v>
      </c>
      <c r="CE244" s="34">
        <f t="shared" ca="1" si="159"/>
        <v>0</v>
      </c>
      <c r="CF244" s="34">
        <f t="shared" ca="1" si="159"/>
        <v>0</v>
      </c>
      <c r="CG244" s="34">
        <f t="shared" ca="1" si="159"/>
        <v>0</v>
      </c>
      <c r="CH244" s="34">
        <f t="shared" ref="CH244:CP259" ca="1" si="185">IF($AO244&lt;CH$228,0,OFFSET($AZ$228,$AO244-CH$228+1,0)*CH$226)</f>
        <v>0</v>
      </c>
      <c r="CI244" s="34">
        <f t="shared" ca="1" si="160"/>
        <v>0</v>
      </c>
      <c r="CJ244" s="34">
        <f t="shared" ca="1" si="160"/>
        <v>0</v>
      </c>
      <c r="CK244" s="34">
        <f t="shared" ca="1" si="160"/>
        <v>0</v>
      </c>
      <c r="CL244" s="34">
        <f t="shared" ca="1" si="160"/>
        <v>0</v>
      </c>
      <c r="CM244" s="34">
        <f t="shared" ca="1" si="160"/>
        <v>0</v>
      </c>
      <c r="CN244" s="34">
        <f t="shared" ca="1" si="160"/>
        <v>0</v>
      </c>
      <c r="CO244" s="34">
        <f t="shared" ca="1" si="160"/>
        <v>0</v>
      </c>
      <c r="CP244" s="34">
        <f t="shared" ca="1" si="160"/>
        <v>0</v>
      </c>
      <c r="CQ244" s="34">
        <f t="shared" ca="1" si="179"/>
        <v>0</v>
      </c>
      <c r="CR244" s="363">
        <v>0</v>
      </c>
      <c r="CS244" s="34">
        <f t="shared" ca="1" si="180"/>
        <v>0</v>
      </c>
      <c r="CT244" s="233"/>
    </row>
    <row r="245" spans="2:98" x14ac:dyDescent="0.3">
      <c r="B245" s="232"/>
      <c r="C245" s="250">
        <f t="shared" si="181"/>
        <v>2029</v>
      </c>
      <c r="D245" s="263">
        <f t="shared" ca="1" si="161"/>
        <v>0</v>
      </c>
      <c r="E245" s="263">
        <f t="shared" ca="1" si="149"/>
        <v>0</v>
      </c>
      <c r="F245" s="263">
        <f t="shared" ca="1" si="150"/>
        <v>0</v>
      </c>
      <c r="G245" s="263">
        <f t="shared" ca="1" si="162"/>
        <v>0</v>
      </c>
      <c r="H245" s="15"/>
      <c r="I245" s="271">
        <f ca="1">Assumptions!O$68</f>
        <v>4.5</v>
      </c>
      <c r="J245" s="271">
        <f ca="1">Assumptions!P$68</f>
        <v>80</v>
      </c>
      <c r="K245" s="271">
        <f t="shared" ca="1" si="151"/>
        <v>40</v>
      </c>
      <c r="L245" s="15"/>
      <c r="M245" s="35">
        <f t="shared" ca="1" si="163"/>
        <v>4.2299999999999995</v>
      </c>
      <c r="N245" s="35">
        <f t="shared" ca="1" si="152"/>
        <v>74.400000000000006</v>
      </c>
      <c r="O245" s="35">
        <f t="shared" ca="1" si="153"/>
        <v>37.200000000000003</v>
      </c>
      <c r="P245" s="15"/>
      <c r="Q245" s="34">
        <f t="shared" ca="1" si="164"/>
        <v>0</v>
      </c>
      <c r="R245" s="34">
        <f t="shared" ca="1" si="164"/>
        <v>0</v>
      </c>
      <c r="S245" s="34">
        <f t="shared" ca="1" si="164"/>
        <v>0</v>
      </c>
      <c r="T245" s="34">
        <f t="shared" ca="1" si="165"/>
        <v>0</v>
      </c>
      <c r="U245" s="15"/>
      <c r="V245" s="35">
        <f t="shared" si="166"/>
        <v>0.31</v>
      </c>
      <c r="W245" s="34">
        <f t="shared" ca="1" si="167"/>
        <v>0</v>
      </c>
      <c r="X245" s="35">
        <f t="shared" si="168"/>
        <v>0.37</v>
      </c>
      <c r="Y245" s="34">
        <f t="shared" ca="1" si="169"/>
        <v>0</v>
      </c>
      <c r="Z245" s="35">
        <f t="shared" si="170"/>
        <v>0.57999999999999996</v>
      </c>
      <c r="AA245" s="34">
        <f t="shared" ca="1" si="171"/>
        <v>0</v>
      </c>
      <c r="AB245" s="34">
        <f t="shared" ca="1" si="172"/>
        <v>0</v>
      </c>
      <c r="AC245" s="15"/>
      <c r="AD245" s="34">
        <f t="shared" ca="1" si="173"/>
        <v>0</v>
      </c>
      <c r="AE245" s="34">
        <f ca="1"/>
        <v>0</v>
      </c>
      <c r="AF245" s="34">
        <f t="shared" ca="1" si="174"/>
        <v>0</v>
      </c>
      <c r="AG245" s="15"/>
      <c r="AH245" s="272">
        <f t="shared" si="182"/>
        <v>47483</v>
      </c>
      <c r="AI245" s="267">
        <f t="shared" si="154"/>
        <v>15.666666666666668</v>
      </c>
      <c r="AJ245" s="267">
        <f t="shared" si="155"/>
        <v>0.22465422942012386</v>
      </c>
      <c r="AK245" s="34">
        <f t="shared" ca="1" si="183"/>
        <v>0</v>
      </c>
      <c r="AL245" s="233"/>
      <c r="AN245" s="232"/>
      <c r="AO245" s="237">
        <f t="shared" si="175"/>
        <v>16</v>
      </c>
      <c r="AP245" s="34">
        <f t="shared" ca="1" si="176"/>
        <v>73.33671620379873</v>
      </c>
      <c r="AQ245" s="34">
        <f t="shared" ca="1" si="176"/>
        <v>0.48508184782321156</v>
      </c>
      <c r="AR245" s="34">
        <f t="shared" ca="1" si="176"/>
        <v>0</v>
      </c>
      <c r="AS245" s="34">
        <f t="shared" ca="1" si="176"/>
        <v>76.247207290738004</v>
      </c>
      <c r="AT245" s="15"/>
      <c r="AW245" s="34">
        <f t="shared" ca="1" si="177"/>
        <v>73.33671620379873</v>
      </c>
      <c r="AX245" s="34">
        <f t="shared" ca="1" si="157"/>
        <v>0.48508184782321156</v>
      </c>
      <c r="AY245" s="34">
        <f t="shared" ca="1" si="157"/>
        <v>0</v>
      </c>
      <c r="AZ245" s="34">
        <f t="shared" ca="1" si="157"/>
        <v>76.247207290738004</v>
      </c>
      <c r="BB245" s="34">
        <f t="shared" ca="1" si="178"/>
        <v>0</v>
      </c>
      <c r="BC245" s="34">
        <f t="shared" ca="1" si="178"/>
        <v>0</v>
      </c>
      <c r="BD245" s="34">
        <f t="shared" ca="1" si="178"/>
        <v>0</v>
      </c>
      <c r="BE245" s="34">
        <f t="shared" ca="1" si="178"/>
        <v>0</v>
      </c>
      <c r="BF245" s="34">
        <f t="shared" ca="1" si="178"/>
        <v>0</v>
      </c>
      <c r="BG245" s="34">
        <f t="shared" ca="1" si="178"/>
        <v>0</v>
      </c>
      <c r="BH245" s="34">
        <f t="shared" ca="1" si="178"/>
        <v>0</v>
      </c>
      <c r="BI245" s="34">
        <f t="shared" ca="1" si="178"/>
        <v>0</v>
      </c>
      <c r="BJ245" s="34">
        <f t="shared" ca="1" si="178"/>
        <v>0</v>
      </c>
      <c r="BK245" s="34">
        <f t="shared" ca="1" si="178"/>
        <v>0</v>
      </c>
      <c r="BL245" s="34">
        <f t="shared" ca="1" si="178"/>
        <v>0</v>
      </c>
      <c r="BM245" s="34">
        <f t="shared" ca="1" si="178"/>
        <v>0</v>
      </c>
      <c r="BN245" s="34">
        <f t="shared" ca="1" si="178"/>
        <v>0</v>
      </c>
      <c r="BO245" s="34">
        <f t="shared" ca="1" si="178"/>
        <v>0</v>
      </c>
      <c r="BP245" s="34">
        <f t="shared" ca="1" si="178"/>
        <v>0</v>
      </c>
      <c r="BQ245" s="34">
        <f t="shared" ca="1" si="178"/>
        <v>0</v>
      </c>
      <c r="BR245" s="34">
        <f t="shared" ca="1" si="184"/>
        <v>0</v>
      </c>
      <c r="BS245" s="34">
        <f t="shared" ca="1" si="184"/>
        <v>0</v>
      </c>
      <c r="BT245" s="34">
        <f t="shared" ca="1" si="184"/>
        <v>0</v>
      </c>
      <c r="BU245" s="34">
        <f t="shared" ca="1" si="184"/>
        <v>0</v>
      </c>
      <c r="BV245" s="34">
        <f t="shared" ca="1" si="184"/>
        <v>0</v>
      </c>
      <c r="BW245" s="34">
        <f t="shared" ca="1" si="184"/>
        <v>0</v>
      </c>
      <c r="BX245" s="34">
        <f t="shared" ca="1" si="184"/>
        <v>0</v>
      </c>
      <c r="BY245" s="34">
        <f t="shared" ca="1" si="184"/>
        <v>0</v>
      </c>
      <c r="BZ245" s="34">
        <f t="shared" ca="1" si="184"/>
        <v>0</v>
      </c>
      <c r="CA245" s="34">
        <f t="shared" ca="1" si="184"/>
        <v>0</v>
      </c>
      <c r="CB245" s="34">
        <f t="shared" ca="1" si="184"/>
        <v>0</v>
      </c>
      <c r="CC245" s="34">
        <f t="shared" ca="1" si="184"/>
        <v>0</v>
      </c>
      <c r="CD245" s="34">
        <f t="shared" ca="1" si="184"/>
        <v>0</v>
      </c>
      <c r="CE245" s="34">
        <f t="shared" ca="1" si="184"/>
        <v>0</v>
      </c>
      <c r="CF245" s="34">
        <f t="shared" ca="1" si="184"/>
        <v>0</v>
      </c>
      <c r="CG245" s="34">
        <f t="shared" ca="1" si="184"/>
        <v>0</v>
      </c>
      <c r="CH245" s="34">
        <f t="shared" ca="1" si="185"/>
        <v>0</v>
      </c>
      <c r="CI245" s="34">
        <f t="shared" ca="1" si="185"/>
        <v>0</v>
      </c>
      <c r="CJ245" s="34">
        <f t="shared" ca="1" si="185"/>
        <v>0</v>
      </c>
      <c r="CK245" s="34">
        <f t="shared" ca="1" si="185"/>
        <v>0</v>
      </c>
      <c r="CL245" s="34">
        <f t="shared" ca="1" si="185"/>
        <v>0</v>
      </c>
      <c r="CM245" s="34">
        <f t="shared" ca="1" si="185"/>
        <v>0</v>
      </c>
      <c r="CN245" s="34">
        <f t="shared" ca="1" si="185"/>
        <v>0</v>
      </c>
      <c r="CO245" s="34">
        <f t="shared" ca="1" si="185"/>
        <v>0</v>
      </c>
      <c r="CP245" s="34">
        <f t="shared" ca="1" si="185"/>
        <v>0</v>
      </c>
      <c r="CQ245" s="34">
        <f t="shared" ca="1" si="179"/>
        <v>0</v>
      </c>
      <c r="CR245" s="363">
        <v>0</v>
      </c>
      <c r="CS245" s="34">
        <f t="shared" ca="1" si="180"/>
        <v>0</v>
      </c>
      <c r="CT245" s="233"/>
    </row>
    <row r="246" spans="2:98" x14ac:dyDescent="0.3">
      <c r="B246" s="232"/>
      <c r="C246" s="250">
        <f t="shared" si="181"/>
        <v>2030</v>
      </c>
      <c r="D246" s="263">
        <f t="shared" ca="1" si="161"/>
        <v>0</v>
      </c>
      <c r="E246" s="263">
        <f t="shared" ca="1" si="149"/>
        <v>0</v>
      </c>
      <c r="F246" s="263">
        <f t="shared" ca="1" si="150"/>
        <v>0</v>
      </c>
      <c r="G246" s="263">
        <f t="shared" ca="1" si="162"/>
        <v>0</v>
      </c>
      <c r="H246" s="15"/>
      <c r="I246" s="271">
        <f ca="1">Assumptions!O$68</f>
        <v>4.5</v>
      </c>
      <c r="J246" s="271">
        <f ca="1">Assumptions!P$68</f>
        <v>80</v>
      </c>
      <c r="K246" s="271">
        <f t="shared" ca="1" si="151"/>
        <v>40</v>
      </c>
      <c r="L246" s="15"/>
      <c r="M246" s="35">
        <f t="shared" ca="1" si="163"/>
        <v>4.2299999999999995</v>
      </c>
      <c r="N246" s="35">
        <f t="shared" ca="1" si="152"/>
        <v>74.400000000000006</v>
      </c>
      <c r="O246" s="35">
        <f t="shared" ca="1" si="153"/>
        <v>37.200000000000003</v>
      </c>
      <c r="P246" s="15"/>
      <c r="Q246" s="34">
        <f t="shared" ca="1" si="164"/>
        <v>0</v>
      </c>
      <c r="R246" s="34">
        <f t="shared" ca="1" si="164"/>
        <v>0</v>
      </c>
      <c r="S246" s="34">
        <f t="shared" ca="1" si="164"/>
        <v>0</v>
      </c>
      <c r="T246" s="34">
        <f t="shared" ca="1" si="165"/>
        <v>0</v>
      </c>
      <c r="U246" s="15"/>
      <c r="V246" s="35">
        <f t="shared" si="166"/>
        <v>0.31</v>
      </c>
      <c r="W246" s="34">
        <f t="shared" ca="1" si="167"/>
        <v>0</v>
      </c>
      <c r="X246" s="35">
        <f t="shared" si="168"/>
        <v>0.37</v>
      </c>
      <c r="Y246" s="34">
        <f t="shared" ca="1" si="169"/>
        <v>0</v>
      </c>
      <c r="Z246" s="35">
        <f t="shared" si="170"/>
        <v>0.57999999999999996</v>
      </c>
      <c r="AA246" s="34">
        <f t="shared" ca="1" si="171"/>
        <v>0</v>
      </c>
      <c r="AB246" s="34">
        <f t="shared" ca="1" si="172"/>
        <v>0</v>
      </c>
      <c r="AC246" s="15"/>
      <c r="AD246" s="34">
        <f t="shared" ca="1" si="173"/>
        <v>0</v>
      </c>
      <c r="AE246" s="34">
        <f ca="1"/>
        <v>0</v>
      </c>
      <c r="AF246" s="34">
        <f t="shared" ca="1" si="174"/>
        <v>0</v>
      </c>
      <c r="AG246" s="15"/>
      <c r="AH246" s="272">
        <f t="shared" si="182"/>
        <v>47848</v>
      </c>
      <c r="AI246" s="267">
        <f t="shared" si="154"/>
        <v>16.666666666666668</v>
      </c>
      <c r="AJ246" s="267">
        <f t="shared" si="155"/>
        <v>0.2042311176546581</v>
      </c>
      <c r="AK246" s="34">
        <f t="shared" ca="1" si="183"/>
        <v>0</v>
      </c>
      <c r="AL246" s="233"/>
      <c r="AN246" s="232"/>
      <c r="AO246" s="237">
        <f t="shared" si="175"/>
        <v>17</v>
      </c>
      <c r="AP246" s="34">
        <f t="shared" ref="AP246:AS261" ca="1" si="186">+AP196</f>
        <v>70.375368916601815</v>
      </c>
      <c r="AQ246" s="34">
        <f t="shared" ca="1" si="186"/>
        <v>0.46549417212025546</v>
      </c>
      <c r="AR246" s="34">
        <f t="shared" ca="1" si="186"/>
        <v>0</v>
      </c>
      <c r="AS246" s="34">
        <f t="shared" ca="1" si="186"/>
        <v>73.16833394932334</v>
      </c>
      <c r="AT246" s="15"/>
      <c r="AW246" s="34">
        <f t="shared" ca="1" si="177"/>
        <v>70.375368916601815</v>
      </c>
      <c r="AX246" s="34">
        <f t="shared" ca="1" si="157"/>
        <v>0.46549417212025546</v>
      </c>
      <c r="AY246" s="34">
        <f t="shared" ca="1" si="157"/>
        <v>0</v>
      </c>
      <c r="AZ246" s="34">
        <f t="shared" ca="1" si="157"/>
        <v>73.16833394932334</v>
      </c>
      <c r="BB246" s="34">
        <f t="shared" ref="BB246:BQ261" ca="1" si="187">IF($AO246&lt;BB$228,0,OFFSET($AZ$228,$AO246-BB$228+1,0)*BB$226)</f>
        <v>0</v>
      </c>
      <c r="BC246" s="34">
        <f t="shared" ca="1" si="187"/>
        <v>0</v>
      </c>
      <c r="BD246" s="34">
        <f t="shared" ca="1" si="187"/>
        <v>0</v>
      </c>
      <c r="BE246" s="34">
        <f t="shared" ca="1" si="187"/>
        <v>0</v>
      </c>
      <c r="BF246" s="34">
        <f t="shared" ca="1" si="187"/>
        <v>0</v>
      </c>
      <c r="BG246" s="34">
        <f t="shared" ca="1" si="187"/>
        <v>0</v>
      </c>
      <c r="BH246" s="34">
        <f t="shared" ca="1" si="187"/>
        <v>0</v>
      </c>
      <c r="BI246" s="34">
        <f t="shared" ca="1" si="187"/>
        <v>0</v>
      </c>
      <c r="BJ246" s="34">
        <f t="shared" ca="1" si="187"/>
        <v>0</v>
      </c>
      <c r="BK246" s="34">
        <f t="shared" ca="1" si="187"/>
        <v>0</v>
      </c>
      <c r="BL246" s="34">
        <f t="shared" ca="1" si="187"/>
        <v>0</v>
      </c>
      <c r="BM246" s="34">
        <f t="shared" ca="1" si="187"/>
        <v>0</v>
      </c>
      <c r="BN246" s="34">
        <f t="shared" ca="1" si="187"/>
        <v>0</v>
      </c>
      <c r="BO246" s="34">
        <f t="shared" ca="1" si="187"/>
        <v>0</v>
      </c>
      <c r="BP246" s="34">
        <f t="shared" ca="1" si="187"/>
        <v>0</v>
      </c>
      <c r="BQ246" s="34">
        <f t="shared" ca="1" si="187"/>
        <v>0</v>
      </c>
      <c r="BR246" s="34">
        <f t="shared" ca="1" si="184"/>
        <v>0</v>
      </c>
      <c r="BS246" s="34">
        <f t="shared" ca="1" si="184"/>
        <v>0</v>
      </c>
      <c r="BT246" s="34">
        <f t="shared" ca="1" si="184"/>
        <v>0</v>
      </c>
      <c r="BU246" s="34">
        <f t="shared" ca="1" si="184"/>
        <v>0</v>
      </c>
      <c r="BV246" s="34">
        <f t="shared" ca="1" si="184"/>
        <v>0</v>
      </c>
      <c r="BW246" s="34">
        <f t="shared" ca="1" si="184"/>
        <v>0</v>
      </c>
      <c r="BX246" s="34">
        <f t="shared" ca="1" si="184"/>
        <v>0</v>
      </c>
      <c r="BY246" s="34">
        <f t="shared" ca="1" si="184"/>
        <v>0</v>
      </c>
      <c r="BZ246" s="34">
        <f t="shared" ca="1" si="184"/>
        <v>0</v>
      </c>
      <c r="CA246" s="34">
        <f t="shared" ca="1" si="184"/>
        <v>0</v>
      </c>
      <c r="CB246" s="34">
        <f t="shared" ca="1" si="184"/>
        <v>0</v>
      </c>
      <c r="CC246" s="34">
        <f t="shared" ca="1" si="184"/>
        <v>0</v>
      </c>
      <c r="CD246" s="34">
        <f t="shared" ca="1" si="184"/>
        <v>0</v>
      </c>
      <c r="CE246" s="34">
        <f t="shared" ca="1" si="184"/>
        <v>0</v>
      </c>
      <c r="CF246" s="34">
        <f t="shared" ca="1" si="184"/>
        <v>0</v>
      </c>
      <c r="CG246" s="34">
        <f t="shared" ca="1" si="184"/>
        <v>0</v>
      </c>
      <c r="CH246" s="34">
        <f t="shared" ca="1" si="185"/>
        <v>0</v>
      </c>
      <c r="CI246" s="34">
        <f t="shared" ca="1" si="185"/>
        <v>0</v>
      </c>
      <c r="CJ246" s="34">
        <f t="shared" ca="1" si="185"/>
        <v>0</v>
      </c>
      <c r="CK246" s="34">
        <f t="shared" ca="1" si="185"/>
        <v>0</v>
      </c>
      <c r="CL246" s="34">
        <f t="shared" ca="1" si="185"/>
        <v>0</v>
      </c>
      <c r="CM246" s="34">
        <f t="shared" ca="1" si="185"/>
        <v>0</v>
      </c>
      <c r="CN246" s="34">
        <f t="shared" ca="1" si="185"/>
        <v>0</v>
      </c>
      <c r="CO246" s="34">
        <f t="shared" ca="1" si="185"/>
        <v>0</v>
      </c>
      <c r="CP246" s="34">
        <f t="shared" ca="1" si="185"/>
        <v>0</v>
      </c>
      <c r="CQ246" s="34">
        <f t="shared" ca="1" si="179"/>
        <v>0</v>
      </c>
      <c r="CR246" s="363">
        <v>0</v>
      </c>
      <c r="CS246" s="34">
        <f t="shared" ca="1" si="180"/>
        <v>0</v>
      </c>
      <c r="CT246" s="233"/>
    </row>
    <row r="247" spans="2:98" x14ac:dyDescent="0.3">
      <c r="B247" s="232"/>
      <c r="C247" s="250">
        <f t="shared" si="181"/>
        <v>2031</v>
      </c>
      <c r="D247" s="263">
        <f t="shared" ca="1" si="161"/>
        <v>5268.2542151436355</v>
      </c>
      <c r="E247" s="263">
        <f t="shared" ca="1" si="149"/>
        <v>34.846590108869982</v>
      </c>
      <c r="F247" s="263">
        <f t="shared" ca="1" si="150"/>
        <v>0</v>
      </c>
      <c r="G247" s="263">
        <f t="shared" ca="1" si="162"/>
        <v>5477.3337557968553</v>
      </c>
      <c r="H247" s="15"/>
      <c r="I247" s="271">
        <f ca="1">Assumptions!O$68</f>
        <v>4.5</v>
      </c>
      <c r="J247" s="271">
        <f ca="1">Assumptions!P$68</f>
        <v>80</v>
      </c>
      <c r="K247" s="271">
        <f t="shared" ca="1" si="151"/>
        <v>40</v>
      </c>
      <c r="L247" s="15"/>
      <c r="M247" s="35">
        <f t="shared" ca="1" si="163"/>
        <v>4.2299999999999995</v>
      </c>
      <c r="N247" s="35">
        <f t="shared" ca="1" si="152"/>
        <v>74.400000000000006</v>
      </c>
      <c r="O247" s="35">
        <f t="shared" ca="1" si="153"/>
        <v>37.200000000000003</v>
      </c>
      <c r="P247" s="15"/>
      <c r="Q247" s="34">
        <f t="shared" ca="1" si="164"/>
        <v>22284.715330057577</v>
      </c>
      <c r="R247" s="34">
        <f t="shared" ca="1" si="164"/>
        <v>2592.586304099927</v>
      </c>
      <c r="S247" s="34">
        <f t="shared" ca="1" si="164"/>
        <v>0</v>
      </c>
      <c r="T247" s="34">
        <f t="shared" ca="1" si="165"/>
        <v>24877.301634157506</v>
      </c>
      <c r="U247" s="15"/>
      <c r="V247" s="35">
        <f t="shared" si="166"/>
        <v>0.31</v>
      </c>
      <c r="W247" s="34">
        <f t="shared" ca="1" si="167"/>
        <v>1697.9734642970252</v>
      </c>
      <c r="X247" s="35">
        <f t="shared" si="168"/>
        <v>0.37</v>
      </c>
      <c r="Y247" s="34">
        <f t="shared" ca="1" si="169"/>
        <v>2026.6134896448364</v>
      </c>
      <c r="Z247" s="35">
        <f t="shared" si="170"/>
        <v>0.57999999999999996</v>
      </c>
      <c r="AA247" s="34">
        <f t="shared" ca="1" si="171"/>
        <v>3176.853578362176</v>
      </c>
      <c r="AB247" s="34">
        <f t="shared" ca="1" si="172"/>
        <v>6901.4405323040373</v>
      </c>
      <c r="AC247" s="15"/>
      <c r="AD247" s="34">
        <f t="shared" ca="1" si="173"/>
        <v>17975.861101853468</v>
      </c>
      <c r="AE247" s="34">
        <f ca="1"/>
        <v>26634.725017810713</v>
      </c>
      <c r="AF247" s="34">
        <f t="shared" ca="1" si="174"/>
        <v>-8658.8639159572449</v>
      </c>
      <c r="AG247" s="15"/>
      <c r="AH247" s="272">
        <f t="shared" si="182"/>
        <v>48213</v>
      </c>
      <c r="AI247" s="267">
        <f t="shared" si="154"/>
        <v>17.666666666666668</v>
      </c>
      <c r="AJ247" s="267">
        <f t="shared" si="155"/>
        <v>0.1856646524133255</v>
      </c>
      <c r="AK247" s="34">
        <f t="shared" ca="1" si="183"/>
        <v>-1607.6449592504885</v>
      </c>
      <c r="AL247" s="233"/>
      <c r="AN247" s="232"/>
      <c r="AO247" s="237">
        <f t="shared" si="175"/>
        <v>18</v>
      </c>
      <c r="AP247" s="34">
        <f t="shared" ca="1" si="186"/>
        <v>67.533879499002282</v>
      </c>
      <c r="AQ247" s="34">
        <f t="shared" ca="1" si="186"/>
        <v>0.44669928998469727</v>
      </c>
      <c r="AR247" s="34">
        <f t="shared" ca="1" si="186"/>
        <v>0</v>
      </c>
      <c r="AS247" s="34">
        <f t="shared" ca="1" si="186"/>
        <v>70.214075238910468</v>
      </c>
      <c r="AT247" s="15"/>
      <c r="AW247" s="34">
        <f t="shared" ca="1" si="177"/>
        <v>67.533879499002282</v>
      </c>
      <c r="AX247" s="34">
        <f t="shared" ca="1" si="157"/>
        <v>0.44669928998469727</v>
      </c>
      <c r="AY247" s="34">
        <f t="shared" ca="1" si="157"/>
        <v>0</v>
      </c>
      <c r="AZ247" s="34">
        <f t="shared" ca="1" si="157"/>
        <v>70.214075238910468</v>
      </c>
      <c r="BB247" s="34">
        <f t="shared" ca="1" si="187"/>
        <v>0</v>
      </c>
      <c r="BC247" s="34">
        <f t="shared" ca="1" si="187"/>
        <v>0</v>
      </c>
      <c r="BD247" s="34">
        <f t="shared" ca="1" si="187"/>
        <v>0</v>
      </c>
      <c r="BE247" s="34">
        <f t="shared" ca="1" si="187"/>
        <v>0</v>
      </c>
      <c r="BF247" s="34">
        <f t="shared" ca="1" si="187"/>
        <v>0</v>
      </c>
      <c r="BG247" s="34">
        <f t="shared" ca="1" si="187"/>
        <v>0</v>
      </c>
      <c r="BH247" s="34">
        <f t="shared" ca="1" si="187"/>
        <v>0</v>
      </c>
      <c r="BI247" s="34">
        <f t="shared" ca="1" si="187"/>
        <v>0</v>
      </c>
      <c r="BJ247" s="34">
        <f t="shared" ca="1" si="187"/>
        <v>0</v>
      </c>
      <c r="BK247" s="34">
        <f t="shared" ca="1" si="187"/>
        <v>0</v>
      </c>
      <c r="BL247" s="34">
        <f t="shared" ca="1" si="187"/>
        <v>0</v>
      </c>
      <c r="BM247" s="34">
        <f t="shared" ca="1" si="187"/>
        <v>0</v>
      </c>
      <c r="BN247" s="34">
        <f t="shared" ca="1" si="187"/>
        <v>0</v>
      </c>
      <c r="BO247" s="34">
        <f t="shared" ca="1" si="187"/>
        <v>0</v>
      </c>
      <c r="BP247" s="34">
        <f t="shared" ca="1" si="187"/>
        <v>0</v>
      </c>
      <c r="BQ247" s="34">
        <f t="shared" ca="1" si="187"/>
        <v>0</v>
      </c>
      <c r="BR247" s="34">
        <f t="shared" ca="1" si="184"/>
        <v>0</v>
      </c>
      <c r="BS247" s="34">
        <f t="shared" ca="1" si="184"/>
        <v>0</v>
      </c>
      <c r="BT247" s="34">
        <f t="shared" ca="1" si="184"/>
        <v>54773.337557968545</v>
      </c>
      <c r="BU247" s="34">
        <f t="shared" ca="1" si="184"/>
        <v>0</v>
      </c>
      <c r="BV247" s="34">
        <f t="shared" ca="1" si="184"/>
        <v>0</v>
      </c>
      <c r="BW247" s="34">
        <f t="shared" ca="1" si="184"/>
        <v>0</v>
      </c>
      <c r="BX247" s="34">
        <f t="shared" ca="1" si="184"/>
        <v>0</v>
      </c>
      <c r="BY247" s="34">
        <f t="shared" ca="1" si="184"/>
        <v>0</v>
      </c>
      <c r="BZ247" s="34">
        <f t="shared" ca="1" si="184"/>
        <v>0</v>
      </c>
      <c r="CA247" s="34">
        <f t="shared" ca="1" si="184"/>
        <v>0</v>
      </c>
      <c r="CB247" s="34">
        <f t="shared" ca="1" si="184"/>
        <v>0</v>
      </c>
      <c r="CC247" s="34">
        <f t="shared" ca="1" si="184"/>
        <v>0</v>
      </c>
      <c r="CD247" s="34">
        <f t="shared" ca="1" si="184"/>
        <v>0</v>
      </c>
      <c r="CE247" s="34">
        <f t="shared" ca="1" si="184"/>
        <v>0</v>
      </c>
      <c r="CF247" s="34">
        <f t="shared" ca="1" si="184"/>
        <v>0</v>
      </c>
      <c r="CG247" s="34">
        <f t="shared" ca="1" si="184"/>
        <v>0</v>
      </c>
      <c r="CH247" s="34">
        <f t="shared" ca="1" si="185"/>
        <v>0</v>
      </c>
      <c r="CI247" s="34">
        <f t="shared" ca="1" si="185"/>
        <v>0</v>
      </c>
      <c r="CJ247" s="34">
        <f t="shared" ca="1" si="185"/>
        <v>0</v>
      </c>
      <c r="CK247" s="34">
        <f t="shared" ca="1" si="185"/>
        <v>0</v>
      </c>
      <c r="CL247" s="34">
        <f t="shared" ca="1" si="185"/>
        <v>0</v>
      </c>
      <c r="CM247" s="34">
        <f t="shared" ca="1" si="185"/>
        <v>0</v>
      </c>
      <c r="CN247" s="34">
        <f t="shared" ca="1" si="185"/>
        <v>0</v>
      </c>
      <c r="CO247" s="34">
        <f t="shared" ca="1" si="185"/>
        <v>0</v>
      </c>
      <c r="CP247" s="34">
        <f t="shared" ca="1" si="185"/>
        <v>0</v>
      </c>
      <c r="CQ247" s="34">
        <f t="shared" ca="1" si="179"/>
        <v>54773.337557968545</v>
      </c>
      <c r="CR247" s="363">
        <v>0</v>
      </c>
      <c r="CS247" s="34">
        <f t="shared" ca="1" si="180"/>
        <v>54773.337557968545</v>
      </c>
      <c r="CT247" s="233"/>
    </row>
    <row r="248" spans="2:98" x14ac:dyDescent="0.3">
      <c r="B248" s="232"/>
      <c r="C248" s="250">
        <f t="shared" si="181"/>
        <v>2032</v>
      </c>
      <c r="D248" s="263">
        <f t="shared" ca="1" si="161"/>
        <v>10564.126993191661</v>
      </c>
      <c r="E248" s="263">
        <f t="shared" ca="1" si="149"/>
        <v>69.87586174782993</v>
      </c>
      <c r="F248" s="263">
        <f t="shared" ca="1" si="150"/>
        <v>0</v>
      </c>
      <c r="G248" s="263">
        <f t="shared" ca="1" si="162"/>
        <v>10983.382163678642</v>
      </c>
      <c r="H248" s="15"/>
      <c r="I248" s="271">
        <f ca="1">Assumptions!O$68</f>
        <v>4.5</v>
      </c>
      <c r="J248" s="271">
        <f ca="1">Assumptions!P$68</f>
        <v>80</v>
      </c>
      <c r="K248" s="271">
        <f t="shared" ca="1" si="151"/>
        <v>40</v>
      </c>
      <c r="L248" s="15"/>
      <c r="M248" s="35">
        <f t="shared" ca="1" si="163"/>
        <v>4.2299999999999995</v>
      </c>
      <c r="N248" s="35">
        <f t="shared" ca="1" si="152"/>
        <v>74.400000000000006</v>
      </c>
      <c r="O248" s="35">
        <f t="shared" ca="1" si="153"/>
        <v>37.200000000000003</v>
      </c>
      <c r="P248" s="15"/>
      <c r="Q248" s="34">
        <f t="shared" ca="1" si="164"/>
        <v>44686.257181200723</v>
      </c>
      <c r="R248" s="34">
        <f t="shared" ca="1" si="164"/>
        <v>5198.7641140385476</v>
      </c>
      <c r="S248" s="34">
        <f t="shared" ca="1" si="164"/>
        <v>0</v>
      </c>
      <c r="T248" s="34">
        <f t="shared" ca="1" si="165"/>
        <v>49885.021295239269</v>
      </c>
      <c r="U248" s="15"/>
      <c r="V248" s="35">
        <f t="shared" si="166"/>
        <v>0.31</v>
      </c>
      <c r="W248" s="34">
        <f t="shared" ca="1" si="167"/>
        <v>3404.8484707403791</v>
      </c>
      <c r="X248" s="35">
        <f t="shared" si="168"/>
        <v>0.37</v>
      </c>
      <c r="Y248" s="34">
        <f t="shared" ca="1" si="169"/>
        <v>4063.8514005610973</v>
      </c>
      <c r="Z248" s="35">
        <f t="shared" si="170"/>
        <v>0.57999999999999996</v>
      </c>
      <c r="AA248" s="34">
        <f t="shared" ca="1" si="171"/>
        <v>6370.361654933612</v>
      </c>
      <c r="AB248" s="34">
        <f t="shared" ca="1" si="172"/>
        <v>13839.061526235088</v>
      </c>
      <c r="AC248" s="15"/>
      <c r="AD248" s="34">
        <f t="shared" ca="1" si="173"/>
        <v>36045.959769004185</v>
      </c>
      <c r="AE248" s="34">
        <f ca="1"/>
        <v>41615</v>
      </c>
      <c r="AF248" s="34">
        <f t="shared" ca="1" si="174"/>
        <v>-5569.0402309958154</v>
      </c>
      <c r="AG248" s="15"/>
      <c r="AH248" s="272">
        <f t="shared" si="182"/>
        <v>48579</v>
      </c>
      <c r="AI248" s="267">
        <f t="shared" si="154"/>
        <v>18.666666666666668</v>
      </c>
      <c r="AJ248" s="267">
        <f t="shared" si="155"/>
        <v>0.16878604764847771</v>
      </c>
      <c r="AK248" s="34">
        <f t="shared" ca="1" si="183"/>
        <v>-939.97628978514899</v>
      </c>
      <c r="AL248" s="233"/>
      <c r="AN248" s="232"/>
      <c r="AO248" s="237">
        <f t="shared" si="175"/>
        <v>19</v>
      </c>
      <c r="AP248" s="34">
        <f t="shared" ca="1" si="186"/>
        <v>64.807116996974614</v>
      </c>
      <c r="AQ248" s="34">
        <f t="shared" ca="1" si="186"/>
        <v>0.42866326299130275</v>
      </c>
      <c r="AR248" s="34">
        <f t="shared" ca="1" si="186"/>
        <v>0</v>
      </c>
      <c r="AS248" s="34">
        <f t="shared" ca="1" si="186"/>
        <v>67.379096574922428</v>
      </c>
      <c r="AT248" s="15"/>
      <c r="AW248" s="34">
        <f t="shared" ca="1" si="177"/>
        <v>64.807116996974614</v>
      </c>
      <c r="AX248" s="34">
        <f t="shared" ca="1" si="157"/>
        <v>0.42866326299130275</v>
      </c>
      <c r="AY248" s="34">
        <f t="shared" ca="1" si="157"/>
        <v>0</v>
      </c>
      <c r="AZ248" s="34">
        <f t="shared" ca="1" si="157"/>
        <v>67.379096574922428</v>
      </c>
      <c r="BB248" s="34">
        <f t="shared" ca="1" si="187"/>
        <v>0</v>
      </c>
      <c r="BC248" s="34">
        <f t="shared" ca="1" si="187"/>
        <v>0</v>
      </c>
      <c r="BD248" s="34">
        <f t="shared" ca="1" si="187"/>
        <v>0</v>
      </c>
      <c r="BE248" s="34">
        <f t="shared" ca="1" si="187"/>
        <v>0</v>
      </c>
      <c r="BF248" s="34">
        <f t="shared" ca="1" si="187"/>
        <v>0</v>
      </c>
      <c r="BG248" s="34">
        <f t="shared" ca="1" si="187"/>
        <v>0</v>
      </c>
      <c r="BH248" s="34">
        <f t="shared" ca="1" si="187"/>
        <v>0</v>
      </c>
      <c r="BI248" s="34">
        <f t="shared" ca="1" si="187"/>
        <v>0</v>
      </c>
      <c r="BJ248" s="34">
        <f t="shared" ca="1" si="187"/>
        <v>0</v>
      </c>
      <c r="BK248" s="34">
        <f t="shared" ca="1" si="187"/>
        <v>0</v>
      </c>
      <c r="BL248" s="34">
        <f t="shared" ca="1" si="187"/>
        <v>0</v>
      </c>
      <c r="BM248" s="34">
        <f t="shared" ca="1" si="187"/>
        <v>0</v>
      </c>
      <c r="BN248" s="34">
        <f t="shared" ca="1" si="187"/>
        <v>0</v>
      </c>
      <c r="BO248" s="34">
        <f t="shared" ca="1" si="187"/>
        <v>0</v>
      </c>
      <c r="BP248" s="34">
        <f t="shared" ca="1" si="187"/>
        <v>0</v>
      </c>
      <c r="BQ248" s="34">
        <f t="shared" ca="1" si="187"/>
        <v>0</v>
      </c>
      <c r="BR248" s="34">
        <f t="shared" ca="1" si="184"/>
        <v>0</v>
      </c>
      <c r="BS248" s="34">
        <f t="shared" ca="1" si="184"/>
        <v>0</v>
      </c>
      <c r="BT248" s="34">
        <f t="shared" ca="1" si="184"/>
        <v>24254.096636786413</v>
      </c>
      <c r="BU248" s="34">
        <f t="shared" ca="1" si="184"/>
        <v>85579.724999999991</v>
      </c>
      <c r="BV248" s="34">
        <f t="shared" ca="1" si="184"/>
        <v>0</v>
      </c>
      <c r="BW248" s="34">
        <f t="shared" ca="1" si="184"/>
        <v>0</v>
      </c>
      <c r="BX248" s="34">
        <f t="shared" ca="1" si="184"/>
        <v>0</v>
      </c>
      <c r="BY248" s="34">
        <f t="shared" ca="1" si="184"/>
        <v>0</v>
      </c>
      <c r="BZ248" s="34">
        <f t="shared" ca="1" si="184"/>
        <v>0</v>
      </c>
      <c r="CA248" s="34">
        <f t="shared" ca="1" si="184"/>
        <v>0</v>
      </c>
      <c r="CB248" s="34">
        <f t="shared" ca="1" si="184"/>
        <v>0</v>
      </c>
      <c r="CC248" s="34">
        <f t="shared" ca="1" si="184"/>
        <v>0</v>
      </c>
      <c r="CD248" s="34">
        <f t="shared" ca="1" si="184"/>
        <v>0</v>
      </c>
      <c r="CE248" s="34">
        <f t="shared" ca="1" si="184"/>
        <v>0</v>
      </c>
      <c r="CF248" s="34">
        <f t="shared" ca="1" si="184"/>
        <v>0</v>
      </c>
      <c r="CG248" s="34">
        <f t="shared" ca="1" si="184"/>
        <v>0</v>
      </c>
      <c r="CH248" s="34">
        <f t="shared" ca="1" si="185"/>
        <v>0</v>
      </c>
      <c r="CI248" s="34">
        <f t="shared" ca="1" si="185"/>
        <v>0</v>
      </c>
      <c r="CJ248" s="34">
        <f t="shared" ca="1" si="185"/>
        <v>0</v>
      </c>
      <c r="CK248" s="34">
        <f t="shared" ca="1" si="185"/>
        <v>0</v>
      </c>
      <c r="CL248" s="34">
        <f t="shared" ca="1" si="185"/>
        <v>0</v>
      </c>
      <c r="CM248" s="34">
        <f t="shared" ca="1" si="185"/>
        <v>0</v>
      </c>
      <c r="CN248" s="34">
        <f t="shared" ca="1" si="185"/>
        <v>0</v>
      </c>
      <c r="CO248" s="34">
        <f t="shared" ca="1" si="185"/>
        <v>0</v>
      </c>
      <c r="CP248" s="34">
        <f t="shared" ca="1" si="185"/>
        <v>0</v>
      </c>
      <c r="CQ248" s="34">
        <f t="shared" ca="1" si="179"/>
        <v>109833.82163678641</v>
      </c>
      <c r="CR248" s="363">
        <v>0</v>
      </c>
      <c r="CS248" s="34">
        <f t="shared" ca="1" si="180"/>
        <v>109833.82163678641</v>
      </c>
      <c r="CT248" s="233"/>
    </row>
    <row r="249" spans="2:98" x14ac:dyDescent="0.3">
      <c r="B249" s="232"/>
      <c r="C249" s="250">
        <f t="shared" si="181"/>
        <v>2033</v>
      </c>
      <c r="D249" s="263">
        <f t="shared" ca="1" si="161"/>
        <v>13542.297722096157</v>
      </c>
      <c r="E249" s="263">
        <f t="shared" ca="1" si="149"/>
        <v>89.5748152201312</v>
      </c>
      <c r="F249" s="263">
        <f t="shared" ca="1" si="150"/>
        <v>0</v>
      </c>
      <c r="G249" s="263">
        <f t="shared" ca="1" si="162"/>
        <v>14079.746613416944</v>
      </c>
      <c r="H249" s="15"/>
      <c r="I249" s="271">
        <f ca="1">Assumptions!O$68</f>
        <v>4.5</v>
      </c>
      <c r="J249" s="271">
        <f ca="1">Assumptions!P$68</f>
        <v>80</v>
      </c>
      <c r="K249" s="271">
        <f t="shared" ca="1" si="151"/>
        <v>40</v>
      </c>
      <c r="L249" s="15"/>
      <c r="M249" s="35">
        <f t="shared" ca="1" si="163"/>
        <v>4.2299999999999995</v>
      </c>
      <c r="N249" s="35">
        <f t="shared" ca="1" si="152"/>
        <v>74.400000000000006</v>
      </c>
      <c r="O249" s="35">
        <f t="shared" ca="1" si="153"/>
        <v>37.200000000000003</v>
      </c>
      <c r="P249" s="15"/>
      <c r="Q249" s="34">
        <f t="shared" ca="1" si="164"/>
        <v>57283.919364466739</v>
      </c>
      <c r="R249" s="34">
        <f t="shared" ca="1" si="164"/>
        <v>6664.3662523777621</v>
      </c>
      <c r="S249" s="34">
        <f t="shared" ca="1" si="164"/>
        <v>0</v>
      </c>
      <c r="T249" s="34">
        <f t="shared" ca="1" si="165"/>
        <v>63948.2856168445</v>
      </c>
      <c r="U249" s="15"/>
      <c r="V249" s="35">
        <f t="shared" si="166"/>
        <v>0.31</v>
      </c>
      <c r="W249" s="34">
        <f t="shared" ca="1" si="167"/>
        <v>4364.7214501592525</v>
      </c>
      <c r="X249" s="35">
        <f t="shared" si="168"/>
        <v>0.37</v>
      </c>
      <c r="Y249" s="34">
        <f t="shared" ca="1" si="169"/>
        <v>5209.5062469642689</v>
      </c>
      <c r="Z249" s="35">
        <f t="shared" si="170"/>
        <v>0.57999999999999996</v>
      </c>
      <c r="AA249" s="34">
        <f t="shared" ca="1" si="171"/>
        <v>8166.2530357818268</v>
      </c>
      <c r="AB249" s="34">
        <f t="shared" ca="1" si="172"/>
        <v>17740.480732905351</v>
      </c>
      <c r="AC249" s="15"/>
      <c r="AD249" s="34">
        <f t="shared" ca="1" si="173"/>
        <v>46207.804883939149</v>
      </c>
      <c r="AE249" s="34">
        <f ca="1"/>
        <v>41615</v>
      </c>
      <c r="AF249" s="34">
        <f t="shared" ca="1" si="174"/>
        <v>4592.8048839391486</v>
      </c>
      <c r="AG249" s="15"/>
      <c r="AH249" s="272">
        <f t="shared" si="182"/>
        <v>48944</v>
      </c>
      <c r="AI249" s="267">
        <f t="shared" si="154"/>
        <v>19.666666666666668</v>
      </c>
      <c r="AJ249" s="267">
        <f t="shared" si="155"/>
        <v>0.15344186149861608</v>
      </c>
      <c r="AK249" s="34">
        <f t="shared" ca="1" si="183"/>
        <v>704.72853089155831</v>
      </c>
      <c r="AL249" s="233"/>
      <c r="AN249" s="232"/>
      <c r="AO249" s="237">
        <f t="shared" si="175"/>
        <v>20</v>
      </c>
      <c r="AP249" s="34">
        <f t="shared" ca="1" si="186"/>
        <v>62.190453654011122</v>
      </c>
      <c r="AQ249" s="34">
        <f t="shared" ca="1" si="186"/>
        <v>0.41135548108832404</v>
      </c>
      <c r="AR249" s="34">
        <f t="shared" ca="1" si="186"/>
        <v>0</v>
      </c>
      <c r="AS249" s="34">
        <f t="shared" ca="1" si="186"/>
        <v>64.658586540541066</v>
      </c>
      <c r="AT249" s="15"/>
      <c r="AW249" s="34">
        <f t="shared" ca="1" si="177"/>
        <v>62.190453654011122</v>
      </c>
      <c r="AX249" s="34">
        <f t="shared" ca="1" si="157"/>
        <v>0.41135548108832404</v>
      </c>
      <c r="AY249" s="34">
        <f t="shared" ca="1" si="157"/>
        <v>0</v>
      </c>
      <c r="AZ249" s="34">
        <f t="shared" ca="1" si="157"/>
        <v>64.658586540541066</v>
      </c>
      <c r="BB249" s="34">
        <f t="shared" ca="1" si="187"/>
        <v>0</v>
      </c>
      <c r="BC249" s="34">
        <f t="shared" ca="1" si="187"/>
        <v>0</v>
      </c>
      <c r="BD249" s="34">
        <f t="shared" ca="1" si="187"/>
        <v>0</v>
      </c>
      <c r="BE249" s="34">
        <f t="shared" ca="1" si="187"/>
        <v>0</v>
      </c>
      <c r="BF249" s="34">
        <f t="shared" ca="1" si="187"/>
        <v>0</v>
      </c>
      <c r="BG249" s="34">
        <f t="shared" ca="1" si="187"/>
        <v>0</v>
      </c>
      <c r="BH249" s="34">
        <f t="shared" ca="1" si="187"/>
        <v>0</v>
      </c>
      <c r="BI249" s="34">
        <f t="shared" ca="1" si="187"/>
        <v>0</v>
      </c>
      <c r="BJ249" s="34">
        <f t="shared" ca="1" si="187"/>
        <v>0</v>
      </c>
      <c r="BK249" s="34">
        <f t="shared" ca="1" si="187"/>
        <v>0</v>
      </c>
      <c r="BL249" s="34">
        <f t="shared" ca="1" si="187"/>
        <v>0</v>
      </c>
      <c r="BM249" s="34">
        <f t="shared" ca="1" si="187"/>
        <v>0</v>
      </c>
      <c r="BN249" s="34">
        <f t="shared" ca="1" si="187"/>
        <v>0</v>
      </c>
      <c r="BO249" s="34">
        <f t="shared" ca="1" si="187"/>
        <v>0</v>
      </c>
      <c r="BP249" s="34">
        <f t="shared" ca="1" si="187"/>
        <v>0</v>
      </c>
      <c r="BQ249" s="34">
        <f t="shared" ca="1" si="187"/>
        <v>0</v>
      </c>
      <c r="BR249" s="34">
        <f t="shared" ca="1" si="184"/>
        <v>0</v>
      </c>
      <c r="BS249" s="34">
        <f t="shared" ca="1" si="184"/>
        <v>0</v>
      </c>
      <c r="BT249" s="34">
        <f t="shared" ca="1" si="184"/>
        <v>17322.315862651842</v>
      </c>
      <c r="BU249" s="34">
        <f t="shared" ca="1" si="184"/>
        <v>37895.425271517612</v>
      </c>
      <c r="BV249" s="34">
        <f t="shared" ca="1" si="184"/>
        <v>85579.724999999991</v>
      </c>
      <c r="BW249" s="34">
        <f t="shared" ca="1" si="184"/>
        <v>0</v>
      </c>
      <c r="BX249" s="34">
        <f t="shared" ca="1" si="184"/>
        <v>0</v>
      </c>
      <c r="BY249" s="34">
        <f t="shared" ca="1" si="184"/>
        <v>0</v>
      </c>
      <c r="BZ249" s="34">
        <f t="shared" ca="1" si="184"/>
        <v>0</v>
      </c>
      <c r="CA249" s="34">
        <f t="shared" ca="1" si="184"/>
        <v>0</v>
      </c>
      <c r="CB249" s="34">
        <f t="shared" ca="1" si="184"/>
        <v>0</v>
      </c>
      <c r="CC249" s="34">
        <f t="shared" ca="1" si="184"/>
        <v>0</v>
      </c>
      <c r="CD249" s="34">
        <f t="shared" ca="1" si="184"/>
        <v>0</v>
      </c>
      <c r="CE249" s="34">
        <f t="shared" ca="1" si="184"/>
        <v>0</v>
      </c>
      <c r="CF249" s="34">
        <f t="shared" ca="1" si="184"/>
        <v>0</v>
      </c>
      <c r="CG249" s="34">
        <f t="shared" ca="1" si="184"/>
        <v>0</v>
      </c>
      <c r="CH249" s="34">
        <f t="shared" ca="1" si="185"/>
        <v>0</v>
      </c>
      <c r="CI249" s="34">
        <f t="shared" ca="1" si="185"/>
        <v>0</v>
      </c>
      <c r="CJ249" s="34">
        <f t="shared" ca="1" si="185"/>
        <v>0</v>
      </c>
      <c r="CK249" s="34">
        <f t="shared" ca="1" si="185"/>
        <v>0</v>
      </c>
      <c r="CL249" s="34">
        <f t="shared" ca="1" si="185"/>
        <v>0</v>
      </c>
      <c r="CM249" s="34">
        <f t="shared" ca="1" si="185"/>
        <v>0</v>
      </c>
      <c r="CN249" s="34">
        <f t="shared" ca="1" si="185"/>
        <v>0</v>
      </c>
      <c r="CO249" s="34">
        <f t="shared" ca="1" si="185"/>
        <v>0</v>
      </c>
      <c r="CP249" s="34">
        <f t="shared" ca="1" si="185"/>
        <v>0</v>
      </c>
      <c r="CQ249" s="34">
        <f t="shared" ca="1" si="179"/>
        <v>140797.46613416943</v>
      </c>
      <c r="CR249" s="363">
        <v>0</v>
      </c>
      <c r="CS249" s="34">
        <f t="shared" ca="1" si="180"/>
        <v>140797.46613416943</v>
      </c>
      <c r="CT249" s="233"/>
    </row>
    <row r="250" spans="2:98" x14ac:dyDescent="0.3">
      <c r="B250" s="232"/>
      <c r="C250" s="250">
        <f t="shared" si="181"/>
        <v>2034</v>
      </c>
      <c r="D250" s="263">
        <f t="shared" ca="1" si="161"/>
        <v>15814.4697499585</v>
      </c>
      <c r="E250" s="263">
        <f t="shared" ca="1" si="149"/>
        <v>104.60397745838515</v>
      </c>
      <c r="F250" s="263">
        <f t="shared" ca="1" si="150"/>
        <v>0</v>
      </c>
      <c r="G250" s="263">
        <f t="shared" ca="1" si="162"/>
        <v>16442.09361470881</v>
      </c>
      <c r="H250" s="15"/>
      <c r="I250" s="271">
        <f ca="1">Assumptions!O$68</f>
        <v>4.5</v>
      </c>
      <c r="J250" s="271">
        <f ca="1">Assumptions!P$68</f>
        <v>80</v>
      </c>
      <c r="K250" s="271">
        <f t="shared" ca="1" si="151"/>
        <v>40</v>
      </c>
      <c r="L250" s="15"/>
      <c r="M250" s="35">
        <f t="shared" ca="1" si="163"/>
        <v>4.2299999999999995</v>
      </c>
      <c r="N250" s="35">
        <f t="shared" ca="1" si="152"/>
        <v>74.400000000000006</v>
      </c>
      <c r="O250" s="35">
        <f t="shared" ca="1" si="153"/>
        <v>37.200000000000003</v>
      </c>
      <c r="P250" s="15"/>
      <c r="Q250" s="34">
        <f t="shared" ca="1" si="164"/>
        <v>66895.207042324444</v>
      </c>
      <c r="R250" s="34">
        <f t="shared" ca="1" si="164"/>
        <v>7782.5359229038559</v>
      </c>
      <c r="S250" s="34">
        <f t="shared" ca="1" si="164"/>
        <v>0</v>
      </c>
      <c r="T250" s="34">
        <f t="shared" ca="1" si="165"/>
        <v>74677.742965228303</v>
      </c>
      <c r="U250" s="15"/>
      <c r="V250" s="35">
        <f t="shared" si="166"/>
        <v>0.31</v>
      </c>
      <c r="W250" s="34">
        <f t="shared" ca="1" si="167"/>
        <v>5097.0490205597316</v>
      </c>
      <c r="X250" s="35">
        <f t="shared" si="168"/>
        <v>0.37</v>
      </c>
      <c r="Y250" s="34">
        <f t="shared" ca="1" si="169"/>
        <v>6083.5746374422597</v>
      </c>
      <c r="Z250" s="35">
        <f t="shared" si="170"/>
        <v>0.57999999999999996</v>
      </c>
      <c r="AA250" s="34">
        <f t="shared" ca="1" si="171"/>
        <v>9536.4142965311094</v>
      </c>
      <c r="AB250" s="34">
        <f t="shared" ca="1" si="172"/>
        <v>20717.037954533102</v>
      </c>
      <c r="AC250" s="15"/>
      <c r="AD250" s="34">
        <f t="shared" ca="1" si="173"/>
        <v>53960.705010695201</v>
      </c>
      <c r="AE250" s="34">
        <f ca="1"/>
        <v>41615</v>
      </c>
      <c r="AF250" s="34">
        <f t="shared" ca="1" si="174"/>
        <v>12345.705010695201</v>
      </c>
      <c r="AG250" s="15"/>
      <c r="AH250" s="272">
        <f t="shared" si="182"/>
        <v>49309</v>
      </c>
      <c r="AI250" s="267">
        <f t="shared" si="154"/>
        <v>20.666666666666668</v>
      </c>
      <c r="AJ250" s="267">
        <f t="shared" si="155"/>
        <v>0.13949260136237826</v>
      </c>
      <c r="AK250" s="34">
        <f t="shared" ca="1" si="183"/>
        <v>1722.1345075944216</v>
      </c>
      <c r="AL250" s="233"/>
      <c r="AN250" s="232"/>
      <c r="AO250" s="237">
        <f t="shared" si="175"/>
        <v>21</v>
      </c>
      <c r="AP250" s="34">
        <f t="shared" ca="1" si="186"/>
        <v>59.67944663003567</v>
      </c>
      <c r="AQ250" s="34">
        <f t="shared" ca="1" si="186"/>
        <v>0.39474655734401298</v>
      </c>
      <c r="AR250" s="34">
        <f t="shared" ca="1" si="186"/>
        <v>0</v>
      </c>
      <c r="AS250" s="34">
        <f t="shared" ca="1" si="186"/>
        <v>62.047925974099748</v>
      </c>
      <c r="AT250" s="15"/>
      <c r="AW250" s="34">
        <f t="shared" ca="1" si="177"/>
        <v>59.67944663003567</v>
      </c>
      <c r="AX250" s="34">
        <f t="shared" ca="1" si="157"/>
        <v>0.39474655734401298</v>
      </c>
      <c r="AY250" s="34">
        <f t="shared" ca="1" si="157"/>
        <v>0</v>
      </c>
      <c r="AZ250" s="34">
        <f t="shared" ca="1" si="157"/>
        <v>62.047925974099748</v>
      </c>
      <c r="BB250" s="34">
        <f t="shared" ca="1" si="187"/>
        <v>0</v>
      </c>
      <c r="BC250" s="34">
        <f t="shared" ca="1" si="187"/>
        <v>0</v>
      </c>
      <c r="BD250" s="34">
        <f t="shared" ca="1" si="187"/>
        <v>0</v>
      </c>
      <c r="BE250" s="34">
        <f t="shared" ca="1" si="187"/>
        <v>0</v>
      </c>
      <c r="BF250" s="34">
        <f t="shared" ca="1" si="187"/>
        <v>0</v>
      </c>
      <c r="BG250" s="34">
        <f t="shared" ca="1" si="187"/>
        <v>0</v>
      </c>
      <c r="BH250" s="34">
        <f t="shared" ca="1" si="187"/>
        <v>0</v>
      </c>
      <c r="BI250" s="34">
        <f t="shared" ca="1" si="187"/>
        <v>0</v>
      </c>
      <c r="BJ250" s="34">
        <f t="shared" ca="1" si="187"/>
        <v>0</v>
      </c>
      <c r="BK250" s="34">
        <f t="shared" ca="1" si="187"/>
        <v>0</v>
      </c>
      <c r="BL250" s="34">
        <f t="shared" ca="1" si="187"/>
        <v>0</v>
      </c>
      <c r="BM250" s="34">
        <f t="shared" ca="1" si="187"/>
        <v>0</v>
      </c>
      <c r="BN250" s="34">
        <f t="shared" ca="1" si="187"/>
        <v>0</v>
      </c>
      <c r="BO250" s="34">
        <f t="shared" ca="1" si="187"/>
        <v>0</v>
      </c>
      <c r="BP250" s="34">
        <f t="shared" ca="1" si="187"/>
        <v>0</v>
      </c>
      <c r="BQ250" s="34">
        <f t="shared" ca="1" si="187"/>
        <v>0</v>
      </c>
      <c r="BR250" s="34">
        <f t="shared" ca="1" si="184"/>
        <v>0</v>
      </c>
      <c r="BS250" s="34">
        <f t="shared" ca="1" si="184"/>
        <v>0</v>
      </c>
      <c r="BT250" s="34">
        <f t="shared" ca="1" si="184"/>
        <v>13880.810579515826</v>
      </c>
      <c r="BU250" s="34">
        <f t="shared" ca="1" si="184"/>
        <v>27064.975296054672</v>
      </c>
      <c r="BV250" s="34">
        <f t="shared" ca="1" si="184"/>
        <v>37895.425271517612</v>
      </c>
      <c r="BW250" s="34">
        <f t="shared" ca="1" si="184"/>
        <v>85579.724999999991</v>
      </c>
      <c r="BX250" s="34">
        <f t="shared" ca="1" si="184"/>
        <v>0</v>
      </c>
      <c r="BY250" s="34">
        <f t="shared" ca="1" si="184"/>
        <v>0</v>
      </c>
      <c r="BZ250" s="34">
        <f t="shared" ca="1" si="184"/>
        <v>0</v>
      </c>
      <c r="CA250" s="34">
        <f t="shared" ca="1" si="184"/>
        <v>0</v>
      </c>
      <c r="CB250" s="34">
        <f t="shared" ca="1" si="184"/>
        <v>0</v>
      </c>
      <c r="CC250" s="34">
        <f t="shared" ca="1" si="184"/>
        <v>0</v>
      </c>
      <c r="CD250" s="34">
        <f t="shared" ca="1" si="184"/>
        <v>0</v>
      </c>
      <c r="CE250" s="34">
        <f t="shared" ca="1" si="184"/>
        <v>0</v>
      </c>
      <c r="CF250" s="34">
        <f t="shared" ca="1" si="184"/>
        <v>0</v>
      </c>
      <c r="CG250" s="34">
        <f t="shared" ca="1" si="184"/>
        <v>0</v>
      </c>
      <c r="CH250" s="34">
        <f t="shared" ca="1" si="185"/>
        <v>0</v>
      </c>
      <c r="CI250" s="34">
        <f t="shared" ca="1" si="185"/>
        <v>0</v>
      </c>
      <c r="CJ250" s="34">
        <f t="shared" ca="1" si="185"/>
        <v>0</v>
      </c>
      <c r="CK250" s="34">
        <f t="shared" ca="1" si="185"/>
        <v>0</v>
      </c>
      <c r="CL250" s="34">
        <f t="shared" ca="1" si="185"/>
        <v>0</v>
      </c>
      <c r="CM250" s="34">
        <f t="shared" ca="1" si="185"/>
        <v>0</v>
      </c>
      <c r="CN250" s="34">
        <f t="shared" ca="1" si="185"/>
        <v>0</v>
      </c>
      <c r="CO250" s="34">
        <f t="shared" ca="1" si="185"/>
        <v>0</v>
      </c>
      <c r="CP250" s="34">
        <f t="shared" ca="1" si="185"/>
        <v>0</v>
      </c>
      <c r="CQ250" s="34">
        <f t="shared" ca="1" si="179"/>
        <v>164420.9361470881</v>
      </c>
      <c r="CR250" s="363">
        <v>0</v>
      </c>
      <c r="CS250" s="34">
        <f t="shared" ca="1" si="180"/>
        <v>164420.9361470881</v>
      </c>
      <c r="CT250" s="233"/>
    </row>
    <row r="251" spans="2:98" x14ac:dyDescent="0.3">
      <c r="B251" s="232"/>
      <c r="C251" s="250">
        <f t="shared" si="181"/>
        <v>2035</v>
      </c>
      <c r="D251" s="263">
        <f t="shared" ca="1" si="161"/>
        <v>17696.400577956156</v>
      </c>
      <c r="E251" s="263">
        <f t="shared" ca="1" si="149"/>
        <v>117.05190982808244</v>
      </c>
      <c r="F251" s="263">
        <f t="shared" ca="1" si="150"/>
        <v>0</v>
      </c>
      <c r="G251" s="263">
        <f t="shared" ca="1" si="162"/>
        <v>18398.712036924651</v>
      </c>
      <c r="H251" s="15"/>
      <c r="I251" s="271">
        <f ca="1">Assumptions!O$68</f>
        <v>4.5</v>
      </c>
      <c r="J251" s="271">
        <f ca="1">Assumptions!P$68</f>
        <v>80</v>
      </c>
      <c r="K251" s="271">
        <f t="shared" ca="1" si="151"/>
        <v>40</v>
      </c>
      <c r="L251" s="15"/>
      <c r="M251" s="35">
        <f t="shared" ca="1" si="163"/>
        <v>4.2299999999999995</v>
      </c>
      <c r="N251" s="35">
        <f t="shared" ca="1" si="152"/>
        <v>74.400000000000006</v>
      </c>
      <c r="O251" s="35">
        <f t="shared" ca="1" si="153"/>
        <v>37.200000000000003</v>
      </c>
      <c r="P251" s="15"/>
      <c r="Q251" s="34">
        <f t="shared" ca="1" si="164"/>
        <v>74855.774444754526</v>
      </c>
      <c r="R251" s="34">
        <f t="shared" ca="1" si="164"/>
        <v>8708.6620912093349</v>
      </c>
      <c r="S251" s="34">
        <f t="shared" ca="1" si="164"/>
        <v>0</v>
      </c>
      <c r="T251" s="34">
        <f t="shared" ca="1" si="165"/>
        <v>83564.436535963861</v>
      </c>
      <c r="U251" s="15"/>
      <c r="V251" s="35">
        <f t="shared" si="166"/>
        <v>0.31</v>
      </c>
      <c r="W251" s="34">
        <f t="shared" ca="1" si="167"/>
        <v>5703.6007314466415</v>
      </c>
      <c r="X251" s="35">
        <f t="shared" si="168"/>
        <v>0.37</v>
      </c>
      <c r="Y251" s="34">
        <f t="shared" ca="1" si="169"/>
        <v>6807.523453662121</v>
      </c>
      <c r="Z251" s="35">
        <f t="shared" si="170"/>
        <v>0.57999999999999996</v>
      </c>
      <c r="AA251" s="34">
        <f t="shared" ca="1" si="171"/>
        <v>10671.252981416297</v>
      </c>
      <c r="AB251" s="34">
        <f t="shared" ca="1" si="172"/>
        <v>23182.377166525061</v>
      </c>
      <c r="AC251" s="15"/>
      <c r="AD251" s="34">
        <f t="shared" ca="1" si="173"/>
        <v>60382.059369438801</v>
      </c>
      <c r="AE251" s="34">
        <f ca="1"/>
        <v>41615</v>
      </c>
      <c r="AF251" s="34">
        <f t="shared" ca="1" si="174"/>
        <v>18767.059369438801</v>
      </c>
      <c r="AG251" s="15"/>
      <c r="AH251" s="272">
        <f t="shared" si="182"/>
        <v>49674</v>
      </c>
      <c r="AI251" s="267">
        <f t="shared" si="154"/>
        <v>21.666666666666668</v>
      </c>
      <c r="AJ251" s="267">
        <f t="shared" si="155"/>
        <v>0.12681145578398023</v>
      </c>
      <c r="AK251" s="34">
        <f t="shared" ca="1" si="183"/>
        <v>2379.8781194229205</v>
      </c>
      <c r="AL251" s="233"/>
      <c r="AN251" s="232"/>
      <c r="AO251" s="237">
        <f t="shared" si="175"/>
        <v>22</v>
      </c>
      <c r="AP251" s="34">
        <f t="shared" ca="1" si="186"/>
        <v>57.269819560815456</v>
      </c>
      <c r="AQ251" s="34">
        <f t="shared" ca="1" si="186"/>
        <v>0.3788082059723214</v>
      </c>
      <c r="AR251" s="34">
        <f t="shared" ca="1" si="186"/>
        <v>0</v>
      </c>
      <c r="AS251" s="34">
        <f t="shared" ca="1" si="186"/>
        <v>59.542668796649387</v>
      </c>
      <c r="AT251" s="15"/>
      <c r="AW251" s="34">
        <f t="shared" ca="1" si="177"/>
        <v>57.269819560815456</v>
      </c>
      <c r="AX251" s="34">
        <f t="shared" ca="1" si="157"/>
        <v>0.3788082059723214</v>
      </c>
      <c r="AY251" s="34">
        <f t="shared" ca="1" si="157"/>
        <v>0</v>
      </c>
      <c r="AZ251" s="34">
        <f t="shared" ca="1" si="157"/>
        <v>59.542668796649387</v>
      </c>
      <c r="BB251" s="34">
        <f t="shared" ca="1" si="187"/>
        <v>0</v>
      </c>
      <c r="BC251" s="34">
        <f t="shared" ca="1" si="187"/>
        <v>0</v>
      </c>
      <c r="BD251" s="34">
        <f t="shared" ca="1" si="187"/>
        <v>0</v>
      </c>
      <c r="BE251" s="34">
        <f t="shared" ca="1" si="187"/>
        <v>0</v>
      </c>
      <c r="BF251" s="34">
        <f t="shared" ca="1" si="187"/>
        <v>0</v>
      </c>
      <c r="BG251" s="34">
        <f t="shared" ca="1" si="187"/>
        <v>0</v>
      </c>
      <c r="BH251" s="34">
        <f t="shared" ca="1" si="187"/>
        <v>0</v>
      </c>
      <c r="BI251" s="34">
        <f t="shared" ca="1" si="187"/>
        <v>0</v>
      </c>
      <c r="BJ251" s="34">
        <f t="shared" ca="1" si="187"/>
        <v>0</v>
      </c>
      <c r="BK251" s="34">
        <f t="shared" ca="1" si="187"/>
        <v>0</v>
      </c>
      <c r="BL251" s="34">
        <f t="shared" ca="1" si="187"/>
        <v>0</v>
      </c>
      <c r="BM251" s="34">
        <f t="shared" ca="1" si="187"/>
        <v>0</v>
      </c>
      <c r="BN251" s="34">
        <f t="shared" ca="1" si="187"/>
        <v>0</v>
      </c>
      <c r="BO251" s="34">
        <f t="shared" ca="1" si="187"/>
        <v>0</v>
      </c>
      <c r="BP251" s="34">
        <f t="shared" ca="1" si="187"/>
        <v>0</v>
      </c>
      <c r="BQ251" s="34">
        <f t="shared" ca="1" si="187"/>
        <v>0</v>
      </c>
      <c r="BR251" s="34">
        <f t="shared" ca="1" si="184"/>
        <v>0</v>
      </c>
      <c r="BS251" s="34">
        <f t="shared" ca="1" si="184"/>
        <v>0</v>
      </c>
      <c r="BT251" s="34">
        <f t="shared" ca="1" si="184"/>
        <v>11759.144377828119</v>
      </c>
      <c r="BU251" s="34">
        <f t="shared" ca="1" si="184"/>
        <v>21687.850423846125</v>
      </c>
      <c r="BV251" s="34">
        <f t="shared" ca="1" si="184"/>
        <v>27064.975296054672</v>
      </c>
      <c r="BW251" s="34">
        <f t="shared" ca="1" si="184"/>
        <v>37895.425271517612</v>
      </c>
      <c r="BX251" s="34">
        <f t="shared" ca="1" si="184"/>
        <v>85579.724999999991</v>
      </c>
      <c r="BY251" s="34">
        <f t="shared" ca="1" si="184"/>
        <v>0</v>
      </c>
      <c r="BZ251" s="34">
        <f t="shared" ca="1" si="184"/>
        <v>0</v>
      </c>
      <c r="CA251" s="34">
        <f t="shared" ca="1" si="184"/>
        <v>0</v>
      </c>
      <c r="CB251" s="34">
        <f t="shared" ca="1" si="184"/>
        <v>0</v>
      </c>
      <c r="CC251" s="34">
        <f t="shared" ca="1" si="184"/>
        <v>0</v>
      </c>
      <c r="CD251" s="34">
        <f t="shared" ca="1" si="184"/>
        <v>0</v>
      </c>
      <c r="CE251" s="34">
        <f t="shared" ca="1" si="184"/>
        <v>0</v>
      </c>
      <c r="CF251" s="34">
        <f t="shared" ca="1" si="184"/>
        <v>0</v>
      </c>
      <c r="CG251" s="34">
        <f t="shared" ca="1" si="184"/>
        <v>0</v>
      </c>
      <c r="CH251" s="34">
        <f t="shared" ca="1" si="185"/>
        <v>0</v>
      </c>
      <c r="CI251" s="34">
        <f t="shared" ca="1" si="185"/>
        <v>0</v>
      </c>
      <c r="CJ251" s="34">
        <f t="shared" ca="1" si="185"/>
        <v>0</v>
      </c>
      <c r="CK251" s="34">
        <f t="shared" ca="1" si="185"/>
        <v>0</v>
      </c>
      <c r="CL251" s="34">
        <f t="shared" ca="1" si="185"/>
        <v>0</v>
      </c>
      <c r="CM251" s="34">
        <f t="shared" ca="1" si="185"/>
        <v>0</v>
      </c>
      <c r="CN251" s="34">
        <f t="shared" ca="1" si="185"/>
        <v>0</v>
      </c>
      <c r="CO251" s="34">
        <f t="shared" ca="1" si="185"/>
        <v>0</v>
      </c>
      <c r="CP251" s="34">
        <f t="shared" ca="1" si="185"/>
        <v>0</v>
      </c>
      <c r="CQ251" s="34">
        <f t="shared" ca="1" si="179"/>
        <v>183987.12036924652</v>
      </c>
      <c r="CR251" s="363">
        <v>0</v>
      </c>
      <c r="CS251" s="34">
        <f t="shared" ca="1" si="180"/>
        <v>183987.12036924652</v>
      </c>
      <c r="CT251" s="233"/>
    </row>
    <row r="252" spans="2:98" x14ac:dyDescent="0.3">
      <c r="B252" s="232"/>
      <c r="C252" s="250">
        <f t="shared" si="181"/>
        <v>2036</v>
      </c>
      <c r="D252" s="263">
        <f t="shared" ca="1" si="161"/>
        <v>19322.917809545666</v>
      </c>
      <c r="E252" s="263">
        <f t="shared" ca="1" si="149"/>
        <v>127.81042241300871</v>
      </c>
      <c r="F252" s="263">
        <f t="shared" ca="1" si="150"/>
        <v>0</v>
      </c>
      <c r="G252" s="263">
        <f t="shared" ca="1" si="162"/>
        <v>20089.780344023718</v>
      </c>
      <c r="H252" s="15"/>
      <c r="I252" s="271">
        <f ca="1">Assumptions!O$68</f>
        <v>4.5</v>
      </c>
      <c r="J252" s="271">
        <f ca="1">Assumptions!P$68</f>
        <v>80</v>
      </c>
      <c r="K252" s="271">
        <f t="shared" ca="1" si="151"/>
        <v>40</v>
      </c>
      <c r="L252" s="15"/>
      <c r="M252" s="35">
        <f t="shared" ca="1" si="163"/>
        <v>4.2299999999999995</v>
      </c>
      <c r="N252" s="35">
        <f t="shared" ca="1" si="152"/>
        <v>74.400000000000006</v>
      </c>
      <c r="O252" s="35">
        <f t="shared" ca="1" si="153"/>
        <v>37.200000000000003</v>
      </c>
      <c r="P252" s="15"/>
      <c r="Q252" s="34">
        <f t="shared" ca="1" si="164"/>
        <v>81735.942334378153</v>
      </c>
      <c r="R252" s="34">
        <f t="shared" ca="1" si="164"/>
        <v>9509.0954275278491</v>
      </c>
      <c r="S252" s="34">
        <f t="shared" ca="1" si="164"/>
        <v>0</v>
      </c>
      <c r="T252" s="34">
        <f t="shared" ca="1" si="165"/>
        <v>91245.037761906002</v>
      </c>
      <c r="U252" s="15"/>
      <c r="V252" s="35">
        <f t="shared" si="166"/>
        <v>0.31</v>
      </c>
      <c r="W252" s="34">
        <f t="shared" ca="1" si="167"/>
        <v>6227.8319066473523</v>
      </c>
      <c r="X252" s="35">
        <f t="shared" si="168"/>
        <v>0.37</v>
      </c>
      <c r="Y252" s="34">
        <f t="shared" ca="1" si="169"/>
        <v>7433.2187272887759</v>
      </c>
      <c r="Z252" s="35">
        <f t="shared" si="170"/>
        <v>0.57999999999999996</v>
      </c>
      <c r="AA252" s="34">
        <f t="shared" ca="1" si="171"/>
        <v>11652.072599533756</v>
      </c>
      <c r="AB252" s="34">
        <f t="shared" ca="1" si="172"/>
        <v>25313.123233469883</v>
      </c>
      <c r="AC252" s="15"/>
      <c r="AD252" s="34">
        <f t="shared" ca="1" si="173"/>
        <v>65931.914528436115</v>
      </c>
      <c r="AE252" s="34">
        <f ca="1"/>
        <v>41615</v>
      </c>
      <c r="AF252" s="34">
        <f t="shared" ca="1" si="174"/>
        <v>24316.914528436115</v>
      </c>
      <c r="AG252" s="15"/>
      <c r="AH252" s="272">
        <f t="shared" si="182"/>
        <v>50040</v>
      </c>
      <c r="AI252" s="267">
        <f t="shared" si="154"/>
        <v>22.666666666666668</v>
      </c>
      <c r="AJ252" s="267">
        <f t="shared" si="155"/>
        <v>0.11528314162180023</v>
      </c>
      <c r="AK252" s="34">
        <f t="shared" ca="1" si="183"/>
        <v>2803.3303013869122</v>
      </c>
      <c r="AL252" s="233"/>
      <c r="AN252" s="232"/>
      <c r="AO252" s="237">
        <f t="shared" si="175"/>
        <v>23</v>
      </c>
      <c r="AP252" s="34">
        <f t="shared" ca="1" si="186"/>
        <v>54.957488591091561</v>
      </c>
      <c r="AQ252" s="34">
        <f t="shared" ca="1" si="186"/>
        <v>0.36351341452767244</v>
      </c>
      <c r="AR252" s="34">
        <f t="shared" ca="1" si="186"/>
        <v>0</v>
      </c>
      <c r="AS252" s="34">
        <f t="shared" ca="1" si="186"/>
        <v>57.138569078257596</v>
      </c>
      <c r="AT252" s="15"/>
      <c r="AW252" s="34">
        <f t="shared" ca="1" si="177"/>
        <v>54.957488591091561</v>
      </c>
      <c r="AX252" s="34">
        <f t="shared" ca="1" si="157"/>
        <v>0.36351341452767244</v>
      </c>
      <c r="AY252" s="34">
        <f t="shared" ca="1" si="157"/>
        <v>0</v>
      </c>
      <c r="AZ252" s="34">
        <f t="shared" ca="1" si="157"/>
        <v>57.138569078257596</v>
      </c>
      <c r="BB252" s="34">
        <f t="shared" ca="1" si="187"/>
        <v>0</v>
      </c>
      <c r="BC252" s="34">
        <f t="shared" ca="1" si="187"/>
        <v>0</v>
      </c>
      <c r="BD252" s="34">
        <f t="shared" ca="1" si="187"/>
        <v>0</v>
      </c>
      <c r="BE252" s="34">
        <f t="shared" ca="1" si="187"/>
        <v>0</v>
      </c>
      <c r="BF252" s="34">
        <f t="shared" ca="1" si="187"/>
        <v>0</v>
      </c>
      <c r="BG252" s="34">
        <f t="shared" ca="1" si="187"/>
        <v>0</v>
      </c>
      <c r="BH252" s="34">
        <f t="shared" ca="1" si="187"/>
        <v>0</v>
      </c>
      <c r="BI252" s="34">
        <f t="shared" ca="1" si="187"/>
        <v>0</v>
      </c>
      <c r="BJ252" s="34">
        <f t="shared" ca="1" si="187"/>
        <v>0</v>
      </c>
      <c r="BK252" s="34">
        <f t="shared" ca="1" si="187"/>
        <v>0</v>
      </c>
      <c r="BL252" s="34">
        <f t="shared" ca="1" si="187"/>
        <v>0</v>
      </c>
      <c r="BM252" s="34">
        <f t="shared" ca="1" si="187"/>
        <v>0</v>
      </c>
      <c r="BN252" s="34">
        <f t="shared" ca="1" si="187"/>
        <v>0</v>
      </c>
      <c r="BO252" s="34">
        <f t="shared" ca="1" si="187"/>
        <v>0</v>
      </c>
      <c r="BP252" s="34">
        <f t="shared" ca="1" si="187"/>
        <v>0</v>
      </c>
      <c r="BQ252" s="34">
        <f t="shared" ca="1" si="187"/>
        <v>0</v>
      </c>
      <c r="BR252" s="34">
        <f t="shared" ca="1" si="184"/>
        <v>0</v>
      </c>
      <c r="BS252" s="34">
        <f t="shared" ca="1" si="184"/>
        <v>0</v>
      </c>
      <c r="BT252" s="34">
        <f t="shared" ca="1" si="184"/>
        <v>10296.940439244527</v>
      </c>
      <c r="BU252" s="34">
        <f t="shared" ca="1" si="184"/>
        <v>18372.887009574264</v>
      </c>
      <c r="BV252" s="34">
        <f t="shared" ca="1" si="184"/>
        <v>21687.850423846125</v>
      </c>
      <c r="BW252" s="34">
        <f t="shared" ca="1" si="184"/>
        <v>27064.975296054672</v>
      </c>
      <c r="BX252" s="34">
        <f t="shared" ca="1" si="184"/>
        <v>37895.425271517612</v>
      </c>
      <c r="BY252" s="34">
        <f t="shared" ca="1" si="184"/>
        <v>85579.724999999991</v>
      </c>
      <c r="BZ252" s="34">
        <f t="shared" ca="1" si="184"/>
        <v>0</v>
      </c>
      <c r="CA252" s="34">
        <f t="shared" ca="1" si="184"/>
        <v>0</v>
      </c>
      <c r="CB252" s="34">
        <f t="shared" ca="1" si="184"/>
        <v>0</v>
      </c>
      <c r="CC252" s="34">
        <f t="shared" ca="1" si="184"/>
        <v>0</v>
      </c>
      <c r="CD252" s="34">
        <f t="shared" ca="1" si="184"/>
        <v>0</v>
      </c>
      <c r="CE252" s="34">
        <f t="shared" ca="1" si="184"/>
        <v>0</v>
      </c>
      <c r="CF252" s="34">
        <f t="shared" ca="1" si="184"/>
        <v>0</v>
      </c>
      <c r="CG252" s="34">
        <f t="shared" ca="1" si="184"/>
        <v>0</v>
      </c>
      <c r="CH252" s="34">
        <f t="shared" ca="1" si="185"/>
        <v>0</v>
      </c>
      <c r="CI252" s="34">
        <f t="shared" ca="1" si="185"/>
        <v>0</v>
      </c>
      <c r="CJ252" s="34">
        <f t="shared" ca="1" si="185"/>
        <v>0</v>
      </c>
      <c r="CK252" s="34">
        <f t="shared" ca="1" si="185"/>
        <v>0</v>
      </c>
      <c r="CL252" s="34">
        <f t="shared" ca="1" si="185"/>
        <v>0</v>
      </c>
      <c r="CM252" s="34">
        <f t="shared" ca="1" si="185"/>
        <v>0</v>
      </c>
      <c r="CN252" s="34">
        <f t="shared" ca="1" si="185"/>
        <v>0</v>
      </c>
      <c r="CO252" s="34">
        <f t="shared" ca="1" si="185"/>
        <v>0</v>
      </c>
      <c r="CP252" s="34">
        <f t="shared" ca="1" si="185"/>
        <v>0</v>
      </c>
      <c r="CQ252" s="34">
        <f t="shared" ca="1" si="179"/>
        <v>200897.80344023718</v>
      </c>
      <c r="CR252" s="363">
        <v>0</v>
      </c>
      <c r="CS252" s="34">
        <f t="shared" ca="1" si="180"/>
        <v>200897.80344023718</v>
      </c>
      <c r="CT252" s="233"/>
    </row>
    <row r="253" spans="2:98" x14ac:dyDescent="0.3">
      <c r="B253" s="232"/>
      <c r="C253" s="250">
        <f t="shared" si="181"/>
        <v>2037</v>
      </c>
      <c r="D253" s="263">
        <f t="shared" ca="1" si="161"/>
        <v>20766.489438772005</v>
      </c>
      <c r="E253" s="263">
        <f t="shared" ca="1" si="149"/>
        <v>137.35885094400973</v>
      </c>
      <c r="F253" s="263">
        <f t="shared" ca="1" si="150"/>
        <v>0</v>
      </c>
      <c r="G253" s="263">
        <f t="shared" ca="1" si="162"/>
        <v>21590.642544436065</v>
      </c>
      <c r="H253" s="15"/>
      <c r="I253" s="271">
        <f ca="1">Assumptions!O$68</f>
        <v>4.5</v>
      </c>
      <c r="J253" s="271">
        <f ca="1">Assumptions!P$68</f>
        <v>80</v>
      </c>
      <c r="K253" s="271">
        <f t="shared" ca="1" si="151"/>
        <v>40</v>
      </c>
      <c r="L253" s="15"/>
      <c r="M253" s="35">
        <f t="shared" ca="1" si="163"/>
        <v>4.2299999999999995</v>
      </c>
      <c r="N253" s="35">
        <f t="shared" ca="1" si="152"/>
        <v>74.400000000000006</v>
      </c>
      <c r="O253" s="35">
        <f t="shared" ca="1" si="153"/>
        <v>37.200000000000003</v>
      </c>
      <c r="P253" s="15"/>
      <c r="Q253" s="34">
        <f t="shared" ca="1" si="164"/>
        <v>87842.250326005567</v>
      </c>
      <c r="R253" s="34">
        <f t="shared" ca="1" si="164"/>
        <v>10219.498510234325</v>
      </c>
      <c r="S253" s="34">
        <f t="shared" ca="1" si="164"/>
        <v>0</v>
      </c>
      <c r="T253" s="34">
        <f t="shared" ca="1" si="165"/>
        <v>98061.748836239887</v>
      </c>
      <c r="U253" s="15"/>
      <c r="V253" s="35">
        <f t="shared" si="166"/>
        <v>0.31</v>
      </c>
      <c r="W253" s="34">
        <f t="shared" ca="1" si="167"/>
        <v>6693.0991887751798</v>
      </c>
      <c r="X253" s="35">
        <f t="shared" si="168"/>
        <v>0.37</v>
      </c>
      <c r="Y253" s="34">
        <f t="shared" ca="1" si="169"/>
        <v>7988.5377414413442</v>
      </c>
      <c r="Z253" s="35">
        <f t="shared" si="170"/>
        <v>0.57999999999999996</v>
      </c>
      <c r="AA253" s="34">
        <f t="shared" ca="1" si="171"/>
        <v>12522.572675772917</v>
      </c>
      <c r="AB253" s="34">
        <f t="shared" ca="1" si="172"/>
        <v>27204.209605989439</v>
      </c>
      <c r="AC253" s="15"/>
      <c r="AD253" s="34">
        <f t="shared" ca="1" si="173"/>
        <v>70857.539230250448</v>
      </c>
      <c r="AE253" s="34">
        <f ca="1"/>
        <v>41615</v>
      </c>
      <c r="AF253" s="34">
        <f t="shared" ca="1" si="174"/>
        <v>29242.539230250448</v>
      </c>
      <c r="AG253" s="15"/>
      <c r="AH253" s="272">
        <f t="shared" si="182"/>
        <v>50405</v>
      </c>
      <c r="AI253" s="267">
        <f t="shared" si="154"/>
        <v>23.666666666666668</v>
      </c>
      <c r="AJ253" s="267">
        <f t="shared" si="155"/>
        <v>0.10480285601981834</v>
      </c>
      <c r="AK253" s="34">
        <f t="shared" ca="1" si="183"/>
        <v>3064.701628601827</v>
      </c>
      <c r="AL253" s="233"/>
      <c r="AN253" s="232"/>
      <c r="AO253" s="237">
        <f t="shared" si="175"/>
        <v>24</v>
      </c>
      <c r="AP253" s="34">
        <f t="shared" ca="1" si="186"/>
        <v>52.73852447948272</v>
      </c>
      <c r="AQ253" s="34">
        <f t="shared" ca="1" si="186"/>
        <v>0.34883619324984205</v>
      </c>
      <c r="AR253" s="34">
        <f t="shared" ca="1" si="186"/>
        <v>0</v>
      </c>
      <c r="AS253" s="34">
        <f t="shared" ca="1" si="186"/>
        <v>54.831541638981776</v>
      </c>
      <c r="AT253" s="15"/>
      <c r="AW253" s="34">
        <f t="shared" ca="1" si="177"/>
        <v>52.73852447948272</v>
      </c>
      <c r="AX253" s="34">
        <f t="shared" ca="1" si="157"/>
        <v>0.34883619324984205</v>
      </c>
      <c r="AY253" s="34">
        <f t="shared" ca="1" si="157"/>
        <v>0</v>
      </c>
      <c r="AZ253" s="34">
        <f t="shared" ca="1" si="157"/>
        <v>54.831541638981776</v>
      </c>
      <c r="BB253" s="34">
        <f t="shared" ca="1" si="187"/>
        <v>0</v>
      </c>
      <c r="BC253" s="34">
        <f t="shared" ca="1" si="187"/>
        <v>0</v>
      </c>
      <c r="BD253" s="34">
        <f t="shared" ca="1" si="187"/>
        <v>0</v>
      </c>
      <c r="BE253" s="34">
        <f t="shared" ca="1" si="187"/>
        <v>0</v>
      </c>
      <c r="BF253" s="34">
        <f t="shared" ca="1" si="187"/>
        <v>0</v>
      </c>
      <c r="BG253" s="34">
        <f t="shared" ca="1" si="187"/>
        <v>0</v>
      </c>
      <c r="BH253" s="34">
        <f t="shared" ca="1" si="187"/>
        <v>0</v>
      </c>
      <c r="BI253" s="34">
        <f t="shared" ca="1" si="187"/>
        <v>0</v>
      </c>
      <c r="BJ253" s="34">
        <f t="shared" ca="1" si="187"/>
        <v>0</v>
      </c>
      <c r="BK253" s="34">
        <f t="shared" ca="1" si="187"/>
        <v>0</v>
      </c>
      <c r="BL253" s="34">
        <f t="shared" ca="1" si="187"/>
        <v>0</v>
      </c>
      <c r="BM253" s="34">
        <f t="shared" ca="1" si="187"/>
        <v>0</v>
      </c>
      <c r="BN253" s="34">
        <f t="shared" ca="1" si="187"/>
        <v>0</v>
      </c>
      <c r="BO253" s="34">
        <f t="shared" ca="1" si="187"/>
        <v>0</v>
      </c>
      <c r="BP253" s="34">
        <f t="shared" ca="1" si="187"/>
        <v>0</v>
      </c>
      <c r="BQ253" s="34">
        <f t="shared" ca="1" si="187"/>
        <v>0</v>
      </c>
      <c r="BR253" s="34">
        <f t="shared" ca="1" si="184"/>
        <v>0</v>
      </c>
      <c r="BS253" s="34">
        <f t="shared" ca="1" si="184"/>
        <v>0</v>
      </c>
      <c r="BT253" s="34">
        <f t="shared" ca="1" si="184"/>
        <v>9217.2725851991308</v>
      </c>
      <c r="BU253" s="34">
        <f t="shared" ca="1" si="184"/>
        <v>16088.289858168875</v>
      </c>
      <c r="BV253" s="34">
        <f t="shared" ca="1" si="184"/>
        <v>18372.887009574264</v>
      </c>
      <c r="BW253" s="34">
        <f t="shared" ca="1" si="184"/>
        <v>21687.850423846125</v>
      </c>
      <c r="BX253" s="34">
        <f t="shared" ca="1" si="184"/>
        <v>27064.975296054672</v>
      </c>
      <c r="BY253" s="34">
        <f t="shared" ca="1" si="184"/>
        <v>37895.425271517612</v>
      </c>
      <c r="BZ253" s="34">
        <f t="shared" ca="1" si="184"/>
        <v>85579.724999999991</v>
      </c>
      <c r="CA253" s="34">
        <f t="shared" ca="1" si="184"/>
        <v>0</v>
      </c>
      <c r="CB253" s="34">
        <f t="shared" ca="1" si="184"/>
        <v>0</v>
      </c>
      <c r="CC253" s="34">
        <f t="shared" ca="1" si="184"/>
        <v>0</v>
      </c>
      <c r="CD253" s="34">
        <f t="shared" ca="1" si="184"/>
        <v>0</v>
      </c>
      <c r="CE253" s="34">
        <f t="shared" ca="1" si="184"/>
        <v>0</v>
      </c>
      <c r="CF253" s="34">
        <f t="shared" ca="1" si="184"/>
        <v>0</v>
      </c>
      <c r="CG253" s="34">
        <f t="shared" ca="1" si="184"/>
        <v>0</v>
      </c>
      <c r="CH253" s="34">
        <f t="shared" ca="1" si="185"/>
        <v>0</v>
      </c>
      <c r="CI253" s="34">
        <f t="shared" ca="1" si="185"/>
        <v>0</v>
      </c>
      <c r="CJ253" s="34">
        <f t="shared" ca="1" si="185"/>
        <v>0</v>
      </c>
      <c r="CK253" s="34">
        <f t="shared" ca="1" si="185"/>
        <v>0</v>
      </c>
      <c r="CL253" s="34">
        <f t="shared" ca="1" si="185"/>
        <v>0</v>
      </c>
      <c r="CM253" s="34">
        <f t="shared" ca="1" si="185"/>
        <v>0</v>
      </c>
      <c r="CN253" s="34">
        <f t="shared" ca="1" si="185"/>
        <v>0</v>
      </c>
      <c r="CO253" s="34">
        <f t="shared" ca="1" si="185"/>
        <v>0</v>
      </c>
      <c r="CP253" s="34">
        <f t="shared" ca="1" si="185"/>
        <v>0</v>
      </c>
      <c r="CQ253" s="34">
        <f t="shared" ca="1" si="179"/>
        <v>215906.42544436065</v>
      </c>
      <c r="CR253" s="363">
        <v>0</v>
      </c>
      <c r="CS253" s="34">
        <f t="shared" ca="1" si="180"/>
        <v>215906.42544436065</v>
      </c>
      <c r="CT253" s="233"/>
    </row>
    <row r="254" spans="2:98" x14ac:dyDescent="0.3">
      <c r="B254" s="232"/>
      <c r="C254" s="250">
        <f t="shared" si="181"/>
        <v>2038</v>
      </c>
      <c r="D254" s="263">
        <f t="shared" ca="1" si="161"/>
        <v>22071.276389110535</v>
      </c>
      <c r="E254" s="263">
        <f t="shared" ca="1" si="149"/>
        <v>145.98929552414273</v>
      </c>
      <c r="F254" s="263">
        <f t="shared" ca="1" si="150"/>
        <v>0</v>
      </c>
      <c r="G254" s="263">
        <f t="shared" ca="1" si="162"/>
        <v>22947.212162255393</v>
      </c>
      <c r="H254" s="15"/>
      <c r="I254" s="271">
        <f ca="1">Assumptions!O$68</f>
        <v>4.5</v>
      </c>
      <c r="J254" s="271">
        <f ca="1">Assumptions!P$68</f>
        <v>80</v>
      </c>
      <c r="K254" s="271">
        <f t="shared" ca="1" si="151"/>
        <v>40</v>
      </c>
      <c r="L254" s="15"/>
      <c r="M254" s="35">
        <f t="shared" ca="1" si="163"/>
        <v>4.2299999999999995</v>
      </c>
      <c r="N254" s="35">
        <f t="shared" ca="1" si="152"/>
        <v>74.400000000000006</v>
      </c>
      <c r="O254" s="35">
        <f t="shared" ca="1" si="153"/>
        <v>37.200000000000003</v>
      </c>
      <c r="P254" s="15"/>
      <c r="Q254" s="34">
        <f t="shared" ca="1" si="164"/>
        <v>93361.499125937553</v>
      </c>
      <c r="R254" s="34">
        <f t="shared" ca="1" si="164"/>
        <v>10861.60358699622</v>
      </c>
      <c r="S254" s="34">
        <f t="shared" ca="1" si="164"/>
        <v>0</v>
      </c>
      <c r="T254" s="34">
        <f t="shared" ca="1" si="165"/>
        <v>104223.10271293377</v>
      </c>
      <c r="U254" s="15"/>
      <c r="V254" s="35">
        <f t="shared" si="166"/>
        <v>0.31</v>
      </c>
      <c r="W254" s="34">
        <f t="shared" ca="1" si="167"/>
        <v>7113.6357702991718</v>
      </c>
      <c r="X254" s="35">
        <f t="shared" si="168"/>
        <v>0.37</v>
      </c>
      <c r="Y254" s="34">
        <f t="shared" ca="1" si="169"/>
        <v>8490.4685000344962</v>
      </c>
      <c r="Z254" s="35">
        <f t="shared" si="170"/>
        <v>0.57999999999999996</v>
      </c>
      <c r="AA254" s="34">
        <f t="shared" ca="1" si="171"/>
        <v>13309.383054108128</v>
      </c>
      <c r="AB254" s="34">
        <f t="shared" ca="1" si="172"/>
        <v>28913.487324441798</v>
      </c>
      <c r="AC254" s="15"/>
      <c r="AD254" s="34">
        <f t="shared" ca="1" si="173"/>
        <v>75309.615388491977</v>
      </c>
      <c r="AE254" s="34">
        <f ca="1"/>
        <v>41615</v>
      </c>
      <c r="AF254" s="34">
        <f t="shared" ca="1" si="174"/>
        <v>33694.615388491977</v>
      </c>
      <c r="AG254" s="15"/>
      <c r="AH254" s="272">
        <f t="shared" si="182"/>
        <v>50770</v>
      </c>
      <c r="AI254" s="267">
        <f t="shared" si="154"/>
        <v>24.666666666666668</v>
      </c>
      <c r="AJ254" s="267">
        <f t="shared" si="155"/>
        <v>9.5275323654380323E-2</v>
      </c>
      <c r="AK254" s="34">
        <f t="shared" ca="1" si="183"/>
        <v>3210.2653865484367</v>
      </c>
      <c r="AL254" s="233"/>
      <c r="AN254" s="232"/>
      <c r="AO254" s="237">
        <f t="shared" si="175"/>
        <v>25</v>
      </c>
      <c r="AP254" s="34">
        <f t="shared" ca="1" si="186"/>
        <v>50.60914475805879</v>
      </c>
      <c r="AQ254" s="34">
        <f t="shared" ca="1" si="186"/>
        <v>0.33475152320387003</v>
      </c>
      <c r="AR254" s="34">
        <f t="shared" ca="1" si="186"/>
        <v>0</v>
      </c>
      <c r="AS254" s="34">
        <f t="shared" ca="1" si="186"/>
        <v>52.617653897282011</v>
      </c>
      <c r="AT254" s="15"/>
      <c r="AW254" s="34">
        <f t="shared" ca="1" si="177"/>
        <v>50.60914475805879</v>
      </c>
      <c r="AX254" s="34">
        <f t="shared" ca="1" si="157"/>
        <v>0.33475152320387003</v>
      </c>
      <c r="AY254" s="34">
        <f t="shared" ca="1" si="157"/>
        <v>0</v>
      </c>
      <c r="AZ254" s="34">
        <f t="shared" ca="1" si="157"/>
        <v>52.617653897282011</v>
      </c>
      <c r="BB254" s="34">
        <f t="shared" ca="1" si="187"/>
        <v>0</v>
      </c>
      <c r="BC254" s="34">
        <f t="shared" ca="1" si="187"/>
        <v>0</v>
      </c>
      <c r="BD254" s="34">
        <f t="shared" ca="1" si="187"/>
        <v>0</v>
      </c>
      <c r="BE254" s="34">
        <f t="shared" ca="1" si="187"/>
        <v>0</v>
      </c>
      <c r="BF254" s="34">
        <f t="shared" ca="1" si="187"/>
        <v>0</v>
      </c>
      <c r="BG254" s="34">
        <f t="shared" ca="1" si="187"/>
        <v>0</v>
      </c>
      <c r="BH254" s="34">
        <f t="shared" ca="1" si="187"/>
        <v>0</v>
      </c>
      <c r="BI254" s="34">
        <f t="shared" ca="1" si="187"/>
        <v>0</v>
      </c>
      <c r="BJ254" s="34">
        <f t="shared" ca="1" si="187"/>
        <v>0</v>
      </c>
      <c r="BK254" s="34">
        <f t="shared" ca="1" si="187"/>
        <v>0</v>
      </c>
      <c r="BL254" s="34">
        <f t="shared" ca="1" si="187"/>
        <v>0</v>
      </c>
      <c r="BM254" s="34">
        <f t="shared" ca="1" si="187"/>
        <v>0</v>
      </c>
      <c r="BN254" s="34">
        <f t="shared" ca="1" si="187"/>
        <v>0</v>
      </c>
      <c r="BO254" s="34">
        <f t="shared" ca="1" si="187"/>
        <v>0</v>
      </c>
      <c r="BP254" s="34">
        <f t="shared" ca="1" si="187"/>
        <v>0</v>
      </c>
      <c r="BQ254" s="34">
        <f t="shared" ca="1" si="187"/>
        <v>0</v>
      </c>
      <c r="BR254" s="34">
        <f t="shared" ca="1" si="184"/>
        <v>0</v>
      </c>
      <c r="BS254" s="34">
        <f t="shared" ca="1" si="184"/>
        <v>0</v>
      </c>
      <c r="BT254" s="34">
        <f t="shared" ca="1" si="184"/>
        <v>8381.5886711795538</v>
      </c>
      <c r="BU254" s="34">
        <f t="shared" ca="1" si="184"/>
        <v>14401.380092212814</v>
      </c>
      <c r="BV254" s="34">
        <f t="shared" ca="1" si="184"/>
        <v>16088.289858168875</v>
      </c>
      <c r="BW254" s="34">
        <f t="shared" ca="1" si="184"/>
        <v>18372.887009574264</v>
      </c>
      <c r="BX254" s="34">
        <f t="shared" ca="1" si="184"/>
        <v>21687.850423846125</v>
      </c>
      <c r="BY254" s="34">
        <f t="shared" ca="1" si="184"/>
        <v>27064.975296054672</v>
      </c>
      <c r="BZ254" s="34">
        <f t="shared" ca="1" si="184"/>
        <v>37895.425271517612</v>
      </c>
      <c r="CA254" s="34">
        <f t="shared" ca="1" si="184"/>
        <v>85579.724999999991</v>
      </c>
      <c r="CB254" s="34">
        <f t="shared" ca="1" si="184"/>
        <v>0</v>
      </c>
      <c r="CC254" s="34">
        <f t="shared" ca="1" si="184"/>
        <v>0</v>
      </c>
      <c r="CD254" s="34">
        <f t="shared" ca="1" si="184"/>
        <v>0</v>
      </c>
      <c r="CE254" s="34">
        <f t="shared" ca="1" si="184"/>
        <v>0</v>
      </c>
      <c r="CF254" s="34">
        <f t="shared" ca="1" si="184"/>
        <v>0</v>
      </c>
      <c r="CG254" s="34">
        <f t="shared" ca="1" si="184"/>
        <v>0</v>
      </c>
      <c r="CH254" s="34">
        <f t="shared" ca="1" si="185"/>
        <v>0</v>
      </c>
      <c r="CI254" s="34">
        <f t="shared" ca="1" si="185"/>
        <v>0</v>
      </c>
      <c r="CJ254" s="34">
        <f t="shared" ca="1" si="185"/>
        <v>0</v>
      </c>
      <c r="CK254" s="34">
        <f t="shared" ca="1" si="185"/>
        <v>0</v>
      </c>
      <c r="CL254" s="34">
        <f t="shared" ca="1" si="185"/>
        <v>0</v>
      </c>
      <c r="CM254" s="34">
        <f t="shared" ca="1" si="185"/>
        <v>0</v>
      </c>
      <c r="CN254" s="34">
        <f t="shared" ca="1" si="185"/>
        <v>0</v>
      </c>
      <c r="CO254" s="34">
        <f t="shared" ca="1" si="185"/>
        <v>0</v>
      </c>
      <c r="CP254" s="34">
        <f t="shared" ca="1" si="185"/>
        <v>0</v>
      </c>
      <c r="CQ254" s="34">
        <f t="shared" ca="1" si="179"/>
        <v>229472.12162255391</v>
      </c>
      <c r="CR254" s="363">
        <v>0</v>
      </c>
      <c r="CS254" s="34">
        <f t="shared" ca="1" si="180"/>
        <v>229472.12162255391</v>
      </c>
      <c r="CT254" s="233"/>
    </row>
    <row r="255" spans="2:98" x14ac:dyDescent="0.3">
      <c r="B255" s="232"/>
      <c r="C255" s="250">
        <f t="shared" si="181"/>
        <v>2039</v>
      </c>
      <c r="D255" s="263">
        <f t="shared" ca="1" si="161"/>
        <v>23266.468067603302</v>
      </c>
      <c r="E255" s="263">
        <f t="shared" ca="1" si="149"/>
        <v>153.89482794933423</v>
      </c>
      <c r="F255" s="263">
        <f t="shared" ca="1" si="150"/>
        <v>0</v>
      </c>
      <c r="G255" s="263">
        <f t="shared" ca="1" si="162"/>
        <v>24189.837035299308</v>
      </c>
      <c r="H255" s="15"/>
      <c r="I255" s="271">
        <f ca="1">Assumptions!O$68</f>
        <v>4.5</v>
      </c>
      <c r="J255" s="271">
        <f ca="1">Assumptions!P$68</f>
        <v>80</v>
      </c>
      <c r="K255" s="271">
        <f t="shared" ca="1" si="151"/>
        <v>40</v>
      </c>
      <c r="L255" s="15"/>
      <c r="M255" s="35">
        <f t="shared" ca="1" si="163"/>
        <v>4.2299999999999995</v>
      </c>
      <c r="N255" s="35">
        <f t="shared" ca="1" si="152"/>
        <v>74.400000000000006</v>
      </c>
      <c r="O255" s="35">
        <f t="shared" ca="1" si="153"/>
        <v>37.200000000000003</v>
      </c>
      <c r="P255" s="15"/>
      <c r="Q255" s="34">
        <f t="shared" ca="1" si="164"/>
        <v>98417.159925961954</v>
      </c>
      <c r="R255" s="34">
        <f t="shared" ca="1" si="164"/>
        <v>11449.775199430467</v>
      </c>
      <c r="S255" s="34">
        <f t="shared" ca="1" si="164"/>
        <v>0</v>
      </c>
      <c r="T255" s="34">
        <f t="shared" ca="1" si="165"/>
        <v>109866.93512539243</v>
      </c>
      <c r="U255" s="15"/>
      <c r="V255" s="35">
        <f t="shared" si="166"/>
        <v>0.31</v>
      </c>
      <c r="W255" s="34">
        <f t="shared" ca="1" si="167"/>
        <v>7498.8494809427857</v>
      </c>
      <c r="X255" s="35">
        <f t="shared" si="168"/>
        <v>0.37</v>
      </c>
      <c r="Y255" s="34">
        <f t="shared" ca="1" si="169"/>
        <v>8950.2397030607444</v>
      </c>
      <c r="Z255" s="35">
        <f t="shared" si="170"/>
        <v>0.57999999999999996</v>
      </c>
      <c r="AA255" s="34">
        <f t="shared" ca="1" si="171"/>
        <v>14030.105480473598</v>
      </c>
      <c r="AB255" s="34">
        <f t="shared" ca="1" si="172"/>
        <v>30479.194664477127</v>
      </c>
      <c r="AC255" s="15"/>
      <c r="AD255" s="34">
        <f t="shared" ca="1" si="173"/>
        <v>79387.740460915302</v>
      </c>
      <c r="AE255" s="34">
        <f ca="1"/>
        <v>41615</v>
      </c>
      <c r="AF255" s="34">
        <f t="shared" ca="1" si="174"/>
        <v>37772.740460915302</v>
      </c>
      <c r="AG255" s="15"/>
      <c r="AH255" s="272">
        <f t="shared" si="182"/>
        <v>51135</v>
      </c>
      <c r="AI255" s="267">
        <f t="shared" si="154"/>
        <v>25.666666666666668</v>
      </c>
      <c r="AJ255" s="267">
        <f t="shared" si="155"/>
        <v>8.661393059489117E-2</v>
      </c>
      <c r="AK255" s="34">
        <f t="shared" ca="1" si="183"/>
        <v>3271.6455206605556</v>
      </c>
      <c r="AL255" s="233"/>
      <c r="AN255" s="232"/>
      <c r="AO255" s="237">
        <f t="shared" si="175"/>
        <v>26</v>
      </c>
      <c r="AP255" s="34">
        <f t="shared" ca="1" si="186"/>
        <v>48.565746851600586</v>
      </c>
      <c r="AQ255" s="34">
        <f t="shared" ca="1" si="186"/>
        <v>0.32123557534566083</v>
      </c>
      <c r="AR255" s="34">
        <f t="shared" ca="1" si="186"/>
        <v>0</v>
      </c>
      <c r="AS255" s="34">
        <f t="shared" ca="1" si="186"/>
        <v>50.49316030367455</v>
      </c>
      <c r="AT255" s="15"/>
      <c r="AW255" s="34">
        <f t="shared" ca="1" si="177"/>
        <v>48.565746851600586</v>
      </c>
      <c r="AX255" s="34">
        <f t="shared" ca="1" si="157"/>
        <v>0.32123557534566083</v>
      </c>
      <c r="AY255" s="34">
        <f t="shared" ca="1" si="157"/>
        <v>0</v>
      </c>
      <c r="AZ255" s="34">
        <f t="shared" ca="1" si="157"/>
        <v>50.49316030367455</v>
      </c>
      <c r="BB255" s="34">
        <f t="shared" ca="1" si="187"/>
        <v>0</v>
      </c>
      <c r="BC255" s="34">
        <f t="shared" ca="1" si="187"/>
        <v>0</v>
      </c>
      <c r="BD255" s="34">
        <f t="shared" ca="1" si="187"/>
        <v>0</v>
      </c>
      <c r="BE255" s="34">
        <f t="shared" ca="1" si="187"/>
        <v>0</v>
      </c>
      <c r="BF255" s="34">
        <f t="shared" ca="1" si="187"/>
        <v>0</v>
      </c>
      <c r="BG255" s="34">
        <f t="shared" ca="1" si="187"/>
        <v>0</v>
      </c>
      <c r="BH255" s="34">
        <f t="shared" ca="1" si="187"/>
        <v>0</v>
      </c>
      <c r="BI255" s="34">
        <f t="shared" ca="1" si="187"/>
        <v>0</v>
      </c>
      <c r="BJ255" s="34">
        <f t="shared" ca="1" si="187"/>
        <v>0</v>
      </c>
      <c r="BK255" s="34">
        <f t="shared" ca="1" si="187"/>
        <v>0</v>
      </c>
      <c r="BL255" s="34">
        <f t="shared" ca="1" si="187"/>
        <v>0</v>
      </c>
      <c r="BM255" s="34">
        <f t="shared" ca="1" si="187"/>
        <v>0</v>
      </c>
      <c r="BN255" s="34">
        <f t="shared" ca="1" si="187"/>
        <v>0</v>
      </c>
      <c r="BO255" s="34">
        <f t="shared" ca="1" si="187"/>
        <v>0</v>
      </c>
      <c r="BP255" s="34">
        <f t="shared" ca="1" si="187"/>
        <v>0</v>
      </c>
      <c r="BQ255" s="34">
        <f t="shared" ca="1" si="187"/>
        <v>0</v>
      </c>
      <c r="BR255" s="34">
        <f t="shared" ca="1" si="184"/>
        <v>0</v>
      </c>
      <c r="BS255" s="34">
        <f t="shared" ca="1" si="184"/>
        <v>0</v>
      </c>
      <c r="BT255" s="34">
        <f t="shared" ca="1" si="184"/>
        <v>7712.1582715397417</v>
      </c>
      <c r="BU255" s="34">
        <f t="shared" ca="1" si="184"/>
        <v>13095.679130079012</v>
      </c>
      <c r="BV255" s="34">
        <f t="shared" ca="1" si="184"/>
        <v>14401.380092212814</v>
      </c>
      <c r="BW255" s="34">
        <f t="shared" ca="1" si="184"/>
        <v>16088.289858168875</v>
      </c>
      <c r="BX255" s="34">
        <f t="shared" ca="1" si="184"/>
        <v>18372.887009574264</v>
      </c>
      <c r="BY255" s="34">
        <f t="shared" ca="1" si="184"/>
        <v>21687.850423846125</v>
      </c>
      <c r="BZ255" s="34">
        <f t="shared" ca="1" si="184"/>
        <v>27064.975296054672</v>
      </c>
      <c r="CA255" s="34">
        <f t="shared" ca="1" si="184"/>
        <v>37895.425271517612</v>
      </c>
      <c r="CB255" s="34">
        <f t="shared" ca="1" si="184"/>
        <v>85579.724999999991</v>
      </c>
      <c r="CC255" s="34">
        <f t="shared" ca="1" si="184"/>
        <v>0</v>
      </c>
      <c r="CD255" s="34">
        <f t="shared" ca="1" si="184"/>
        <v>0</v>
      </c>
      <c r="CE255" s="34">
        <f t="shared" ca="1" si="184"/>
        <v>0</v>
      </c>
      <c r="CF255" s="34">
        <f t="shared" ca="1" si="184"/>
        <v>0</v>
      </c>
      <c r="CG255" s="34">
        <f t="shared" ca="1" si="184"/>
        <v>0</v>
      </c>
      <c r="CH255" s="34">
        <f t="shared" ca="1" si="185"/>
        <v>0</v>
      </c>
      <c r="CI255" s="34">
        <f t="shared" ca="1" si="185"/>
        <v>0</v>
      </c>
      <c r="CJ255" s="34">
        <f t="shared" ca="1" si="185"/>
        <v>0</v>
      </c>
      <c r="CK255" s="34">
        <f t="shared" ca="1" si="185"/>
        <v>0</v>
      </c>
      <c r="CL255" s="34">
        <f t="shared" ca="1" si="185"/>
        <v>0</v>
      </c>
      <c r="CM255" s="34">
        <f t="shared" ca="1" si="185"/>
        <v>0</v>
      </c>
      <c r="CN255" s="34">
        <f t="shared" ca="1" si="185"/>
        <v>0</v>
      </c>
      <c r="CO255" s="34">
        <f t="shared" ca="1" si="185"/>
        <v>0</v>
      </c>
      <c r="CP255" s="34">
        <f t="shared" ca="1" si="185"/>
        <v>0</v>
      </c>
      <c r="CQ255" s="34">
        <f t="shared" ca="1" si="179"/>
        <v>241898.37035299308</v>
      </c>
      <c r="CR255" s="363">
        <v>0</v>
      </c>
      <c r="CS255" s="34">
        <f t="shared" ca="1" si="180"/>
        <v>241898.37035299308</v>
      </c>
      <c r="CT255" s="233"/>
    </row>
    <row r="256" spans="2:98" x14ac:dyDescent="0.3">
      <c r="B256" s="232"/>
      <c r="C256" s="250">
        <f t="shared" si="181"/>
        <v>2040</v>
      </c>
      <c r="D256" s="263">
        <f t="shared" ca="1" si="161"/>
        <v>16141.20113581007</v>
      </c>
      <c r="E256" s="263">
        <f t="shared" ca="1" si="149"/>
        <v>106.76512500622844</v>
      </c>
      <c r="F256" s="263">
        <f t="shared" ca="1" si="150"/>
        <v>0</v>
      </c>
      <c r="G256" s="263">
        <f t="shared" ca="1" si="162"/>
        <v>16781.79188584744</v>
      </c>
      <c r="H256" s="15"/>
      <c r="I256" s="271">
        <f ca="1">Assumptions!O$68</f>
        <v>4.5</v>
      </c>
      <c r="J256" s="271">
        <f ca="1">Assumptions!P$68</f>
        <v>80</v>
      </c>
      <c r="K256" s="271">
        <f t="shared" ca="1" si="151"/>
        <v>40</v>
      </c>
      <c r="L256" s="15"/>
      <c r="M256" s="35">
        <f t="shared" ca="1" si="163"/>
        <v>4.2299999999999995</v>
      </c>
      <c r="N256" s="35">
        <f t="shared" ca="1" si="152"/>
        <v>74.400000000000006</v>
      </c>
      <c r="O256" s="35">
        <f t="shared" ca="1" si="153"/>
        <v>37.200000000000003</v>
      </c>
      <c r="P256" s="15"/>
      <c r="Q256" s="34">
        <f t="shared" ca="1" si="164"/>
        <v>68277.280804476584</v>
      </c>
      <c r="R256" s="34">
        <f t="shared" ca="1" si="164"/>
        <v>7943.3253004633971</v>
      </c>
      <c r="S256" s="34">
        <f t="shared" ca="1" si="164"/>
        <v>0</v>
      </c>
      <c r="T256" s="34">
        <f t="shared" ca="1" si="165"/>
        <v>76220.606104939987</v>
      </c>
      <c r="U256" s="15"/>
      <c r="V256" s="35">
        <f t="shared" si="166"/>
        <v>0.31</v>
      </c>
      <c r="W256" s="34">
        <f t="shared" ca="1" si="167"/>
        <v>5202.3554846127063</v>
      </c>
      <c r="X256" s="35">
        <f t="shared" si="168"/>
        <v>0.37</v>
      </c>
      <c r="Y256" s="34">
        <f t="shared" ca="1" si="169"/>
        <v>6209.2629977635524</v>
      </c>
      <c r="Z256" s="35">
        <f t="shared" si="170"/>
        <v>0.57999999999999996</v>
      </c>
      <c r="AA256" s="34">
        <f t="shared" ca="1" si="171"/>
        <v>9733.4392937915145</v>
      </c>
      <c r="AB256" s="34">
        <f t="shared" ca="1" si="172"/>
        <v>21145.057776167774</v>
      </c>
      <c r="AC256" s="15"/>
      <c r="AD256" s="34">
        <f t="shared" ca="1" si="173"/>
        <v>55075.548328772216</v>
      </c>
      <c r="AE256" s="34">
        <f ca="1"/>
        <v>0</v>
      </c>
      <c r="AF256" s="34">
        <f t="shared" ca="1" si="174"/>
        <v>55075.548328772216</v>
      </c>
      <c r="AG256" s="15"/>
      <c r="AH256" s="272">
        <f t="shared" si="182"/>
        <v>51501</v>
      </c>
      <c r="AI256" s="267">
        <f t="shared" si="154"/>
        <v>26.666666666666668</v>
      </c>
      <c r="AJ256" s="267">
        <f t="shared" si="155"/>
        <v>7.8739936904446528E-2</v>
      </c>
      <c r="AK256" s="34">
        <f t="shared" ca="1" si="183"/>
        <v>4336.6452003853201</v>
      </c>
      <c r="AL256" s="233"/>
      <c r="AN256" s="232"/>
      <c r="AO256" s="237">
        <f t="shared" si="175"/>
        <v>27</v>
      </c>
      <c r="AP256" s="34">
        <f t="shared" ca="1" si="186"/>
        <v>46.604853563919889</v>
      </c>
      <c r="AQ256" s="34">
        <f t="shared" ca="1" si="186"/>
        <v>0.30826534994411747</v>
      </c>
      <c r="AR256" s="34">
        <f t="shared" ca="1" si="186"/>
        <v>0</v>
      </c>
      <c r="AS256" s="34">
        <f t="shared" ca="1" si="186"/>
        <v>48.454445663584593</v>
      </c>
      <c r="AT256" s="15"/>
      <c r="AW256" s="34">
        <f t="shared" ca="1" si="177"/>
        <v>46.604853563919889</v>
      </c>
      <c r="AX256" s="34">
        <f t="shared" ca="1" si="157"/>
        <v>0.30826534994411747</v>
      </c>
      <c r="AY256" s="34">
        <f t="shared" ca="1" si="157"/>
        <v>0</v>
      </c>
      <c r="AZ256" s="34">
        <f t="shared" ca="1" si="157"/>
        <v>48.454445663584593</v>
      </c>
      <c r="BB256" s="34">
        <f t="shared" ca="1" si="187"/>
        <v>0</v>
      </c>
      <c r="BC256" s="34">
        <f t="shared" ca="1" si="187"/>
        <v>0</v>
      </c>
      <c r="BD256" s="34">
        <f t="shared" ca="1" si="187"/>
        <v>0</v>
      </c>
      <c r="BE256" s="34">
        <f t="shared" ca="1" si="187"/>
        <v>0</v>
      </c>
      <c r="BF256" s="34">
        <f t="shared" ca="1" si="187"/>
        <v>0</v>
      </c>
      <c r="BG256" s="34">
        <f t="shared" ca="1" si="187"/>
        <v>0</v>
      </c>
      <c r="BH256" s="34">
        <f t="shared" ca="1" si="187"/>
        <v>0</v>
      </c>
      <c r="BI256" s="34">
        <f t="shared" ca="1" si="187"/>
        <v>0</v>
      </c>
      <c r="BJ256" s="34">
        <f t="shared" ca="1" si="187"/>
        <v>0</v>
      </c>
      <c r="BK256" s="34">
        <f t="shared" ca="1" si="187"/>
        <v>0</v>
      </c>
      <c r="BL256" s="34">
        <f t="shared" ca="1" si="187"/>
        <v>0</v>
      </c>
      <c r="BM256" s="34">
        <f t="shared" ca="1" si="187"/>
        <v>0</v>
      </c>
      <c r="BN256" s="34">
        <f t="shared" ca="1" si="187"/>
        <v>0</v>
      </c>
      <c r="BO256" s="34">
        <f t="shared" ca="1" si="187"/>
        <v>0</v>
      </c>
      <c r="BP256" s="34">
        <f t="shared" ca="1" si="187"/>
        <v>0</v>
      </c>
      <c r="BQ256" s="34">
        <f t="shared" ca="1" si="187"/>
        <v>0</v>
      </c>
      <c r="BR256" s="34">
        <f t="shared" ca="1" si="184"/>
        <v>0</v>
      </c>
      <c r="BS256" s="34">
        <f t="shared" ca="1" si="184"/>
        <v>0</v>
      </c>
      <c r="BT256" s="34">
        <f t="shared" ca="1" si="184"/>
        <v>7161.6934652678101</v>
      </c>
      <c r="BU256" s="34">
        <f t="shared" ca="1" si="184"/>
        <v>12049.738311753243</v>
      </c>
      <c r="BV256" s="34">
        <f t="shared" ca="1" si="184"/>
        <v>13095.679130079012</v>
      </c>
      <c r="BW256" s="34">
        <f t="shared" ca="1" si="184"/>
        <v>14401.380092212814</v>
      </c>
      <c r="BX256" s="34">
        <f t="shared" ca="1" si="184"/>
        <v>16088.289858168875</v>
      </c>
      <c r="BY256" s="34">
        <f t="shared" ca="1" si="184"/>
        <v>18372.887009574264</v>
      </c>
      <c r="BZ256" s="34">
        <f t="shared" ca="1" si="184"/>
        <v>21687.850423846125</v>
      </c>
      <c r="CA256" s="34">
        <f t="shared" ca="1" si="184"/>
        <v>27064.975296054672</v>
      </c>
      <c r="CB256" s="34">
        <f t="shared" ca="1" si="184"/>
        <v>37895.425271517612</v>
      </c>
      <c r="CC256" s="34">
        <f t="shared" ca="1" si="184"/>
        <v>0</v>
      </c>
      <c r="CD256" s="34">
        <f t="shared" ca="1" si="184"/>
        <v>0</v>
      </c>
      <c r="CE256" s="34">
        <f t="shared" ca="1" si="184"/>
        <v>0</v>
      </c>
      <c r="CF256" s="34">
        <f t="shared" ca="1" si="184"/>
        <v>0</v>
      </c>
      <c r="CG256" s="34">
        <f t="shared" ca="1" si="184"/>
        <v>0</v>
      </c>
      <c r="CH256" s="34">
        <f t="shared" ca="1" si="185"/>
        <v>0</v>
      </c>
      <c r="CI256" s="34">
        <f t="shared" ca="1" si="185"/>
        <v>0</v>
      </c>
      <c r="CJ256" s="34">
        <f t="shared" ca="1" si="185"/>
        <v>0</v>
      </c>
      <c r="CK256" s="34">
        <f t="shared" ca="1" si="185"/>
        <v>0</v>
      </c>
      <c r="CL256" s="34">
        <f t="shared" ca="1" si="185"/>
        <v>0</v>
      </c>
      <c r="CM256" s="34">
        <f t="shared" ca="1" si="185"/>
        <v>0</v>
      </c>
      <c r="CN256" s="34">
        <f t="shared" ca="1" si="185"/>
        <v>0</v>
      </c>
      <c r="CO256" s="34">
        <f t="shared" ca="1" si="185"/>
        <v>0</v>
      </c>
      <c r="CP256" s="34">
        <f t="shared" ca="1" si="185"/>
        <v>0</v>
      </c>
      <c r="CQ256" s="34">
        <f t="shared" ca="1" si="179"/>
        <v>167817.91885847441</v>
      </c>
      <c r="CR256" s="363">
        <v>0</v>
      </c>
      <c r="CS256" s="34">
        <f t="shared" ca="1" si="180"/>
        <v>167817.91885847441</v>
      </c>
      <c r="CT256" s="233"/>
    </row>
    <row r="257" spans="2:98" x14ac:dyDescent="0.3">
      <c r="B257" s="232"/>
      <c r="C257" s="250">
        <f t="shared" si="181"/>
        <v>2041</v>
      </c>
      <c r="D257" s="263">
        <f t="shared" ca="1" si="161"/>
        <v>13528.123787440298</v>
      </c>
      <c r="E257" s="263">
        <f t="shared" ca="1" si="149"/>
        <v>89.481062475671209</v>
      </c>
      <c r="F257" s="263">
        <f t="shared" ca="1" si="150"/>
        <v>0</v>
      </c>
      <c r="G257" s="263">
        <f t="shared" ca="1" si="162"/>
        <v>14065.010162294326</v>
      </c>
      <c r="H257" s="15"/>
      <c r="I257" s="271">
        <f ca="1">Assumptions!O$68</f>
        <v>4.5</v>
      </c>
      <c r="J257" s="271">
        <f ca="1">Assumptions!P$68</f>
        <v>80</v>
      </c>
      <c r="K257" s="271">
        <f t="shared" ca="1" si="151"/>
        <v>40</v>
      </c>
      <c r="L257" s="15"/>
      <c r="M257" s="35">
        <f t="shared" ca="1" si="163"/>
        <v>4.2299999999999995</v>
      </c>
      <c r="N257" s="35">
        <f t="shared" ca="1" si="152"/>
        <v>74.400000000000006</v>
      </c>
      <c r="O257" s="35">
        <f t="shared" ca="1" si="153"/>
        <v>37.200000000000003</v>
      </c>
      <c r="P257" s="15"/>
      <c r="Q257" s="34">
        <f t="shared" ca="1" si="164"/>
        <v>57223.963620872455</v>
      </c>
      <c r="R257" s="34">
        <f t="shared" ca="1" si="164"/>
        <v>6657.3910481899384</v>
      </c>
      <c r="S257" s="34">
        <f t="shared" ca="1" si="164"/>
        <v>0</v>
      </c>
      <c r="T257" s="34">
        <f t="shared" ca="1" si="165"/>
        <v>63881.354669062392</v>
      </c>
      <c r="U257" s="15"/>
      <c r="V257" s="35">
        <f t="shared" si="166"/>
        <v>0.31</v>
      </c>
      <c r="W257" s="34">
        <f t="shared" ca="1" si="167"/>
        <v>4360.153150311241</v>
      </c>
      <c r="X257" s="35">
        <f t="shared" si="168"/>
        <v>0.37</v>
      </c>
      <c r="Y257" s="34">
        <f t="shared" ca="1" si="169"/>
        <v>5204.0537600489006</v>
      </c>
      <c r="Z257" s="35">
        <f t="shared" si="170"/>
        <v>0.57999999999999996</v>
      </c>
      <c r="AA257" s="34">
        <f t="shared" ca="1" si="171"/>
        <v>8157.7058941307087</v>
      </c>
      <c r="AB257" s="34">
        <f t="shared" ca="1" si="172"/>
        <v>17721.91280449085</v>
      </c>
      <c r="AC257" s="15"/>
      <c r="AD257" s="34">
        <f t="shared" ca="1" si="173"/>
        <v>46159.441864571541</v>
      </c>
      <c r="AE257" s="34">
        <f ca="1"/>
        <v>0</v>
      </c>
      <c r="AF257" s="34">
        <f t="shared" ca="1" si="174"/>
        <v>46159.441864571541</v>
      </c>
      <c r="AG257" s="15"/>
      <c r="AH257" s="272">
        <f t="shared" si="182"/>
        <v>51866</v>
      </c>
      <c r="AI257" s="267">
        <f t="shared" si="154"/>
        <v>27.666666666666668</v>
      </c>
      <c r="AJ257" s="267">
        <f t="shared" si="155"/>
        <v>7.1581760822224116E-2</v>
      </c>
      <c r="AK257" s="34">
        <f t="shared" ca="1" si="183"/>
        <v>3304.1741272371187</v>
      </c>
      <c r="AL257" s="233"/>
      <c r="AN257" s="232"/>
      <c r="AO257" s="237">
        <f t="shared" si="175"/>
        <v>28</v>
      </c>
      <c r="AP257" s="34">
        <f t="shared" ca="1" si="186"/>
        <v>44.723130930124739</v>
      </c>
      <c r="AQ257" s="34">
        <f t="shared" ca="1" si="186"/>
        <v>0.29581879466401034</v>
      </c>
      <c r="AR257" s="34">
        <f t="shared" ca="1" si="186"/>
        <v>0</v>
      </c>
      <c r="AS257" s="34">
        <f t="shared" ca="1" si="186"/>
        <v>46.498043698108802</v>
      </c>
      <c r="AT257" s="15"/>
      <c r="AW257" s="34">
        <f t="shared" ca="1" si="177"/>
        <v>44.723130930124739</v>
      </c>
      <c r="AX257" s="34">
        <f t="shared" ca="1" si="157"/>
        <v>0.29581879466401034</v>
      </c>
      <c r="AY257" s="34">
        <f t="shared" ca="1" si="157"/>
        <v>0</v>
      </c>
      <c r="AZ257" s="34">
        <f t="shared" ca="1" si="157"/>
        <v>46.498043698108802</v>
      </c>
      <c r="BB257" s="34">
        <f t="shared" ca="1" si="187"/>
        <v>0</v>
      </c>
      <c r="BC257" s="34">
        <f t="shared" ca="1" si="187"/>
        <v>0</v>
      </c>
      <c r="BD257" s="34">
        <f t="shared" ca="1" si="187"/>
        <v>0</v>
      </c>
      <c r="BE257" s="34">
        <f t="shared" ca="1" si="187"/>
        <v>0</v>
      </c>
      <c r="BF257" s="34">
        <f t="shared" ca="1" si="187"/>
        <v>0</v>
      </c>
      <c r="BG257" s="34">
        <f t="shared" ca="1" si="187"/>
        <v>0</v>
      </c>
      <c r="BH257" s="34">
        <f t="shared" ca="1" si="187"/>
        <v>0</v>
      </c>
      <c r="BI257" s="34">
        <f t="shared" ca="1" si="187"/>
        <v>0</v>
      </c>
      <c r="BJ257" s="34">
        <f t="shared" ca="1" si="187"/>
        <v>0</v>
      </c>
      <c r="BK257" s="34">
        <f t="shared" ca="1" si="187"/>
        <v>0</v>
      </c>
      <c r="BL257" s="34">
        <f t="shared" ca="1" si="187"/>
        <v>0</v>
      </c>
      <c r="BM257" s="34">
        <f t="shared" ca="1" si="187"/>
        <v>0</v>
      </c>
      <c r="BN257" s="34">
        <f t="shared" ca="1" si="187"/>
        <v>0</v>
      </c>
      <c r="BO257" s="34">
        <f t="shared" ca="1" si="187"/>
        <v>0</v>
      </c>
      <c r="BP257" s="34">
        <f t="shared" ca="1" si="187"/>
        <v>0</v>
      </c>
      <c r="BQ257" s="34">
        <f t="shared" ca="1" si="187"/>
        <v>0</v>
      </c>
      <c r="BR257" s="34">
        <f t="shared" ca="1" si="184"/>
        <v>0</v>
      </c>
      <c r="BS257" s="34">
        <f t="shared" ca="1" si="184"/>
        <v>0</v>
      </c>
      <c r="BT257" s="34">
        <f t="shared" ca="1" si="184"/>
        <v>6699.6281196884884</v>
      </c>
      <c r="BU257" s="34">
        <f t="shared" ca="1" si="184"/>
        <v>11189.67338156575</v>
      </c>
      <c r="BV257" s="34">
        <f t="shared" ca="1" si="184"/>
        <v>12049.738311753243</v>
      </c>
      <c r="BW257" s="34">
        <f t="shared" ca="1" si="184"/>
        <v>13095.679130079012</v>
      </c>
      <c r="BX257" s="34">
        <f t="shared" ca="1" si="184"/>
        <v>14401.380092212814</v>
      </c>
      <c r="BY257" s="34">
        <f t="shared" ca="1" si="184"/>
        <v>16088.289858168875</v>
      </c>
      <c r="BZ257" s="34">
        <f t="shared" ca="1" si="184"/>
        <v>18372.887009574264</v>
      </c>
      <c r="CA257" s="34">
        <f t="shared" ca="1" si="184"/>
        <v>21687.850423846125</v>
      </c>
      <c r="CB257" s="34">
        <f t="shared" ca="1" si="184"/>
        <v>27064.975296054672</v>
      </c>
      <c r="CC257" s="34">
        <f t="shared" ca="1" si="184"/>
        <v>0</v>
      </c>
      <c r="CD257" s="34">
        <f t="shared" ca="1" si="184"/>
        <v>0</v>
      </c>
      <c r="CE257" s="34">
        <f t="shared" ca="1" si="184"/>
        <v>0</v>
      </c>
      <c r="CF257" s="34">
        <f t="shared" ca="1" si="184"/>
        <v>0</v>
      </c>
      <c r="CG257" s="34">
        <f t="shared" ca="1" si="184"/>
        <v>0</v>
      </c>
      <c r="CH257" s="34">
        <f t="shared" ca="1" si="185"/>
        <v>0</v>
      </c>
      <c r="CI257" s="34">
        <f t="shared" ca="1" si="185"/>
        <v>0</v>
      </c>
      <c r="CJ257" s="34">
        <f t="shared" ca="1" si="185"/>
        <v>0</v>
      </c>
      <c r="CK257" s="34">
        <f t="shared" ca="1" si="185"/>
        <v>0</v>
      </c>
      <c r="CL257" s="34">
        <f t="shared" ca="1" si="185"/>
        <v>0</v>
      </c>
      <c r="CM257" s="34">
        <f t="shared" ca="1" si="185"/>
        <v>0</v>
      </c>
      <c r="CN257" s="34">
        <f t="shared" ca="1" si="185"/>
        <v>0</v>
      </c>
      <c r="CO257" s="34">
        <f t="shared" ca="1" si="185"/>
        <v>0</v>
      </c>
      <c r="CP257" s="34">
        <f t="shared" ca="1" si="185"/>
        <v>0</v>
      </c>
      <c r="CQ257" s="34">
        <f t="shared" ca="1" si="179"/>
        <v>140650.10162294324</v>
      </c>
      <c r="CR257" s="363">
        <v>0</v>
      </c>
      <c r="CS257" s="34">
        <f t="shared" ca="1" si="180"/>
        <v>140650.10162294324</v>
      </c>
      <c r="CT257" s="233"/>
    </row>
    <row r="258" spans="2:98" x14ac:dyDescent="0.3">
      <c r="B258" s="232"/>
      <c r="C258" s="250">
        <f t="shared" si="181"/>
        <v>2042</v>
      </c>
      <c r="D258" s="263">
        <f t="shared" ca="1" si="161"/>
        <v>11893.821103718547</v>
      </c>
      <c r="E258" s="263">
        <f t="shared" ca="1" si="149"/>
        <v>78.671053427555194</v>
      </c>
      <c r="F258" s="263">
        <f t="shared" ca="1" si="150"/>
        <v>0</v>
      </c>
      <c r="G258" s="263">
        <f t="shared" ca="1" si="162"/>
        <v>12365.847424283878</v>
      </c>
      <c r="H258" s="15"/>
      <c r="I258" s="271">
        <f ca="1">Assumptions!O$68</f>
        <v>4.5</v>
      </c>
      <c r="J258" s="271">
        <f ca="1">Assumptions!P$68</f>
        <v>80</v>
      </c>
      <c r="K258" s="271">
        <f t="shared" ca="1" si="151"/>
        <v>40</v>
      </c>
      <c r="L258" s="15"/>
      <c r="M258" s="35">
        <f t="shared" ca="1" si="163"/>
        <v>4.2299999999999995</v>
      </c>
      <c r="N258" s="35">
        <f t="shared" ca="1" si="152"/>
        <v>74.400000000000006</v>
      </c>
      <c r="O258" s="35">
        <f t="shared" ca="1" si="153"/>
        <v>37.200000000000003</v>
      </c>
      <c r="P258" s="15"/>
      <c r="Q258" s="34">
        <f t="shared" ca="1" si="164"/>
        <v>50310.863268729445</v>
      </c>
      <c r="R258" s="34">
        <f t="shared" ca="1" si="164"/>
        <v>5853.126375010107</v>
      </c>
      <c r="S258" s="34">
        <f t="shared" ca="1" si="164"/>
        <v>0</v>
      </c>
      <c r="T258" s="34">
        <f t="shared" ca="1" si="165"/>
        <v>56163.989643739551</v>
      </c>
      <c r="U258" s="15"/>
      <c r="V258" s="35">
        <f t="shared" si="166"/>
        <v>0.31</v>
      </c>
      <c r="W258" s="34">
        <f t="shared" ca="1" si="167"/>
        <v>3833.4127015280023</v>
      </c>
      <c r="X258" s="35">
        <f t="shared" si="168"/>
        <v>0.37</v>
      </c>
      <c r="Y258" s="34">
        <f t="shared" ca="1" si="169"/>
        <v>4575.3635469850351</v>
      </c>
      <c r="Z258" s="35">
        <f t="shared" si="170"/>
        <v>0.57999999999999996</v>
      </c>
      <c r="AA258" s="34">
        <f t="shared" ca="1" si="171"/>
        <v>7172.1915060846486</v>
      </c>
      <c r="AB258" s="34">
        <f t="shared" ca="1" si="172"/>
        <v>15580.967754597685</v>
      </c>
      <c r="AC258" s="15"/>
      <c r="AD258" s="34">
        <f t="shared" ca="1" si="173"/>
        <v>40583.021889141863</v>
      </c>
      <c r="AE258" s="34">
        <f ca="1"/>
        <v>0</v>
      </c>
      <c r="AF258" s="34">
        <f t="shared" ca="1" si="174"/>
        <v>40583.021889141863</v>
      </c>
      <c r="AG258" s="15"/>
      <c r="AH258" s="272">
        <f t="shared" si="182"/>
        <v>52231</v>
      </c>
      <c r="AI258" s="267">
        <f t="shared" si="154"/>
        <v>28.666666666666668</v>
      </c>
      <c r="AJ258" s="267">
        <f t="shared" si="155"/>
        <v>6.5074328020203728E-2</v>
      </c>
      <c r="AK258" s="34">
        <f t="shared" ca="1" si="183"/>
        <v>2640.9128784651257</v>
      </c>
      <c r="AL258" s="233"/>
      <c r="AN258" s="232"/>
      <c r="AO258" s="237">
        <f t="shared" si="175"/>
        <v>29</v>
      </c>
      <c r="AP258" s="34">
        <f t="shared" ca="1" si="186"/>
        <v>42.917382863175128</v>
      </c>
      <c r="AQ258" s="34">
        <f t="shared" ca="1" si="186"/>
        <v>0.28387476915590154</v>
      </c>
      <c r="AR258" s="34">
        <f t="shared" ca="1" si="186"/>
        <v>0</v>
      </c>
      <c r="AS258" s="34">
        <f t="shared" ca="1" si="186"/>
        <v>44.620631478110539</v>
      </c>
      <c r="AT258" s="15"/>
      <c r="AW258" s="34">
        <f t="shared" ca="1" si="177"/>
        <v>42.917382863175128</v>
      </c>
      <c r="AX258" s="34">
        <f t="shared" ca="1" si="157"/>
        <v>0.28387476915590154</v>
      </c>
      <c r="AY258" s="34">
        <f t="shared" ca="1" si="157"/>
        <v>0</v>
      </c>
      <c r="AZ258" s="34">
        <f t="shared" ca="1" si="157"/>
        <v>44.620631478110539</v>
      </c>
      <c r="BB258" s="34">
        <f t="shared" ca="1" si="187"/>
        <v>0</v>
      </c>
      <c r="BC258" s="34">
        <f t="shared" ca="1" si="187"/>
        <v>0</v>
      </c>
      <c r="BD258" s="34">
        <f t="shared" ca="1" si="187"/>
        <v>0</v>
      </c>
      <c r="BE258" s="34">
        <f t="shared" ca="1" si="187"/>
        <v>0</v>
      </c>
      <c r="BF258" s="34">
        <f t="shared" ca="1" si="187"/>
        <v>0</v>
      </c>
      <c r="BG258" s="34">
        <f t="shared" ca="1" si="187"/>
        <v>0</v>
      </c>
      <c r="BH258" s="34">
        <f t="shared" ca="1" si="187"/>
        <v>0</v>
      </c>
      <c r="BI258" s="34">
        <f t="shared" ca="1" si="187"/>
        <v>0</v>
      </c>
      <c r="BJ258" s="34">
        <f t="shared" ca="1" si="187"/>
        <v>0</v>
      </c>
      <c r="BK258" s="34">
        <f t="shared" ca="1" si="187"/>
        <v>0</v>
      </c>
      <c r="BL258" s="34">
        <f t="shared" ca="1" si="187"/>
        <v>0</v>
      </c>
      <c r="BM258" s="34">
        <f t="shared" ca="1" si="187"/>
        <v>0</v>
      </c>
      <c r="BN258" s="34">
        <f t="shared" ca="1" si="187"/>
        <v>0</v>
      </c>
      <c r="BO258" s="34">
        <f t="shared" ca="1" si="187"/>
        <v>0</v>
      </c>
      <c r="BP258" s="34">
        <f t="shared" ca="1" si="187"/>
        <v>0</v>
      </c>
      <c r="BQ258" s="34">
        <f t="shared" ca="1" si="187"/>
        <v>0</v>
      </c>
      <c r="BR258" s="34">
        <f t="shared" ca="1" si="184"/>
        <v>0</v>
      </c>
      <c r="BS258" s="34">
        <f t="shared" ca="1" si="184"/>
        <v>0</v>
      </c>
      <c r="BT258" s="34">
        <f t="shared" ca="1" si="184"/>
        <v>6305.2492611216276</v>
      </c>
      <c r="BU258" s="34">
        <f t="shared" ca="1" si="184"/>
        <v>10467.726774517054</v>
      </c>
      <c r="BV258" s="34">
        <f t="shared" ca="1" si="184"/>
        <v>11189.67338156575</v>
      </c>
      <c r="BW258" s="34">
        <f t="shared" ca="1" si="184"/>
        <v>12049.738311753243</v>
      </c>
      <c r="BX258" s="34">
        <f t="shared" ca="1" si="184"/>
        <v>13095.679130079012</v>
      </c>
      <c r="BY258" s="34">
        <f t="shared" ca="1" si="184"/>
        <v>14401.380092212814</v>
      </c>
      <c r="BZ258" s="34">
        <f t="shared" ca="1" si="184"/>
        <v>16088.289858168875</v>
      </c>
      <c r="CA258" s="34">
        <f t="shared" ca="1" si="184"/>
        <v>18372.887009574264</v>
      </c>
      <c r="CB258" s="34">
        <f t="shared" ca="1" si="184"/>
        <v>21687.850423846125</v>
      </c>
      <c r="CC258" s="34">
        <f t="shared" ca="1" si="184"/>
        <v>0</v>
      </c>
      <c r="CD258" s="34">
        <f t="shared" ca="1" si="184"/>
        <v>0</v>
      </c>
      <c r="CE258" s="34">
        <f t="shared" ca="1" si="184"/>
        <v>0</v>
      </c>
      <c r="CF258" s="34">
        <f t="shared" ca="1" si="184"/>
        <v>0</v>
      </c>
      <c r="CG258" s="34">
        <f t="shared" ca="1" si="184"/>
        <v>0</v>
      </c>
      <c r="CH258" s="34">
        <f t="shared" ca="1" si="185"/>
        <v>0</v>
      </c>
      <c r="CI258" s="34">
        <f t="shared" ca="1" si="185"/>
        <v>0</v>
      </c>
      <c r="CJ258" s="34">
        <f t="shared" ca="1" si="185"/>
        <v>0</v>
      </c>
      <c r="CK258" s="34">
        <f t="shared" ca="1" si="185"/>
        <v>0</v>
      </c>
      <c r="CL258" s="34">
        <f t="shared" ca="1" si="185"/>
        <v>0</v>
      </c>
      <c r="CM258" s="34">
        <f t="shared" ca="1" si="185"/>
        <v>0</v>
      </c>
      <c r="CN258" s="34">
        <f t="shared" ca="1" si="185"/>
        <v>0</v>
      </c>
      <c r="CO258" s="34">
        <f t="shared" ca="1" si="185"/>
        <v>0</v>
      </c>
      <c r="CP258" s="34">
        <f t="shared" ca="1" si="185"/>
        <v>0</v>
      </c>
      <c r="CQ258" s="34">
        <f t="shared" ca="1" si="179"/>
        <v>123658.47424283877</v>
      </c>
      <c r="CR258" s="363">
        <v>0</v>
      </c>
      <c r="CS258" s="34">
        <f t="shared" ca="1" si="180"/>
        <v>123658.47424283877</v>
      </c>
      <c r="CT258" s="233"/>
    </row>
    <row r="259" spans="2:98" x14ac:dyDescent="0.3">
      <c r="B259" s="232"/>
      <c r="C259" s="250">
        <f t="shared" si="181"/>
        <v>2043</v>
      </c>
      <c r="D259" s="263">
        <f t="shared" ca="1" si="161"/>
        <v>10722.546726472548</v>
      </c>
      <c r="E259" s="263">
        <f t="shared" ca="1" si="149"/>
        <v>70.923720732107327</v>
      </c>
      <c r="F259" s="263">
        <f t="shared" ca="1" si="150"/>
        <v>0</v>
      </c>
      <c r="G259" s="263">
        <f t="shared" ca="1" si="162"/>
        <v>11148.089050865192</v>
      </c>
      <c r="H259" s="15"/>
      <c r="I259" s="271">
        <f ca="1">Assumptions!O$68</f>
        <v>4.5</v>
      </c>
      <c r="J259" s="271">
        <f ca="1">Assumptions!P$68</f>
        <v>80</v>
      </c>
      <c r="K259" s="271">
        <f t="shared" ca="1" si="151"/>
        <v>40</v>
      </c>
      <c r="L259" s="15"/>
      <c r="M259" s="35">
        <f t="shared" ca="1" si="163"/>
        <v>4.2299999999999995</v>
      </c>
      <c r="N259" s="35">
        <f t="shared" ca="1" si="152"/>
        <v>74.400000000000006</v>
      </c>
      <c r="O259" s="35">
        <f t="shared" ca="1" si="153"/>
        <v>37.200000000000003</v>
      </c>
      <c r="P259" s="15"/>
      <c r="Q259" s="34">
        <f t="shared" ca="1" si="164"/>
        <v>45356.372652978876</v>
      </c>
      <c r="R259" s="34">
        <f t="shared" ca="1" si="164"/>
        <v>5276.7248224687855</v>
      </c>
      <c r="S259" s="34">
        <f t="shared" ca="1" si="164"/>
        <v>0</v>
      </c>
      <c r="T259" s="34">
        <f t="shared" ca="1" si="165"/>
        <v>50633.097475447663</v>
      </c>
      <c r="U259" s="15"/>
      <c r="V259" s="35">
        <f t="shared" si="166"/>
        <v>0.31</v>
      </c>
      <c r="W259" s="34">
        <f t="shared" ca="1" si="167"/>
        <v>3455.9076057682096</v>
      </c>
      <c r="X259" s="35">
        <f t="shared" si="168"/>
        <v>0.37</v>
      </c>
      <c r="Y259" s="34">
        <f t="shared" ca="1" si="169"/>
        <v>4124.7929488201207</v>
      </c>
      <c r="Z259" s="35">
        <f t="shared" si="170"/>
        <v>0.57999999999999996</v>
      </c>
      <c r="AA259" s="34">
        <f t="shared" ca="1" si="171"/>
        <v>6465.8916495018111</v>
      </c>
      <c r="AB259" s="34">
        <f t="shared" ca="1" si="172"/>
        <v>14046.592204090142</v>
      </c>
      <c r="AC259" s="15"/>
      <c r="AD259" s="34">
        <f t="shared" ca="1" si="173"/>
        <v>36586.505271357521</v>
      </c>
      <c r="AE259" s="34">
        <f ca="1"/>
        <v>0</v>
      </c>
      <c r="AF259" s="34">
        <f t="shared" ca="1" si="174"/>
        <v>36586.505271357521</v>
      </c>
      <c r="AG259" s="15"/>
      <c r="AH259" s="272">
        <f t="shared" si="182"/>
        <v>52596</v>
      </c>
      <c r="AI259" s="267">
        <f t="shared" si="154"/>
        <v>29.666666666666668</v>
      </c>
      <c r="AJ259" s="267">
        <f t="shared" si="155"/>
        <v>5.915848001836703E-2</v>
      </c>
      <c r="AK259" s="34">
        <f t="shared" ca="1" si="183"/>
        <v>2164.4020410374837</v>
      </c>
      <c r="AL259" s="233"/>
      <c r="AN259" s="232"/>
      <c r="AO259" s="237">
        <f t="shared" si="175"/>
        <v>30</v>
      </c>
      <c r="AP259" s="34">
        <f t="shared" ca="1" si="186"/>
        <v>41.184539007360783</v>
      </c>
      <c r="AQ259" s="34">
        <f t="shared" ca="1" si="186"/>
        <v>0.27241296471361337</v>
      </c>
      <c r="AR259" s="34">
        <f t="shared" ca="1" si="186"/>
        <v>0</v>
      </c>
      <c r="AS259" s="34">
        <f t="shared" ca="1" si="186"/>
        <v>42.819016795642462</v>
      </c>
      <c r="AT259" s="15"/>
      <c r="AW259" s="34">
        <f t="shared" ca="1" si="177"/>
        <v>41.184539007360783</v>
      </c>
      <c r="AX259" s="34">
        <f t="shared" ca="1" si="157"/>
        <v>0.27241296471361337</v>
      </c>
      <c r="AY259" s="34">
        <f t="shared" ca="1" si="157"/>
        <v>0</v>
      </c>
      <c r="AZ259" s="34">
        <f t="shared" ca="1" si="157"/>
        <v>42.819016795642462</v>
      </c>
      <c r="BB259" s="34">
        <f t="shared" ca="1" si="187"/>
        <v>0</v>
      </c>
      <c r="BC259" s="34">
        <f t="shared" ca="1" si="187"/>
        <v>0</v>
      </c>
      <c r="BD259" s="34">
        <f t="shared" ca="1" si="187"/>
        <v>0</v>
      </c>
      <c r="BE259" s="34">
        <f t="shared" ca="1" si="187"/>
        <v>0</v>
      </c>
      <c r="BF259" s="34">
        <f t="shared" ca="1" si="187"/>
        <v>0</v>
      </c>
      <c r="BG259" s="34">
        <f t="shared" ca="1" si="187"/>
        <v>0</v>
      </c>
      <c r="BH259" s="34">
        <f t="shared" ca="1" si="187"/>
        <v>0</v>
      </c>
      <c r="BI259" s="34">
        <f t="shared" ca="1" si="187"/>
        <v>0</v>
      </c>
      <c r="BJ259" s="34">
        <f t="shared" ca="1" si="187"/>
        <v>0</v>
      </c>
      <c r="BK259" s="34">
        <f t="shared" ca="1" si="187"/>
        <v>0</v>
      </c>
      <c r="BL259" s="34">
        <f t="shared" ca="1" si="187"/>
        <v>0</v>
      </c>
      <c r="BM259" s="34">
        <f t="shared" ca="1" si="187"/>
        <v>0</v>
      </c>
      <c r="BN259" s="34">
        <f t="shared" ca="1" si="187"/>
        <v>0</v>
      </c>
      <c r="BO259" s="34">
        <f t="shared" ca="1" si="187"/>
        <v>0</v>
      </c>
      <c r="BP259" s="34">
        <f t="shared" ca="1" si="187"/>
        <v>0</v>
      </c>
      <c r="BQ259" s="34">
        <f t="shared" ca="1" si="187"/>
        <v>0</v>
      </c>
      <c r="BR259" s="34">
        <f t="shared" ca="1" si="184"/>
        <v>0</v>
      </c>
      <c r="BS259" s="34">
        <f t="shared" ca="1" si="184"/>
        <v>0</v>
      </c>
      <c r="BT259" s="34">
        <f t="shared" ca="1" si="184"/>
        <v>5963.980114532771</v>
      </c>
      <c r="BU259" s="34">
        <f t="shared" ca="1" si="184"/>
        <v>9851.5358362481165</v>
      </c>
      <c r="BV259" s="34">
        <f t="shared" ca="1" si="184"/>
        <v>10467.726774517054</v>
      </c>
      <c r="BW259" s="34">
        <f t="shared" ca="1" si="184"/>
        <v>11189.67338156575</v>
      </c>
      <c r="BX259" s="34">
        <f t="shared" ca="1" si="184"/>
        <v>12049.738311753243</v>
      </c>
      <c r="BY259" s="34">
        <f t="shared" ca="1" si="184"/>
        <v>13095.679130079012</v>
      </c>
      <c r="BZ259" s="34">
        <f t="shared" ca="1" si="184"/>
        <v>14401.380092212814</v>
      </c>
      <c r="CA259" s="34">
        <f t="shared" ca="1" si="184"/>
        <v>16088.289858168875</v>
      </c>
      <c r="CB259" s="34">
        <f t="shared" ca="1" si="184"/>
        <v>18372.887009574264</v>
      </c>
      <c r="CC259" s="34">
        <f t="shared" ca="1" si="184"/>
        <v>0</v>
      </c>
      <c r="CD259" s="34">
        <f t="shared" ca="1" si="184"/>
        <v>0</v>
      </c>
      <c r="CE259" s="34">
        <f t="shared" ca="1" si="184"/>
        <v>0</v>
      </c>
      <c r="CF259" s="34">
        <f t="shared" ca="1" si="184"/>
        <v>0</v>
      </c>
      <c r="CG259" s="34">
        <f t="shared" ca="1" si="184"/>
        <v>0</v>
      </c>
      <c r="CH259" s="34">
        <f t="shared" ca="1" si="185"/>
        <v>0</v>
      </c>
      <c r="CI259" s="34">
        <f t="shared" ca="1" si="185"/>
        <v>0</v>
      </c>
      <c r="CJ259" s="34">
        <f t="shared" ca="1" si="185"/>
        <v>0</v>
      </c>
      <c r="CK259" s="34">
        <f t="shared" ca="1" si="185"/>
        <v>0</v>
      </c>
      <c r="CL259" s="34">
        <f t="shared" ca="1" si="185"/>
        <v>0</v>
      </c>
      <c r="CM259" s="34">
        <f t="shared" ca="1" si="185"/>
        <v>0</v>
      </c>
      <c r="CN259" s="34">
        <f t="shared" ca="1" si="185"/>
        <v>0</v>
      </c>
      <c r="CO259" s="34">
        <f t="shared" ca="1" si="185"/>
        <v>0</v>
      </c>
      <c r="CP259" s="34">
        <f t="shared" ca="1" si="185"/>
        <v>0</v>
      </c>
      <c r="CQ259" s="34">
        <f t="shared" ca="1" si="179"/>
        <v>111480.89050865191</v>
      </c>
      <c r="CR259" s="363">
        <v>0</v>
      </c>
      <c r="CS259" s="34">
        <f t="shared" ca="1" si="180"/>
        <v>111480.89050865191</v>
      </c>
      <c r="CT259" s="233"/>
    </row>
    <row r="260" spans="2:98" x14ac:dyDescent="0.3">
      <c r="B260" s="232"/>
      <c r="C260" s="250">
        <f t="shared" si="181"/>
        <v>2044</v>
      </c>
      <c r="D260" s="263">
        <f t="shared" ca="1" si="161"/>
        <v>9822.9195732081935</v>
      </c>
      <c r="E260" s="263">
        <f t="shared" ca="1" si="149"/>
        <v>64.973184296242167</v>
      </c>
      <c r="F260" s="263">
        <f t="shared" ca="1" si="150"/>
        <v>0</v>
      </c>
      <c r="G260" s="263">
        <f t="shared" ca="1" si="162"/>
        <v>10212.758678985647</v>
      </c>
      <c r="H260" s="15"/>
      <c r="I260" s="271">
        <f ca="1">Assumptions!O$68</f>
        <v>4.5</v>
      </c>
      <c r="J260" s="271">
        <f ca="1">Assumptions!P$68</f>
        <v>80</v>
      </c>
      <c r="K260" s="271">
        <f t="shared" ca="1" si="151"/>
        <v>40</v>
      </c>
      <c r="L260" s="15"/>
      <c r="M260" s="35">
        <f t="shared" ca="1" si="163"/>
        <v>4.2299999999999995</v>
      </c>
      <c r="N260" s="35">
        <f t="shared" ca="1" si="152"/>
        <v>74.400000000000006</v>
      </c>
      <c r="O260" s="35">
        <f t="shared" ca="1" si="153"/>
        <v>37.200000000000003</v>
      </c>
      <c r="P260" s="15"/>
      <c r="Q260" s="34">
        <f t="shared" ca="1" si="164"/>
        <v>41550.949794670654</v>
      </c>
      <c r="R260" s="34">
        <f t="shared" ca="1" si="164"/>
        <v>4834.004911640418</v>
      </c>
      <c r="S260" s="34">
        <f t="shared" ca="1" si="164"/>
        <v>0</v>
      </c>
      <c r="T260" s="34">
        <f t="shared" ca="1" si="165"/>
        <v>46384.954706311073</v>
      </c>
      <c r="U260" s="15"/>
      <c r="V260" s="35">
        <f t="shared" si="166"/>
        <v>0.31</v>
      </c>
      <c r="W260" s="34">
        <f t="shared" ca="1" si="167"/>
        <v>3165.9551904855507</v>
      </c>
      <c r="X260" s="35">
        <f t="shared" si="168"/>
        <v>0.37</v>
      </c>
      <c r="Y260" s="34">
        <f t="shared" ca="1" si="169"/>
        <v>3778.7207112246892</v>
      </c>
      <c r="Z260" s="35">
        <f t="shared" si="170"/>
        <v>0.57999999999999996</v>
      </c>
      <c r="AA260" s="34">
        <f t="shared" ca="1" si="171"/>
        <v>5923.4000338116748</v>
      </c>
      <c r="AB260" s="34">
        <f t="shared" ca="1" si="172"/>
        <v>12868.075935521914</v>
      </c>
      <c r="AC260" s="15"/>
      <c r="AD260" s="34">
        <f t="shared" ca="1" si="173"/>
        <v>33516.878770789161</v>
      </c>
      <c r="AE260" s="34">
        <f ca="1"/>
        <v>0</v>
      </c>
      <c r="AF260" s="34">
        <f t="shared" ca="1" si="174"/>
        <v>33516.878770789161</v>
      </c>
      <c r="AG260" s="15"/>
      <c r="AH260" s="272">
        <f t="shared" si="182"/>
        <v>52962</v>
      </c>
      <c r="AI260" s="267">
        <f t="shared" si="154"/>
        <v>30.666666666666668</v>
      </c>
      <c r="AJ260" s="267">
        <f t="shared" si="155"/>
        <v>5.3780436380333668E-2</v>
      </c>
      <c r="AK260" s="34">
        <f t="shared" ca="1" si="183"/>
        <v>1802.5523663997826</v>
      </c>
      <c r="AL260" s="233"/>
      <c r="AN260" s="232"/>
      <c r="AO260" s="237">
        <f t="shared" si="175"/>
        <v>31</v>
      </c>
      <c r="AP260" s="34">
        <f t="shared" ca="1" si="186"/>
        <v>39.521664291939835</v>
      </c>
      <c r="AQ260" s="34">
        <f t="shared" ca="1" si="186"/>
        <v>0.2614139674662686</v>
      </c>
      <c r="AR260" s="34">
        <f t="shared" ca="1" si="186"/>
        <v>0</v>
      </c>
      <c r="AS260" s="34">
        <f t="shared" ca="1" si="186"/>
        <v>41.090148096737444</v>
      </c>
      <c r="AT260" s="15"/>
      <c r="AW260" s="34">
        <f t="shared" ca="1" si="177"/>
        <v>39.521664291939835</v>
      </c>
      <c r="AX260" s="34">
        <f t="shared" ca="1" si="157"/>
        <v>0.2614139674662686</v>
      </c>
      <c r="AY260" s="34">
        <f t="shared" ca="1" si="157"/>
        <v>0</v>
      </c>
      <c r="AZ260" s="34">
        <f t="shared" ca="1" si="157"/>
        <v>41.090148096737444</v>
      </c>
      <c r="BB260" s="34">
        <f t="shared" ca="1" si="187"/>
        <v>0</v>
      </c>
      <c r="BC260" s="34">
        <f t="shared" ca="1" si="187"/>
        <v>0</v>
      </c>
      <c r="BD260" s="34">
        <f t="shared" ca="1" si="187"/>
        <v>0</v>
      </c>
      <c r="BE260" s="34">
        <f t="shared" ca="1" si="187"/>
        <v>0</v>
      </c>
      <c r="BF260" s="34">
        <f t="shared" ca="1" si="187"/>
        <v>0</v>
      </c>
      <c r="BG260" s="34">
        <f t="shared" ca="1" si="187"/>
        <v>0</v>
      </c>
      <c r="BH260" s="34">
        <f t="shared" ca="1" si="187"/>
        <v>0</v>
      </c>
      <c r="BI260" s="34">
        <f t="shared" ca="1" si="187"/>
        <v>0</v>
      </c>
      <c r="BJ260" s="34">
        <f t="shared" ca="1" si="187"/>
        <v>0</v>
      </c>
      <c r="BK260" s="34">
        <f t="shared" ca="1" si="187"/>
        <v>0</v>
      </c>
      <c r="BL260" s="34">
        <f t="shared" ca="1" si="187"/>
        <v>0</v>
      </c>
      <c r="BM260" s="34">
        <f t="shared" ca="1" si="187"/>
        <v>0</v>
      </c>
      <c r="BN260" s="34">
        <f t="shared" ca="1" si="187"/>
        <v>0</v>
      </c>
      <c r="BO260" s="34">
        <f t="shared" ca="1" si="187"/>
        <v>0</v>
      </c>
      <c r="BP260" s="34">
        <f t="shared" ca="1" si="187"/>
        <v>0</v>
      </c>
      <c r="BQ260" s="34">
        <f t="shared" ca="1" si="187"/>
        <v>0</v>
      </c>
      <c r="BR260" s="34">
        <f t="shared" ref="BR260:CG269" ca="1" si="188">IF($AO260&lt;BR$228,0,OFFSET($AZ$228,$AO260-BR$228+1,0)*BR$226)</f>
        <v>0</v>
      </c>
      <c r="BS260" s="34">
        <f t="shared" ca="1" si="188"/>
        <v>0</v>
      </c>
      <c r="BT260" s="34">
        <f t="shared" ca="1" si="188"/>
        <v>5665.2380875050339</v>
      </c>
      <c r="BU260" s="34">
        <f t="shared" ca="1" si="188"/>
        <v>9318.325317806557</v>
      </c>
      <c r="BV260" s="34">
        <f t="shared" ca="1" si="188"/>
        <v>9851.5358362481165</v>
      </c>
      <c r="BW260" s="34">
        <f t="shared" ca="1" si="188"/>
        <v>10467.726774517054</v>
      </c>
      <c r="BX260" s="34">
        <f t="shared" ca="1" si="188"/>
        <v>11189.67338156575</v>
      </c>
      <c r="BY260" s="34">
        <f t="shared" ca="1" si="188"/>
        <v>12049.738311753243</v>
      </c>
      <c r="BZ260" s="34">
        <f t="shared" ca="1" si="188"/>
        <v>13095.679130079012</v>
      </c>
      <c r="CA260" s="34">
        <f t="shared" ca="1" si="188"/>
        <v>14401.380092212814</v>
      </c>
      <c r="CB260" s="34">
        <f t="shared" ca="1" si="188"/>
        <v>16088.289858168875</v>
      </c>
      <c r="CC260" s="34">
        <f t="shared" ca="1" si="188"/>
        <v>0</v>
      </c>
      <c r="CD260" s="34">
        <f t="shared" ca="1" si="188"/>
        <v>0</v>
      </c>
      <c r="CE260" s="34">
        <f t="shared" ca="1" si="188"/>
        <v>0</v>
      </c>
      <c r="CF260" s="34">
        <f t="shared" ca="1" si="188"/>
        <v>0</v>
      </c>
      <c r="CG260" s="34">
        <f t="shared" ca="1" si="188"/>
        <v>0</v>
      </c>
      <c r="CH260" s="34">
        <f t="shared" ref="CH260:CP269" ca="1" si="189">IF($AO260&lt;CH$228,0,OFFSET($AZ$228,$AO260-CH$228+1,0)*CH$226)</f>
        <v>0</v>
      </c>
      <c r="CI260" s="34">
        <f t="shared" ca="1" si="189"/>
        <v>0</v>
      </c>
      <c r="CJ260" s="34">
        <f t="shared" ca="1" si="189"/>
        <v>0</v>
      </c>
      <c r="CK260" s="34">
        <f t="shared" ca="1" si="189"/>
        <v>0</v>
      </c>
      <c r="CL260" s="34">
        <f t="shared" ca="1" si="189"/>
        <v>0</v>
      </c>
      <c r="CM260" s="34">
        <f t="shared" ca="1" si="189"/>
        <v>0</v>
      </c>
      <c r="CN260" s="34">
        <f t="shared" ca="1" si="189"/>
        <v>0</v>
      </c>
      <c r="CO260" s="34">
        <f t="shared" ca="1" si="189"/>
        <v>0</v>
      </c>
      <c r="CP260" s="34">
        <f t="shared" ca="1" si="189"/>
        <v>0</v>
      </c>
      <c r="CQ260" s="34">
        <f t="shared" ca="1" si="179"/>
        <v>102127.58678985646</v>
      </c>
      <c r="CR260" s="363">
        <v>0</v>
      </c>
      <c r="CS260" s="34">
        <f t="shared" ca="1" si="180"/>
        <v>102127.58678985646</v>
      </c>
      <c r="CT260" s="233"/>
    </row>
    <row r="261" spans="2:98" x14ac:dyDescent="0.3">
      <c r="B261" s="232"/>
      <c r="C261" s="250">
        <f t="shared" si="181"/>
        <v>2045</v>
      </c>
      <c r="D261" s="263">
        <f t="shared" ca="1" si="161"/>
        <v>9101.4687144916861</v>
      </c>
      <c r="E261" s="263">
        <f t="shared" ca="1" si="149"/>
        <v>60.201185578883191</v>
      </c>
      <c r="F261" s="263">
        <f t="shared" ca="1" si="150"/>
        <v>0</v>
      </c>
      <c r="G261" s="263">
        <f t="shared" ca="1" si="162"/>
        <v>9462.6758279649857</v>
      </c>
      <c r="H261" s="15"/>
      <c r="I261" s="271">
        <f ca="1">Assumptions!O$68</f>
        <v>4.5</v>
      </c>
      <c r="J261" s="271">
        <f ca="1">Assumptions!P$68</f>
        <v>80</v>
      </c>
      <c r="K261" s="271">
        <f t="shared" ca="1" si="151"/>
        <v>40</v>
      </c>
      <c r="L261" s="15"/>
      <c r="M261" s="35">
        <f t="shared" ca="1" si="163"/>
        <v>4.2299999999999995</v>
      </c>
      <c r="N261" s="35">
        <f t="shared" ca="1" si="152"/>
        <v>74.400000000000006</v>
      </c>
      <c r="O261" s="35">
        <f t="shared" ca="1" si="153"/>
        <v>37.200000000000003</v>
      </c>
      <c r="P261" s="15"/>
      <c r="Q261" s="34">
        <f t="shared" ca="1" si="164"/>
        <v>38499.212662299826</v>
      </c>
      <c r="R261" s="34">
        <f t="shared" ca="1" si="164"/>
        <v>4478.9682070689096</v>
      </c>
      <c r="S261" s="34">
        <f t="shared" ca="1" si="164"/>
        <v>0</v>
      </c>
      <c r="T261" s="34">
        <f t="shared" ca="1" si="165"/>
        <v>42978.180869368734</v>
      </c>
      <c r="U261" s="15"/>
      <c r="V261" s="35">
        <f t="shared" si="166"/>
        <v>0.31</v>
      </c>
      <c r="W261" s="34">
        <f t="shared" ca="1" si="167"/>
        <v>2933.4295066691457</v>
      </c>
      <c r="X261" s="35">
        <f t="shared" si="168"/>
        <v>0.37</v>
      </c>
      <c r="Y261" s="34">
        <f t="shared" ca="1" si="169"/>
        <v>3501.1900563470449</v>
      </c>
      <c r="Z261" s="35">
        <f t="shared" si="170"/>
        <v>0.57999999999999996</v>
      </c>
      <c r="AA261" s="34">
        <f t="shared" ca="1" si="171"/>
        <v>5488.3519802196915</v>
      </c>
      <c r="AB261" s="34">
        <f t="shared" ca="1" si="172"/>
        <v>11922.971543235883</v>
      </c>
      <c r="AC261" s="15"/>
      <c r="AD261" s="34">
        <f t="shared" ca="1" si="173"/>
        <v>31055.209326132852</v>
      </c>
      <c r="AE261" s="34">
        <f ca="1"/>
        <v>0</v>
      </c>
      <c r="AF261" s="34">
        <f t="shared" ca="1" si="174"/>
        <v>31055.209326132852</v>
      </c>
      <c r="AG261" s="15"/>
      <c r="AH261" s="272">
        <f t="shared" si="182"/>
        <v>53327</v>
      </c>
      <c r="AI261" s="267">
        <f t="shared" si="154"/>
        <v>31.666666666666664</v>
      </c>
      <c r="AJ261" s="267">
        <f t="shared" si="155"/>
        <v>4.889130580030334E-2</v>
      </c>
      <c r="AK261" s="34">
        <f t="shared" ca="1" si="183"/>
        <v>1518.3297358563934</v>
      </c>
      <c r="AL261" s="233"/>
      <c r="AN261" s="232"/>
      <c r="AO261" s="237">
        <f t="shared" si="175"/>
        <v>32</v>
      </c>
      <c r="AP261" s="34">
        <f t="shared" ca="1" si="186"/>
        <v>37.925933993696638</v>
      </c>
      <c r="AQ261" s="34">
        <f t="shared" ca="1" si="186"/>
        <v>0.25085909343089147</v>
      </c>
      <c r="AR261" s="34">
        <f t="shared" ca="1" si="186"/>
        <v>0</v>
      </c>
      <c r="AS261" s="34">
        <f t="shared" ca="1" si="186"/>
        <v>39.431088554281985</v>
      </c>
      <c r="AT261" s="15"/>
      <c r="AW261" s="34">
        <f t="shared" ca="1" si="177"/>
        <v>37.925933993696638</v>
      </c>
      <c r="AX261" s="34">
        <f t="shared" ca="1" si="157"/>
        <v>0.25085909343089147</v>
      </c>
      <c r="AY261" s="34">
        <f t="shared" ca="1" si="157"/>
        <v>0</v>
      </c>
      <c r="AZ261" s="34">
        <f t="shared" ca="1" si="157"/>
        <v>39.431088554281985</v>
      </c>
      <c r="BB261" s="34">
        <f t="shared" ca="1" si="187"/>
        <v>0</v>
      </c>
      <c r="BC261" s="34">
        <f t="shared" ca="1" si="187"/>
        <v>0</v>
      </c>
      <c r="BD261" s="34">
        <f t="shared" ca="1" si="187"/>
        <v>0</v>
      </c>
      <c r="BE261" s="34">
        <f t="shared" ca="1" si="187"/>
        <v>0</v>
      </c>
      <c r="BF261" s="34">
        <f t="shared" ca="1" si="187"/>
        <v>0</v>
      </c>
      <c r="BG261" s="34">
        <f t="shared" ca="1" si="187"/>
        <v>0</v>
      </c>
      <c r="BH261" s="34">
        <f t="shared" ca="1" si="187"/>
        <v>0</v>
      </c>
      <c r="BI261" s="34">
        <f t="shared" ca="1" si="187"/>
        <v>0</v>
      </c>
      <c r="BJ261" s="34">
        <f t="shared" ca="1" si="187"/>
        <v>0</v>
      </c>
      <c r="BK261" s="34">
        <f t="shared" ca="1" si="187"/>
        <v>0</v>
      </c>
      <c r="BL261" s="34">
        <f t="shared" ca="1" si="187"/>
        <v>0</v>
      </c>
      <c r="BM261" s="34">
        <f t="shared" ca="1" si="187"/>
        <v>0</v>
      </c>
      <c r="BN261" s="34">
        <f t="shared" ca="1" si="187"/>
        <v>0</v>
      </c>
      <c r="BO261" s="34">
        <f t="shared" ca="1" si="187"/>
        <v>0</v>
      </c>
      <c r="BP261" s="34">
        <f t="shared" ca="1" si="187"/>
        <v>0</v>
      </c>
      <c r="BQ261" s="34">
        <f t="shared" ref="BQ261:BQ269" ca="1" si="190">IF($AO261&lt;BQ$228,0,OFFSET($AZ$228,$AO261-BQ$228+1,0)*BQ$226)</f>
        <v>0</v>
      </c>
      <c r="BR261" s="34">
        <f t="shared" ca="1" si="188"/>
        <v>0</v>
      </c>
      <c r="BS261" s="34">
        <f t="shared" ca="1" si="188"/>
        <v>0</v>
      </c>
      <c r="BT261" s="34">
        <f t="shared" ca="1" si="188"/>
        <v>5401.1388184957068</v>
      </c>
      <c r="BU261" s="34">
        <f t="shared" ca="1" si="188"/>
        <v>8851.5606169716175</v>
      </c>
      <c r="BV261" s="34">
        <f t="shared" ca="1" si="188"/>
        <v>9318.325317806557</v>
      </c>
      <c r="BW261" s="34">
        <f t="shared" ca="1" si="188"/>
        <v>9851.5358362481165</v>
      </c>
      <c r="BX261" s="34">
        <f t="shared" ca="1" si="188"/>
        <v>10467.726774517054</v>
      </c>
      <c r="BY261" s="34">
        <f t="shared" ca="1" si="188"/>
        <v>11189.67338156575</v>
      </c>
      <c r="BZ261" s="34">
        <f t="shared" ca="1" si="188"/>
        <v>12049.738311753243</v>
      </c>
      <c r="CA261" s="34">
        <f t="shared" ca="1" si="188"/>
        <v>13095.679130079012</v>
      </c>
      <c r="CB261" s="34">
        <f t="shared" ca="1" si="188"/>
        <v>14401.380092212814</v>
      </c>
      <c r="CC261" s="34">
        <f t="shared" ca="1" si="188"/>
        <v>0</v>
      </c>
      <c r="CD261" s="34">
        <f t="shared" ca="1" si="188"/>
        <v>0</v>
      </c>
      <c r="CE261" s="34">
        <f t="shared" ca="1" si="188"/>
        <v>0</v>
      </c>
      <c r="CF261" s="34">
        <f t="shared" ca="1" si="188"/>
        <v>0</v>
      </c>
      <c r="CG261" s="34">
        <f t="shared" ca="1" si="188"/>
        <v>0</v>
      </c>
      <c r="CH261" s="34">
        <f t="shared" ca="1" si="189"/>
        <v>0</v>
      </c>
      <c r="CI261" s="34">
        <f t="shared" ca="1" si="189"/>
        <v>0</v>
      </c>
      <c r="CJ261" s="34">
        <f t="shared" ca="1" si="189"/>
        <v>0</v>
      </c>
      <c r="CK261" s="34">
        <f t="shared" ca="1" si="189"/>
        <v>0</v>
      </c>
      <c r="CL261" s="34">
        <f t="shared" ca="1" si="189"/>
        <v>0</v>
      </c>
      <c r="CM261" s="34">
        <f t="shared" ca="1" si="189"/>
        <v>0</v>
      </c>
      <c r="CN261" s="34">
        <f t="shared" ca="1" si="189"/>
        <v>0</v>
      </c>
      <c r="CO261" s="34">
        <f t="shared" ca="1" si="189"/>
        <v>0</v>
      </c>
      <c r="CP261" s="34">
        <f t="shared" ca="1" si="189"/>
        <v>0</v>
      </c>
      <c r="CQ261" s="34">
        <f t="shared" ca="1" si="179"/>
        <v>94626.758279649861</v>
      </c>
      <c r="CR261" s="363">
        <v>0</v>
      </c>
      <c r="CS261" s="34">
        <f t="shared" ca="1" si="180"/>
        <v>94626.758279649861</v>
      </c>
      <c r="CT261" s="233"/>
    </row>
    <row r="262" spans="2:98" x14ac:dyDescent="0.3">
      <c r="B262" s="232"/>
      <c r="C262" s="250">
        <f t="shared" si="181"/>
        <v>2046</v>
      </c>
      <c r="D262" s="263">
        <f t="shared" ca="1" si="161"/>
        <v>8505.3353781717033</v>
      </c>
      <c r="E262" s="263">
        <f t="shared" ca="1" si="149"/>
        <v>56.258093014886782</v>
      </c>
      <c r="F262" s="263">
        <f t="shared" ca="1" si="150"/>
        <v>0</v>
      </c>
      <c r="G262" s="263">
        <f t="shared" ca="1" si="162"/>
        <v>8842.8839362610233</v>
      </c>
      <c r="H262" s="15"/>
      <c r="I262" s="271">
        <f ca="1">Assumptions!O$68</f>
        <v>4.5</v>
      </c>
      <c r="J262" s="271">
        <f ca="1">Assumptions!P$68</f>
        <v>80</v>
      </c>
      <c r="K262" s="271">
        <f t="shared" ca="1" si="151"/>
        <v>40</v>
      </c>
      <c r="L262" s="15"/>
      <c r="M262" s="35">
        <f t="shared" ca="1" si="163"/>
        <v>4.2299999999999995</v>
      </c>
      <c r="N262" s="35">
        <f t="shared" ca="1" si="152"/>
        <v>74.400000000000006</v>
      </c>
      <c r="O262" s="35">
        <f t="shared" ca="1" si="153"/>
        <v>37.200000000000003</v>
      </c>
      <c r="P262" s="15"/>
      <c r="Q262" s="34">
        <f t="shared" ca="1" si="164"/>
        <v>35977.568649666304</v>
      </c>
      <c r="R262" s="34">
        <f t="shared" ca="1" si="164"/>
        <v>4185.602120307577</v>
      </c>
      <c r="S262" s="34">
        <f t="shared" ca="1" si="164"/>
        <v>0</v>
      </c>
      <c r="T262" s="34">
        <f t="shared" ca="1" si="165"/>
        <v>40163.170769973884</v>
      </c>
      <c r="U262" s="15"/>
      <c r="V262" s="35">
        <f t="shared" si="166"/>
        <v>0.31</v>
      </c>
      <c r="W262" s="34">
        <f t="shared" ca="1" si="167"/>
        <v>2741.2940202409172</v>
      </c>
      <c r="X262" s="35">
        <f t="shared" si="168"/>
        <v>0.37</v>
      </c>
      <c r="Y262" s="34">
        <f t="shared" ca="1" si="169"/>
        <v>3271.8670564165786</v>
      </c>
      <c r="Z262" s="35">
        <f t="shared" si="170"/>
        <v>0.57999999999999996</v>
      </c>
      <c r="AA262" s="34">
        <f t="shared" ca="1" si="171"/>
        <v>5128.8726830313935</v>
      </c>
      <c r="AB262" s="34">
        <f t="shared" ca="1" si="172"/>
        <v>11142.033759688889</v>
      </c>
      <c r="AC262" s="15"/>
      <c r="AD262" s="34">
        <f t="shared" ca="1" si="173"/>
        <v>29021.137010284994</v>
      </c>
      <c r="AE262" s="34">
        <f ca="1"/>
        <v>0</v>
      </c>
      <c r="AF262" s="34">
        <f t="shared" ca="1" si="174"/>
        <v>29021.137010284994</v>
      </c>
      <c r="AG262" s="15"/>
      <c r="AH262" s="272">
        <f t="shared" si="182"/>
        <v>53692</v>
      </c>
      <c r="AI262" s="267">
        <f t="shared" si="154"/>
        <v>32.666666666666664</v>
      </c>
      <c r="AJ262" s="267">
        <f t="shared" si="155"/>
        <v>4.4446641636639403E-2</v>
      </c>
      <c r="AK262" s="34">
        <f t="shared" ca="1" si="183"/>
        <v>1289.8920765839498</v>
      </c>
      <c r="AL262" s="233"/>
      <c r="AN262" s="232"/>
      <c r="AO262" s="237">
        <f t="shared" si="175"/>
        <v>33</v>
      </c>
      <c r="AP262" s="34">
        <f t="shared" ref="AP262:AS269" ca="1" si="191">+AP212</f>
        <v>36.394629831879065</v>
      </c>
      <c r="AQ262" s="34">
        <f t="shared" ca="1" si="191"/>
        <v>0.24073036268257683</v>
      </c>
      <c r="AR262" s="34">
        <f t="shared" ca="1" si="191"/>
        <v>0</v>
      </c>
      <c r="AS262" s="34">
        <f t="shared" ca="1" si="191"/>
        <v>37.839012007974524</v>
      </c>
      <c r="AT262" s="15"/>
      <c r="AW262" s="34">
        <f t="shared" ca="1" si="177"/>
        <v>36.394629831879065</v>
      </c>
      <c r="AX262" s="34">
        <f t="shared" ca="1" si="157"/>
        <v>0.24073036268257683</v>
      </c>
      <c r="AY262" s="34">
        <f t="shared" ca="1" si="157"/>
        <v>0</v>
      </c>
      <c r="AZ262" s="34">
        <f t="shared" ca="1" si="157"/>
        <v>37.839012007974524</v>
      </c>
      <c r="BB262" s="34">
        <f t="shared" ref="BB262:BP269" ca="1" si="192">IF($AO262&lt;BB$228,0,OFFSET($AZ$228,$AO262-BB$228+1,0)*BB$226)</f>
        <v>0</v>
      </c>
      <c r="BC262" s="34">
        <f t="shared" ca="1" si="192"/>
        <v>0</v>
      </c>
      <c r="BD262" s="34">
        <f t="shared" ca="1" si="192"/>
        <v>0</v>
      </c>
      <c r="BE262" s="34">
        <f t="shared" ca="1" si="192"/>
        <v>0</v>
      </c>
      <c r="BF262" s="34">
        <f t="shared" ca="1" si="192"/>
        <v>0</v>
      </c>
      <c r="BG262" s="34">
        <f t="shared" ca="1" si="192"/>
        <v>0</v>
      </c>
      <c r="BH262" s="34">
        <f t="shared" ca="1" si="192"/>
        <v>0</v>
      </c>
      <c r="BI262" s="34">
        <f t="shared" ca="1" si="192"/>
        <v>0</v>
      </c>
      <c r="BJ262" s="34">
        <f t="shared" ca="1" si="192"/>
        <v>0</v>
      </c>
      <c r="BK262" s="34">
        <f t="shared" ca="1" si="192"/>
        <v>0</v>
      </c>
      <c r="BL262" s="34">
        <f t="shared" ca="1" si="192"/>
        <v>0</v>
      </c>
      <c r="BM262" s="34">
        <f t="shared" ca="1" si="192"/>
        <v>0</v>
      </c>
      <c r="BN262" s="34">
        <f t="shared" ca="1" si="192"/>
        <v>0</v>
      </c>
      <c r="BO262" s="34">
        <f t="shared" ca="1" si="192"/>
        <v>0</v>
      </c>
      <c r="BP262" s="34">
        <f t="shared" ca="1" si="192"/>
        <v>0</v>
      </c>
      <c r="BQ262" s="34">
        <f t="shared" ca="1" si="190"/>
        <v>0</v>
      </c>
      <c r="BR262" s="34">
        <f t="shared" ca="1" si="188"/>
        <v>0</v>
      </c>
      <c r="BS262" s="34">
        <f t="shared" ca="1" si="188"/>
        <v>0</v>
      </c>
      <c r="BT262" s="34">
        <f t="shared" ca="1" si="188"/>
        <v>5165.6770544834617</v>
      </c>
      <c r="BU262" s="34">
        <f t="shared" ca="1" si="188"/>
        <v>8438.922939185426</v>
      </c>
      <c r="BV262" s="34">
        <f t="shared" ca="1" si="188"/>
        <v>8851.5606169716175</v>
      </c>
      <c r="BW262" s="34">
        <f t="shared" ca="1" si="188"/>
        <v>9318.325317806557</v>
      </c>
      <c r="BX262" s="34">
        <f t="shared" ca="1" si="188"/>
        <v>9851.5358362481165</v>
      </c>
      <c r="BY262" s="34">
        <f t="shared" ca="1" si="188"/>
        <v>10467.726774517054</v>
      </c>
      <c r="BZ262" s="34">
        <f t="shared" ca="1" si="188"/>
        <v>11189.67338156575</v>
      </c>
      <c r="CA262" s="34">
        <f t="shared" ca="1" si="188"/>
        <v>12049.738311753243</v>
      </c>
      <c r="CB262" s="34">
        <f t="shared" ca="1" si="188"/>
        <v>13095.679130079012</v>
      </c>
      <c r="CC262" s="34">
        <f t="shared" ca="1" si="188"/>
        <v>0</v>
      </c>
      <c r="CD262" s="34">
        <f t="shared" ca="1" si="188"/>
        <v>0</v>
      </c>
      <c r="CE262" s="34">
        <f t="shared" ca="1" si="188"/>
        <v>0</v>
      </c>
      <c r="CF262" s="34">
        <f t="shared" ca="1" si="188"/>
        <v>0</v>
      </c>
      <c r="CG262" s="34">
        <f t="shared" ca="1" si="188"/>
        <v>0</v>
      </c>
      <c r="CH262" s="34">
        <f t="shared" ca="1" si="189"/>
        <v>0</v>
      </c>
      <c r="CI262" s="34">
        <f t="shared" ca="1" si="189"/>
        <v>0</v>
      </c>
      <c r="CJ262" s="34">
        <f t="shared" ca="1" si="189"/>
        <v>0</v>
      </c>
      <c r="CK262" s="34">
        <f t="shared" ca="1" si="189"/>
        <v>0</v>
      </c>
      <c r="CL262" s="34">
        <f t="shared" ca="1" si="189"/>
        <v>0</v>
      </c>
      <c r="CM262" s="34">
        <f t="shared" ca="1" si="189"/>
        <v>0</v>
      </c>
      <c r="CN262" s="34">
        <f t="shared" ca="1" si="189"/>
        <v>0</v>
      </c>
      <c r="CO262" s="34">
        <f t="shared" ca="1" si="189"/>
        <v>0</v>
      </c>
      <c r="CP262" s="34">
        <f t="shared" ca="1" si="189"/>
        <v>0</v>
      </c>
      <c r="CQ262" s="34">
        <f t="shared" ca="1" si="179"/>
        <v>88428.839362610233</v>
      </c>
      <c r="CR262" s="363">
        <v>0</v>
      </c>
      <c r="CS262" s="34">
        <f t="shared" ca="1" si="180"/>
        <v>88428.839362610233</v>
      </c>
      <c r="CT262" s="233"/>
    </row>
    <row r="263" spans="2:98" x14ac:dyDescent="0.3">
      <c r="B263" s="232"/>
      <c r="C263" s="250">
        <f t="shared" si="181"/>
        <v>2047</v>
      </c>
      <c r="D263" s="263">
        <f t="shared" ca="1" si="161"/>
        <v>8001.6164224482764</v>
      </c>
      <c r="E263" s="263">
        <f t="shared" ca="1" si="149"/>
        <v>52.926270505314939</v>
      </c>
      <c r="F263" s="263">
        <f t="shared" ca="1" si="150"/>
        <v>0</v>
      </c>
      <c r="G263" s="263">
        <f t="shared" ca="1" si="162"/>
        <v>8319.1740454801657</v>
      </c>
      <c r="H263" s="15"/>
      <c r="I263" s="271">
        <f ca="1">Assumptions!O$68</f>
        <v>4.5</v>
      </c>
      <c r="J263" s="271">
        <f ca="1">Assumptions!P$68</f>
        <v>80</v>
      </c>
      <c r="K263" s="271">
        <f t="shared" ca="1" si="151"/>
        <v>40</v>
      </c>
      <c r="L263" s="15"/>
      <c r="M263" s="35">
        <f t="shared" ca="1" si="163"/>
        <v>4.2299999999999995</v>
      </c>
      <c r="N263" s="35">
        <f t="shared" ca="1" si="152"/>
        <v>74.400000000000006</v>
      </c>
      <c r="O263" s="35">
        <f t="shared" ca="1" si="153"/>
        <v>37.200000000000003</v>
      </c>
      <c r="P263" s="15"/>
      <c r="Q263" s="34">
        <f t="shared" ca="1" si="164"/>
        <v>33846.837466956204</v>
      </c>
      <c r="R263" s="34">
        <f t="shared" ca="1" si="164"/>
        <v>3937.714525595432</v>
      </c>
      <c r="S263" s="34">
        <f t="shared" ca="1" si="164"/>
        <v>0</v>
      </c>
      <c r="T263" s="34">
        <f t="shared" ca="1" si="165"/>
        <v>37784.551992551635</v>
      </c>
      <c r="U263" s="15"/>
      <c r="V263" s="35">
        <f t="shared" si="166"/>
        <v>0.31</v>
      </c>
      <c r="W263" s="34">
        <f t="shared" ca="1" si="167"/>
        <v>2578.9439540988515</v>
      </c>
      <c r="X263" s="35">
        <f t="shared" si="168"/>
        <v>0.37</v>
      </c>
      <c r="Y263" s="34">
        <f t="shared" ca="1" si="169"/>
        <v>3078.0943968276611</v>
      </c>
      <c r="Z263" s="35">
        <f t="shared" si="170"/>
        <v>0.57999999999999996</v>
      </c>
      <c r="AA263" s="34">
        <f t="shared" ca="1" si="171"/>
        <v>4825.1209463784953</v>
      </c>
      <c r="AB263" s="34">
        <f t="shared" ca="1" si="172"/>
        <v>10482.159297305006</v>
      </c>
      <c r="AC263" s="15"/>
      <c r="AD263" s="34">
        <f t="shared" ca="1" si="173"/>
        <v>27302.392695246628</v>
      </c>
      <c r="AE263" s="34">
        <f ca="1"/>
        <v>0</v>
      </c>
      <c r="AF263" s="34">
        <f t="shared" ca="1" si="174"/>
        <v>27302.392695246628</v>
      </c>
      <c r="AG263" s="15"/>
      <c r="AH263" s="272">
        <f t="shared" si="182"/>
        <v>54057</v>
      </c>
      <c r="AI263" s="267">
        <f t="shared" si="154"/>
        <v>33.666666666666664</v>
      </c>
      <c r="AJ263" s="267">
        <f t="shared" si="155"/>
        <v>4.0406037851490349E-2</v>
      </c>
      <c r="AK263" s="34">
        <f t="shared" ca="1" si="183"/>
        <v>1103.1815126803888</v>
      </c>
      <c r="AL263" s="233"/>
      <c r="AN263" s="232"/>
      <c r="AO263" s="237">
        <f t="shared" si="175"/>
        <v>34</v>
      </c>
      <c r="AP263" s="34">
        <f t="shared" ca="1" si="191"/>
        <v>34.925155684008786</v>
      </c>
      <c r="AQ263" s="34">
        <f t="shared" ca="1" si="191"/>
        <v>0.23101060330588916</v>
      </c>
      <c r="AR263" s="34">
        <f t="shared" ca="1" si="191"/>
        <v>0</v>
      </c>
      <c r="AS263" s="34">
        <f t="shared" ca="1" si="191"/>
        <v>36.311219303844119</v>
      </c>
      <c r="AT263" s="15"/>
      <c r="AW263" s="34">
        <f t="shared" ca="1" si="177"/>
        <v>34.925155684008786</v>
      </c>
      <c r="AX263" s="34">
        <f t="shared" ca="1" si="157"/>
        <v>0.23101060330588916</v>
      </c>
      <c r="AY263" s="34">
        <f t="shared" ca="1" si="157"/>
        <v>0</v>
      </c>
      <c r="AZ263" s="34">
        <f t="shared" ca="1" si="157"/>
        <v>36.311219303844119</v>
      </c>
      <c r="BB263" s="34">
        <f t="shared" ca="1" si="192"/>
        <v>0</v>
      </c>
      <c r="BC263" s="34">
        <f t="shared" ca="1" si="192"/>
        <v>0</v>
      </c>
      <c r="BD263" s="34">
        <f t="shared" ca="1" si="192"/>
        <v>0</v>
      </c>
      <c r="BE263" s="34">
        <f t="shared" ca="1" si="192"/>
        <v>0</v>
      </c>
      <c r="BF263" s="34">
        <f t="shared" ca="1" si="192"/>
        <v>0</v>
      </c>
      <c r="BG263" s="34">
        <f t="shared" ca="1" si="192"/>
        <v>0</v>
      </c>
      <c r="BH263" s="34">
        <f t="shared" ca="1" si="192"/>
        <v>0</v>
      </c>
      <c r="BI263" s="34">
        <f t="shared" ca="1" si="192"/>
        <v>0</v>
      </c>
      <c r="BJ263" s="34">
        <f t="shared" ca="1" si="192"/>
        <v>0</v>
      </c>
      <c r="BK263" s="34">
        <f t="shared" ca="1" si="192"/>
        <v>0</v>
      </c>
      <c r="BL263" s="34">
        <f t="shared" ca="1" si="192"/>
        <v>0</v>
      </c>
      <c r="BM263" s="34">
        <f t="shared" ca="1" si="192"/>
        <v>0</v>
      </c>
      <c r="BN263" s="34">
        <f t="shared" ca="1" si="192"/>
        <v>0</v>
      </c>
      <c r="BO263" s="34">
        <f t="shared" ca="1" si="192"/>
        <v>0</v>
      </c>
      <c r="BP263" s="34">
        <f t="shared" ca="1" si="192"/>
        <v>0</v>
      </c>
      <c r="BQ263" s="34">
        <f t="shared" ca="1" si="190"/>
        <v>0</v>
      </c>
      <c r="BR263" s="34">
        <f t="shared" ca="1" si="188"/>
        <v>0</v>
      </c>
      <c r="BS263" s="34">
        <f t="shared" ca="1" si="188"/>
        <v>0</v>
      </c>
      <c r="BT263" s="34">
        <f t="shared" ca="1" si="188"/>
        <v>4953.2278038166323</v>
      </c>
      <c r="BU263" s="34">
        <f t="shared" ca="1" si="188"/>
        <v>8071.0294729372445</v>
      </c>
      <c r="BV263" s="34">
        <f t="shared" ca="1" si="188"/>
        <v>8438.922939185426</v>
      </c>
      <c r="BW263" s="34">
        <f t="shared" ca="1" si="188"/>
        <v>8851.5606169716175</v>
      </c>
      <c r="BX263" s="34">
        <f t="shared" ca="1" si="188"/>
        <v>9318.325317806557</v>
      </c>
      <c r="BY263" s="34">
        <f t="shared" ca="1" si="188"/>
        <v>9851.5358362481165</v>
      </c>
      <c r="BZ263" s="34">
        <f t="shared" ca="1" si="188"/>
        <v>10467.726774517054</v>
      </c>
      <c r="CA263" s="34">
        <f t="shared" ca="1" si="188"/>
        <v>11189.67338156575</v>
      </c>
      <c r="CB263" s="34">
        <f t="shared" ca="1" si="188"/>
        <v>12049.738311753243</v>
      </c>
      <c r="CC263" s="34">
        <f t="shared" ca="1" si="188"/>
        <v>0</v>
      </c>
      <c r="CD263" s="34">
        <f t="shared" ca="1" si="188"/>
        <v>0</v>
      </c>
      <c r="CE263" s="34">
        <f t="shared" ca="1" si="188"/>
        <v>0</v>
      </c>
      <c r="CF263" s="34">
        <f t="shared" ca="1" si="188"/>
        <v>0</v>
      </c>
      <c r="CG263" s="34">
        <f t="shared" ca="1" si="188"/>
        <v>0</v>
      </c>
      <c r="CH263" s="34">
        <f t="shared" ca="1" si="189"/>
        <v>0</v>
      </c>
      <c r="CI263" s="34">
        <f t="shared" ca="1" si="189"/>
        <v>0</v>
      </c>
      <c r="CJ263" s="34">
        <f t="shared" ca="1" si="189"/>
        <v>0</v>
      </c>
      <c r="CK263" s="34">
        <f t="shared" ca="1" si="189"/>
        <v>0</v>
      </c>
      <c r="CL263" s="34">
        <f t="shared" ca="1" si="189"/>
        <v>0</v>
      </c>
      <c r="CM263" s="34">
        <f t="shared" ca="1" si="189"/>
        <v>0</v>
      </c>
      <c r="CN263" s="34">
        <f t="shared" ca="1" si="189"/>
        <v>0</v>
      </c>
      <c r="CO263" s="34">
        <f t="shared" ca="1" si="189"/>
        <v>0</v>
      </c>
      <c r="CP263" s="34">
        <f t="shared" ca="1" si="189"/>
        <v>0</v>
      </c>
      <c r="CQ263" s="34">
        <f t="shared" ca="1" si="179"/>
        <v>83191.740454801649</v>
      </c>
      <c r="CR263" s="363">
        <v>0</v>
      </c>
      <c r="CS263" s="34">
        <f t="shared" ca="1" si="180"/>
        <v>83191.740454801649</v>
      </c>
      <c r="CT263" s="233"/>
    </row>
    <row r="264" spans="2:98" x14ac:dyDescent="0.3">
      <c r="B264" s="232"/>
      <c r="C264" s="250">
        <f t="shared" si="181"/>
        <v>2048</v>
      </c>
      <c r="D264" s="263">
        <f t="shared" ca="1" si="161"/>
        <v>7567.768523714748</v>
      </c>
      <c r="E264" s="263">
        <f t="shared" ca="1" si="149"/>
        <v>50.056606423178465</v>
      </c>
      <c r="F264" s="263">
        <f t="shared" ca="1" si="150"/>
        <v>0</v>
      </c>
      <c r="G264" s="263">
        <f t="shared" ca="1" si="162"/>
        <v>7868.1081622538186</v>
      </c>
      <c r="H264" s="15"/>
      <c r="I264" s="271">
        <f ca="1">Assumptions!O$68</f>
        <v>4.5</v>
      </c>
      <c r="J264" s="271">
        <f ca="1">Assumptions!P$68</f>
        <v>80</v>
      </c>
      <c r="K264" s="271">
        <f t="shared" ca="1" si="151"/>
        <v>40</v>
      </c>
      <c r="L264" s="15"/>
      <c r="M264" s="35">
        <f t="shared" ca="1" si="163"/>
        <v>4.2299999999999995</v>
      </c>
      <c r="N264" s="35">
        <f t="shared" ca="1" si="152"/>
        <v>74.400000000000006</v>
      </c>
      <c r="O264" s="35">
        <f t="shared" ca="1" si="153"/>
        <v>37.200000000000003</v>
      </c>
      <c r="P264" s="15"/>
      <c r="Q264" s="34">
        <f t="shared" ca="1" si="164"/>
        <v>32011.660855313381</v>
      </c>
      <c r="R264" s="34">
        <f t="shared" ca="1" si="164"/>
        <v>3724.2115178844779</v>
      </c>
      <c r="S264" s="34">
        <f t="shared" ca="1" si="164"/>
        <v>0</v>
      </c>
      <c r="T264" s="34">
        <f t="shared" ca="1" si="165"/>
        <v>35735.872373197861</v>
      </c>
      <c r="U264" s="15"/>
      <c r="V264" s="35">
        <f t="shared" si="166"/>
        <v>0.31</v>
      </c>
      <c r="W264" s="34">
        <f t="shared" ca="1" si="167"/>
        <v>2439.1135302986836</v>
      </c>
      <c r="X264" s="35">
        <f t="shared" si="168"/>
        <v>0.37</v>
      </c>
      <c r="Y264" s="34">
        <f t="shared" ca="1" si="169"/>
        <v>2911.200020033913</v>
      </c>
      <c r="Z264" s="35">
        <f t="shared" si="170"/>
        <v>0.57999999999999996</v>
      </c>
      <c r="AA264" s="34">
        <f t="shared" ca="1" si="171"/>
        <v>4563.5027341072146</v>
      </c>
      <c r="AB264" s="34">
        <f t="shared" ca="1" si="172"/>
        <v>9913.8162844398103</v>
      </c>
      <c r="AC264" s="15"/>
      <c r="AD264" s="34">
        <f t="shared" ca="1" si="173"/>
        <v>25822.05608875805</v>
      </c>
      <c r="AE264" s="34">
        <f ca="1"/>
        <v>0</v>
      </c>
      <c r="AF264" s="34">
        <f t="shared" ca="1" si="174"/>
        <v>25822.05608875805</v>
      </c>
      <c r="AG264" s="15"/>
      <c r="AH264" s="272">
        <f t="shared" si="182"/>
        <v>54423</v>
      </c>
      <c r="AI264" s="267">
        <f t="shared" si="154"/>
        <v>34.666666666666664</v>
      </c>
      <c r="AJ264" s="267">
        <f t="shared" si="155"/>
        <v>3.6732761683173049E-2</v>
      </c>
      <c r="AK264" s="34">
        <f t="shared" ca="1" si="183"/>
        <v>948.51543247787708</v>
      </c>
      <c r="AL264" s="233"/>
      <c r="AN264" s="232"/>
      <c r="AO264" s="237">
        <f t="shared" si="175"/>
        <v>35</v>
      </c>
      <c r="AP264" s="34">
        <f t="shared" ca="1" si="191"/>
        <v>33.515011941127355</v>
      </c>
      <c r="AQ264" s="34">
        <f t="shared" ca="1" si="191"/>
        <v>0.22168328176898847</v>
      </c>
      <c r="AR264" s="34">
        <f t="shared" ca="1" si="191"/>
        <v>0</v>
      </c>
      <c r="AS264" s="34">
        <f t="shared" ca="1" si="191"/>
        <v>34.845111631741283</v>
      </c>
      <c r="AT264" s="15"/>
      <c r="AW264" s="34">
        <f t="shared" ca="1" si="177"/>
        <v>33.515011941127355</v>
      </c>
      <c r="AX264" s="34">
        <f t="shared" ca="1" si="157"/>
        <v>0.22168328176898847</v>
      </c>
      <c r="AY264" s="34">
        <f t="shared" ca="1" si="157"/>
        <v>0</v>
      </c>
      <c r="AZ264" s="34">
        <f t="shared" ca="1" si="157"/>
        <v>34.845111631741283</v>
      </c>
      <c r="BB264" s="34">
        <f t="shared" ca="1" si="192"/>
        <v>0</v>
      </c>
      <c r="BC264" s="34">
        <f t="shared" ca="1" si="192"/>
        <v>0</v>
      </c>
      <c r="BD264" s="34">
        <f t="shared" ca="1" si="192"/>
        <v>0</v>
      </c>
      <c r="BE264" s="34">
        <f t="shared" ca="1" si="192"/>
        <v>0</v>
      </c>
      <c r="BF264" s="34">
        <f t="shared" ca="1" si="192"/>
        <v>0</v>
      </c>
      <c r="BG264" s="34">
        <f t="shared" ca="1" si="192"/>
        <v>0</v>
      </c>
      <c r="BH264" s="34">
        <f t="shared" ca="1" si="192"/>
        <v>0</v>
      </c>
      <c r="BI264" s="34">
        <f t="shared" ca="1" si="192"/>
        <v>0</v>
      </c>
      <c r="BJ264" s="34">
        <f t="shared" ca="1" si="192"/>
        <v>0</v>
      </c>
      <c r="BK264" s="34">
        <f t="shared" ca="1" si="192"/>
        <v>0</v>
      </c>
      <c r="BL264" s="34">
        <f t="shared" ca="1" si="192"/>
        <v>0</v>
      </c>
      <c r="BM264" s="34">
        <f t="shared" ca="1" si="192"/>
        <v>0</v>
      </c>
      <c r="BN264" s="34">
        <f t="shared" ca="1" si="192"/>
        <v>0</v>
      </c>
      <c r="BO264" s="34">
        <f t="shared" ca="1" si="192"/>
        <v>0</v>
      </c>
      <c r="BP264" s="34">
        <f t="shared" ca="1" si="192"/>
        <v>0</v>
      </c>
      <c r="BQ264" s="34">
        <f t="shared" ca="1" si="190"/>
        <v>0</v>
      </c>
      <c r="BR264" s="34">
        <f t="shared" ca="1" si="188"/>
        <v>0</v>
      </c>
      <c r="BS264" s="34">
        <f t="shared" ca="1" si="188"/>
        <v>0</v>
      </c>
      <c r="BT264" s="34">
        <f t="shared" ca="1" si="188"/>
        <v>4753.2157432965159</v>
      </c>
      <c r="BU264" s="34">
        <f t="shared" ca="1" si="188"/>
        <v>7739.0915400099075</v>
      </c>
      <c r="BV264" s="34">
        <f t="shared" ca="1" si="188"/>
        <v>8071.0294729372445</v>
      </c>
      <c r="BW264" s="34">
        <f t="shared" ca="1" si="188"/>
        <v>8438.922939185426</v>
      </c>
      <c r="BX264" s="34">
        <f t="shared" ca="1" si="188"/>
        <v>8851.5606169716175</v>
      </c>
      <c r="BY264" s="34">
        <f t="shared" ca="1" si="188"/>
        <v>9318.325317806557</v>
      </c>
      <c r="BZ264" s="34">
        <f t="shared" ca="1" si="188"/>
        <v>9851.5358362481165</v>
      </c>
      <c r="CA264" s="34">
        <f t="shared" ca="1" si="188"/>
        <v>10467.726774517054</v>
      </c>
      <c r="CB264" s="34">
        <f t="shared" ca="1" si="188"/>
        <v>11189.67338156575</v>
      </c>
      <c r="CC264" s="34">
        <f t="shared" ca="1" si="188"/>
        <v>0</v>
      </c>
      <c r="CD264" s="34">
        <f t="shared" ca="1" si="188"/>
        <v>0</v>
      </c>
      <c r="CE264" s="34">
        <f t="shared" ca="1" si="188"/>
        <v>0</v>
      </c>
      <c r="CF264" s="34">
        <f t="shared" ca="1" si="188"/>
        <v>0</v>
      </c>
      <c r="CG264" s="34">
        <f t="shared" ca="1" si="188"/>
        <v>0</v>
      </c>
      <c r="CH264" s="34">
        <f t="shared" ca="1" si="189"/>
        <v>0</v>
      </c>
      <c r="CI264" s="34">
        <f t="shared" ca="1" si="189"/>
        <v>0</v>
      </c>
      <c r="CJ264" s="34">
        <f t="shared" ca="1" si="189"/>
        <v>0</v>
      </c>
      <c r="CK264" s="34">
        <f t="shared" ca="1" si="189"/>
        <v>0</v>
      </c>
      <c r="CL264" s="34">
        <f t="shared" ca="1" si="189"/>
        <v>0</v>
      </c>
      <c r="CM264" s="34">
        <f t="shared" ca="1" si="189"/>
        <v>0</v>
      </c>
      <c r="CN264" s="34">
        <f t="shared" ca="1" si="189"/>
        <v>0</v>
      </c>
      <c r="CO264" s="34">
        <f t="shared" ca="1" si="189"/>
        <v>0</v>
      </c>
      <c r="CP264" s="34">
        <f t="shared" ca="1" si="189"/>
        <v>0</v>
      </c>
      <c r="CQ264" s="34">
        <f t="shared" ca="1" si="179"/>
        <v>78681.081622538186</v>
      </c>
      <c r="CR264" s="363">
        <v>0</v>
      </c>
      <c r="CS264" s="34">
        <f t="shared" ca="1" si="180"/>
        <v>78681.081622538186</v>
      </c>
      <c r="CT264" s="233"/>
    </row>
    <row r="265" spans="2:98" x14ac:dyDescent="0.3">
      <c r="B265" s="232"/>
      <c r="C265" s="250">
        <f t="shared" si="181"/>
        <v>2049</v>
      </c>
      <c r="D265" s="263">
        <f t="shared" ca="1" si="161"/>
        <v>7187.3650523179977</v>
      </c>
      <c r="E265" s="263">
        <f t="shared" ca="1" si="149"/>
        <v>47.54044769157246</v>
      </c>
      <c r="F265" s="263">
        <f t="shared" ca="1" si="150"/>
        <v>0</v>
      </c>
      <c r="G265" s="263">
        <f t="shared" ca="1" si="162"/>
        <v>7472.6077384674327</v>
      </c>
      <c r="H265" s="15"/>
      <c r="I265" s="271">
        <f ca="1">Assumptions!O$68</f>
        <v>4.5</v>
      </c>
      <c r="J265" s="271">
        <f ca="1">Assumptions!P$68</f>
        <v>80</v>
      </c>
      <c r="K265" s="271">
        <f t="shared" ca="1" si="151"/>
        <v>40</v>
      </c>
      <c r="L265" s="15"/>
      <c r="M265" s="35">
        <f t="shared" ca="1" si="163"/>
        <v>4.2299999999999995</v>
      </c>
      <c r="N265" s="35">
        <f t="shared" ca="1" si="152"/>
        <v>74.400000000000006</v>
      </c>
      <c r="O265" s="35">
        <f t="shared" ca="1" si="153"/>
        <v>37.200000000000003</v>
      </c>
      <c r="P265" s="15"/>
      <c r="Q265" s="34">
        <f t="shared" ca="1" si="164"/>
        <v>30402.554171305128</v>
      </c>
      <c r="R265" s="34">
        <f t="shared" ca="1" si="164"/>
        <v>3537.0093082529911</v>
      </c>
      <c r="S265" s="34">
        <f t="shared" ca="1" si="164"/>
        <v>0</v>
      </c>
      <c r="T265" s="34">
        <f t="shared" ca="1" si="165"/>
        <v>33939.563479558121</v>
      </c>
      <c r="U265" s="15"/>
      <c r="V265" s="35">
        <f t="shared" si="166"/>
        <v>0.31</v>
      </c>
      <c r="W265" s="34">
        <f t="shared" ca="1" si="167"/>
        <v>2316.5083989249042</v>
      </c>
      <c r="X265" s="35">
        <f t="shared" si="168"/>
        <v>0.37</v>
      </c>
      <c r="Y265" s="34">
        <f t="shared" ca="1" si="169"/>
        <v>2764.86486323295</v>
      </c>
      <c r="Z265" s="35">
        <f t="shared" si="170"/>
        <v>0.57999999999999996</v>
      </c>
      <c r="AA265" s="34">
        <f t="shared" ca="1" si="171"/>
        <v>4334.1124883111106</v>
      </c>
      <c r="AB265" s="34">
        <f t="shared" ca="1" si="172"/>
        <v>9415.4857504689644</v>
      </c>
      <c r="AC265" s="15"/>
      <c r="AD265" s="34">
        <f t="shared" ca="1" si="173"/>
        <v>24524.077729089156</v>
      </c>
      <c r="AE265" s="34">
        <f ca="1"/>
        <v>0</v>
      </c>
      <c r="AF265" s="34">
        <f t="shared" ca="1" si="174"/>
        <v>24524.077729089156</v>
      </c>
      <c r="AG265" s="15"/>
      <c r="AH265" s="272">
        <f t="shared" si="182"/>
        <v>54788</v>
      </c>
      <c r="AI265" s="267">
        <f t="shared" si="154"/>
        <v>35.666666666666664</v>
      </c>
      <c r="AJ265" s="267">
        <f t="shared" si="155"/>
        <v>3.3393419711975486E-2</v>
      </c>
      <c r="AK265" s="34">
        <f t="shared" ca="1" si="183"/>
        <v>818.9428206565849</v>
      </c>
      <c r="AL265" s="233"/>
      <c r="AN265" s="232"/>
      <c r="AO265" s="237">
        <f t="shared" si="175"/>
        <v>36</v>
      </c>
      <c r="AP265" s="34">
        <f t="shared" ca="1" si="191"/>
        <v>32.161807107660991</v>
      </c>
      <c r="AQ265" s="34">
        <f t="shared" ca="1" si="191"/>
        <v>0.21273257965032499</v>
      </c>
      <c r="AR265" s="34">
        <f t="shared" ca="1" si="191"/>
        <v>0</v>
      </c>
      <c r="AS265" s="34">
        <f t="shared" ca="1" si="191"/>
        <v>33.438202585562941</v>
      </c>
      <c r="AT265" s="15"/>
      <c r="AW265" s="34">
        <f t="shared" ca="1" si="177"/>
        <v>32.161807107660991</v>
      </c>
      <c r="AX265" s="34">
        <f t="shared" ca="1" si="157"/>
        <v>0.21273257965032499</v>
      </c>
      <c r="AY265" s="34">
        <f t="shared" ca="1" si="157"/>
        <v>0</v>
      </c>
      <c r="AZ265" s="34">
        <f t="shared" ca="1" si="157"/>
        <v>33.438202585562941</v>
      </c>
      <c r="BB265" s="34">
        <f t="shared" ca="1" si="192"/>
        <v>0</v>
      </c>
      <c r="BC265" s="34">
        <f t="shared" ca="1" si="192"/>
        <v>0</v>
      </c>
      <c r="BD265" s="34">
        <f t="shared" ca="1" si="192"/>
        <v>0</v>
      </c>
      <c r="BE265" s="34">
        <f t="shared" ca="1" si="192"/>
        <v>0</v>
      </c>
      <c r="BF265" s="34">
        <f t="shared" ca="1" si="192"/>
        <v>0</v>
      </c>
      <c r="BG265" s="34">
        <f t="shared" ca="1" si="192"/>
        <v>0</v>
      </c>
      <c r="BH265" s="34">
        <f t="shared" ca="1" si="192"/>
        <v>0</v>
      </c>
      <c r="BI265" s="34">
        <f t="shared" ca="1" si="192"/>
        <v>0</v>
      </c>
      <c r="BJ265" s="34">
        <f t="shared" ca="1" si="192"/>
        <v>0</v>
      </c>
      <c r="BK265" s="34">
        <f t="shared" ca="1" si="192"/>
        <v>0</v>
      </c>
      <c r="BL265" s="34">
        <f t="shared" ca="1" si="192"/>
        <v>0</v>
      </c>
      <c r="BM265" s="34">
        <f t="shared" ca="1" si="192"/>
        <v>0</v>
      </c>
      <c r="BN265" s="34">
        <f t="shared" ca="1" si="192"/>
        <v>0</v>
      </c>
      <c r="BO265" s="34">
        <f t="shared" ca="1" si="192"/>
        <v>0</v>
      </c>
      <c r="BP265" s="34">
        <f t="shared" ca="1" si="192"/>
        <v>0</v>
      </c>
      <c r="BQ265" s="34">
        <f t="shared" ca="1" si="190"/>
        <v>0</v>
      </c>
      <c r="BR265" s="34">
        <f t="shared" ca="1" si="188"/>
        <v>0</v>
      </c>
      <c r="BS265" s="34">
        <f t="shared" ca="1" si="188"/>
        <v>0</v>
      </c>
      <c r="BT265" s="34">
        <f t="shared" ca="1" si="188"/>
        <v>4561.2989911420791</v>
      </c>
      <c r="BU265" s="34">
        <f t="shared" ca="1" si="188"/>
        <v>7426.5858958563194</v>
      </c>
      <c r="BV265" s="34">
        <f t="shared" ca="1" si="188"/>
        <v>7739.0915400099075</v>
      </c>
      <c r="BW265" s="34">
        <f t="shared" ca="1" si="188"/>
        <v>8071.0294729372445</v>
      </c>
      <c r="BX265" s="34">
        <f t="shared" ca="1" si="188"/>
        <v>8438.922939185426</v>
      </c>
      <c r="BY265" s="34">
        <f t="shared" ca="1" si="188"/>
        <v>8851.5606169716175</v>
      </c>
      <c r="BZ265" s="34">
        <f t="shared" ca="1" si="188"/>
        <v>9318.325317806557</v>
      </c>
      <c r="CA265" s="34">
        <f t="shared" ca="1" si="188"/>
        <v>9851.5358362481165</v>
      </c>
      <c r="CB265" s="34">
        <f t="shared" ca="1" si="188"/>
        <v>10467.726774517054</v>
      </c>
      <c r="CC265" s="34">
        <f t="shared" ca="1" si="188"/>
        <v>0</v>
      </c>
      <c r="CD265" s="34">
        <f t="shared" ca="1" si="188"/>
        <v>0</v>
      </c>
      <c r="CE265" s="34">
        <f t="shared" ca="1" si="188"/>
        <v>0</v>
      </c>
      <c r="CF265" s="34">
        <f t="shared" ca="1" si="188"/>
        <v>0</v>
      </c>
      <c r="CG265" s="34">
        <f t="shared" ca="1" si="188"/>
        <v>0</v>
      </c>
      <c r="CH265" s="34">
        <f t="shared" ca="1" si="189"/>
        <v>0</v>
      </c>
      <c r="CI265" s="34">
        <f t="shared" ca="1" si="189"/>
        <v>0</v>
      </c>
      <c r="CJ265" s="34">
        <f t="shared" ca="1" si="189"/>
        <v>0</v>
      </c>
      <c r="CK265" s="34">
        <f t="shared" ca="1" si="189"/>
        <v>0</v>
      </c>
      <c r="CL265" s="34">
        <f t="shared" ca="1" si="189"/>
        <v>0</v>
      </c>
      <c r="CM265" s="34">
        <f t="shared" ca="1" si="189"/>
        <v>0</v>
      </c>
      <c r="CN265" s="34">
        <f t="shared" ca="1" si="189"/>
        <v>0</v>
      </c>
      <c r="CO265" s="34">
        <f t="shared" ca="1" si="189"/>
        <v>0</v>
      </c>
      <c r="CP265" s="34">
        <f t="shared" ca="1" si="189"/>
        <v>0</v>
      </c>
      <c r="CQ265" s="34">
        <f t="shared" ca="1" si="179"/>
        <v>74726.077384674325</v>
      </c>
      <c r="CR265" s="363">
        <v>0</v>
      </c>
      <c r="CS265" s="34">
        <f t="shared" ca="1" si="180"/>
        <v>74726.077384674325</v>
      </c>
      <c r="CT265" s="233"/>
    </row>
    <row r="266" spans="2:98" x14ac:dyDescent="0.3">
      <c r="B266" s="232"/>
      <c r="C266" s="250">
        <f t="shared" si="181"/>
        <v>2050</v>
      </c>
      <c r="D266" s="263">
        <f t="shared" ca="1" si="161"/>
        <v>6848.304623362802</v>
      </c>
      <c r="E266" s="263">
        <f t="shared" ca="1" si="149"/>
        <v>45.297750337299625</v>
      </c>
      <c r="F266" s="263">
        <f t="shared" ca="1" si="150"/>
        <v>0</v>
      </c>
      <c r="G266" s="263">
        <f t="shared" ca="1" si="162"/>
        <v>7120.0911253865997</v>
      </c>
      <c r="H266" s="15"/>
      <c r="I266" s="271">
        <f ca="1">Assumptions!O$68</f>
        <v>4.5</v>
      </c>
      <c r="J266" s="271">
        <f ca="1">Assumptions!P$68</f>
        <v>80</v>
      </c>
      <c r="K266" s="271">
        <f t="shared" ca="1" si="151"/>
        <v>40</v>
      </c>
      <c r="L266" s="15"/>
      <c r="M266" s="35">
        <f t="shared" ca="1" si="163"/>
        <v>4.2299999999999995</v>
      </c>
      <c r="N266" s="35">
        <f t="shared" ca="1" si="152"/>
        <v>74.400000000000006</v>
      </c>
      <c r="O266" s="35">
        <f t="shared" ca="1" si="153"/>
        <v>37.200000000000003</v>
      </c>
      <c r="P266" s="15"/>
      <c r="Q266" s="34">
        <f t="shared" ca="1" si="164"/>
        <v>28968.32855682465</v>
      </c>
      <c r="R266" s="34">
        <f t="shared" ca="1" si="164"/>
        <v>3370.1526250950924</v>
      </c>
      <c r="S266" s="34">
        <f t="shared" ca="1" si="164"/>
        <v>0</v>
      </c>
      <c r="T266" s="34">
        <f t="shared" ca="1" si="165"/>
        <v>32338.481181919742</v>
      </c>
      <c r="U266" s="15"/>
      <c r="V266" s="35">
        <f t="shared" si="166"/>
        <v>0.31</v>
      </c>
      <c r="W266" s="34">
        <f t="shared" ca="1" si="167"/>
        <v>2207.2282488698461</v>
      </c>
      <c r="X266" s="35">
        <f t="shared" si="168"/>
        <v>0.37</v>
      </c>
      <c r="Y266" s="34">
        <f t="shared" ca="1" si="169"/>
        <v>2634.4337163930418</v>
      </c>
      <c r="Z266" s="35">
        <f t="shared" si="170"/>
        <v>0.57999999999999996</v>
      </c>
      <c r="AA266" s="34">
        <f t="shared" ca="1" si="171"/>
        <v>4129.6528527242272</v>
      </c>
      <c r="AB266" s="34">
        <f t="shared" ca="1" si="172"/>
        <v>8971.314817987115</v>
      </c>
      <c r="AC266" s="15"/>
      <c r="AD266" s="34">
        <f t="shared" ca="1" si="173"/>
        <v>23367.166363932629</v>
      </c>
      <c r="AE266" s="34">
        <f ca="1"/>
        <v>0</v>
      </c>
      <c r="AF266" s="34">
        <f t="shared" ca="1" si="174"/>
        <v>23367.166363932629</v>
      </c>
      <c r="AG266" s="15"/>
      <c r="AH266" s="272">
        <f t="shared" si="182"/>
        <v>55153</v>
      </c>
      <c r="AI266" s="267">
        <f t="shared" si="154"/>
        <v>36.666666666666664</v>
      </c>
      <c r="AJ266" s="267">
        <f t="shared" si="155"/>
        <v>3.0357654283614078E-2</v>
      </c>
      <c r="AK266" s="34">
        <f t="shared" ca="1" si="183"/>
        <v>709.37235806396222</v>
      </c>
      <c r="AL266" s="233"/>
      <c r="AN266" s="232"/>
      <c r="AO266" s="237">
        <f t="shared" si="175"/>
        <v>37</v>
      </c>
      <c r="AP266" s="34">
        <f t="shared" ca="1" si="191"/>
        <v>30.863236778989918</v>
      </c>
      <c r="AQ266" s="34">
        <f t="shared" ca="1" si="191"/>
        <v>0.2041432545868784</v>
      </c>
      <c r="AR266" s="34">
        <f t="shared" ca="1" si="191"/>
        <v>0</v>
      </c>
      <c r="AS266" s="34">
        <f t="shared" ca="1" si="191"/>
        <v>32.08809630651119</v>
      </c>
      <c r="AT266" s="15"/>
      <c r="AW266" s="34">
        <f t="shared" ca="1" si="177"/>
        <v>30.863236778989918</v>
      </c>
      <c r="AX266" s="34">
        <f t="shared" ca="1" si="157"/>
        <v>0.2041432545868784</v>
      </c>
      <c r="AY266" s="34">
        <f t="shared" ca="1" si="157"/>
        <v>0</v>
      </c>
      <c r="AZ266" s="34">
        <f t="shared" ca="1" si="157"/>
        <v>32.08809630651119</v>
      </c>
      <c r="BB266" s="34">
        <f t="shared" ca="1" si="192"/>
        <v>0</v>
      </c>
      <c r="BC266" s="34">
        <f t="shared" ca="1" si="192"/>
        <v>0</v>
      </c>
      <c r="BD266" s="34">
        <f t="shared" ca="1" si="192"/>
        <v>0</v>
      </c>
      <c r="BE266" s="34">
        <f t="shared" ca="1" si="192"/>
        <v>0</v>
      </c>
      <c r="BF266" s="34">
        <f t="shared" ca="1" si="192"/>
        <v>0</v>
      </c>
      <c r="BG266" s="34">
        <f t="shared" ca="1" si="192"/>
        <v>0</v>
      </c>
      <c r="BH266" s="34">
        <f t="shared" ca="1" si="192"/>
        <v>0</v>
      </c>
      <c r="BI266" s="34">
        <f t="shared" ca="1" si="192"/>
        <v>0</v>
      </c>
      <c r="BJ266" s="34">
        <f t="shared" ca="1" si="192"/>
        <v>0</v>
      </c>
      <c r="BK266" s="34">
        <f t="shared" ca="1" si="192"/>
        <v>0</v>
      </c>
      <c r="BL266" s="34">
        <f t="shared" ca="1" si="192"/>
        <v>0</v>
      </c>
      <c r="BM266" s="34">
        <f t="shared" ca="1" si="192"/>
        <v>0</v>
      </c>
      <c r="BN266" s="34">
        <f t="shared" ca="1" si="192"/>
        <v>0</v>
      </c>
      <c r="BO266" s="34">
        <f t="shared" ca="1" si="192"/>
        <v>0</v>
      </c>
      <c r="BP266" s="34">
        <f t="shared" ca="1" si="192"/>
        <v>0</v>
      </c>
      <c r="BQ266" s="34">
        <f t="shared" ca="1" si="190"/>
        <v>0</v>
      </c>
      <c r="BR266" s="34">
        <f t="shared" ca="1" si="188"/>
        <v>0</v>
      </c>
      <c r="BS266" s="34">
        <f t="shared" ca="1" si="188"/>
        <v>0</v>
      </c>
      <c r="BT266" s="34">
        <f t="shared" ca="1" si="188"/>
        <v>4377.1309981013919</v>
      </c>
      <c r="BU266" s="34">
        <f t="shared" ca="1" si="188"/>
        <v>7126.7286367494125</v>
      </c>
      <c r="BV266" s="34">
        <f t="shared" ca="1" si="188"/>
        <v>7426.5858958563194</v>
      </c>
      <c r="BW266" s="34">
        <f t="shared" ca="1" si="188"/>
        <v>7739.0915400099075</v>
      </c>
      <c r="BX266" s="34">
        <f t="shared" ca="1" si="188"/>
        <v>8071.0294729372445</v>
      </c>
      <c r="BY266" s="34">
        <f t="shared" ca="1" si="188"/>
        <v>8438.922939185426</v>
      </c>
      <c r="BZ266" s="34">
        <f t="shared" ca="1" si="188"/>
        <v>8851.5606169716175</v>
      </c>
      <c r="CA266" s="34">
        <f t="shared" ca="1" si="188"/>
        <v>9318.325317806557</v>
      </c>
      <c r="CB266" s="34">
        <f t="shared" ca="1" si="188"/>
        <v>9851.5358362481165</v>
      </c>
      <c r="CC266" s="34">
        <f t="shared" ca="1" si="188"/>
        <v>0</v>
      </c>
      <c r="CD266" s="34">
        <f t="shared" ca="1" si="188"/>
        <v>0</v>
      </c>
      <c r="CE266" s="34">
        <f t="shared" ca="1" si="188"/>
        <v>0</v>
      </c>
      <c r="CF266" s="34">
        <f t="shared" ca="1" si="188"/>
        <v>0</v>
      </c>
      <c r="CG266" s="34">
        <f t="shared" ca="1" si="188"/>
        <v>0</v>
      </c>
      <c r="CH266" s="34">
        <f t="shared" ca="1" si="189"/>
        <v>0</v>
      </c>
      <c r="CI266" s="34">
        <f t="shared" ca="1" si="189"/>
        <v>0</v>
      </c>
      <c r="CJ266" s="34">
        <f t="shared" ca="1" si="189"/>
        <v>0</v>
      </c>
      <c r="CK266" s="34">
        <f t="shared" ca="1" si="189"/>
        <v>0</v>
      </c>
      <c r="CL266" s="34">
        <f t="shared" ca="1" si="189"/>
        <v>0</v>
      </c>
      <c r="CM266" s="34">
        <f t="shared" ca="1" si="189"/>
        <v>0</v>
      </c>
      <c r="CN266" s="34">
        <f t="shared" ca="1" si="189"/>
        <v>0</v>
      </c>
      <c r="CO266" s="34">
        <f t="shared" ca="1" si="189"/>
        <v>0</v>
      </c>
      <c r="CP266" s="34">
        <f t="shared" ca="1" si="189"/>
        <v>0</v>
      </c>
      <c r="CQ266" s="34">
        <f t="shared" ca="1" si="179"/>
        <v>71200.911253865997</v>
      </c>
      <c r="CR266" s="363">
        <v>0</v>
      </c>
      <c r="CS266" s="34">
        <f t="shared" ca="1" si="180"/>
        <v>71200.911253865997</v>
      </c>
      <c r="CT266" s="233"/>
    </row>
    <row r="267" spans="2:98" x14ac:dyDescent="0.3">
      <c r="B267" s="232"/>
      <c r="C267" s="250">
        <f t="shared" si="181"/>
        <v>2051</v>
      </c>
      <c r="D267" s="263">
        <f t="shared" ca="1" si="161"/>
        <v>6541.5497731261175</v>
      </c>
      <c r="E267" s="263">
        <f t="shared" ca="1" si="149"/>
        <v>43.268736532426864</v>
      </c>
      <c r="F267" s="263">
        <f t="shared" ca="1" si="150"/>
        <v>0</v>
      </c>
      <c r="G267" s="263">
        <f t="shared" ca="1" si="162"/>
        <v>6801.1621923206785</v>
      </c>
      <c r="H267" s="15"/>
      <c r="I267" s="271">
        <f ca="1">Assumptions!O$68</f>
        <v>4.5</v>
      </c>
      <c r="J267" s="271">
        <f ca="1">Assumptions!P$68</f>
        <v>80</v>
      </c>
      <c r="K267" s="271">
        <f t="shared" ca="1" si="151"/>
        <v>40</v>
      </c>
      <c r="L267" s="15"/>
      <c r="M267" s="35">
        <f t="shared" ca="1" si="163"/>
        <v>4.2299999999999995</v>
      </c>
      <c r="N267" s="35">
        <f t="shared" ca="1" si="152"/>
        <v>74.400000000000006</v>
      </c>
      <c r="O267" s="35">
        <f t="shared" ca="1" si="153"/>
        <v>37.200000000000003</v>
      </c>
      <c r="P267" s="15"/>
      <c r="Q267" s="34">
        <f t="shared" ca="1" si="164"/>
        <v>27670.755540323473</v>
      </c>
      <c r="R267" s="34">
        <f t="shared" ca="1" si="164"/>
        <v>3219.1939980125589</v>
      </c>
      <c r="S267" s="34">
        <f t="shared" ca="1" si="164"/>
        <v>0</v>
      </c>
      <c r="T267" s="34">
        <f t="shared" ca="1" si="165"/>
        <v>30889.949538336034</v>
      </c>
      <c r="U267" s="15"/>
      <c r="V267" s="35">
        <f t="shared" si="166"/>
        <v>0.31</v>
      </c>
      <c r="W267" s="34">
        <f t="shared" ca="1" si="167"/>
        <v>2108.3602796194104</v>
      </c>
      <c r="X267" s="35">
        <f t="shared" si="168"/>
        <v>0.37</v>
      </c>
      <c r="Y267" s="34">
        <f t="shared" ca="1" si="169"/>
        <v>2516.4300111586508</v>
      </c>
      <c r="Z267" s="35">
        <f t="shared" si="170"/>
        <v>0.57999999999999996</v>
      </c>
      <c r="AA267" s="34">
        <f t="shared" ca="1" si="171"/>
        <v>3944.6740715459932</v>
      </c>
      <c r="AB267" s="34">
        <f t="shared" ca="1" si="172"/>
        <v>8569.4643623240536</v>
      </c>
      <c r="AC267" s="15"/>
      <c r="AD267" s="34">
        <f t="shared" ca="1" si="173"/>
        <v>22320.485176011978</v>
      </c>
      <c r="AE267" s="34">
        <f ca="1"/>
        <v>0</v>
      </c>
      <c r="AF267" s="34">
        <f t="shared" ca="1" si="174"/>
        <v>22320.485176011978</v>
      </c>
      <c r="AG267" s="15"/>
      <c r="AH267" s="272">
        <f t="shared" si="182"/>
        <v>55518</v>
      </c>
      <c r="AI267" s="267">
        <f t="shared" si="154"/>
        <v>37.666666666666664</v>
      </c>
      <c r="AJ267" s="267">
        <f t="shared" si="155"/>
        <v>2.7597867530558259E-2</v>
      </c>
      <c r="AK267" s="34">
        <f t="shared" ca="1" si="183"/>
        <v>615.99779310536792</v>
      </c>
      <c r="AL267" s="233"/>
      <c r="AN267" s="232"/>
      <c r="AO267" s="250">
        <f t="shared" si="175"/>
        <v>38</v>
      </c>
      <c r="AP267" s="34">
        <f t="shared" ca="1" si="191"/>
        <v>29.617098645645033</v>
      </c>
      <c r="AQ267" s="34">
        <f t="shared" ca="1" si="191"/>
        <v>0.19590073951862677</v>
      </c>
      <c r="AR267" s="34">
        <f t="shared" ca="1" si="191"/>
        <v>0</v>
      </c>
      <c r="AS267" s="34">
        <f t="shared" ca="1" si="191"/>
        <v>30.792503082756795</v>
      </c>
      <c r="AT267" s="15"/>
      <c r="AW267" s="34">
        <f t="shared" ca="1" si="177"/>
        <v>29.617098645645033</v>
      </c>
      <c r="AX267" s="34">
        <f t="shared" ca="1" si="157"/>
        <v>0.19590073951862677</v>
      </c>
      <c r="AY267" s="34">
        <f t="shared" ca="1" si="157"/>
        <v>0</v>
      </c>
      <c r="AZ267" s="34">
        <f t="shared" ca="1" si="157"/>
        <v>30.792503082756795</v>
      </c>
      <c r="BB267" s="34">
        <f t="shared" ca="1" si="192"/>
        <v>0</v>
      </c>
      <c r="BC267" s="34">
        <f t="shared" ca="1" si="192"/>
        <v>0</v>
      </c>
      <c r="BD267" s="34">
        <f t="shared" ca="1" si="192"/>
        <v>0</v>
      </c>
      <c r="BE267" s="34">
        <f t="shared" ca="1" si="192"/>
        <v>0</v>
      </c>
      <c r="BF267" s="34">
        <f t="shared" ca="1" si="192"/>
        <v>0</v>
      </c>
      <c r="BG267" s="34">
        <f t="shared" ca="1" si="192"/>
        <v>0</v>
      </c>
      <c r="BH267" s="34">
        <f t="shared" ca="1" si="192"/>
        <v>0</v>
      </c>
      <c r="BI267" s="34">
        <f t="shared" ca="1" si="192"/>
        <v>0</v>
      </c>
      <c r="BJ267" s="34">
        <f t="shared" ca="1" si="192"/>
        <v>0</v>
      </c>
      <c r="BK267" s="34">
        <f t="shared" ca="1" si="192"/>
        <v>0</v>
      </c>
      <c r="BL267" s="34">
        <f t="shared" ca="1" si="192"/>
        <v>0</v>
      </c>
      <c r="BM267" s="34">
        <f t="shared" ca="1" si="192"/>
        <v>0</v>
      </c>
      <c r="BN267" s="34">
        <f t="shared" ca="1" si="192"/>
        <v>0</v>
      </c>
      <c r="BO267" s="34">
        <f t="shared" ca="1" si="192"/>
        <v>0</v>
      </c>
      <c r="BP267" s="34">
        <f t="shared" ca="1" si="192"/>
        <v>0</v>
      </c>
      <c r="BQ267" s="34">
        <f t="shared" ca="1" si="190"/>
        <v>0</v>
      </c>
      <c r="BR267" s="34">
        <f t="shared" ca="1" si="188"/>
        <v>0</v>
      </c>
      <c r="BS267" s="34">
        <f t="shared" ca="1" si="188"/>
        <v>0</v>
      </c>
      <c r="BT267" s="34">
        <f t="shared" ca="1" si="188"/>
        <v>4200.3992013356792</v>
      </c>
      <c r="BU267" s="34">
        <f t="shared" ca="1" si="188"/>
        <v>6838.9783023546261</v>
      </c>
      <c r="BV267" s="34">
        <f t="shared" ca="1" si="188"/>
        <v>7126.7286367494125</v>
      </c>
      <c r="BW267" s="34">
        <f t="shared" ca="1" si="188"/>
        <v>7426.5858958563194</v>
      </c>
      <c r="BX267" s="34">
        <f t="shared" ca="1" si="188"/>
        <v>7739.0915400099075</v>
      </c>
      <c r="BY267" s="34">
        <f t="shared" ca="1" si="188"/>
        <v>8071.0294729372445</v>
      </c>
      <c r="BZ267" s="34">
        <f t="shared" ca="1" si="188"/>
        <v>8438.922939185426</v>
      </c>
      <c r="CA267" s="34">
        <f t="shared" ca="1" si="188"/>
        <v>8851.5606169716175</v>
      </c>
      <c r="CB267" s="34">
        <f t="shared" ca="1" si="188"/>
        <v>9318.325317806557</v>
      </c>
      <c r="CC267" s="34">
        <f t="shared" ca="1" si="188"/>
        <v>0</v>
      </c>
      <c r="CD267" s="34">
        <f t="shared" ca="1" si="188"/>
        <v>0</v>
      </c>
      <c r="CE267" s="34">
        <f t="shared" ca="1" si="188"/>
        <v>0</v>
      </c>
      <c r="CF267" s="34">
        <f t="shared" ca="1" si="188"/>
        <v>0</v>
      </c>
      <c r="CG267" s="34">
        <f t="shared" ca="1" si="188"/>
        <v>0</v>
      </c>
      <c r="CH267" s="34">
        <f t="shared" ca="1" si="189"/>
        <v>0</v>
      </c>
      <c r="CI267" s="34">
        <f t="shared" ca="1" si="189"/>
        <v>0</v>
      </c>
      <c r="CJ267" s="34">
        <f t="shared" ca="1" si="189"/>
        <v>0</v>
      </c>
      <c r="CK267" s="34">
        <f t="shared" ca="1" si="189"/>
        <v>0</v>
      </c>
      <c r="CL267" s="34">
        <f t="shared" ca="1" si="189"/>
        <v>0</v>
      </c>
      <c r="CM267" s="34">
        <f t="shared" ca="1" si="189"/>
        <v>0</v>
      </c>
      <c r="CN267" s="34">
        <f t="shared" ca="1" si="189"/>
        <v>0</v>
      </c>
      <c r="CO267" s="34">
        <f t="shared" ca="1" si="189"/>
        <v>0</v>
      </c>
      <c r="CP267" s="34">
        <f t="shared" ca="1" si="189"/>
        <v>0</v>
      </c>
      <c r="CQ267" s="34">
        <f t="shared" ca="1" si="179"/>
        <v>68011.621923206782</v>
      </c>
      <c r="CR267" s="363">
        <v>0</v>
      </c>
      <c r="CS267" s="34">
        <f t="shared" ca="1" si="180"/>
        <v>68011.621923206782</v>
      </c>
      <c r="CT267" s="233"/>
    </row>
    <row r="268" spans="2:98" x14ac:dyDescent="0.3">
      <c r="B268" s="232"/>
      <c r="C268" s="250">
        <f t="shared" si="181"/>
        <v>2052</v>
      </c>
      <c r="D268" s="263">
        <f t="shared" ca="1" si="161"/>
        <v>6260.2078551562145</v>
      </c>
      <c r="E268" s="263">
        <f t="shared" ca="1" si="149"/>
        <v>41.407815229927948</v>
      </c>
      <c r="F268" s="263">
        <f t="shared" ca="1" si="150"/>
        <v>0</v>
      </c>
      <c r="G268" s="263">
        <f t="shared" ca="1" si="162"/>
        <v>6508.6547465357826</v>
      </c>
      <c r="H268" s="15"/>
      <c r="I268" s="271">
        <f ca="1">Assumptions!O$68</f>
        <v>4.5</v>
      </c>
      <c r="J268" s="271">
        <f ca="1">Assumptions!P$68</f>
        <v>80</v>
      </c>
      <c r="K268" s="271">
        <f t="shared" ca="1" si="151"/>
        <v>40</v>
      </c>
      <c r="L268" s="15"/>
      <c r="M268" s="35">
        <f t="shared" ca="1" si="163"/>
        <v>4.2299999999999995</v>
      </c>
      <c r="N268" s="35">
        <f t="shared" ca="1" si="152"/>
        <v>74.400000000000006</v>
      </c>
      <c r="O268" s="35">
        <f t="shared" ca="1" si="153"/>
        <v>37.200000000000003</v>
      </c>
      <c r="P268" s="15"/>
      <c r="Q268" s="34">
        <f t="shared" ca="1" si="164"/>
        <v>26480.679227310786</v>
      </c>
      <c r="R268" s="34">
        <f t="shared" ca="1" si="164"/>
        <v>3080.7414531066397</v>
      </c>
      <c r="S268" s="34">
        <f t="shared" ca="1" si="164"/>
        <v>0</v>
      </c>
      <c r="T268" s="34">
        <f t="shared" ca="1" si="165"/>
        <v>29561.420680417425</v>
      </c>
      <c r="U268" s="15"/>
      <c r="V268" s="35">
        <f t="shared" si="166"/>
        <v>0.31</v>
      </c>
      <c r="W268" s="34">
        <f ca="1">V268*$G268/(1-$M$6)</f>
        <v>2017.6829714260925</v>
      </c>
      <c r="X268" s="35">
        <f t="shared" si="168"/>
        <v>0.37</v>
      </c>
      <c r="Y268" s="34">
        <f t="shared" ca="1" si="169"/>
        <v>2408.2022562182397</v>
      </c>
      <c r="Z268" s="35">
        <f t="shared" si="170"/>
        <v>0.57999999999999996</v>
      </c>
      <c r="AA268" s="34">
        <f t="shared" ca="1" si="171"/>
        <v>3775.0197529907537</v>
      </c>
      <c r="AB268" s="34">
        <f t="shared" ca="1" si="172"/>
        <v>8200.9049806350849</v>
      </c>
      <c r="AC268" s="15"/>
      <c r="AD268" s="34">
        <f t="shared" ca="1" si="173"/>
        <v>21360.51569978234</v>
      </c>
      <c r="AE268" s="34">
        <f ca="1"/>
        <v>0</v>
      </c>
      <c r="AF268" s="34">
        <f t="shared" ca="1" si="174"/>
        <v>21360.51569978234</v>
      </c>
      <c r="AG268" s="15"/>
      <c r="AH268" s="272">
        <f t="shared" si="182"/>
        <v>55884</v>
      </c>
      <c r="AI268" s="267">
        <f t="shared" si="154"/>
        <v>38.666666666666664</v>
      </c>
      <c r="AJ268" s="267">
        <f t="shared" si="155"/>
        <v>2.5088970482325681E-2</v>
      </c>
      <c r="AK268" s="34">
        <f t="shared" ca="1" si="183"/>
        <v>535.91334787909341</v>
      </c>
      <c r="AL268" s="233"/>
      <c r="AN268" s="232"/>
      <c r="AO268" s="250">
        <f t="shared" si="175"/>
        <v>39</v>
      </c>
      <c r="AP268" s="34">
        <f t="shared" ca="1" si="191"/>
        <v>28.421273232042306</v>
      </c>
      <c r="AQ268" s="34">
        <f t="shared" ca="1" si="191"/>
        <v>0.18799101528591944</v>
      </c>
      <c r="AR268" s="34">
        <f t="shared" ca="1" si="191"/>
        <v>0</v>
      </c>
      <c r="AS268" s="34">
        <f t="shared" ca="1" si="191"/>
        <v>29.549219323757825</v>
      </c>
      <c r="AT268" s="15"/>
      <c r="AW268" s="34">
        <f t="shared" ca="1" si="177"/>
        <v>28.421273232042306</v>
      </c>
      <c r="AX268" s="34">
        <f t="shared" ca="1" si="157"/>
        <v>0.18799101528591944</v>
      </c>
      <c r="AY268" s="34">
        <f t="shared" ca="1" si="157"/>
        <v>0</v>
      </c>
      <c r="AZ268" s="34">
        <f t="shared" ca="1" si="157"/>
        <v>29.549219323757825</v>
      </c>
      <c r="BB268" s="34">
        <f t="shared" ca="1" si="192"/>
        <v>0</v>
      </c>
      <c r="BC268" s="34">
        <f t="shared" ca="1" si="192"/>
        <v>0</v>
      </c>
      <c r="BD268" s="34">
        <f t="shared" ca="1" si="192"/>
        <v>0</v>
      </c>
      <c r="BE268" s="34">
        <f t="shared" ca="1" si="192"/>
        <v>0</v>
      </c>
      <c r="BF268" s="34">
        <f t="shared" ca="1" si="192"/>
        <v>0</v>
      </c>
      <c r="BG268" s="34">
        <f t="shared" ca="1" si="192"/>
        <v>0</v>
      </c>
      <c r="BH268" s="34">
        <f t="shared" ca="1" si="192"/>
        <v>0</v>
      </c>
      <c r="BI268" s="34">
        <f t="shared" ca="1" si="192"/>
        <v>0</v>
      </c>
      <c r="BJ268" s="34">
        <f t="shared" ca="1" si="192"/>
        <v>0</v>
      </c>
      <c r="BK268" s="34">
        <f t="shared" ca="1" si="192"/>
        <v>0</v>
      </c>
      <c r="BL268" s="34">
        <f t="shared" ca="1" si="192"/>
        <v>0</v>
      </c>
      <c r="BM268" s="34">
        <f t="shared" ca="1" si="192"/>
        <v>0</v>
      </c>
      <c r="BN268" s="34">
        <f t="shared" ca="1" si="192"/>
        <v>0</v>
      </c>
      <c r="BO268" s="34">
        <f t="shared" ca="1" si="192"/>
        <v>0</v>
      </c>
      <c r="BP268" s="34">
        <f t="shared" ca="1" si="192"/>
        <v>0</v>
      </c>
      <c r="BQ268" s="34">
        <f t="shared" ca="1" si="190"/>
        <v>0</v>
      </c>
      <c r="BR268" s="34">
        <f t="shared" ca="1" si="188"/>
        <v>0</v>
      </c>
      <c r="BS268" s="34">
        <f t="shared" ca="1" si="188"/>
        <v>0</v>
      </c>
      <c r="BT268" s="34">
        <f t="shared" ca="1" si="188"/>
        <v>4030.8035274283461</v>
      </c>
      <c r="BU268" s="34">
        <f t="shared" ca="1" si="188"/>
        <v>6562.8465338649185</v>
      </c>
      <c r="BV268" s="34">
        <f t="shared" ca="1" si="188"/>
        <v>6838.9783023546261</v>
      </c>
      <c r="BW268" s="34">
        <f t="shared" ca="1" si="188"/>
        <v>7126.7286367494125</v>
      </c>
      <c r="BX268" s="34">
        <f t="shared" ca="1" si="188"/>
        <v>7426.5858958563194</v>
      </c>
      <c r="BY268" s="34">
        <f t="shared" ca="1" si="188"/>
        <v>7739.0915400099075</v>
      </c>
      <c r="BZ268" s="34">
        <f t="shared" ca="1" si="188"/>
        <v>8071.0294729372445</v>
      </c>
      <c r="CA268" s="34">
        <f t="shared" ca="1" si="188"/>
        <v>8438.922939185426</v>
      </c>
      <c r="CB268" s="34">
        <f t="shared" ca="1" si="188"/>
        <v>8851.5606169716175</v>
      </c>
      <c r="CC268" s="34">
        <f t="shared" ca="1" si="188"/>
        <v>0</v>
      </c>
      <c r="CD268" s="34">
        <f t="shared" ca="1" si="188"/>
        <v>0</v>
      </c>
      <c r="CE268" s="34">
        <f t="shared" ca="1" si="188"/>
        <v>0</v>
      </c>
      <c r="CF268" s="34">
        <f t="shared" ca="1" si="188"/>
        <v>0</v>
      </c>
      <c r="CG268" s="34">
        <f t="shared" ca="1" si="188"/>
        <v>0</v>
      </c>
      <c r="CH268" s="34">
        <f t="shared" ca="1" si="189"/>
        <v>0</v>
      </c>
      <c r="CI268" s="34">
        <f t="shared" ca="1" si="189"/>
        <v>0</v>
      </c>
      <c r="CJ268" s="34">
        <f t="shared" ca="1" si="189"/>
        <v>0</v>
      </c>
      <c r="CK268" s="34">
        <f t="shared" ca="1" si="189"/>
        <v>0</v>
      </c>
      <c r="CL268" s="34">
        <f t="shared" ca="1" si="189"/>
        <v>0</v>
      </c>
      <c r="CM268" s="34">
        <f t="shared" ca="1" si="189"/>
        <v>0</v>
      </c>
      <c r="CN268" s="34">
        <f t="shared" ca="1" si="189"/>
        <v>0</v>
      </c>
      <c r="CO268" s="34">
        <f t="shared" ca="1" si="189"/>
        <v>0</v>
      </c>
      <c r="CP268" s="34">
        <f t="shared" ca="1" si="189"/>
        <v>0</v>
      </c>
      <c r="CQ268" s="34">
        <f t="shared" ca="1" si="179"/>
        <v>65086.54746535782</v>
      </c>
      <c r="CR268" s="363">
        <v>0</v>
      </c>
      <c r="CS268" s="34">
        <f t="shared" ca="1" si="180"/>
        <v>65086.54746535782</v>
      </c>
      <c r="CT268" s="233"/>
    </row>
    <row r="269" spans="2:98" x14ac:dyDescent="0.3">
      <c r="B269" s="232"/>
      <c r="C269" s="250">
        <f t="shared" si="181"/>
        <v>2053</v>
      </c>
      <c r="D269" s="263">
        <f t="shared" ca="1" si="161"/>
        <v>5998.9325543611949</v>
      </c>
      <c r="E269" s="263">
        <f t="shared" ca="1" si="149"/>
        <v>39.679623510134952</v>
      </c>
      <c r="F269" s="263">
        <f t="shared" ca="1" si="150"/>
        <v>0</v>
      </c>
      <c r="G269" s="263">
        <f t="shared" ca="1" si="162"/>
        <v>6237.0102954220047</v>
      </c>
      <c r="H269" s="15"/>
      <c r="I269" s="271">
        <f ca="1">Assumptions!O$68</f>
        <v>4.5</v>
      </c>
      <c r="J269" s="271">
        <f ca="1">Assumptions!P$68</f>
        <v>80</v>
      </c>
      <c r="K269" s="271">
        <f t="shared" ca="1" si="151"/>
        <v>40</v>
      </c>
      <c r="L269" s="15"/>
      <c r="M269" s="35">
        <f t="shared" ca="1" si="163"/>
        <v>4.2299999999999995</v>
      </c>
      <c r="N269" s="35">
        <f t="shared" ca="1" si="152"/>
        <v>74.400000000000006</v>
      </c>
      <c r="O269" s="35">
        <f t="shared" ca="1" si="153"/>
        <v>37.200000000000003</v>
      </c>
      <c r="P269" s="15"/>
      <c r="Q269" s="34">
        <f t="shared" ca="1" si="164"/>
        <v>25375.484704947852</v>
      </c>
      <c r="R269" s="34">
        <f t="shared" ca="1" si="164"/>
        <v>2952.1639891540408</v>
      </c>
      <c r="S269" s="34">
        <f t="shared" ca="1" si="164"/>
        <v>0</v>
      </c>
      <c r="T269" s="34">
        <f t="shared" ca="1" si="165"/>
        <v>28327.648694101892</v>
      </c>
      <c r="U269" s="15"/>
      <c r="V269" s="35">
        <f t="shared" si="166"/>
        <v>0.31</v>
      </c>
      <c r="W269" s="34">
        <f t="shared" ref="W269" ca="1" si="193">V269*$G269/(1-$M$6)</f>
        <v>1933.4731915808213</v>
      </c>
      <c r="X269" s="35">
        <f t="shared" si="168"/>
        <v>0.37</v>
      </c>
      <c r="Y269" s="34">
        <f t="shared" ca="1" si="169"/>
        <v>2307.6938093061417</v>
      </c>
      <c r="Z269" s="35">
        <f t="shared" si="170"/>
        <v>0.57999999999999996</v>
      </c>
      <c r="AA269" s="34">
        <f t="shared" ca="1" si="171"/>
        <v>3617.4659713447622</v>
      </c>
      <c r="AB269" s="34">
        <f t="shared" ca="1" si="172"/>
        <v>7858.6329722317259</v>
      </c>
      <c r="AC269" s="15"/>
      <c r="AD269" s="34">
        <f t="shared" ca="1" si="173"/>
        <v>20469.015721870164</v>
      </c>
      <c r="AE269" s="34">
        <f ca="1"/>
        <v>0</v>
      </c>
      <c r="AF269" s="34">
        <f t="shared" ca="1" si="174"/>
        <v>20469.015721870164</v>
      </c>
      <c r="AG269" s="15"/>
      <c r="AH269" s="272">
        <f t="shared" si="182"/>
        <v>56249</v>
      </c>
      <c r="AI269" s="267">
        <f t="shared" si="154"/>
        <v>39.666666666666664</v>
      </c>
      <c r="AJ269" s="267">
        <f t="shared" si="155"/>
        <v>2.280815498393244E-2</v>
      </c>
      <c r="AK269" s="34">
        <f t="shared" ca="1" si="183"/>
        <v>466.86048295296445</v>
      </c>
      <c r="AL269" s="233"/>
      <c r="AN269" s="232"/>
      <c r="AO269" s="250">
        <f t="shared" si="175"/>
        <v>40</v>
      </c>
      <c r="AP269" s="34">
        <f t="shared" ca="1" si="191"/>
        <v>27.273728812074932</v>
      </c>
      <c r="AQ269" s="34">
        <f t="shared" ca="1" si="191"/>
        <v>0.18040064314340243</v>
      </c>
      <c r="AR269" s="34">
        <f t="shared" ca="1" si="191"/>
        <v>0</v>
      </c>
      <c r="AS269" s="34">
        <f t="shared" ca="1" si="191"/>
        <v>28.356132670935345</v>
      </c>
      <c r="AT269" s="15"/>
      <c r="AW269" s="34">
        <f t="shared" ca="1" si="177"/>
        <v>27.273728812074932</v>
      </c>
      <c r="AX269" s="34">
        <f t="shared" ca="1" si="157"/>
        <v>0.18040064314340243</v>
      </c>
      <c r="AY269" s="34">
        <f t="shared" ca="1" si="157"/>
        <v>0</v>
      </c>
      <c r="AZ269" s="34">
        <f t="shared" ca="1" si="157"/>
        <v>28.356132670935345</v>
      </c>
      <c r="BB269" s="34">
        <f t="shared" ca="1" si="192"/>
        <v>0</v>
      </c>
      <c r="BC269" s="34">
        <f t="shared" ca="1" si="192"/>
        <v>0</v>
      </c>
      <c r="BD269" s="34">
        <f t="shared" ca="1" si="192"/>
        <v>0</v>
      </c>
      <c r="BE269" s="34">
        <f t="shared" ca="1" si="192"/>
        <v>0</v>
      </c>
      <c r="BF269" s="34">
        <f t="shared" ca="1" si="192"/>
        <v>0</v>
      </c>
      <c r="BG269" s="34">
        <f t="shared" ca="1" si="192"/>
        <v>0</v>
      </c>
      <c r="BH269" s="34">
        <f t="shared" ca="1" si="192"/>
        <v>0</v>
      </c>
      <c r="BI269" s="34">
        <f t="shared" ca="1" si="192"/>
        <v>0</v>
      </c>
      <c r="BJ269" s="34">
        <f t="shared" ca="1" si="192"/>
        <v>0</v>
      </c>
      <c r="BK269" s="34">
        <f t="shared" ca="1" si="192"/>
        <v>0</v>
      </c>
      <c r="BL269" s="34">
        <f t="shared" ca="1" si="192"/>
        <v>0</v>
      </c>
      <c r="BM269" s="34">
        <f t="shared" ca="1" si="192"/>
        <v>0</v>
      </c>
      <c r="BN269" s="34">
        <f t="shared" ca="1" si="192"/>
        <v>0</v>
      </c>
      <c r="BO269" s="34">
        <f t="shared" ca="1" si="192"/>
        <v>0</v>
      </c>
      <c r="BP269" s="34">
        <f t="shared" ca="1" si="192"/>
        <v>0</v>
      </c>
      <c r="BQ269" s="34">
        <f t="shared" ca="1" si="190"/>
        <v>0</v>
      </c>
      <c r="BR269" s="34">
        <f t="shared" ca="1" si="188"/>
        <v>0</v>
      </c>
      <c r="BS269" s="34">
        <f t="shared" ca="1" si="188"/>
        <v>0</v>
      </c>
      <c r="BT269" s="34">
        <f t="shared" ca="1" si="188"/>
        <v>3868.0551468910608</v>
      </c>
      <c r="BU269" s="34">
        <f t="shared" ca="1" si="188"/>
        <v>6297.8644863711243</v>
      </c>
      <c r="BV269" s="34">
        <f t="shared" ca="1" si="188"/>
        <v>6562.8465338649185</v>
      </c>
      <c r="BW269" s="34">
        <f t="shared" ca="1" si="188"/>
        <v>6838.9783023546261</v>
      </c>
      <c r="BX269" s="34">
        <f t="shared" ca="1" si="188"/>
        <v>7126.7286367494125</v>
      </c>
      <c r="BY269" s="34">
        <f t="shared" ca="1" si="188"/>
        <v>7426.5858958563194</v>
      </c>
      <c r="BZ269" s="34">
        <f t="shared" ca="1" si="188"/>
        <v>7739.0915400099075</v>
      </c>
      <c r="CA269" s="34">
        <f t="shared" ca="1" si="188"/>
        <v>8071.0294729372445</v>
      </c>
      <c r="CB269" s="34">
        <f t="shared" ca="1" si="188"/>
        <v>8438.922939185426</v>
      </c>
      <c r="CC269" s="34">
        <f t="shared" ca="1" si="188"/>
        <v>0</v>
      </c>
      <c r="CD269" s="34">
        <f t="shared" ca="1" si="188"/>
        <v>0</v>
      </c>
      <c r="CE269" s="34">
        <f t="shared" ca="1" si="188"/>
        <v>0</v>
      </c>
      <c r="CF269" s="34">
        <f t="shared" ca="1" si="188"/>
        <v>0</v>
      </c>
      <c r="CG269" s="34">
        <f t="shared" ca="1" si="188"/>
        <v>0</v>
      </c>
      <c r="CH269" s="34">
        <f t="shared" ca="1" si="189"/>
        <v>0</v>
      </c>
      <c r="CI269" s="34">
        <f t="shared" ca="1" si="189"/>
        <v>0</v>
      </c>
      <c r="CJ269" s="34">
        <f t="shared" ca="1" si="189"/>
        <v>0</v>
      </c>
      <c r="CK269" s="34">
        <f t="shared" ca="1" si="189"/>
        <v>0</v>
      </c>
      <c r="CL269" s="34">
        <f t="shared" ca="1" si="189"/>
        <v>0</v>
      </c>
      <c r="CM269" s="34">
        <f t="shared" ca="1" si="189"/>
        <v>0</v>
      </c>
      <c r="CN269" s="34">
        <f t="shared" ca="1" si="189"/>
        <v>0</v>
      </c>
      <c r="CO269" s="34">
        <f t="shared" ca="1" si="189"/>
        <v>0</v>
      </c>
      <c r="CP269" s="34">
        <f t="shared" ca="1" si="189"/>
        <v>0</v>
      </c>
      <c r="CQ269" s="34">
        <f t="shared" ca="1" si="179"/>
        <v>62370.102954220041</v>
      </c>
      <c r="CR269" s="363">
        <v>0</v>
      </c>
      <c r="CS269" s="34">
        <f t="shared" ca="1" si="180"/>
        <v>62370.102954220041</v>
      </c>
      <c r="CT269" s="233"/>
    </row>
    <row r="270" spans="2:98" x14ac:dyDescent="0.3">
      <c r="B270" s="232"/>
      <c r="C270" s="274" t="s">
        <v>302</v>
      </c>
      <c r="D270" s="39">
        <f ca="1">SUM(D229:D269)</f>
        <v>276433.86218717805</v>
      </c>
      <c r="E270" s="39">
        <f t="shared" ref="E270:F270" ca="1" si="194">SUM(E229:E269)</f>
        <v>1828.4572259552237</v>
      </c>
      <c r="F270" s="39">
        <f t="shared" ca="1" si="194"/>
        <v>0</v>
      </c>
      <c r="G270" s="39">
        <f ca="1">SUM(G229:G269)</f>
        <v>287404.60554290935</v>
      </c>
      <c r="H270" s="15"/>
      <c r="I270" s="15"/>
      <c r="J270" s="15"/>
      <c r="K270" s="15"/>
      <c r="L270" s="15"/>
      <c r="M270" s="35"/>
      <c r="N270" s="35"/>
      <c r="O270" s="35"/>
      <c r="P270" s="15"/>
      <c r="Q270" s="8">
        <f ca="1">SUM(Q229:Q269)</f>
        <v>1169315.2370517629</v>
      </c>
      <c r="R270" s="8">
        <f ca="1">SUM(R229:R269)</f>
        <v>136037.21761106869</v>
      </c>
      <c r="S270" s="8">
        <f ca="1">SUM(S229:S269)</f>
        <v>0</v>
      </c>
      <c r="T270" s="8">
        <f t="shared" ca="1" si="165"/>
        <v>1305352.4546628315</v>
      </c>
      <c r="U270" s="15"/>
      <c r="V270" s="275"/>
      <c r="W270" s="276">
        <f ca="1">SUM(W229:W269)</f>
        <v>89095.427718301915</v>
      </c>
      <c r="X270" s="275"/>
      <c r="Y270" s="276">
        <f ca="1">SUM(Y229:Y269)</f>
        <v>106339.70405087646</v>
      </c>
      <c r="Z270" s="275"/>
      <c r="AA270" s="276">
        <f ca="1">SUM(AA229:AA269)</f>
        <v>166694.67121488744</v>
      </c>
      <c r="AB270" s="276">
        <f ca="1">SUM(AB229:AB269)</f>
        <v>362129.80298406578</v>
      </c>
      <c r="AC270" s="15"/>
      <c r="AD270" s="276">
        <f ca="1">SUM(AD229:AD269)</f>
        <v>943222.65167876577</v>
      </c>
      <c r="AE270" s="276">
        <f ca="1">SUM(AE229:AE269)</f>
        <v>359554.72501781071</v>
      </c>
      <c r="AF270" s="276">
        <f ca="1">SUM(AF229:AF269)</f>
        <v>583667.92666095507</v>
      </c>
      <c r="AG270" s="15"/>
      <c r="AH270" s="277"/>
      <c r="AI270" s="278"/>
      <c r="AJ270" s="278"/>
      <c r="AK270" s="279">
        <f ca="1">SUM(AK229:AK269)</f>
        <v>36864.754919852407</v>
      </c>
      <c r="AL270" s="233"/>
      <c r="AN270" s="232"/>
      <c r="AO270" s="274" t="s">
        <v>302</v>
      </c>
      <c r="AP270" s="8">
        <f ca="1">SUM(AP229:AP269)</f>
        <v>4128.6936362449387</v>
      </c>
      <c r="AQ270" s="8">
        <f t="shared" ref="AQ270:AS270" ca="1" si="195">SUM(AQ229:AQ269)</f>
        <v>27.309026662716732</v>
      </c>
      <c r="AR270" s="8">
        <f t="shared" ca="1" si="195"/>
        <v>0</v>
      </c>
      <c r="AS270" s="8">
        <f t="shared" ca="1" si="195"/>
        <v>4292.5477962212371</v>
      </c>
      <c r="AT270" s="15"/>
      <c r="AW270" s="8">
        <f ca="1">SUM(AW229:AW269)</f>
        <v>4128.6936362449387</v>
      </c>
      <c r="AX270" s="8">
        <f ca="1">SUM(AX229:AX269)</f>
        <v>27.309026662716732</v>
      </c>
      <c r="AY270" s="8">
        <f ca="1">SUM(AY229:AY269)</f>
        <v>0</v>
      </c>
      <c r="AZ270" s="8">
        <f ca="1">SUM(AZ229:AZ269)</f>
        <v>4292.5477962212371</v>
      </c>
      <c r="BB270" s="8">
        <f ca="1">SUM(BB229:BB269)</f>
        <v>0</v>
      </c>
      <c r="BC270" s="8">
        <f t="shared" ref="BC270:CS270" ca="1" si="196">SUM(BC229:BC269)</f>
        <v>0</v>
      </c>
      <c r="BD270" s="8">
        <f t="shared" ca="1" si="196"/>
        <v>0</v>
      </c>
      <c r="BE270" s="8">
        <f t="shared" ca="1" si="196"/>
        <v>0</v>
      </c>
      <c r="BF270" s="8">
        <f t="shared" ca="1" si="196"/>
        <v>0</v>
      </c>
      <c r="BG270" s="8">
        <f t="shared" ca="1" si="196"/>
        <v>0</v>
      </c>
      <c r="BH270" s="8">
        <f t="shared" ca="1" si="196"/>
        <v>0</v>
      </c>
      <c r="BI270" s="8">
        <f t="shared" ca="1" si="196"/>
        <v>0</v>
      </c>
      <c r="BJ270" s="8">
        <f t="shared" ca="1" si="196"/>
        <v>0</v>
      </c>
      <c r="BK270" s="8">
        <f t="shared" ca="1" si="196"/>
        <v>0</v>
      </c>
      <c r="BL270" s="8">
        <f t="shared" ca="1" si="196"/>
        <v>0</v>
      </c>
      <c r="BM270" s="8">
        <f t="shared" ca="1" si="196"/>
        <v>0</v>
      </c>
      <c r="BN270" s="8">
        <f t="shared" ca="1" si="196"/>
        <v>0</v>
      </c>
      <c r="BO270" s="8">
        <f t="shared" ca="1" si="196"/>
        <v>0</v>
      </c>
      <c r="BP270" s="8">
        <f t="shared" ca="1" si="196"/>
        <v>0</v>
      </c>
      <c r="BQ270" s="8">
        <f t="shared" ca="1" si="196"/>
        <v>0</v>
      </c>
      <c r="BR270" s="8">
        <f t="shared" ca="1" si="196"/>
        <v>0</v>
      </c>
      <c r="BS270" s="8">
        <f t="shared" ca="1" si="196"/>
        <v>0</v>
      </c>
      <c r="BT270" s="8">
        <f t="shared" ca="1" si="196"/>
        <v>230704.40131502031</v>
      </c>
      <c r="BU270" s="8">
        <f t="shared" ca="1" si="196"/>
        <v>354416.82012764469</v>
      </c>
      <c r="BV270" s="8">
        <f t="shared" ca="1" si="196"/>
        <v>348118.95564127358</v>
      </c>
      <c r="BW270" s="8">
        <f t="shared" ca="1" si="196"/>
        <v>341556.10910740867</v>
      </c>
      <c r="BX270" s="8">
        <f t="shared" ca="1" si="196"/>
        <v>334717.13080505404</v>
      </c>
      <c r="BY270" s="8">
        <f t="shared" ca="1" si="196"/>
        <v>327590.4021683046</v>
      </c>
      <c r="BZ270" s="8">
        <f t="shared" ca="1" si="196"/>
        <v>320163.81627244828</v>
      </c>
      <c r="CA270" s="8">
        <f t="shared" ca="1" si="196"/>
        <v>312424.72473243839</v>
      </c>
      <c r="CB270" s="8">
        <f t="shared" ca="1" si="196"/>
        <v>304353.69525950117</v>
      </c>
      <c r="CC270" s="8">
        <f t="shared" ca="1" si="196"/>
        <v>0</v>
      </c>
      <c r="CD270" s="8">
        <f t="shared" ca="1" si="196"/>
        <v>0</v>
      </c>
      <c r="CE270" s="8">
        <f t="shared" ca="1" si="196"/>
        <v>0</v>
      </c>
      <c r="CF270" s="8">
        <f t="shared" ca="1" si="196"/>
        <v>0</v>
      </c>
      <c r="CG270" s="8">
        <f t="shared" ca="1" si="196"/>
        <v>0</v>
      </c>
      <c r="CH270" s="8">
        <f t="shared" ca="1" si="196"/>
        <v>0</v>
      </c>
      <c r="CI270" s="8">
        <f t="shared" ca="1" si="196"/>
        <v>0</v>
      </c>
      <c r="CJ270" s="8">
        <f t="shared" ca="1" si="196"/>
        <v>0</v>
      </c>
      <c r="CK270" s="8">
        <f t="shared" ca="1" si="196"/>
        <v>0</v>
      </c>
      <c r="CL270" s="8">
        <f t="shared" ca="1" si="196"/>
        <v>0</v>
      </c>
      <c r="CM270" s="8">
        <f t="shared" ca="1" si="196"/>
        <v>0</v>
      </c>
      <c r="CN270" s="8">
        <f t="shared" ca="1" si="196"/>
        <v>0</v>
      </c>
      <c r="CO270" s="8">
        <f t="shared" ca="1" si="196"/>
        <v>0</v>
      </c>
      <c r="CP270" s="8">
        <f t="shared" ca="1" si="196"/>
        <v>0</v>
      </c>
      <c r="CQ270" s="8">
        <f t="shared" ca="1" si="196"/>
        <v>2874046.055429094</v>
      </c>
      <c r="CR270" s="8">
        <f t="shared" si="196"/>
        <v>0</v>
      </c>
      <c r="CS270" s="8">
        <f t="shared" ca="1" si="196"/>
        <v>2874046.055429094</v>
      </c>
      <c r="CT270" s="233"/>
    </row>
    <row r="271" spans="2:98" x14ac:dyDescent="0.3">
      <c r="B271" s="232"/>
      <c r="C271" s="283" t="s">
        <v>303</v>
      </c>
      <c r="D271" s="263">
        <f t="shared" ref="D271:F271" ca="1" si="197">D272-D270</f>
        <v>188127.87884961179</v>
      </c>
      <c r="E271" s="263">
        <f t="shared" ca="1" si="197"/>
        <v>1244.3619488747163</v>
      </c>
      <c r="F271" s="263">
        <f t="shared" ca="1" si="197"/>
        <v>0</v>
      </c>
      <c r="G271" s="263">
        <f ca="1">G272-G270</f>
        <v>195594.05054286012</v>
      </c>
      <c r="H271" s="15"/>
      <c r="I271" s="15"/>
      <c r="J271" s="15"/>
      <c r="K271" s="15"/>
      <c r="L271" s="15"/>
      <c r="M271" s="35">
        <f ca="1">M269</f>
        <v>4.2299999999999995</v>
      </c>
      <c r="N271" s="35">
        <f t="shared" ref="N271:O271" ca="1" si="198">N269</f>
        <v>74.400000000000006</v>
      </c>
      <c r="O271" s="35">
        <f t="shared" ca="1" si="198"/>
        <v>37.200000000000003</v>
      </c>
      <c r="P271" s="15"/>
      <c r="Q271" s="34">
        <f t="shared" ref="Q271:S271" ca="1" si="199">D271*M271</f>
        <v>795780.92753385776</v>
      </c>
      <c r="R271" s="34">
        <f t="shared" ca="1" si="199"/>
        <v>92580.528996278896</v>
      </c>
      <c r="S271" s="34">
        <f t="shared" ca="1" si="199"/>
        <v>0</v>
      </c>
      <c r="T271" s="34">
        <f t="shared" ref="T271" ca="1" si="200">SUM(Q271:S271)</f>
        <v>888361.45653013664</v>
      </c>
      <c r="U271" s="15"/>
      <c r="V271" s="35">
        <f>V269</f>
        <v>0.31</v>
      </c>
      <c r="W271" s="34">
        <f ca="1">V271*$G271/(1-$M$6)</f>
        <v>60634.155668286636</v>
      </c>
      <c r="X271" s="35">
        <f>X269</f>
        <v>0.37</v>
      </c>
      <c r="Y271" s="34">
        <f ca="1">X271*$G271/(1-$M$6)</f>
        <v>72369.798700858242</v>
      </c>
      <c r="Z271" s="35">
        <f>Z269</f>
        <v>0.57999999999999996</v>
      </c>
      <c r="AA271" s="34">
        <f ca="1">Z271*$G271/(1-$M$6)</f>
        <v>113444.54931485886</v>
      </c>
      <c r="AB271" s="34">
        <f ca="1">W271+Y271+AA271</f>
        <v>246448.50368400372</v>
      </c>
      <c r="AC271" s="15"/>
      <c r="AD271" s="34">
        <f ca="1">T271-AB271</f>
        <v>641912.95284613292</v>
      </c>
      <c r="AE271" s="62">
        <f ca="1">CR226*$M$9*$AQ$11*Units</f>
        <v>101778.4000000001</v>
      </c>
      <c r="AF271" s="34">
        <f ca="1">AD271-AE271</f>
        <v>540134.55284613278</v>
      </c>
      <c r="AG271" s="15"/>
      <c r="AH271" s="266">
        <f>Remainder_Date</f>
        <v>56249</v>
      </c>
      <c r="AI271" s="267">
        <f t="shared" ref="AI271" si="201">DAYS360(Valuation_Date,AH271)/360-MIN(0.5,0.5*DAYS360(Valuation_Date,AH271)/360)</f>
        <v>39.666666666666664</v>
      </c>
      <c r="AJ271" s="267">
        <f t="shared" ref="AJ271" si="202">1/((1+Discount_Rate)^AI271)</f>
        <v>2.280815498393244E-2</v>
      </c>
      <c r="AK271" s="34">
        <f t="shared" ref="AK271" ca="1" si="203">AJ271*AF271</f>
        <v>12319.472593491642</v>
      </c>
      <c r="AL271" s="233"/>
      <c r="AN271" s="232"/>
      <c r="AO271" s="352" t="s">
        <v>303</v>
      </c>
      <c r="AP271" s="34">
        <f ca="1">AP272-AP270</f>
        <v>1.7358652257826179E-6</v>
      </c>
      <c r="AQ271" s="34">
        <f t="shared" ref="AQ271:AS271" ca="1" si="204">AQ272-AQ270</f>
        <v>1.1481784412126217E-8</v>
      </c>
      <c r="AR271" s="34">
        <f t="shared" ca="1" si="204"/>
        <v>0</v>
      </c>
      <c r="AS271" s="34">
        <f t="shared" ca="1" si="204"/>
        <v>1.8047576304525137E-6</v>
      </c>
      <c r="AT271" s="15"/>
      <c r="AW271" s="34">
        <f ca="1">AW272-AW270</f>
        <v>1.7358652257826179E-6</v>
      </c>
      <c r="AX271" s="34">
        <f t="shared" ref="AX271:AZ271" ca="1" si="205">AX272-AX270</f>
        <v>1.1481784412126217E-8</v>
      </c>
      <c r="AY271" s="34">
        <f t="shared" ca="1" si="205"/>
        <v>0</v>
      </c>
      <c r="AZ271" s="34">
        <f t="shared" ca="1" si="205"/>
        <v>1.8047576304525137E-6</v>
      </c>
      <c r="BB271" s="180">
        <f ca="1">BB272-BB270</f>
        <v>0</v>
      </c>
      <c r="BC271" s="180">
        <f t="shared" ref="BC271:CP271" ca="1" si="206">BC272-BC270</f>
        <v>0</v>
      </c>
      <c r="BD271" s="180">
        <f t="shared" ca="1" si="206"/>
        <v>0</v>
      </c>
      <c r="BE271" s="180">
        <f t="shared" ca="1" si="206"/>
        <v>0</v>
      </c>
      <c r="BF271" s="180">
        <f t="shared" ca="1" si="206"/>
        <v>0</v>
      </c>
      <c r="BG271" s="180">
        <f t="shared" ca="1" si="206"/>
        <v>0</v>
      </c>
      <c r="BH271" s="180">
        <f t="shared" ca="1" si="206"/>
        <v>0</v>
      </c>
      <c r="BI271" s="180">
        <f t="shared" ca="1" si="206"/>
        <v>0</v>
      </c>
      <c r="BJ271" s="180">
        <f t="shared" ca="1" si="206"/>
        <v>0</v>
      </c>
      <c r="BK271" s="180">
        <f t="shared" ca="1" si="206"/>
        <v>0</v>
      </c>
      <c r="BL271" s="180">
        <f t="shared" ca="1" si="206"/>
        <v>0</v>
      </c>
      <c r="BM271" s="180">
        <f t="shared" ca="1" si="206"/>
        <v>0</v>
      </c>
      <c r="BN271" s="180">
        <f t="shared" ca="1" si="206"/>
        <v>0</v>
      </c>
      <c r="BO271" s="180">
        <f t="shared" ca="1" si="206"/>
        <v>0</v>
      </c>
      <c r="BP271" s="180">
        <f t="shared" ca="1" si="206"/>
        <v>0</v>
      </c>
      <c r="BQ271" s="180">
        <f t="shared" ca="1" si="206"/>
        <v>0</v>
      </c>
      <c r="BR271" s="180">
        <f t="shared" ca="1" si="206"/>
        <v>0</v>
      </c>
      <c r="BS271" s="180">
        <f t="shared" ca="1" si="206"/>
        <v>0</v>
      </c>
      <c r="BT271" s="180">
        <f t="shared" ca="1" si="206"/>
        <v>48151.28216359255</v>
      </c>
      <c r="BU271" s="180">
        <f t="shared" ca="1" si="206"/>
        <v>81276.781371993769</v>
      </c>
      <c r="BV271" s="180">
        <f t="shared" ca="1" si="206"/>
        <v>87574.645858364878</v>
      </c>
      <c r="BW271" s="180">
        <f t="shared" ca="1" si="206"/>
        <v>94137.492392229789</v>
      </c>
      <c r="BX271" s="180">
        <f t="shared" ca="1" si="206"/>
        <v>100976.47069458442</v>
      </c>
      <c r="BY271" s="180">
        <f t="shared" ca="1" si="206"/>
        <v>108103.19933133386</v>
      </c>
      <c r="BZ271" s="180">
        <f t="shared" ca="1" si="206"/>
        <v>115529.78522719018</v>
      </c>
      <c r="CA271" s="180">
        <f t="shared" ca="1" si="206"/>
        <v>123268.87676720007</v>
      </c>
      <c r="CB271" s="180">
        <f t="shared" ca="1" si="206"/>
        <v>131339.90624013729</v>
      </c>
      <c r="CC271" s="180">
        <f t="shared" ca="1" si="206"/>
        <v>0</v>
      </c>
      <c r="CD271" s="180">
        <f t="shared" ca="1" si="206"/>
        <v>0</v>
      </c>
      <c r="CE271" s="180">
        <f t="shared" ca="1" si="206"/>
        <v>0</v>
      </c>
      <c r="CF271" s="180">
        <f t="shared" ca="1" si="206"/>
        <v>0</v>
      </c>
      <c r="CG271" s="180">
        <f t="shared" ca="1" si="206"/>
        <v>0</v>
      </c>
      <c r="CH271" s="180">
        <f t="shared" ca="1" si="206"/>
        <v>0</v>
      </c>
      <c r="CI271" s="180">
        <f t="shared" ca="1" si="206"/>
        <v>0</v>
      </c>
      <c r="CJ271" s="180">
        <f t="shared" ca="1" si="206"/>
        <v>0</v>
      </c>
      <c r="CK271" s="180">
        <f t="shared" ca="1" si="206"/>
        <v>0</v>
      </c>
      <c r="CL271" s="180">
        <f t="shared" ca="1" si="206"/>
        <v>0</v>
      </c>
      <c r="CM271" s="180">
        <f t="shared" ca="1" si="206"/>
        <v>0</v>
      </c>
      <c r="CN271" s="180">
        <f t="shared" ca="1" si="206"/>
        <v>0</v>
      </c>
      <c r="CO271" s="180">
        <f t="shared" ca="1" si="206"/>
        <v>0</v>
      </c>
      <c r="CP271" s="180">
        <f t="shared" ca="1" si="206"/>
        <v>0</v>
      </c>
      <c r="CQ271" s="180">
        <f ca="1">CQ272-CQ270</f>
        <v>890358.44004662661</v>
      </c>
      <c r="CR271" s="180">
        <f t="shared" ref="CR271:CS271" ca="1" si="207">CR272-CR270</f>
        <v>1065582.065381974</v>
      </c>
      <c r="CS271" s="180">
        <f t="shared" ca="1" si="207"/>
        <v>1955940.5054286006</v>
      </c>
      <c r="CT271" s="233"/>
    </row>
    <row r="272" spans="2:98" x14ac:dyDescent="0.3">
      <c r="B272" s="232"/>
      <c r="C272" s="60" t="s">
        <v>26</v>
      </c>
      <c r="D272" s="39">
        <f t="shared" ca="1" si="161"/>
        <v>464561.74103678984</v>
      </c>
      <c r="E272" s="39">
        <f ca="1">$G272*$M$14/Bbl_to_Mcfe</f>
        <v>3072.81917482994</v>
      </c>
      <c r="F272" s="39">
        <f ca="1">$G272*$M$13/Bbl_to_Mcfe</f>
        <v>0</v>
      </c>
      <c r="G272" s="39">
        <f ca="1">CS272*$AQ$11</f>
        <v>482998.65608576947</v>
      </c>
      <c r="H272" s="15"/>
      <c r="I272" s="15"/>
      <c r="J272" s="15"/>
      <c r="K272" s="15"/>
      <c r="L272" s="15"/>
      <c r="M272" s="15"/>
      <c r="N272" s="15"/>
      <c r="O272" s="15"/>
      <c r="P272" s="15"/>
      <c r="Q272" s="8">
        <f ca="1">Q271+Q270</f>
        <v>1965096.1645856206</v>
      </c>
      <c r="R272" s="8">
        <f t="shared" ref="R272:T272" ca="1" si="208">R271+R270</f>
        <v>228617.74660734757</v>
      </c>
      <c r="S272" s="8">
        <f t="shared" ca="1" si="208"/>
        <v>0</v>
      </c>
      <c r="T272" s="8">
        <f t="shared" ca="1" si="208"/>
        <v>2193713.911192968</v>
      </c>
      <c r="U272" s="15"/>
      <c r="V272" s="9"/>
      <c r="W272" s="8">
        <f ca="1">W271+W270</f>
        <v>149729.58338658855</v>
      </c>
      <c r="X272" s="9"/>
      <c r="Y272" s="8">
        <f ca="1">Y271+Y270</f>
        <v>178709.50275173469</v>
      </c>
      <c r="Z272" s="9"/>
      <c r="AA272" s="8">
        <f ca="1">AA271+AA270</f>
        <v>280139.22052974626</v>
      </c>
      <c r="AB272" s="8">
        <f ca="1">AB271+AB270</f>
        <v>608578.30666806945</v>
      </c>
      <c r="AC272" s="15"/>
      <c r="AD272" s="8">
        <f ca="1">AD271+AD270</f>
        <v>1585135.6045248988</v>
      </c>
      <c r="AE272" s="8">
        <f ca="1">AE271+AE270</f>
        <v>461333.12501781079</v>
      </c>
      <c r="AF272" s="8">
        <f ca="1">AF271+AF270</f>
        <v>1123802.4795070877</v>
      </c>
      <c r="AG272" s="15"/>
      <c r="AH272" s="9"/>
      <c r="AI272" s="9"/>
      <c r="AJ272" s="9"/>
      <c r="AK272" s="65">
        <f ca="1">SUM(AK270:AK271)</f>
        <v>49184.227513344049</v>
      </c>
      <c r="AL272" s="233"/>
      <c r="AN272" s="232"/>
      <c r="AO272" s="249" t="s">
        <v>26</v>
      </c>
      <c r="AP272" s="8">
        <f ca="1">+AP222</f>
        <v>4128.6936379808039</v>
      </c>
      <c r="AQ272" s="8">
        <f t="shared" ref="AQ272:AS272" ca="1" si="209">+AQ222</f>
        <v>27.309026674198517</v>
      </c>
      <c r="AR272" s="8">
        <f t="shared" ca="1" si="209"/>
        <v>0</v>
      </c>
      <c r="AS272" s="8">
        <f t="shared" ca="1" si="209"/>
        <v>4292.5477980259948</v>
      </c>
      <c r="AT272" s="15"/>
      <c r="AW272" s="8">
        <f t="shared" ref="AW272:AZ272" ca="1" si="210">AP272*(1-$M$6)</f>
        <v>4128.6936379808039</v>
      </c>
      <c r="AX272" s="8">
        <f t="shared" ca="1" si="210"/>
        <v>27.309026674198517</v>
      </c>
      <c r="AY272" s="8">
        <f t="shared" ca="1" si="210"/>
        <v>0</v>
      </c>
      <c r="AZ272" s="8">
        <f t="shared" ca="1" si="210"/>
        <v>4292.5477980259948</v>
      </c>
      <c r="BB272" s="364">
        <f ca="1">$AS272*BB226</f>
        <v>0</v>
      </c>
      <c r="BC272" s="364">
        <f t="shared" ref="BC272:CS272" ca="1" si="211">$AS272*BC226</f>
        <v>0</v>
      </c>
      <c r="BD272" s="364">
        <f t="shared" ca="1" si="211"/>
        <v>0</v>
      </c>
      <c r="BE272" s="364">
        <f t="shared" ca="1" si="211"/>
        <v>0</v>
      </c>
      <c r="BF272" s="364">
        <f t="shared" ca="1" si="211"/>
        <v>0</v>
      </c>
      <c r="BG272" s="364">
        <f t="shared" ca="1" si="211"/>
        <v>0</v>
      </c>
      <c r="BH272" s="364">
        <f t="shared" ca="1" si="211"/>
        <v>0</v>
      </c>
      <c r="BI272" s="364">
        <f t="shared" ca="1" si="211"/>
        <v>0</v>
      </c>
      <c r="BJ272" s="364">
        <f t="shared" ca="1" si="211"/>
        <v>0</v>
      </c>
      <c r="BK272" s="364">
        <f t="shared" ca="1" si="211"/>
        <v>0</v>
      </c>
      <c r="BL272" s="364">
        <f t="shared" ca="1" si="211"/>
        <v>0</v>
      </c>
      <c r="BM272" s="364">
        <f t="shared" ca="1" si="211"/>
        <v>0</v>
      </c>
      <c r="BN272" s="364">
        <f t="shared" ca="1" si="211"/>
        <v>0</v>
      </c>
      <c r="BO272" s="364">
        <f t="shared" ca="1" si="211"/>
        <v>0</v>
      </c>
      <c r="BP272" s="364">
        <f t="shared" ca="1" si="211"/>
        <v>0</v>
      </c>
      <c r="BQ272" s="364">
        <f t="shared" ca="1" si="211"/>
        <v>0</v>
      </c>
      <c r="BR272" s="364">
        <f t="shared" ca="1" si="211"/>
        <v>0</v>
      </c>
      <c r="BS272" s="364">
        <f t="shared" ca="1" si="211"/>
        <v>0</v>
      </c>
      <c r="BT272" s="364">
        <f t="shared" ca="1" si="211"/>
        <v>278855.68347861286</v>
      </c>
      <c r="BU272" s="364">
        <f t="shared" ca="1" si="211"/>
        <v>435693.60149963846</v>
      </c>
      <c r="BV272" s="364">
        <f t="shared" ca="1" si="211"/>
        <v>435693.60149963846</v>
      </c>
      <c r="BW272" s="364">
        <f t="shared" ca="1" si="211"/>
        <v>435693.60149963846</v>
      </c>
      <c r="BX272" s="364">
        <f t="shared" ca="1" si="211"/>
        <v>435693.60149963846</v>
      </c>
      <c r="BY272" s="364">
        <f t="shared" ca="1" si="211"/>
        <v>435693.60149963846</v>
      </c>
      <c r="BZ272" s="364">
        <f t="shared" ca="1" si="211"/>
        <v>435693.60149963846</v>
      </c>
      <c r="CA272" s="364">
        <f t="shared" ca="1" si="211"/>
        <v>435693.60149963846</v>
      </c>
      <c r="CB272" s="364">
        <f t="shared" ca="1" si="211"/>
        <v>435693.60149963846</v>
      </c>
      <c r="CC272" s="364">
        <f t="shared" ca="1" si="211"/>
        <v>0</v>
      </c>
      <c r="CD272" s="364">
        <f t="shared" ca="1" si="211"/>
        <v>0</v>
      </c>
      <c r="CE272" s="364">
        <f t="shared" ca="1" si="211"/>
        <v>0</v>
      </c>
      <c r="CF272" s="364">
        <f t="shared" ca="1" si="211"/>
        <v>0</v>
      </c>
      <c r="CG272" s="364">
        <f t="shared" ca="1" si="211"/>
        <v>0</v>
      </c>
      <c r="CH272" s="364">
        <f t="shared" ca="1" si="211"/>
        <v>0</v>
      </c>
      <c r="CI272" s="364">
        <f t="shared" ca="1" si="211"/>
        <v>0</v>
      </c>
      <c r="CJ272" s="364">
        <f t="shared" ca="1" si="211"/>
        <v>0</v>
      </c>
      <c r="CK272" s="364">
        <f t="shared" ca="1" si="211"/>
        <v>0</v>
      </c>
      <c r="CL272" s="364">
        <f t="shared" ca="1" si="211"/>
        <v>0</v>
      </c>
      <c r="CM272" s="364">
        <f t="shared" ca="1" si="211"/>
        <v>0</v>
      </c>
      <c r="CN272" s="364">
        <f t="shared" ca="1" si="211"/>
        <v>0</v>
      </c>
      <c r="CO272" s="364">
        <f t="shared" ca="1" si="211"/>
        <v>0</v>
      </c>
      <c r="CP272" s="364">
        <f t="shared" ca="1" si="211"/>
        <v>0</v>
      </c>
      <c r="CQ272" s="364">
        <f t="shared" ca="1" si="211"/>
        <v>3764404.4954757206</v>
      </c>
      <c r="CR272" s="364">
        <f t="shared" ca="1" si="211"/>
        <v>1065582.065381974</v>
      </c>
      <c r="CS272" s="364">
        <f t="shared" ca="1" si="211"/>
        <v>4829986.5608576946</v>
      </c>
      <c r="CT272" s="233"/>
    </row>
    <row r="273" spans="2:98" x14ac:dyDescent="0.3">
      <c r="B273" s="232"/>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233"/>
      <c r="AN273" s="232"/>
      <c r="AO273" s="15"/>
      <c r="AP273" s="15"/>
      <c r="AQ273" s="15"/>
      <c r="AR273" s="15"/>
      <c r="AS273" s="15"/>
      <c r="AT273" s="15"/>
      <c r="AV273" s="15"/>
      <c r="AW273" s="15"/>
      <c r="AX273" s="15"/>
      <c r="AY273" s="15"/>
      <c r="AZ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233"/>
    </row>
    <row r="274" spans="2:98" x14ac:dyDescent="0.3">
      <c r="B274" s="285" t="s">
        <v>306</v>
      </c>
      <c r="C274" s="286"/>
      <c r="D274" s="287"/>
      <c r="E274" s="287"/>
      <c r="F274" s="287"/>
      <c r="G274" s="287"/>
      <c r="H274" s="287"/>
      <c r="I274" s="287"/>
      <c r="J274" s="287"/>
      <c r="K274" s="287"/>
      <c r="L274" s="287"/>
      <c r="M274" s="287"/>
      <c r="N274" s="287"/>
      <c r="O274" s="287"/>
      <c r="P274" s="287"/>
      <c r="Q274" s="286" t="str">
        <f>B274</f>
        <v>TOTAL</v>
      </c>
      <c r="R274" s="287"/>
      <c r="S274" s="287"/>
      <c r="T274" s="287"/>
      <c r="U274" s="287"/>
      <c r="V274" s="287"/>
      <c r="W274" s="287"/>
      <c r="X274" s="287"/>
      <c r="Y274" s="287"/>
      <c r="Z274" s="287"/>
      <c r="AA274" s="287"/>
      <c r="AB274" s="287"/>
      <c r="AC274" s="287"/>
      <c r="AD274" s="286" t="str">
        <f>Q274</f>
        <v>TOTAL</v>
      </c>
      <c r="AE274" s="287"/>
      <c r="AF274" s="287"/>
      <c r="AG274" s="287"/>
      <c r="AH274" s="287"/>
      <c r="AI274" s="287"/>
      <c r="AJ274" s="287"/>
      <c r="AK274" s="287"/>
      <c r="AL274" s="288"/>
      <c r="AN274" s="256"/>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258"/>
    </row>
    <row r="275" spans="2:98" x14ac:dyDescent="0.3">
      <c r="B275" s="232"/>
      <c r="C275" s="292"/>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233"/>
    </row>
    <row r="276" spans="2:98" x14ac:dyDescent="0.3">
      <c r="B276" s="232"/>
      <c r="C276" s="37" t="s">
        <v>277</v>
      </c>
      <c r="D276" s="23"/>
      <c r="E276" s="23"/>
      <c r="F276" s="23"/>
      <c r="G276" s="23"/>
      <c r="H276" s="261"/>
      <c r="I276" s="37" t="s">
        <v>15</v>
      </c>
      <c r="J276" s="23"/>
      <c r="K276" s="23"/>
      <c r="L276" s="15"/>
      <c r="M276" s="37" t="s">
        <v>278</v>
      </c>
      <c r="N276" s="23"/>
      <c r="O276" s="23"/>
      <c r="P276" s="15"/>
      <c r="Q276" s="37" t="s">
        <v>279</v>
      </c>
      <c r="R276" s="23"/>
      <c r="S276" s="23"/>
      <c r="T276" s="23"/>
      <c r="U276" s="15"/>
      <c r="V276" s="37" t="s">
        <v>280</v>
      </c>
      <c r="W276" s="23"/>
      <c r="X276" s="23"/>
      <c r="Y276" s="23"/>
      <c r="Z276" s="23"/>
      <c r="AA276" s="23"/>
      <c r="AB276" s="4"/>
      <c r="AC276" s="15"/>
      <c r="AD276" s="37" t="s">
        <v>281</v>
      </c>
      <c r="AE276" s="23"/>
      <c r="AF276" s="23"/>
      <c r="AG276" s="15"/>
      <c r="AH276" s="37" t="s">
        <v>282</v>
      </c>
      <c r="AI276" s="23"/>
      <c r="AJ276" s="23"/>
      <c r="AK276" s="23"/>
      <c r="AL276" s="233"/>
    </row>
    <row r="277" spans="2:98" x14ac:dyDescent="0.3">
      <c r="B277" s="232"/>
      <c r="C277" s="250"/>
      <c r="D277" s="250" t="s">
        <v>10</v>
      </c>
      <c r="E277" s="250" t="s">
        <v>11</v>
      </c>
      <c r="F277" s="250" t="s">
        <v>245</v>
      </c>
      <c r="G277" s="250" t="s">
        <v>12</v>
      </c>
      <c r="H277" s="261"/>
      <c r="I277" s="262" t="s">
        <v>10</v>
      </c>
      <c r="J277" s="262" t="s">
        <v>11</v>
      </c>
      <c r="K277" s="262" t="s">
        <v>245</v>
      </c>
      <c r="L277" s="15"/>
      <c r="M277" s="262" t="s">
        <v>10</v>
      </c>
      <c r="N277" s="262" t="s">
        <v>11</v>
      </c>
      <c r="O277" s="262" t="s">
        <v>245</v>
      </c>
      <c r="P277" s="15"/>
      <c r="Q277" s="262" t="s">
        <v>10</v>
      </c>
      <c r="R277" s="262" t="s">
        <v>11</v>
      </c>
      <c r="S277" s="262" t="s">
        <v>245</v>
      </c>
      <c r="T277" s="262" t="s">
        <v>12</v>
      </c>
      <c r="U277" s="15"/>
      <c r="V277" s="262" t="s">
        <v>283</v>
      </c>
      <c r="W277" s="262" t="s">
        <v>283</v>
      </c>
      <c r="X277" s="262" t="s">
        <v>284</v>
      </c>
      <c r="Y277" s="262" t="s">
        <v>284</v>
      </c>
      <c r="Z277" s="262" t="s">
        <v>285</v>
      </c>
      <c r="AA277" s="262" t="s">
        <v>285</v>
      </c>
      <c r="AB277" s="262" t="s">
        <v>12</v>
      </c>
      <c r="AC277" s="15"/>
      <c r="AD277" s="262" t="s">
        <v>286</v>
      </c>
      <c r="AE277" s="262" t="s">
        <v>287</v>
      </c>
      <c r="AF277" s="262" t="s">
        <v>281</v>
      </c>
      <c r="AG277" s="15"/>
      <c r="AH277" s="262"/>
      <c r="AI277" s="262" t="s">
        <v>288</v>
      </c>
      <c r="AJ277" s="262" t="s">
        <v>288</v>
      </c>
      <c r="AK277" s="262" t="s">
        <v>289</v>
      </c>
      <c r="AL277" s="233"/>
    </row>
    <row r="278" spans="2:98" x14ac:dyDescent="0.3">
      <c r="B278" s="232"/>
      <c r="C278" s="13" t="s">
        <v>9</v>
      </c>
      <c r="D278" s="13" t="s">
        <v>307</v>
      </c>
      <c r="E278" s="13" t="s">
        <v>308</v>
      </c>
      <c r="F278" s="13" t="s">
        <v>308</v>
      </c>
      <c r="G278" s="13" t="s">
        <v>248</v>
      </c>
      <c r="H278" s="4"/>
      <c r="I278" s="13" t="s">
        <v>24</v>
      </c>
      <c r="J278" s="13" t="s">
        <v>25</v>
      </c>
      <c r="K278" s="13" t="s">
        <v>25</v>
      </c>
      <c r="L278" s="4"/>
      <c r="M278" s="13" t="s">
        <v>24</v>
      </c>
      <c r="N278" s="13" t="s">
        <v>25</v>
      </c>
      <c r="O278" s="13" t="s">
        <v>25</v>
      </c>
      <c r="P278" s="4"/>
      <c r="Q278" s="13" t="s">
        <v>293</v>
      </c>
      <c r="R278" s="13" t="s">
        <v>293</v>
      </c>
      <c r="S278" s="13" t="s">
        <v>293</v>
      </c>
      <c r="T278" s="13" t="s">
        <v>293</v>
      </c>
      <c r="U278" s="4"/>
      <c r="V278" s="13" t="s">
        <v>294</v>
      </c>
      <c r="W278" s="13" t="s">
        <v>293</v>
      </c>
      <c r="X278" s="13" t="s">
        <v>294</v>
      </c>
      <c r="Y278" s="13" t="s">
        <v>293</v>
      </c>
      <c r="Z278" s="13" t="s">
        <v>294</v>
      </c>
      <c r="AA278" s="13" t="s">
        <v>293</v>
      </c>
      <c r="AB278" s="13" t="s">
        <v>293</v>
      </c>
      <c r="AC278" s="4"/>
      <c r="AD278" s="13" t="s">
        <v>293</v>
      </c>
      <c r="AE278" s="13" t="s">
        <v>293</v>
      </c>
      <c r="AF278" s="13" t="s">
        <v>293</v>
      </c>
      <c r="AG278" s="4"/>
      <c r="AH278" s="13" t="s">
        <v>295</v>
      </c>
      <c r="AI278" s="13" t="s">
        <v>296</v>
      </c>
      <c r="AJ278" s="13" t="s">
        <v>297</v>
      </c>
      <c r="AK278" s="13" t="s">
        <v>293</v>
      </c>
      <c r="AL278" s="233"/>
    </row>
    <row r="279" spans="2:98" x14ac:dyDescent="0.3">
      <c r="B279" s="232"/>
      <c r="C279" s="250">
        <f>YEAR(FY_Date)</f>
        <v>2013</v>
      </c>
      <c r="D279" s="263">
        <f ca="1">+D29+D79+D129+D179+D229</f>
        <v>57383.916629834246</v>
      </c>
      <c r="E279" s="263">
        <f t="shared" ref="E279:G279" ca="1" si="212">+E29+E79+E129+E179+E229</f>
        <v>379.56289502762405</v>
      </c>
      <c r="F279" s="263">
        <f t="shared" ca="1" si="212"/>
        <v>0</v>
      </c>
      <c r="G279" s="263">
        <f t="shared" ca="1" si="212"/>
        <v>59661.293999999987</v>
      </c>
      <c r="H279" s="15"/>
      <c r="I279" s="51">
        <f ca="1">I229</f>
        <v>3.7</v>
      </c>
      <c r="J279" s="51">
        <f t="shared" ref="J279:K279" ca="1" si="213">J229</f>
        <v>101</v>
      </c>
      <c r="K279" s="51">
        <f t="shared" ca="1" si="213"/>
        <v>50.5</v>
      </c>
      <c r="L279" s="15"/>
      <c r="M279" s="51">
        <f ca="1">M229</f>
        <v>3.4779999999999998</v>
      </c>
      <c r="N279" s="51">
        <f t="shared" ref="N279:O279" ca="1" si="214">N229</f>
        <v>93.93</v>
      </c>
      <c r="O279" s="51">
        <f t="shared" ca="1" si="214"/>
        <v>46.965000000000003</v>
      </c>
      <c r="P279" s="15"/>
      <c r="Q279" s="265">
        <f ca="1">+Q29+Q79+Q129+Q179+Q229</f>
        <v>199581.26203856349</v>
      </c>
      <c r="R279" s="265">
        <f t="shared" ref="R279:T279" ca="1" si="215">+R29+R79+R129+R179+R229</f>
        <v>35652.342729944728</v>
      </c>
      <c r="S279" s="265">
        <f t="shared" ca="1" si="215"/>
        <v>0</v>
      </c>
      <c r="T279" s="265">
        <f t="shared" ca="1" si="215"/>
        <v>235233.60476850823</v>
      </c>
      <c r="U279" s="15"/>
      <c r="V279" s="51">
        <f>V229</f>
        <v>0.31</v>
      </c>
      <c r="W279" s="265">
        <f t="shared" ref="W279:Y294" ca="1" si="216">+W29+W79+W129+W179+W229</f>
        <v>18495.001139999997</v>
      </c>
      <c r="X279" s="51">
        <f>X229</f>
        <v>0.37</v>
      </c>
      <c r="Y279" s="265">
        <f t="shared" ca="1" si="216"/>
        <v>22074.678779999995</v>
      </c>
      <c r="Z279" s="51">
        <f>Z229</f>
        <v>0.57999999999999996</v>
      </c>
      <c r="AA279" s="265">
        <f t="shared" ref="AA279:AB294" ca="1" si="217">+AA29+AA79+AA129+AA179+AA229</f>
        <v>34603.55051999999</v>
      </c>
      <c r="AB279" s="265">
        <f t="shared" ca="1" si="217"/>
        <v>75173.230439999985</v>
      </c>
      <c r="AC279" s="15"/>
      <c r="AD279" s="265">
        <f t="shared" ref="AD279:AF294" ca="1" si="218">+AD29+AD79+AD129+AD179+AD229</f>
        <v>160060.37432850825</v>
      </c>
      <c r="AE279" s="265">
        <f t="shared" ca="1" si="218"/>
        <v>290115.99999999994</v>
      </c>
      <c r="AF279" s="265">
        <f t="shared" ca="1" si="218"/>
        <v>-130055.6256714917</v>
      </c>
      <c r="AG279" s="15"/>
      <c r="AH279" s="266"/>
      <c r="AI279" s="267"/>
      <c r="AJ279" s="267"/>
      <c r="AK279" s="265">
        <f t="shared" ref="AK279:AK319" ca="1" si="219">+AK29+AK79+AK129+AK179+AK229</f>
        <v>-32256.687065441889</v>
      </c>
      <c r="AL279" s="233"/>
    </row>
    <row r="280" spans="2:98" x14ac:dyDescent="0.3">
      <c r="B280" s="232"/>
      <c r="C280" s="270">
        <f>C279+1</f>
        <v>2014</v>
      </c>
      <c r="D280" s="263">
        <f t="shared" ref="D280:G295" ca="1" si="220">+D30+D80+D130+D180+D230</f>
        <v>88908.679376651096</v>
      </c>
      <c r="E280" s="263">
        <f t="shared" ca="1" si="220"/>
        <v>588.08177829638646</v>
      </c>
      <c r="F280" s="263">
        <f t="shared" ca="1" si="220"/>
        <v>0</v>
      </c>
      <c r="G280" s="263">
        <f t="shared" ca="1" si="220"/>
        <v>92437.170046429412</v>
      </c>
      <c r="H280" s="15"/>
      <c r="I280" s="35">
        <f t="shared" ref="I280:K295" ca="1" si="221">I230</f>
        <v>3.8</v>
      </c>
      <c r="J280" s="35">
        <f t="shared" ca="1" si="221"/>
        <v>92</v>
      </c>
      <c r="K280" s="35">
        <f t="shared" ca="1" si="221"/>
        <v>46</v>
      </c>
      <c r="L280" s="15"/>
      <c r="M280" s="35">
        <f t="shared" ref="M280:O295" ca="1" si="222">M230</f>
        <v>3.5719999999999996</v>
      </c>
      <c r="N280" s="35">
        <f t="shared" ca="1" si="222"/>
        <v>85.56</v>
      </c>
      <c r="O280" s="35">
        <f t="shared" ca="1" si="222"/>
        <v>42.78</v>
      </c>
      <c r="P280" s="15"/>
      <c r="Q280" s="34">
        <f t="shared" ref="Q280:T295" ca="1" si="223">+Q30+Q80+Q130+Q180+Q230</f>
        <v>317581.80273339769</v>
      </c>
      <c r="R280" s="34">
        <f t="shared" ca="1" si="223"/>
        <v>50316.276951038824</v>
      </c>
      <c r="S280" s="34">
        <f t="shared" ca="1" si="223"/>
        <v>0</v>
      </c>
      <c r="T280" s="34">
        <f t="shared" ca="1" si="223"/>
        <v>367898.0796844365</v>
      </c>
      <c r="U280" s="15"/>
      <c r="V280" s="35">
        <f t="shared" ref="V280:X295" si="224">V230</f>
        <v>0.31</v>
      </c>
      <c r="W280" s="34">
        <f t="shared" ca="1" si="216"/>
        <v>28655.522714393119</v>
      </c>
      <c r="X280" s="35">
        <f t="shared" si="224"/>
        <v>0.37</v>
      </c>
      <c r="Y280" s="34">
        <f t="shared" ca="1" si="216"/>
        <v>34201.752917178885</v>
      </c>
      <c r="Z280" s="35">
        <f t="shared" ref="Z280:Z319" si="225">Z230</f>
        <v>0.57999999999999996</v>
      </c>
      <c r="AA280" s="34">
        <f t="shared" ca="1" si="217"/>
        <v>53613.558626929058</v>
      </c>
      <c r="AB280" s="34">
        <f t="shared" ca="1" si="217"/>
        <v>116470.83425850107</v>
      </c>
      <c r="AC280" s="15"/>
      <c r="AD280" s="34">
        <f t="shared" ca="1" si="218"/>
        <v>251427.24542593543</v>
      </c>
      <c r="AE280" s="34">
        <f t="shared" ca="1" si="218"/>
        <v>321030</v>
      </c>
      <c r="AF280" s="34">
        <f t="shared" ca="1" si="218"/>
        <v>-69602.754574064573</v>
      </c>
      <c r="AG280" s="15"/>
      <c r="AH280" s="272"/>
      <c r="AI280" s="267"/>
      <c r="AJ280" s="267"/>
      <c r="AK280" s="34">
        <f t="shared" ca="1" si="219"/>
        <v>-65317.763207087781</v>
      </c>
      <c r="AL280" s="233"/>
    </row>
    <row r="281" spans="2:98" x14ac:dyDescent="0.3">
      <c r="B281" s="232"/>
      <c r="C281" s="250">
        <f t="shared" ref="C281:C319" si="226">C280+1</f>
        <v>2015</v>
      </c>
      <c r="D281" s="263">
        <f t="shared" ca="1" si="220"/>
        <v>112963.27880716274</v>
      </c>
      <c r="E281" s="263">
        <f t="shared" ca="1" si="220"/>
        <v>747.18965964702909</v>
      </c>
      <c r="F281" s="263">
        <f t="shared" ca="1" si="220"/>
        <v>0</v>
      </c>
      <c r="G281" s="263">
        <f t="shared" ca="1" si="220"/>
        <v>117446.41676504492</v>
      </c>
      <c r="H281" s="15"/>
      <c r="I281" s="35">
        <f t="shared" ca="1" si="221"/>
        <v>4</v>
      </c>
      <c r="J281" s="35">
        <f t="shared" ca="1" si="221"/>
        <v>88</v>
      </c>
      <c r="K281" s="35">
        <f t="shared" ca="1" si="221"/>
        <v>44</v>
      </c>
      <c r="L281" s="15"/>
      <c r="M281" s="35">
        <f t="shared" ca="1" si="222"/>
        <v>3.76</v>
      </c>
      <c r="N281" s="35">
        <f t="shared" ca="1" si="222"/>
        <v>81.84</v>
      </c>
      <c r="O281" s="35">
        <f t="shared" ca="1" si="222"/>
        <v>40.92</v>
      </c>
      <c r="P281" s="15"/>
      <c r="Q281" s="34">
        <f t="shared" ca="1" si="223"/>
        <v>424741.92831493192</v>
      </c>
      <c r="R281" s="34">
        <f t="shared" ca="1" si="223"/>
        <v>61150.001745512862</v>
      </c>
      <c r="S281" s="34">
        <f t="shared" ca="1" si="223"/>
        <v>0</v>
      </c>
      <c r="T281" s="34">
        <f t="shared" ca="1" si="223"/>
        <v>485891.93006044475</v>
      </c>
      <c r="U281" s="15"/>
      <c r="V281" s="35">
        <f t="shared" si="224"/>
        <v>0.31</v>
      </c>
      <c r="W281" s="34">
        <f t="shared" ca="1" si="216"/>
        <v>36408.389197163924</v>
      </c>
      <c r="X281" s="35">
        <f t="shared" si="224"/>
        <v>0.37</v>
      </c>
      <c r="Y281" s="34">
        <f t="shared" ca="1" si="216"/>
        <v>43455.174203066621</v>
      </c>
      <c r="Z281" s="35">
        <f t="shared" si="225"/>
        <v>0.57999999999999996</v>
      </c>
      <c r="AA281" s="34">
        <f t="shared" ca="1" si="217"/>
        <v>68118.92172372606</v>
      </c>
      <c r="AB281" s="34">
        <f t="shared" ca="1" si="217"/>
        <v>147982.48512395661</v>
      </c>
      <c r="AC281" s="15"/>
      <c r="AD281" s="34">
        <f t="shared" ca="1" si="218"/>
        <v>337909.44493648817</v>
      </c>
      <c r="AE281" s="34">
        <f t="shared" ca="1" si="218"/>
        <v>337203.41574909189</v>
      </c>
      <c r="AF281" s="34">
        <f t="shared" ca="1" si="218"/>
        <v>706.0291873962542</v>
      </c>
      <c r="AG281" s="15"/>
      <c r="AH281" s="273"/>
      <c r="AI281" s="267"/>
      <c r="AJ281" s="267"/>
      <c r="AK281" s="34">
        <f t="shared" ca="1" si="219"/>
        <v>602.33048849666966</v>
      </c>
      <c r="AL281" s="233"/>
    </row>
    <row r="282" spans="2:98" x14ac:dyDescent="0.3">
      <c r="B282" s="232"/>
      <c r="C282" s="250">
        <f t="shared" si="226"/>
        <v>2016</v>
      </c>
      <c r="D282" s="263">
        <f t="shared" ca="1" si="220"/>
        <v>100611.28577948044</v>
      </c>
      <c r="E282" s="263">
        <f t="shared" ca="1" si="220"/>
        <v>665.48805215322113</v>
      </c>
      <c r="F282" s="263">
        <f t="shared" ca="1" si="220"/>
        <v>0</v>
      </c>
      <c r="G282" s="263">
        <f t="shared" ca="1" si="220"/>
        <v>104604.21409239978</v>
      </c>
      <c r="H282" s="15"/>
      <c r="I282" s="35">
        <f t="shared" ca="1" si="221"/>
        <v>4.0999999999999996</v>
      </c>
      <c r="J282" s="35">
        <f t="shared" ca="1" si="221"/>
        <v>84</v>
      </c>
      <c r="K282" s="35">
        <f t="shared" ca="1" si="221"/>
        <v>42</v>
      </c>
      <c r="L282" s="15"/>
      <c r="M282" s="35">
        <f t="shared" ca="1" si="222"/>
        <v>3.8539999999999996</v>
      </c>
      <c r="N282" s="35">
        <f t="shared" ca="1" si="222"/>
        <v>78.12</v>
      </c>
      <c r="O282" s="35">
        <f t="shared" ca="1" si="222"/>
        <v>39.06</v>
      </c>
      <c r="P282" s="15"/>
      <c r="Q282" s="34">
        <f t="shared" ca="1" si="223"/>
        <v>387755.89539411763</v>
      </c>
      <c r="R282" s="34">
        <f t="shared" ca="1" si="223"/>
        <v>51987.926634209638</v>
      </c>
      <c r="S282" s="34">
        <f t="shared" ca="1" si="223"/>
        <v>0</v>
      </c>
      <c r="T282" s="34">
        <f t="shared" ca="1" si="223"/>
        <v>439743.82202832727</v>
      </c>
      <c r="U282" s="15"/>
      <c r="V282" s="35">
        <f t="shared" si="224"/>
        <v>0.31</v>
      </c>
      <c r="W282" s="34">
        <f t="shared" ca="1" si="216"/>
        <v>32427.306368643931</v>
      </c>
      <c r="X282" s="35">
        <f t="shared" si="224"/>
        <v>0.37</v>
      </c>
      <c r="Y282" s="34">
        <f t="shared" ca="1" si="216"/>
        <v>38703.559214187917</v>
      </c>
      <c r="Z282" s="35">
        <f t="shared" si="225"/>
        <v>0.57999999999999996</v>
      </c>
      <c r="AA282" s="34">
        <f t="shared" ca="1" si="217"/>
        <v>60670.444173591866</v>
      </c>
      <c r="AB282" s="34">
        <f t="shared" ca="1" si="217"/>
        <v>131801.30975642373</v>
      </c>
      <c r="AC282" s="15"/>
      <c r="AD282" s="34">
        <f t="shared" ca="1" si="218"/>
        <v>307942.51227190351</v>
      </c>
      <c r="AE282" s="34">
        <f t="shared" ca="1" si="218"/>
        <v>184294.99999999997</v>
      </c>
      <c r="AF282" s="34">
        <f t="shared" ca="1" si="218"/>
        <v>123647.51227190356</v>
      </c>
      <c r="AG282" s="15"/>
      <c r="AH282" s="273"/>
      <c r="AI282" s="267"/>
      <c r="AJ282" s="267"/>
      <c r="AK282" s="34">
        <f t="shared" ca="1" si="219"/>
        <v>95896.970881993358</v>
      </c>
      <c r="AL282" s="233"/>
    </row>
    <row r="283" spans="2:98" x14ac:dyDescent="0.3">
      <c r="B283" s="232"/>
      <c r="C283" s="250">
        <f t="shared" si="226"/>
        <v>2017</v>
      </c>
      <c r="D283" s="263">
        <f t="shared" ca="1" si="220"/>
        <v>104451.37204721614</v>
      </c>
      <c r="E283" s="263">
        <f t="shared" ca="1" si="220"/>
        <v>690.88810057340493</v>
      </c>
      <c r="F283" s="263">
        <f t="shared" ca="1" si="220"/>
        <v>0</v>
      </c>
      <c r="G283" s="263">
        <f t="shared" ca="1" si="220"/>
        <v>108596.70065065657</v>
      </c>
      <c r="H283" s="15"/>
      <c r="I283" s="35">
        <f t="shared" ca="1" si="221"/>
        <v>4.2</v>
      </c>
      <c r="J283" s="35">
        <f t="shared" ca="1" si="221"/>
        <v>82</v>
      </c>
      <c r="K283" s="35">
        <f t="shared" ca="1" si="221"/>
        <v>41</v>
      </c>
      <c r="L283" s="15"/>
      <c r="M283" s="35">
        <f t="shared" ca="1" si="222"/>
        <v>3.948</v>
      </c>
      <c r="N283" s="35">
        <f t="shared" ca="1" si="222"/>
        <v>76.260000000000005</v>
      </c>
      <c r="O283" s="35">
        <f t="shared" ca="1" si="222"/>
        <v>38.130000000000003</v>
      </c>
      <c r="P283" s="15"/>
      <c r="Q283" s="34">
        <f t="shared" ca="1" si="223"/>
        <v>412374.01684240927</v>
      </c>
      <c r="R283" s="34">
        <f t="shared" ca="1" si="223"/>
        <v>52687.126549727865</v>
      </c>
      <c r="S283" s="34">
        <f t="shared" ca="1" si="223"/>
        <v>0</v>
      </c>
      <c r="T283" s="34">
        <f t="shared" ca="1" si="223"/>
        <v>465061.14339213714</v>
      </c>
      <c r="U283" s="15"/>
      <c r="V283" s="35">
        <f t="shared" si="224"/>
        <v>0.31</v>
      </c>
      <c r="W283" s="34">
        <f t="shared" ca="1" si="216"/>
        <v>33664.977201703536</v>
      </c>
      <c r="X283" s="35">
        <f t="shared" si="224"/>
        <v>0.37</v>
      </c>
      <c r="Y283" s="34">
        <f t="shared" ca="1" si="216"/>
        <v>40180.779240742922</v>
      </c>
      <c r="Z283" s="35">
        <f t="shared" si="225"/>
        <v>0.57999999999999996</v>
      </c>
      <c r="AA283" s="34">
        <f t="shared" ca="1" si="217"/>
        <v>62986.086377380794</v>
      </c>
      <c r="AB283" s="34">
        <f t="shared" ca="1" si="217"/>
        <v>136831.84281982726</v>
      </c>
      <c r="AC283" s="15"/>
      <c r="AD283" s="34">
        <f t="shared" ca="1" si="218"/>
        <v>328229.30057230988</v>
      </c>
      <c r="AE283" s="34">
        <f t="shared" ca="1" si="218"/>
        <v>196184.99999999997</v>
      </c>
      <c r="AF283" s="34">
        <f t="shared" ca="1" si="218"/>
        <v>132044.3005723099</v>
      </c>
      <c r="AG283" s="15"/>
      <c r="AH283" s="273"/>
      <c r="AI283" s="267"/>
      <c r="AJ283" s="267"/>
      <c r="AK283" s="34">
        <f t="shared" ca="1" si="219"/>
        <v>93099.314145303768</v>
      </c>
      <c r="AL283" s="233"/>
    </row>
    <row r="284" spans="2:98" x14ac:dyDescent="0.3">
      <c r="B284" s="232"/>
      <c r="C284" s="250">
        <f t="shared" si="226"/>
        <v>2018</v>
      </c>
      <c r="D284" s="263">
        <f t="shared" ca="1" si="220"/>
        <v>111190.69521396626</v>
      </c>
      <c r="E284" s="263">
        <f t="shared" ca="1" si="220"/>
        <v>735.46499880430224</v>
      </c>
      <c r="F284" s="263">
        <f t="shared" ca="1" si="220"/>
        <v>0</v>
      </c>
      <c r="G284" s="263">
        <f t="shared" ca="1" si="220"/>
        <v>115603.48520679207</v>
      </c>
      <c r="H284" s="15"/>
      <c r="I284" s="35">
        <f t="shared" ca="1" si="221"/>
        <v>4.5</v>
      </c>
      <c r="J284" s="35">
        <f t="shared" ca="1" si="221"/>
        <v>80</v>
      </c>
      <c r="K284" s="35">
        <f t="shared" ca="1" si="221"/>
        <v>40</v>
      </c>
      <c r="L284" s="15"/>
      <c r="M284" s="35">
        <f t="shared" ca="1" si="222"/>
        <v>4.2299999999999995</v>
      </c>
      <c r="N284" s="35">
        <f t="shared" ca="1" si="222"/>
        <v>74.400000000000006</v>
      </c>
      <c r="O284" s="35">
        <f t="shared" ca="1" si="222"/>
        <v>37.200000000000003</v>
      </c>
      <c r="P284" s="15"/>
      <c r="Q284" s="34">
        <f t="shared" ca="1" si="223"/>
        <v>470336.64075507724</v>
      </c>
      <c r="R284" s="34">
        <f t="shared" ca="1" si="223"/>
        <v>54718.595911040087</v>
      </c>
      <c r="S284" s="34">
        <f t="shared" ca="1" si="223"/>
        <v>0</v>
      </c>
      <c r="T284" s="34">
        <f t="shared" ca="1" si="223"/>
        <v>525055.23666611733</v>
      </c>
      <c r="U284" s="15"/>
      <c r="V284" s="35">
        <f t="shared" si="224"/>
        <v>0.31</v>
      </c>
      <c r="W284" s="34">
        <f t="shared" ca="1" si="216"/>
        <v>35837.080414105541</v>
      </c>
      <c r="X284" s="35">
        <f t="shared" si="224"/>
        <v>0.37</v>
      </c>
      <c r="Y284" s="34">
        <f t="shared" ca="1" si="216"/>
        <v>42773.289526513072</v>
      </c>
      <c r="Z284" s="35">
        <f t="shared" si="225"/>
        <v>0.57999999999999996</v>
      </c>
      <c r="AA284" s="34">
        <f t="shared" ca="1" si="217"/>
        <v>67050.02141993941</v>
      </c>
      <c r="AB284" s="34">
        <f t="shared" ca="1" si="217"/>
        <v>145660.39136055802</v>
      </c>
      <c r="AC284" s="15"/>
      <c r="AD284" s="34">
        <f t="shared" ca="1" si="218"/>
        <v>379394.84530555934</v>
      </c>
      <c r="AE284" s="34">
        <f t="shared" ca="1" si="218"/>
        <v>208075</v>
      </c>
      <c r="AF284" s="34">
        <f t="shared" ca="1" si="218"/>
        <v>171319.84530555931</v>
      </c>
      <c r="AG284" s="15"/>
      <c r="AH284" s="273"/>
      <c r="AI284" s="267"/>
      <c r="AJ284" s="267"/>
      <c r="AK284" s="34">
        <f t="shared" ca="1" si="219"/>
        <v>109809.97925625402</v>
      </c>
      <c r="AL284" s="233"/>
    </row>
    <row r="285" spans="2:98" x14ac:dyDescent="0.3">
      <c r="B285" s="232"/>
      <c r="C285" s="250">
        <f t="shared" si="226"/>
        <v>2019</v>
      </c>
      <c r="D285" s="263">
        <f t="shared" ca="1" si="220"/>
        <v>116804.03899920626</v>
      </c>
      <c r="E285" s="263">
        <f t="shared" ca="1" si="220"/>
        <v>772.59416570406188</v>
      </c>
      <c r="F285" s="263">
        <f t="shared" ca="1" si="220"/>
        <v>0</v>
      </c>
      <c r="G285" s="263">
        <f t="shared" ca="1" si="220"/>
        <v>121439.60399343063</v>
      </c>
      <c r="H285" s="15"/>
      <c r="I285" s="35">
        <f t="shared" ca="1" si="221"/>
        <v>4.5</v>
      </c>
      <c r="J285" s="35">
        <f t="shared" ca="1" si="221"/>
        <v>80</v>
      </c>
      <c r="K285" s="35">
        <f t="shared" ca="1" si="221"/>
        <v>40</v>
      </c>
      <c r="L285" s="15"/>
      <c r="M285" s="35">
        <f t="shared" ca="1" si="222"/>
        <v>4.2299999999999995</v>
      </c>
      <c r="N285" s="35">
        <f t="shared" ca="1" si="222"/>
        <v>74.400000000000006</v>
      </c>
      <c r="O285" s="35">
        <f t="shared" ca="1" si="222"/>
        <v>37.200000000000003</v>
      </c>
      <c r="P285" s="15"/>
      <c r="Q285" s="34">
        <f t="shared" ca="1" si="223"/>
        <v>494081.08496664243</v>
      </c>
      <c r="R285" s="34">
        <f t="shared" ca="1" si="223"/>
        <v>57481.005928382212</v>
      </c>
      <c r="S285" s="34">
        <f t="shared" ca="1" si="223"/>
        <v>0</v>
      </c>
      <c r="T285" s="34">
        <f t="shared" ca="1" si="223"/>
        <v>551562.09089502459</v>
      </c>
      <c r="U285" s="15"/>
      <c r="V285" s="35">
        <f t="shared" si="224"/>
        <v>0.31</v>
      </c>
      <c r="W285" s="34">
        <f t="shared" ca="1" si="216"/>
        <v>37646.277237963499</v>
      </c>
      <c r="X285" s="35">
        <f t="shared" si="224"/>
        <v>0.37</v>
      </c>
      <c r="Y285" s="34">
        <f t="shared" ca="1" si="216"/>
        <v>44932.653477569336</v>
      </c>
      <c r="Z285" s="35">
        <f t="shared" si="225"/>
        <v>0.57999999999999996</v>
      </c>
      <c r="AA285" s="34">
        <f t="shared" ca="1" si="217"/>
        <v>70434.970316189763</v>
      </c>
      <c r="AB285" s="34">
        <f t="shared" ca="1" si="217"/>
        <v>153013.90103172261</v>
      </c>
      <c r="AC285" s="15"/>
      <c r="AD285" s="34">
        <f t="shared" ca="1" si="218"/>
        <v>398548.18986330205</v>
      </c>
      <c r="AE285" s="34">
        <f t="shared" ca="1" si="218"/>
        <v>208075</v>
      </c>
      <c r="AF285" s="34">
        <f t="shared" ca="1" si="218"/>
        <v>190473.18986330208</v>
      </c>
      <c r="AG285" s="15"/>
      <c r="AH285" s="273"/>
      <c r="AI285" s="267"/>
      <c r="AJ285" s="267"/>
      <c r="AK285" s="34">
        <f t="shared" ca="1" si="219"/>
        <v>110987.81606923608</v>
      </c>
      <c r="AL285" s="233"/>
    </row>
    <row r="286" spans="2:98" x14ac:dyDescent="0.3">
      <c r="B286" s="232"/>
      <c r="C286" s="250">
        <f t="shared" si="226"/>
        <v>2020</v>
      </c>
      <c r="D286" s="263">
        <f t="shared" ca="1" si="220"/>
        <v>122062.08330014141</v>
      </c>
      <c r="E286" s="263">
        <f t="shared" ca="1" si="220"/>
        <v>807.37322287299776</v>
      </c>
      <c r="F286" s="263">
        <f t="shared" ca="1" si="220"/>
        <v>0</v>
      </c>
      <c r="G286" s="263">
        <f t="shared" ca="1" si="220"/>
        <v>126906.3226373794</v>
      </c>
      <c r="H286" s="15"/>
      <c r="I286" s="35">
        <f t="shared" ca="1" si="221"/>
        <v>4.5</v>
      </c>
      <c r="J286" s="35">
        <f t="shared" ca="1" si="221"/>
        <v>80</v>
      </c>
      <c r="K286" s="35">
        <f t="shared" ca="1" si="221"/>
        <v>40</v>
      </c>
      <c r="L286" s="15"/>
      <c r="M286" s="35">
        <f t="shared" ca="1" si="222"/>
        <v>4.2299999999999995</v>
      </c>
      <c r="N286" s="35">
        <f t="shared" ca="1" si="222"/>
        <v>74.400000000000006</v>
      </c>
      <c r="O286" s="35">
        <f t="shared" ca="1" si="222"/>
        <v>37.200000000000003</v>
      </c>
      <c r="P286" s="15"/>
      <c r="Q286" s="34">
        <f t="shared" ca="1" si="223"/>
        <v>516322.6123595981</v>
      </c>
      <c r="R286" s="34">
        <f t="shared" ca="1" si="223"/>
        <v>60068.56778175103</v>
      </c>
      <c r="S286" s="34">
        <f t="shared" ca="1" si="223"/>
        <v>0</v>
      </c>
      <c r="T286" s="34">
        <f t="shared" ca="1" si="223"/>
        <v>576391.18014134909</v>
      </c>
      <c r="U286" s="15"/>
      <c r="V286" s="35">
        <f t="shared" si="224"/>
        <v>0.31</v>
      </c>
      <c r="W286" s="34">
        <f t="shared" ca="1" si="216"/>
        <v>39340.960017587611</v>
      </c>
      <c r="X286" s="35">
        <f t="shared" si="224"/>
        <v>0.37</v>
      </c>
      <c r="Y286" s="34">
        <f t="shared" ca="1" si="216"/>
        <v>46955.339375830379</v>
      </c>
      <c r="Z286" s="35">
        <f t="shared" si="225"/>
        <v>0.57999999999999996</v>
      </c>
      <c r="AA286" s="34">
        <f t="shared" ca="1" si="217"/>
        <v>73605.667129680049</v>
      </c>
      <c r="AB286" s="34">
        <f t="shared" ca="1" si="217"/>
        <v>159901.96652309806</v>
      </c>
      <c r="AC286" s="15"/>
      <c r="AD286" s="34">
        <f t="shared" ca="1" si="218"/>
        <v>416489.21361825109</v>
      </c>
      <c r="AE286" s="34">
        <f t="shared" ca="1" si="218"/>
        <v>208075</v>
      </c>
      <c r="AF286" s="34">
        <f t="shared" ca="1" si="218"/>
        <v>208414.21361825109</v>
      </c>
      <c r="AG286" s="15"/>
      <c r="AH286" s="273"/>
      <c r="AI286" s="267"/>
      <c r="AJ286" s="267"/>
      <c r="AK286" s="34">
        <f t="shared" ca="1" si="219"/>
        <v>110401.78612718906</v>
      </c>
      <c r="AL286" s="233"/>
    </row>
    <row r="287" spans="2:98" x14ac:dyDescent="0.3">
      <c r="B287" s="232"/>
      <c r="C287" s="250">
        <f t="shared" si="226"/>
        <v>2021</v>
      </c>
      <c r="D287" s="263">
        <f t="shared" ca="1" si="220"/>
        <v>127030.97474556198</v>
      </c>
      <c r="E287" s="263">
        <f t="shared" ca="1" si="220"/>
        <v>840.23969370432599</v>
      </c>
      <c r="F287" s="263">
        <f t="shared" ca="1" si="220"/>
        <v>0</v>
      </c>
      <c r="G287" s="263">
        <f t="shared" ca="1" si="220"/>
        <v>132072.41290778795</v>
      </c>
      <c r="H287" s="15"/>
      <c r="I287" s="35">
        <f t="shared" ca="1" si="221"/>
        <v>4.5</v>
      </c>
      <c r="J287" s="35">
        <f t="shared" ca="1" si="221"/>
        <v>80</v>
      </c>
      <c r="K287" s="35">
        <f t="shared" ca="1" si="221"/>
        <v>40</v>
      </c>
      <c r="L287" s="15"/>
      <c r="M287" s="35">
        <f t="shared" ca="1" si="222"/>
        <v>4.2299999999999995</v>
      </c>
      <c r="N287" s="35">
        <f t="shared" ca="1" si="222"/>
        <v>74.400000000000006</v>
      </c>
      <c r="O287" s="35">
        <f t="shared" ca="1" si="222"/>
        <v>37.200000000000003</v>
      </c>
      <c r="P287" s="15"/>
      <c r="Q287" s="34">
        <f t="shared" ca="1" si="223"/>
        <v>537341.0231737271</v>
      </c>
      <c r="R287" s="34">
        <f t="shared" ca="1" si="223"/>
        <v>62513.833211601857</v>
      </c>
      <c r="S287" s="34">
        <f t="shared" ca="1" si="223"/>
        <v>0</v>
      </c>
      <c r="T287" s="34">
        <f t="shared" ca="1" si="223"/>
        <v>599854.85638532892</v>
      </c>
      <c r="U287" s="15"/>
      <c r="V287" s="35">
        <f t="shared" si="224"/>
        <v>0.31</v>
      </c>
      <c r="W287" s="34">
        <f t="shared" ca="1" si="216"/>
        <v>40942.448001414261</v>
      </c>
      <c r="X287" s="35">
        <f t="shared" si="224"/>
        <v>0.37</v>
      </c>
      <c r="Y287" s="34">
        <f t="shared" ca="1" si="216"/>
        <v>48866.792775881535</v>
      </c>
      <c r="Z287" s="35">
        <f t="shared" si="225"/>
        <v>0.57999999999999996</v>
      </c>
      <c r="AA287" s="34">
        <f t="shared" ca="1" si="217"/>
        <v>76601.999486517001</v>
      </c>
      <c r="AB287" s="34">
        <f t="shared" ca="1" si="217"/>
        <v>166411.2402638128</v>
      </c>
      <c r="AC287" s="15"/>
      <c r="AD287" s="34">
        <f t="shared" ca="1" si="218"/>
        <v>433443.61612151616</v>
      </c>
      <c r="AE287" s="34">
        <f t="shared" ca="1" si="218"/>
        <v>208075</v>
      </c>
      <c r="AF287" s="34">
        <f t="shared" ca="1" si="218"/>
        <v>225368.61612151616</v>
      </c>
      <c r="AG287" s="15"/>
      <c r="AH287" s="273"/>
      <c r="AI287" s="267"/>
      <c r="AJ287" s="267"/>
      <c r="AK287" s="34">
        <f t="shared" ca="1" si="219"/>
        <v>108529.92886735595</v>
      </c>
      <c r="AL287" s="233"/>
    </row>
    <row r="288" spans="2:98" x14ac:dyDescent="0.3">
      <c r="B288" s="232"/>
      <c r="C288" s="250">
        <f t="shared" si="226"/>
        <v>2022</v>
      </c>
      <c r="D288" s="263">
        <f t="shared" ca="1" si="220"/>
        <v>131741.91518205492</v>
      </c>
      <c r="E288" s="263">
        <f t="shared" ca="1" si="220"/>
        <v>871.39996116937925</v>
      </c>
      <c r="F288" s="263">
        <f t="shared" ca="1" si="220"/>
        <v>0</v>
      </c>
      <c r="G288" s="263">
        <f t="shared" ca="1" si="220"/>
        <v>136970.31494907118</v>
      </c>
      <c r="H288" s="15"/>
      <c r="I288" s="35">
        <f t="shared" ca="1" si="221"/>
        <v>4.5</v>
      </c>
      <c r="J288" s="35">
        <f t="shared" ca="1" si="221"/>
        <v>80</v>
      </c>
      <c r="K288" s="35">
        <f t="shared" ca="1" si="221"/>
        <v>40</v>
      </c>
      <c r="L288" s="15"/>
      <c r="M288" s="35">
        <f t="shared" ca="1" si="222"/>
        <v>4.2299999999999995</v>
      </c>
      <c r="N288" s="35">
        <f t="shared" ca="1" si="222"/>
        <v>74.400000000000006</v>
      </c>
      <c r="O288" s="35">
        <f t="shared" ca="1" si="222"/>
        <v>37.200000000000003</v>
      </c>
      <c r="P288" s="15"/>
      <c r="Q288" s="34">
        <f t="shared" ca="1" si="223"/>
        <v>557268.30122009222</v>
      </c>
      <c r="R288" s="34">
        <f t="shared" ca="1" si="223"/>
        <v>64832.157111001827</v>
      </c>
      <c r="S288" s="34">
        <f t="shared" ca="1" si="223"/>
        <v>0</v>
      </c>
      <c r="T288" s="34">
        <f t="shared" ca="1" si="223"/>
        <v>622100.45833109401</v>
      </c>
      <c r="U288" s="15"/>
      <c r="V288" s="35">
        <f t="shared" si="224"/>
        <v>0.31</v>
      </c>
      <c r="W288" s="34">
        <f t="shared" ca="1" si="216"/>
        <v>42460.797634212067</v>
      </c>
      <c r="X288" s="35">
        <f t="shared" si="224"/>
        <v>0.37</v>
      </c>
      <c r="Y288" s="34">
        <f t="shared" ca="1" si="216"/>
        <v>50679.01653115634</v>
      </c>
      <c r="Z288" s="35">
        <f t="shared" si="225"/>
        <v>0.57999999999999996</v>
      </c>
      <c r="AA288" s="34">
        <f t="shared" ca="1" si="217"/>
        <v>79442.782670461282</v>
      </c>
      <c r="AB288" s="34">
        <f t="shared" ca="1" si="217"/>
        <v>172582.5968358297</v>
      </c>
      <c r="AC288" s="15"/>
      <c r="AD288" s="34">
        <f t="shared" ca="1" si="218"/>
        <v>449517.86149526428</v>
      </c>
      <c r="AE288" s="34">
        <f t="shared" ca="1" si="218"/>
        <v>208075</v>
      </c>
      <c r="AF288" s="34">
        <f t="shared" ca="1" si="218"/>
        <v>241442.86149526428</v>
      </c>
      <c r="AG288" s="15"/>
      <c r="AH288" s="273"/>
      <c r="AI288" s="267"/>
      <c r="AJ288" s="267"/>
      <c r="AK288" s="34">
        <f t="shared" ca="1" si="219"/>
        <v>105700.67601234454</v>
      </c>
      <c r="AL288" s="233"/>
    </row>
    <row r="289" spans="2:38" x14ac:dyDescent="0.3">
      <c r="B289" s="232"/>
      <c r="C289" s="250">
        <f t="shared" si="226"/>
        <v>2023</v>
      </c>
      <c r="D289" s="263">
        <f t="shared" ca="1" si="220"/>
        <v>136220.52540015933</v>
      </c>
      <c r="E289" s="263">
        <f t="shared" ca="1" si="220"/>
        <v>901.02349263812914</v>
      </c>
      <c r="F289" s="263">
        <f t="shared" ca="1" si="220"/>
        <v>0</v>
      </c>
      <c r="G289" s="263">
        <f t="shared" ca="1" si="220"/>
        <v>141626.6663559881</v>
      </c>
      <c r="H289" s="15"/>
      <c r="I289" s="35">
        <f t="shared" ca="1" si="221"/>
        <v>4.5</v>
      </c>
      <c r="J289" s="35">
        <f t="shared" ca="1" si="221"/>
        <v>80</v>
      </c>
      <c r="K289" s="35">
        <f t="shared" ca="1" si="221"/>
        <v>40</v>
      </c>
      <c r="L289" s="15"/>
      <c r="M289" s="35">
        <f t="shared" ca="1" si="222"/>
        <v>4.2299999999999995</v>
      </c>
      <c r="N289" s="35">
        <f t="shared" ca="1" si="222"/>
        <v>74.400000000000006</v>
      </c>
      <c r="O289" s="35">
        <f t="shared" ca="1" si="222"/>
        <v>37.200000000000003</v>
      </c>
      <c r="P289" s="15"/>
      <c r="Q289" s="34">
        <f t="shared" ca="1" si="223"/>
        <v>576212.82244267385</v>
      </c>
      <c r="R289" s="34">
        <f t="shared" ca="1" si="223"/>
        <v>67036.147852276816</v>
      </c>
      <c r="S289" s="34">
        <f t="shared" ca="1" si="223"/>
        <v>0</v>
      </c>
      <c r="T289" s="34">
        <f t="shared" ca="1" si="223"/>
        <v>643248.97029495076</v>
      </c>
      <c r="U289" s="15"/>
      <c r="V289" s="35">
        <f t="shared" si="224"/>
        <v>0.31</v>
      </c>
      <c r="W289" s="34">
        <f t="shared" ca="1" si="216"/>
        <v>43904.266570356311</v>
      </c>
      <c r="X289" s="35">
        <f t="shared" si="224"/>
        <v>0.37</v>
      </c>
      <c r="Y289" s="34">
        <f t="shared" ca="1" si="216"/>
        <v>52401.86655171559</v>
      </c>
      <c r="Z289" s="35">
        <f t="shared" si="225"/>
        <v>0.57999999999999996</v>
      </c>
      <c r="AA289" s="34">
        <f t="shared" ca="1" si="217"/>
        <v>82143.466486473088</v>
      </c>
      <c r="AB289" s="34">
        <f t="shared" ca="1" si="217"/>
        <v>178449.59960854502</v>
      </c>
      <c r="AC289" s="15"/>
      <c r="AD289" s="34">
        <f t="shared" ca="1" si="218"/>
        <v>464799.37068640575</v>
      </c>
      <c r="AE289" s="34">
        <f t="shared" ca="1" si="218"/>
        <v>208075</v>
      </c>
      <c r="AF289" s="34">
        <f t="shared" ca="1" si="218"/>
        <v>256724.37068640575</v>
      </c>
      <c r="AG289" s="15"/>
      <c r="AH289" s="273"/>
      <c r="AI289" s="267"/>
      <c r="AJ289" s="267"/>
      <c r="AK289" s="34">
        <f t="shared" ca="1" si="219"/>
        <v>102173.39118642049</v>
      </c>
      <c r="AL289" s="233"/>
    </row>
    <row r="290" spans="2:38" x14ac:dyDescent="0.3">
      <c r="B290" s="232"/>
      <c r="C290" s="250">
        <f t="shared" si="226"/>
        <v>2024</v>
      </c>
      <c r="D290" s="263">
        <f t="shared" ca="1" si="220"/>
        <v>140489.63368291379</v>
      </c>
      <c r="E290" s="263">
        <f t="shared" ca="1" si="220"/>
        <v>929.26128458672258</v>
      </c>
      <c r="F290" s="263">
        <f t="shared" ca="1" si="220"/>
        <v>0</v>
      </c>
      <c r="G290" s="263">
        <f t="shared" ca="1" si="220"/>
        <v>146065.20139043411</v>
      </c>
      <c r="H290" s="15"/>
      <c r="I290" s="35">
        <f t="shared" ca="1" si="221"/>
        <v>4.5</v>
      </c>
      <c r="J290" s="35">
        <f t="shared" ca="1" si="221"/>
        <v>80</v>
      </c>
      <c r="K290" s="35">
        <f t="shared" ca="1" si="221"/>
        <v>40</v>
      </c>
      <c r="L290" s="15"/>
      <c r="M290" s="35">
        <f t="shared" ca="1" si="222"/>
        <v>4.2299999999999995</v>
      </c>
      <c r="N290" s="35">
        <f t="shared" ca="1" si="222"/>
        <v>74.400000000000006</v>
      </c>
      <c r="O290" s="35">
        <f t="shared" ca="1" si="222"/>
        <v>37.200000000000003</v>
      </c>
      <c r="P290" s="15"/>
      <c r="Q290" s="34">
        <f t="shared" ca="1" si="223"/>
        <v>594271.15047872521</v>
      </c>
      <c r="R290" s="34">
        <f t="shared" ca="1" si="223"/>
        <v>69137.039573252172</v>
      </c>
      <c r="S290" s="34">
        <f t="shared" ca="1" si="223"/>
        <v>0</v>
      </c>
      <c r="T290" s="34">
        <f t="shared" ca="1" si="223"/>
        <v>663408.19005197741</v>
      </c>
      <c r="U290" s="15"/>
      <c r="V290" s="35">
        <f t="shared" si="224"/>
        <v>0.31</v>
      </c>
      <c r="W290" s="34">
        <f t="shared" ca="1" si="216"/>
        <v>45280.212431034583</v>
      </c>
      <c r="X290" s="35">
        <f t="shared" si="224"/>
        <v>0.37</v>
      </c>
      <c r="Y290" s="34">
        <f t="shared" ca="1" si="216"/>
        <v>54044.124514460622</v>
      </c>
      <c r="Z290" s="35">
        <f t="shared" si="225"/>
        <v>0.57999999999999996</v>
      </c>
      <c r="AA290" s="34">
        <f t="shared" ca="1" si="217"/>
        <v>84717.816806451781</v>
      </c>
      <c r="AB290" s="34">
        <f t="shared" ca="1" si="217"/>
        <v>184042.15375194699</v>
      </c>
      <c r="AC290" s="15"/>
      <c r="AD290" s="34">
        <f t="shared" ca="1" si="218"/>
        <v>479366.03630003042</v>
      </c>
      <c r="AE290" s="34">
        <f t="shared" ca="1" si="218"/>
        <v>208075</v>
      </c>
      <c r="AF290" s="34">
        <f t="shared" ca="1" si="218"/>
        <v>271291.03630003042</v>
      </c>
      <c r="AG290" s="15"/>
      <c r="AH290" s="273"/>
      <c r="AI290" s="267"/>
      <c r="AJ290" s="267"/>
      <c r="AK290" s="34">
        <f t="shared" ca="1" si="219"/>
        <v>98155.235526939447</v>
      </c>
      <c r="AL290" s="233"/>
    </row>
    <row r="291" spans="2:38" x14ac:dyDescent="0.3">
      <c r="B291" s="232"/>
      <c r="C291" s="250">
        <f t="shared" si="226"/>
        <v>2025</v>
      </c>
      <c r="D291" s="263">
        <f t="shared" ca="1" si="220"/>
        <v>144569.52418560296</v>
      </c>
      <c r="E291" s="263">
        <f t="shared" ca="1" si="220"/>
        <v>956.24750549223859</v>
      </c>
      <c r="F291" s="263">
        <f t="shared" ca="1" si="220"/>
        <v>0</v>
      </c>
      <c r="G291" s="263">
        <f t="shared" ca="1" si="220"/>
        <v>150307.0092185564</v>
      </c>
      <c r="H291" s="15"/>
      <c r="I291" s="35">
        <f t="shared" ca="1" si="221"/>
        <v>4.5</v>
      </c>
      <c r="J291" s="35">
        <f t="shared" ca="1" si="221"/>
        <v>80</v>
      </c>
      <c r="K291" s="35">
        <f t="shared" ca="1" si="221"/>
        <v>40</v>
      </c>
      <c r="L291" s="15"/>
      <c r="M291" s="35">
        <f t="shared" ca="1" si="222"/>
        <v>4.2299999999999995</v>
      </c>
      <c r="N291" s="35">
        <f t="shared" ca="1" si="222"/>
        <v>74.400000000000006</v>
      </c>
      <c r="O291" s="35">
        <f t="shared" ca="1" si="222"/>
        <v>37.200000000000003</v>
      </c>
      <c r="P291" s="15"/>
      <c r="Q291" s="34">
        <f t="shared" ca="1" si="223"/>
        <v>611529.08730510052</v>
      </c>
      <c r="R291" s="34">
        <f t="shared" ca="1" si="223"/>
        <v>71144.814408622566</v>
      </c>
      <c r="S291" s="34">
        <f t="shared" ca="1" si="223"/>
        <v>0</v>
      </c>
      <c r="T291" s="34">
        <f t="shared" ca="1" si="223"/>
        <v>682673.90171372308</v>
      </c>
      <c r="U291" s="15"/>
      <c r="V291" s="35">
        <f t="shared" si="224"/>
        <v>0.31</v>
      </c>
      <c r="W291" s="34">
        <f t="shared" ca="1" si="216"/>
        <v>46595.172857752485</v>
      </c>
      <c r="X291" s="35">
        <f t="shared" si="224"/>
        <v>0.37</v>
      </c>
      <c r="Y291" s="34">
        <f t="shared" ca="1" si="216"/>
        <v>55613.593410865877</v>
      </c>
      <c r="Z291" s="35">
        <f t="shared" si="225"/>
        <v>0.57999999999999996</v>
      </c>
      <c r="AA291" s="34">
        <f t="shared" ca="1" si="217"/>
        <v>87178.065346762713</v>
      </c>
      <c r="AB291" s="34">
        <f t="shared" ca="1" si="217"/>
        <v>189386.83161538109</v>
      </c>
      <c r="AC291" s="15"/>
      <c r="AD291" s="34">
        <f t="shared" ca="1" si="218"/>
        <v>493287.07009834197</v>
      </c>
      <c r="AE291" s="34">
        <f t="shared" ca="1" si="218"/>
        <v>208075</v>
      </c>
      <c r="AF291" s="34">
        <f t="shared" ca="1" si="218"/>
        <v>285212.07009834197</v>
      </c>
      <c r="AG291" s="15"/>
      <c r="AH291" s="273"/>
      <c r="AI291" s="267"/>
      <c r="AJ291" s="267"/>
      <c r="AK291" s="34">
        <f t="shared" ca="1" si="219"/>
        <v>93810.886631821617</v>
      </c>
      <c r="AL291" s="233"/>
    </row>
    <row r="292" spans="2:38" x14ac:dyDescent="0.3">
      <c r="B292" s="232"/>
      <c r="C292" s="250">
        <f t="shared" si="226"/>
        <v>2026</v>
      </c>
      <c r="D292" s="263">
        <f t="shared" ca="1" si="220"/>
        <v>148478.06715286491</v>
      </c>
      <c r="E292" s="263">
        <f t="shared" ca="1" si="220"/>
        <v>982.10035714688672</v>
      </c>
      <c r="F292" s="263">
        <f t="shared" ca="1" si="220"/>
        <v>0</v>
      </c>
      <c r="G292" s="263">
        <f t="shared" ca="1" si="220"/>
        <v>154370.66929574622</v>
      </c>
      <c r="H292" s="15"/>
      <c r="I292" s="35">
        <f t="shared" ca="1" si="221"/>
        <v>4.5</v>
      </c>
      <c r="J292" s="35">
        <f t="shared" ca="1" si="221"/>
        <v>80</v>
      </c>
      <c r="K292" s="35">
        <f t="shared" ca="1" si="221"/>
        <v>40</v>
      </c>
      <c r="L292" s="15"/>
      <c r="M292" s="35">
        <f t="shared" ca="1" si="222"/>
        <v>4.2299999999999995</v>
      </c>
      <c r="N292" s="35">
        <f t="shared" ca="1" si="222"/>
        <v>74.400000000000006</v>
      </c>
      <c r="O292" s="35">
        <f t="shared" ca="1" si="222"/>
        <v>37.200000000000003</v>
      </c>
      <c r="P292" s="15"/>
      <c r="Q292" s="34">
        <f t="shared" ca="1" si="223"/>
        <v>628062.22405661852</v>
      </c>
      <c r="R292" s="34">
        <f t="shared" ca="1" si="223"/>
        <v>73068.266571728367</v>
      </c>
      <c r="S292" s="34">
        <f t="shared" ca="1" si="223"/>
        <v>0</v>
      </c>
      <c r="T292" s="34">
        <f t="shared" ca="1" si="223"/>
        <v>701130.49062834692</v>
      </c>
      <c r="U292" s="15"/>
      <c r="V292" s="35">
        <f t="shared" si="224"/>
        <v>0.31</v>
      </c>
      <c r="W292" s="34">
        <f t="shared" ca="1" si="216"/>
        <v>47854.90748168133</v>
      </c>
      <c r="X292" s="35">
        <f t="shared" si="224"/>
        <v>0.37</v>
      </c>
      <c r="Y292" s="34">
        <f t="shared" ca="1" si="216"/>
        <v>57117.147639426097</v>
      </c>
      <c r="Z292" s="35">
        <f t="shared" si="225"/>
        <v>0.57999999999999996</v>
      </c>
      <c r="AA292" s="34">
        <f t="shared" ca="1" si="217"/>
        <v>89534.988191532815</v>
      </c>
      <c r="AB292" s="34">
        <f t="shared" ca="1" si="217"/>
        <v>194507.04331264025</v>
      </c>
      <c r="AC292" s="15"/>
      <c r="AD292" s="34">
        <f t="shared" ca="1" si="218"/>
        <v>506623.4473157067</v>
      </c>
      <c r="AE292" s="34">
        <f t="shared" ca="1" si="218"/>
        <v>208075</v>
      </c>
      <c r="AF292" s="34">
        <f t="shared" ca="1" si="218"/>
        <v>298548.4473157067</v>
      </c>
      <c r="AG292" s="15"/>
      <c r="AH292" s="273"/>
      <c r="AI292" s="267"/>
      <c r="AJ292" s="267"/>
      <c r="AK292" s="34">
        <f t="shared" ca="1" si="219"/>
        <v>89270.398101834755</v>
      </c>
      <c r="AL292" s="233"/>
    </row>
    <row r="293" spans="2:38" x14ac:dyDescent="0.3">
      <c r="B293" s="232"/>
      <c r="C293" s="250">
        <f t="shared" si="226"/>
        <v>2027</v>
      </c>
      <c r="D293" s="263">
        <f t="shared" ca="1" si="220"/>
        <v>152230.9344047909</v>
      </c>
      <c r="E293" s="263">
        <f t="shared" ca="1" si="220"/>
        <v>1006.9234999794693</v>
      </c>
      <c r="F293" s="263">
        <f t="shared" ca="1" si="220"/>
        <v>0</v>
      </c>
      <c r="G293" s="263">
        <f t="shared" ca="1" si="220"/>
        <v>158272.4754046677</v>
      </c>
      <c r="H293" s="15"/>
      <c r="I293" s="35">
        <f t="shared" ca="1" si="221"/>
        <v>4.5</v>
      </c>
      <c r="J293" s="35">
        <f t="shared" ca="1" si="221"/>
        <v>80</v>
      </c>
      <c r="K293" s="35">
        <f t="shared" ca="1" si="221"/>
        <v>40</v>
      </c>
      <c r="L293" s="15"/>
      <c r="M293" s="35">
        <f t="shared" ca="1" si="222"/>
        <v>4.2299999999999995</v>
      </c>
      <c r="N293" s="35">
        <f t="shared" ca="1" si="222"/>
        <v>74.400000000000006</v>
      </c>
      <c r="O293" s="35">
        <f t="shared" ca="1" si="222"/>
        <v>37.200000000000003</v>
      </c>
      <c r="P293" s="15"/>
      <c r="Q293" s="34">
        <f t="shared" ca="1" si="223"/>
        <v>643936.85253226536</v>
      </c>
      <c r="R293" s="34">
        <f t="shared" ca="1" si="223"/>
        <v>74915.108398472512</v>
      </c>
      <c r="S293" s="34">
        <f t="shared" ca="1" si="223"/>
        <v>0</v>
      </c>
      <c r="T293" s="34">
        <f t="shared" ca="1" si="223"/>
        <v>718851.9609307379</v>
      </c>
      <c r="U293" s="15"/>
      <c r="V293" s="35">
        <f t="shared" si="224"/>
        <v>0.31</v>
      </c>
      <c r="W293" s="34">
        <f t="shared" ca="1" si="216"/>
        <v>49064.467375446984</v>
      </c>
      <c r="X293" s="35">
        <f t="shared" si="224"/>
        <v>0.37</v>
      </c>
      <c r="Y293" s="34">
        <f t="shared" ca="1" si="216"/>
        <v>58560.815899727044</v>
      </c>
      <c r="Z293" s="35">
        <f t="shared" si="225"/>
        <v>0.57999999999999996</v>
      </c>
      <c r="AA293" s="34">
        <f t="shared" ca="1" si="217"/>
        <v>91798.035734707257</v>
      </c>
      <c r="AB293" s="34">
        <f t="shared" ca="1" si="217"/>
        <v>199423.31900988129</v>
      </c>
      <c r="AC293" s="15"/>
      <c r="AD293" s="34">
        <f t="shared" ca="1" si="218"/>
        <v>519428.64192085655</v>
      </c>
      <c r="AE293" s="34">
        <f t="shared" ca="1" si="218"/>
        <v>208075</v>
      </c>
      <c r="AF293" s="34">
        <f t="shared" ca="1" si="218"/>
        <v>311353.64192085655</v>
      </c>
      <c r="AG293" s="15"/>
      <c r="AH293" s="273"/>
      <c r="AI293" s="267"/>
      <c r="AJ293" s="267"/>
      <c r="AK293" s="34">
        <f t="shared" ca="1" si="219"/>
        <v>84635.76412848389</v>
      </c>
      <c r="AL293" s="233"/>
    </row>
    <row r="294" spans="2:38" x14ac:dyDescent="0.3">
      <c r="B294" s="232"/>
      <c r="C294" s="250">
        <f t="shared" si="226"/>
        <v>2028</v>
      </c>
      <c r="D294" s="263">
        <f t="shared" ca="1" si="220"/>
        <v>155841.85526800534</v>
      </c>
      <c r="E294" s="263">
        <f t="shared" ca="1" si="220"/>
        <v>1030.8077458980331</v>
      </c>
      <c r="F294" s="263">
        <f t="shared" ca="1" si="220"/>
        <v>0</v>
      </c>
      <c r="G294" s="263">
        <f t="shared" ca="1" si="220"/>
        <v>162026.70174339353</v>
      </c>
      <c r="H294" s="15"/>
      <c r="I294" s="35">
        <f t="shared" ca="1" si="221"/>
        <v>4.5</v>
      </c>
      <c r="J294" s="35">
        <f t="shared" ca="1" si="221"/>
        <v>80</v>
      </c>
      <c r="K294" s="35">
        <f t="shared" ca="1" si="221"/>
        <v>40</v>
      </c>
      <c r="L294" s="15"/>
      <c r="M294" s="35">
        <f t="shared" ca="1" si="222"/>
        <v>4.2299999999999995</v>
      </c>
      <c r="N294" s="35">
        <f t="shared" ca="1" si="222"/>
        <v>74.400000000000006</v>
      </c>
      <c r="O294" s="35">
        <f t="shared" ca="1" si="222"/>
        <v>37.200000000000003</v>
      </c>
      <c r="P294" s="15"/>
      <c r="Q294" s="34">
        <f t="shared" ca="1" si="223"/>
        <v>659211.04778366257</v>
      </c>
      <c r="R294" s="34">
        <f t="shared" ca="1" si="223"/>
        <v>76692.096294813673</v>
      </c>
      <c r="S294" s="34">
        <f t="shared" ca="1" si="223"/>
        <v>0</v>
      </c>
      <c r="T294" s="34">
        <f t="shared" ca="1" si="223"/>
        <v>735903.14407847624</v>
      </c>
      <c r="U294" s="15"/>
      <c r="V294" s="35">
        <f t="shared" si="224"/>
        <v>0.31</v>
      </c>
      <c r="W294" s="34">
        <f t="shared" ca="1" si="216"/>
        <v>50228.277540451993</v>
      </c>
      <c r="X294" s="35">
        <f t="shared" si="224"/>
        <v>0.37</v>
      </c>
      <c r="Y294" s="34">
        <f t="shared" ca="1" si="216"/>
        <v>59949.879645055596</v>
      </c>
      <c r="Z294" s="35">
        <f t="shared" si="225"/>
        <v>0.57999999999999996</v>
      </c>
      <c r="AA294" s="34">
        <f t="shared" ca="1" si="217"/>
        <v>93975.487011168239</v>
      </c>
      <c r="AB294" s="34">
        <f t="shared" ca="1" si="217"/>
        <v>204153.6441966758</v>
      </c>
      <c r="AC294" s="15"/>
      <c r="AD294" s="34">
        <f t="shared" ca="1" si="218"/>
        <v>531749.49988180038</v>
      </c>
      <c r="AE294" s="34">
        <f t="shared" ca="1" si="218"/>
        <v>208075</v>
      </c>
      <c r="AF294" s="34">
        <f t="shared" ca="1" si="218"/>
        <v>323674.49988180044</v>
      </c>
      <c r="AG294" s="15"/>
      <c r="AH294" s="273"/>
      <c r="AI294" s="267"/>
      <c r="AJ294" s="267"/>
      <c r="AK294" s="34">
        <f t="shared" ca="1" si="219"/>
        <v>79986.329889278859</v>
      </c>
      <c r="AL294" s="233"/>
    </row>
    <row r="295" spans="2:38" x14ac:dyDescent="0.3">
      <c r="B295" s="232"/>
      <c r="C295" s="250">
        <f t="shared" si="226"/>
        <v>2029</v>
      </c>
      <c r="D295" s="263">
        <f t="shared" ca="1" si="220"/>
        <v>159321.86335402666</v>
      </c>
      <c r="E295" s="263">
        <f t="shared" ca="1" si="220"/>
        <v>1053.8260761449974</v>
      </c>
      <c r="F295" s="263">
        <f t="shared" ca="1" si="220"/>
        <v>0</v>
      </c>
      <c r="G295" s="263">
        <f t="shared" ca="1" si="220"/>
        <v>165644.81981089665</v>
      </c>
      <c r="H295" s="15"/>
      <c r="I295" s="35">
        <f t="shared" ca="1" si="221"/>
        <v>4.5</v>
      </c>
      <c r="J295" s="35">
        <f t="shared" ca="1" si="221"/>
        <v>80</v>
      </c>
      <c r="K295" s="35">
        <f t="shared" ca="1" si="221"/>
        <v>40</v>
      </c>
      <c r="L295" s="15"/>
      <c r="M295" s="35">
        <f t="shared" ca="1" si="222"/>
        <v>4.2299999999999995</v>
      </c>
      <c r="N295" s="35">
        <f t="shared" ca="1" si="222"/>
        <v>74.400000000000006</v>
      </c>
      <c r="O295" s="35">
        <f t="shared" ca="1" si="222"/>
        <v>37.200000000000003</v>
      </c>
      <c r="P295" s="15"/>
      <c r="Q295" s="34">
        <f t="shared" ca="1" si="223"/>
        <v>673931.48198753269</v>
      </c>
      <c r="R295" s="34">
        <f t="shared" ca="1" si="223"/>
        <v>78404.660065187811</v>
      </c>
      <c r="S295" s="34">
        <f t="shared" ca="1" si="223"/>
        <v>0</v>
      </c>
      <c r="T295" s="34">
        <f t="shared" ca="1" si="223"/>
        <v>752336.14205272042</v>
      </c>
      <c r="U295" s="15"/>
      <c r="V295" s="35">
        <f t="shared" si="224"/>
        <v>0.31</v>
      </c>
      <c r="W295" s="34">
        <f t="shared" ref="W295:Y310" ca="1" si="227">+W45+W95+W145+W195+W245</f>
        <v>51349.894141377961</v>
      </c>
      <c r="X295" s="35">
        <f t="shared" si="224"/>
        <v>0.37</v>
      </c>
      <c r="Y295" s="34">
        <f t="shared" ca="1" si="227"/>
        <v>61288.583330031761</v>
      </c>
      <c r="Z295" s="35">
        <f t="shared" si="225"/>
        <v>0.57999999999999996</v>
      </c>
      <c r="AA295" s="34">
        <f t="shared" ref="AA295:AB310" ca="1" si="228">+AA45+AA95+AA145+AA195+AA245</f>
        <v>96073.995490320056</v>
      </c>
      <c r="AB295" s="34">
        <f t="shared" ca="1" si="228"/>
        <v>208712.47296172977</v>
      </c>
      <c r="AC295" s="15"/>
      <c r="AD295" s="34">
        <f t="shared" ref="AD295:AF310" ca="1" si="229">+AD45+AD95+AD145+AD195+AD245</f>
        <v>543623.66909099068</v>
      </c>
      <c r="AE295" s="34">
        <f t="shared" ca="1" si="229"/>
        <v>208075</v>
      </c>
      <c r="AF295" s="34">
        <f t="shared" ca="1" si="229"/>
        <v>335548.66909099062</v>
      </c>
      <c r="AG295" s="15"/>
      <c r="AH295" s="273"/>
      <c r="AI295" s="267"/>
      <c r="AJ295" s="267"/>
      <c r="AK295" s="34">
        <f t="shared" ca="1" si="219"/>
        <v>75382.427687584626</v>
      </c>
      <c r="AL295" s="233"/>
    </row>
    <row r="296" spans="2:38" x14ac:dyDescent="0.3">
      <c r="B296" s="232"/>
      <c r="C296" s="250">
        <f t="shared" si="226"/>
        <v>2030</v>
      </c>
      <c r="D296" s="263">
        <f t="shared" ref="D296:G311" ca="1" si="230">+D46+D96+D146+D196+D246</f>
        <v>162673.20754645337</v>
      </c>
      <c r="E296" s="263">
        <f t="shared" ca="1" si="230"/>
        <v>1075.9933658425109</v>
      </c>
      <c r="F296" s="263">
        <f t="shared" ca="1" si="230"/>
        <v>0</v>
      </c>
      <c r="G296" s="263">
        <f t="shared" ca="1" si="230"/>
        <v>169129.16774150843</v>
      </c>
      <c r="H296" s="15"/>
      <c r="I296" s="35">
        <f t="shared" ref="I296:K311" ca="1" si="231">I246</f>
        <v>4.5</v>
      </c>
      <c r="J296" s="35">
        <f t="shared" ca="1" si="231"/>
        <v>80</v>
      </c>
      <c r="K296" s="35">
        <f t="shared" ca="1" si="231"/>
        <v>40</v>
      </c>
      <c r="L296" s="15"/>
      <c r="M296" s="35">
        <f t="shared" ref="M296:O311" ca="1" si="232">M246</f>
        <v>4.2299999999999995</v>
      </c>
      <c r="N296" s="35">
        <f t="shared" ca="1" si="232"/>
        <v>74.400000000000006</v>
      </c>
      <c r="O296" s="35">
        <f t="shared" ca="1" si="232"/>
        <v>37.200000000000003</v>
      </c>
      <c r="P296" s="15"/>
      <c r="Q296" s="34">
        <f t="shared" ref="Q296:T311" ca="1" si="233">+Q46+Q96+Q146+Q196+Q246</f>
        <v>688107.66792149772</v>
      </c>
      <c r="R296" s="34">
        <f t="shared" ca="1" si="233"/>
        <v>80053.906418682818</v>
      </c>
      <c r="S296" s="34">
        <f t="shared" ca="1" si="233"/>
        <v>0</v>
      </c>
      <c r="T296" s="34">
        <f t="shared" ca="1" si="233"/>
        <v>768161.57434018049</v>
      </c>
      <c r="U296" s="15"/>
      <c r="V296" s="35">
        <f t="shared" ref="V296:X311" si="234">V246</f>
        <v>0.31</v>
      </c>
      <c r="W296" s="34">
        <f t="shared" ca="1" si="227"/>
        <v>52430.041999867615</v>
      </c>
      <c r="X296" s="35">
        <f t="shared" si="234"/>
        <v>0.37</v>
      </c>
      <c r="Y296" s="34">
        <f t="shared" ca="1" si="227"/>
        <v>62577.792064358124</v>
      </c>
      <c r="Z296" s="35">
        <f t="shared" si="225"/>
        <v>0.57999999999999996</v>
      </c>
      <c r="AA296" s="34">
        <f t="shared" ca="1" si="228"/>
        <v>98094.917290074882</v>
      </c>
      <c r="AB296" s="34">
        <f t="shared" ca="1" si="228"/>
        <v>213102.75135430062</v>
      </c>
      <c r="AC296" s="15"/>
      <c r="AD296" s="34">
        <f t="shared" ca="1" si="229"/>
        <v>555058.82298587984</v>
      </c>
      <c r="AE296" s="34">
        <f t="shared" ca="1" si="229"/>
        <v>208075</v>
      </c>
      <c r="AF296" s="34">
        <f t="shared" ca="1" si="229"/>
        <v>346983.82298587984</v>
      </c>
      <c r="AG296" s="15"/>
      <c r="AH296" s="273"/>
      <c r="AI296" s="267"/>
      <c r="AJ296" s="267"/>
      <c r="AK296" s="34">
        <f t="shared" ca="1" si="219"/>
        <v>70864.893976492283</v>
      </c>
      <c r="AL296" s="233"/>
    </row>
    <row r="297" spans="2:38" x14ac:dyDescent="0.3">
      <c r="B297" s="232"/>
      <c r="C297" s="250">
        <f t="shared" si="226"/>
        <v>2031</v>
      </c>
      <c r="D297" s="263">
        <f t="shared" ca="1" si="230"/>
        <v>144821.58499625447</v>
      </c>
      <c r="E297" s="263">
        <f t="shared" ca="1" si="230"/>
        <v>957.91474845216135</v>
      </c>
      <c r="F297" s="263">
        <f t="shared" ca="1" si="230"/>
        <v>0</v>
      </c>
      <c r="G297" s="263">
        <f t="shared" ca="1" si="230"/>
        <v>150569.07348696745</v>
      </c>
      <c r="H297" s="15"/>
      <c r="I297" s="35">
        <f t="shared" ca="1" si="231"/>
        <v>4.5</v>
      </c>
      <c r="J297" s="35">
        <f t="shared" ca="1" si="231"/>
        <v>80</v>
      </c>
      <c r="K297" s="35">
        <f t="shared" ca="1" si="231"/>
        <v>40</v>
      </c>
      <c r="L297" s="15"/>
      <c r="M297" s="35">
        <f t="shared" ca="1" si="232"/>
        <v>4.2299999999999995</v>
      </c>
      <c r="N297" s="35">
        <f t="shared" ca="1" si="232"/>
        <v>74.400000000000006</v>
      </c>
      <c r="O297" s="35">
        <f t="shared" ca="1" si="232"/>
        <v>37.200000000000003</v>
      </c>
      <c r="P297" s="15"/>
      <c r="Q297" s="34">
        <f t="shared" ca="1" si="233"/>
        <v>612595.30453415634</v>
      </c>
      <c r="R297" s="34">
        <f t="shared" ca="1" si="233"/>
        <v>71268.857284840808</v>
      </c>
      <c r="S297" s="34">
        <f t="shared" ca="1" si="233"/>
        <v>0</v>
      </c>
      <c r="T297" s="34">
        <f t="shared" ca="1" si="233"/>
        <v>683864.16181899712</v>
      </c>
      <c r="U297" s="15"/>
      <c r="V297" s="35">
        <f t="shared" si="234"/>
        <v>0.31</v>
      </c>
      <c r="W297" s="34">
        <f t="shared" ca="1" si="227"/>
        <v>46676.412780959901</v>
      </c>
      <c r="X297" s="35">
        <f t="shared" si="234"/>
        <v>0.37</v>
      </c>
      <c r="Y297" s="34">
        <f t="shared" ca="1" si="227"/>
        <v>55710.557190177948</v>
      </c>
      <c r="Z297" s="35">
        <f t="shared" si="225"/>
        <v>0.57999999999999996</v>
      </c>
      <c r="AA297" s="34">
        <f t="shared" ca="1" si="228"/>
        <v>87330.06262244111</v>
      </c>
      <c r="AB297" s="34">
        <f t="shared" ca="1" si="228"/>
        <v>189717.03259357894</v>
      </c>
      <c r="AC297" s="15"/>
      <c r="AD297" s="34">
        <f t="shared" ca="1" si="229"/>
        <v>494147.12922541815</v>
      </c>
      <c r="AE297" s="34">
        <f t="shared" ca="1" si="229"/>
        <v>101536.09992875712</v>
      </c>
      <c r="AF297" s="34">
        <f t="shared" ca="1" si="229"/>
        <v>392611.02929666103</v>
      </c>
      <c r="AG297" s="15"/>
      <c r="AH297" s="273"/>
      <c r="AI297" s="267"/>
      <c r="AJ297" s="267"/>
      <c r="AK297" s="34">
        <f t="shared" ca="1" si="219"/>
        <v>72893.990288002518</v>
      </c>
      <c r="AL297" s="233"/>
    </row>
    <row r="298" spans="2:38" x14ac:dyDescent="0.3">
      <c r="B298" s="232"/>
      <c r="C298" s="250">
        <f t="shared" si="226"/>
        <v>2032</v>
      </c>
      <c r="D298" s="263">
        <f t="shared" ca="1" si="230"/>
        <v>126729.29652421472</v>
      </c>
      <c r="E298" s="263">
        <f t="shared" ca="1" si="230"/>
        <v>838.24425899393509</v>
      </c>
      <c r="F298" s="263">
        <f t="shared" ca="1" si="230"/>
        <v>0</v>
      </c>
      <c r="G298" s="263">
        <f t="shared" ca="1" si="230"/>
        <v>131758.76207817835</v>
      </c>
      <c r="H298" s="15"/>
      <c r="I298" s="35">
        <f t="shared" ca="1" si="231"/>
        <v>4.5</v>
      </c>
      <c r="J298" s="35">
        <f t="shared" ca="1" si="231"/>
        <v>80</v>
      </c>
      <c r="K298" s="35">
        <f t="shared" ca="1" si="231"/>
        <v>40</v>
      </c>
      <c r="L298" s="15"/>
      <c r="M298" s="35">
        <f t="shared" ca="1" si="232"/>
        <v>4.2299999999999995</v>
      </c>
      <c r="N298" s="35">
        <f t="shared" ca="1" si="232"/>
        <v>74.400000000000006</v>
      </c>
      <c r="O298" s="35">
        <f t="shared" ca="1" si="232"/>
        <v>37.200000000000003</v>
      </c>
      <c r="P298" s="15"/>
      <c r="Q298" s="34">
        <f t="shared" ca="1" si="233"/>
        <v>536064.92429742822</v>
      </c>
      <c r="R298" s="34">
        <f t="shared" ca="1" si="233"/>
        <v>62365.37286914877</v>
      </c>
      <c r="S298" s="34">
        <f t="shared" ca="1" si="233"/>
        <v>0</v>
      </c>
      <c r="T298" s="34">
        <f t="shared" ca="1" si="233"/>
        <v>598430.29716657696</v>
      </c>
      <c r="U298" s="15"/>
      <c r="V298" s="35">
        <f t="shared" si="234"/>
        <v>0.31</v>
      </c>
      <c r="W298" s="34">
        <f t="shared" ca="1" si="227"/>
        <v>40845.216244235286</v>
      </c>
      <c r="X298" s="35">
        <f t="shared" si="234"/>
        <v>0.37</v>
      </c>
      <c r="Y298" s="34">
        <f t="shared" ca="1" si="227"/>
        <v>48750.741968925984</v>
      </c>
      <c r="Z298" s="35">
        <f t="shared" si="225"/>
        <v>0.57999999999999996</v>
      </c>
      <c r="AA298" s="34">
        <f t="shared" ca="1" si="228"/>
        <v>76420.082005343429</v>
      </c>
      <c r="AB298" s="34">
        <f t="shared" ca="1" si="228"/>
        <v>166016.0402185047</v>
      </c>
      <c r="AC298" s="15"/>
      <c r="AD298" s="34">
        <f t="shared" ca="1" si="229"/>
        <v>432414.25694807229</v>
      </c>
      <c r="AE298" s="34">
        <f t="shared" ca="1" si="229"/>
        <v>41615</v>
      </c>
      <c r="AF298" s="34">
        <f t="shared" ca="1" si="229"/>
        <v>390799.25694807229</v>
      </c>
      <c r="AG298" s="15"/>
      <c r="AH298" s="273"/>
      <c r="AI298" s="267"/>
      <c r="AJ298" s="267"/>
      <c r="AK298" s="34">
        <f t="shared" ca="1" si="219"/>
        <v>65961.462004227011</v>
      </c>
      <c r="AL298" s="233"/>
    </row>
    <row r="299" spans="2:38" x14ac:dyDescent="0.3">
      <c r="B299" s="232"/>
      <c r="C299" s="250">
        <f t="shared" si="226"/>
        <v>2033</v>
      </c>
      <c r="D299" s="263">
        <f t="shared" ca="1" si="230"/>
        <v>117782.10316970891</v>
      </c>
      <c r="E299" s="263">
        <f t="shared" ca="1" si="230"/>
        <v>779.06351966038926</v>
      </c>
      <c r="F299" s="263">
        <f t="shared" ca="1" si="230"/>
        <v>0</v>
      </c>
      <c r="G299" s="263">
        <f t="shared" ca="1" si="230"/>
        <v>122456.48428767122</v>
      </c>
      <c r="H299" s="15"/>
      <c r="I299" s="35">
        <f t="shared" ca="1" si="231"/>
        <v>4.5</v>
      </c>
      <c r="J299" s="35">
        <f t="shared" ca="1" si="231"/>
        <v>80</v>
      </c>
      <c r="K299" s="35">
        <f t="shared" ca="1" si="231"/>
        <v>40</v>
      </c>
      <c r="L299" s="15"/>
      <c r="M299" s="35">
        <f t="shared" ca="1" si="232"/>
        <v>4.2299999999999995</v>
      </c>
      <c r="N299" s="35">
        <f t="shared" ca="1" si="232"/>
        <v>74.400000000000006</v>
      </c>
      <c r="O299" s="35">
        <f t="shared" ca="1" si="232"/>
        <v>37.200000000000003</v>
      </c>
      <c r="P299" s="15"/>
      <c r="Q299" s="34">
        <f t="shared" ca="1" si="233"/>
        <v>498218.29640786862</v>
      </c>
      <c r="R299" s="34">
        <f t="shared" ca="1" si="233"/>
        <v>57962.325862732956</v>
      </c>
      <c r="S299" s="34">
        <f t="shared" ca="1" si="233"/>
        <v>0</v>
      </c>
      <c r="T299" s="34">
        <f t="shared" ca="1" si="233"/>
        <v>556180.62227060157</v>
      </c>
      <c r="U299" s="15"/>
      <c r="V299" s="35">
        <f t="shared" si="234"/>
        <v>0.31</v>
      </c>
      <c r="W299" s="34">
        <f t="shared" ca="1" si="227"/>
        <v>37961.510129178081</v>
      </c>
      <c r="X299" s="35">
        <f t="shared" si="234"/>
        <v>0.37</v>
      </c>
      <c r="Y299" s="34">
        <f t="shared" ca="1" si="227"/>
        <v>45308.899186438357</v>
      </c>
      <c r="Z299" s="35">
        <f t="shared" si="225"/>
        <v>0.57999999999999996</v>
      </c>
      <c r="AA299" s="34">
        <f t="shared" ca="1" si="228"/>
        <v>71024.760886849312</v>
      </c>
      <c r="AB299" s="34">
        <f t="shared" ca="1" si="228"/>
        <v>154295.17020246576</v>
      </c>
      <c r="AC299" s="15"/>
      <c r="AD299" s="34">
        <f t="shared" ca="1" si="229"/>
        <v>401885.4520681359</v>
      </c>
      <c r="AE299" s="34">
        <f t="shared" ca="1" si="229"/>
        <v>41615</v>
      </c>
      <c r="AF299" s="34">
        <f t="shared" ca="1" si="229"/>
        <v>360270.4520681359</v>
      </c>
      <c r="AG299" s="15"/>
      <c r="AH299" s="273"/>
      <c r="AI299" s="267"/>
      <c r="AJ299" s="267"/>
      <c r="AK299" s="34">
        <f t="shared" ca="1" si="219"/>
        <v>55280.568808282704</v>
      </c>
      <c r="AL299" s="233"/>
    </row>
    <row r="300" spans="2:38" x14ac:dyDescent="0.3">
      <c r="B300" s="232"/>
      <c r="C300" s="250">
        <f t="shared" si="226"/>
        <v>2034</v>
      </c>
      <c r="D300" s="263">
        <f t="shared" ca="1" si="230"/>
        <v>111539.00253093531</v>
      </c>
      <c r="E300" s="263">
        <f t="shared" ca="1" si="230"/>
        <v>737.76885921245253</v>
      </c>
      <c r="F300" s="263">
        <f t="shared" ca="1" si="230"/>
        <v>0</v>
      </c>
      <c r="G300" s="263">
        <f t="shared" ca="1" si="230"/>
        <v>115965.61568621002</v>
      </c>
      <c r="H300" s="15"/>
      <c r="I300" s="35">
        <f t="shared" ca="1" si="231"/>
        <v>4.5</v>
      </c>
      <c r="J300" s="35">
        <f t="shared" ca="1" si="231"/>
        <v>80</v>
      </c>
      <c r="K300" s="35">
        <f t="shared" ca="1" si="231"/>
        <v>40</v>
      </c>
      <c r="L300" s="15"/>
      <c r="M300" s="35">
        <f t="shared" ca="1" si="232"/>
        <v>4.2299999999999995</v>
      </c>
      <c r="N300" s="35">
        <f t="shared" ca="1" si="232"/>
        <v>74.400000000000006</v>
      </c>
      <c r="O300" s="35">
        <f t="shared" ca="1" si="232"/>
        <v>37.200000000000003</v>
      </c>
      <c r="P300" s="15"/>
      <c r="Q300" s="34">
        <f t="shared" ca="1" si="233"/>
        <v>471809.98070585623</v>
      </c>
      <c r="R300" s="34">
        <f t="shared" ca="1" si="233"/>
        <v>54890.003125406467</v>
      </c>
      <c r="S300" s="34">
        <f t="shared" ca="1" si="233"/>
        <v>0</v>
      </c>
      <c r="T300" s="34">
        <f t="shared" ca="1" si="233"/>
        <v>526699.98383126268</v>
      </c>
      <c r="U300" s="15"/>
      <c r="V300" s="35">
        <f t="shared" si="234"/>
        <v>0.31</v>
      </c>
      <c r="W300" s="34">
        <f t="shared" ca="1" si="227"/>
        <v>35949.340862725105</v>
      </c>
      <c r="X300" s="35">
        <f t="shared" si="234"/>
        <v>0.37</v>
      </c>
      <c r="Y300" s="34">
        <f t="shared" ca="1" si="227"/>
        <v>42907.277803897705</v>
      </c>
      <c r="Z300" s="35">
        <f t="shared" si="225"/>
        <v>0.57999999999999996</v>
      </c>
      <c r="AA300" s="34">
        <f t="shared" ca="1" si="228"/>
        <v>67260.057098001795</v>
      </c>
      <c r="AB300" s="34">
        <f t="shared" ca="1" si="228"/>
        <v>146116.67576462461</v>
      </c>
      <c r="AC300" s="15"/>
      <c r="AD300" s="34">
        <f t="shared" ca="1" si="229"/>
        <v>380583.30806663813</v>
      </c>
      <c r="AE300" s="34">
        <f t="shared" ca="1" si="229"/>
        <v>41615</v>
      </c>
      <c r="AF300" s="34">
        <f t="shared" ca="1" si="229"/>
        <v>338968.30806663813</v>
      </c>
      <c r="AG300" s="15"/>
      <c r="AH300" s="273"/>
      <c r="AI300" s="267"/>
      <c r="AJ300" s="267"/>
      <c r="AK300" s="34">
        <f t="shared" ca="1" si="219"/>
        <v>47283.571071619372</v>
      </c>
      <c r="AL300" s="233"/>
    </row>
    <row r="301" spans="2:38" x14ac:dyDescent="0.3">
      <c r="B301" s="232"/>
      <c r="C301" s="250">
        <f t="shared" si="226"/>
        <v>2035</v>
      </c>
      <c r="D301" s="263">
        <f t="shared" ca="1" si="230"/>
        <v>106741.97210230699</v>
      </c>
      <c r="E301" s="263">
        <f t="shared" ca="1" si="230"/>
        <v>706.0391540274436</v>
      </c>
      <c r="F301" s="263">
        <f t="shared" ca="1" si="230"/>
        <v>0</v>
      </c>
      <c r="G301" s="263">
        <f t="shared" ca="1" si="230"/>
        <v>110978.20702647166</v>
      </c>
      <c r="H301" s="15"/>
      <c r="I301" s="35">
        <f t="shared" ca="1" si="231"/>
        <v>4.5</v>
      </c>
      <c r="J301" s="35">
        <f t="shared" ca="1" si="231"/>
        <v>80</v>
      </c>
      <c r="K301" s="35">
        <f t="shared" ca="1" si="231"/>
        <v>40</v>
      </c>
      <c r="L301" s="15"/>
      <c r="M301" s="35">
        <f t="shared" ca="1" si="232"/>
        <v>4.2299999999999995</v>
      </c>
      <c r="N301" s="35">
        <f t="shared" ca="1" si="232"/>
        <v>74.400000000000006</v>
      </c>
      <c r="O301" s="35">
        <f t="shared" ca="1" si="232"/>
        <v>37.200000000000003</v>
      </c>
      <c r="P301" s="15"/>
      <c r="Q301" s="34">
        <f t="shared" ca="1" si="233"/>
        <v>451518.54199275846</v>
      </c>
      <c r="R301" s="34">
        <f t="shared" ca="1" si="233"/>
        <v>52529.313059641805</v>
      </c>
      <c r="S301" s="34">
        <f t="shared" ca="1" si="233"/>
        <v>0</v>
      </c>
      <c r="T301" s="34">
        <f t="shared" ca="1" si="233"/>
        <v>504047.85505240026</v>
      </c>
      <c r="U301" s="15"/>
      <c r="V301" s="35">
        <f t="shared" si="234"/>
        <v>0.31</v>
      </c>
      <c r="W301" s="34">
        <f t="shared" ca="1" si="227"/>
        <v>34403.244178206216</v>
      </c>
      <c r="X301" s="35">
        <f t="shared" si="234"/>
        <v>0.37</v>
      </c>
      <c r="Y301" s="34">
        <f t="shared" ca="1" si="227"/>
        <v>41061.936599794506</v>
      </c>
      <c r="Z301" s="35">
        <f t="shared" si="225"/>
        <v>0.57999999999999996</v>
      </c>
      <c r="AA301" s="34">
        <f t="shared" ca="1" si="228"/>
        <v>64367.360075353557</v>
      </c>
      <c r="AB301" s="34">
        <f t="shared" ca="1" si="228"/>
        <v>139832.54085335426</v>
      </c>
      <c r="AC301" s="15"/>
      <c r="AD301" s="34">
        <f t="shared" ca="1" si="229"/>
        <v>364215.314199046</v>
      </c>
      <c r="AE301" s="34">
        <f t="shared" ca="1" si="229"/>
        <v>41615</v>
      </c>
      <c r="AF301" s="34">
        <f t="shared" ca="1" si="229"/>
        <v>322600.314199046</v>
      </c>
      <c r="AG301" s="15"/>
      <c r="AH301" s="273"/>
      <c r="AI301" s="267"/>
      <c r="AJ301" s="267"/>
      <c r="AK301" s="34">
        <f t="shared" ca="1" si="219"/>
        <v>40909.415479950454</v>
      </c>
      <c r="AL301" s="233"/>
    </row>
    <row r="302" spans="2:38" x14ac:dyDescent="0.3">
      <c r="B302" s="232"/>
      <c r="C302" s="250">
        <f t="shared" si="226"/>
        <v>2036</v>
      </c>
      <c r="D302" s="263">
        <f t="shared" ca="1" si="230"/>
        <v>102856.34150995006</v>
      </c>
      <c r="E302" s="263">
        <f t="shared" ca="1" si="230"/>
        <v>680.33785507016535</v>
      </c>
      <c r="F302" s="263">
        <f t="shared" ca="1" si="230"/>
        <v>0</v>
      </c>
      <c r="G302" s="263">
        <f t="shared" ca="1" si="230"/>
        <v>106938.36864037103</v>
      </c>
      <c r="H302" s="15"/>
      <c r="I302" s="35">
        <f t="shared" ca="1" si="231"/>
        <v>4.5</v>
      </c>
      <c r="J302" s="35">
        <f t="shared" ca="1" si="231"/>
        <v>80</v>
      </c>
      <c r="K302" s="35">
        <f t="shared" ca="1" si="231"/>
        <v>40</v>
      </c>
      <c r="L302" s="15"/>
      <c r="M302" s="35">
        <f t="shared" ca="1" si="232"/>
        <v>4.2299999999999995</v>
      </c>
      <c r="N302" s="35">
        <f t="shared" ca="1" si="232"/>
        <v>74.400000000000006</v>
      </c>
      <c r="O302" s="35">
        <f t="shared" ca="1" si="232"/>
        <v>37.200000000000003</v>
      </c>
      <c r="P302" s="15"/>
      <c r="Q302" s="34">
        <f t="shared" ca="1" si="233"/>
        <v>435082.32458708866</v>
      </c>
      <c r="R302" s="34">
        <f t="shared" ca="1" si="233"/>
        <v>50617.136417220296</v>
      </c>
      <c r="S302" s="34">
        <f t="shared" ca="1" si="233"/>
        <v>0</v>
      </c>
      <c r="T302" s="34">
        <f t="shared" ca="1" si="233"/>
        <v>485699.46100430895</v>
      </c>
      <c r="U302" s="15"/>
      <c r="V302" s="35">
        <f t="shared" si="234"/>
        <v>0.31</v>
      </c>
      <c r="W302" s="34">
        <f t="shared" ca="1" si="227"/>
        <v>33150.894278515021</v>
      </c>
      <c r="X302" s="35">
        <f t="shared" si="234"/>
        <v>0.37</v>
      </c>
      <c r="Y302" s="34">
        <f t="shared" ca="1" si="227"/>
        <v>39567.196396937281</v>
      </c>
      <c r="Z302" s="35">
        <f t="shared" si="225"/>
        <v>0.57999999999999996</v>
      </c>
      <c r="AA302" s="34">
        <f t="shared" ca="1" si="228"/>
        <v>62024.253811415198</v>
      </c>
      <c r="AB302" s="34">
        <f t="shared" ca="1" si="228"/>
        <v>134742.34448686749</v>
      </c>
      <c r="AC302" s="15"/>
      <c r="AD302" s="34">
        <f t="shared" ca="1" si="229"/>
        <v>350957.11651744146</v>
      </c>
      <c r="AE302" s="34">
        <f t="shared" ca="1" si="229"/>
        <v>41615</v>
      </c>
      <c r="AF302" s="34">
        <f t="shared" ca="1" si="229"/>
        <v>309342.11651744146</v>
      </c>
      <c r="AG302" s="15"/>
      <c r="AH302" s="273"/>
      <c r="AI302" s="267"/>
      <c r="AJ302" s="267"/>
      <c r="AK302" s="34">
        <f t="shared" ca="1" si="219"/>
        <v>35661.931028067636</v>
      </c>
      <c r="AL302" s="233"/>
    </row>
    <row r="303" spans="2:38" x14ac:dyDescent="0.3">
      <c r="B303" s="232"/>
      <c r="C303" s="250">
        <f t="shared" si="226"/>
        <v>2037</v>
      </c>
      <c r="D303" s="263">
        <f t="shared" ca="1" si="230"/>
        <v>99596.690517407143</v>
      </c>
      <c r="E303" s="263">
        <f t="shared" ca="1" si="230"/>
        <v>658.77706521522543</v>
      </c>
      <c r="F303" s="263">
        <f t="shared" ca="1" si="230"/>
        <v>0</v>
      </c>
      <c r="G303" s="263">
        <f t="shared" ca="1" si="230"/>
        <v>103549.35290869851</v>
      </c>
      <c r="H303" s="15"/>
      <c r="I303" s="35">
        <f t="shared" ca="1" si="231"/>
        <v>4.5</v>
      </c>
      <c r="J303" s="35">
        <f t="shared" ca="1" si="231"/>
        <v>80</v>
      </c>
      <c r="K303" s="35">
        <f t="shared" ca="1" si="231"/>
        <v>40</v>
      </c>
      <c r="L303" s="15"/>
      <c r="M303" s="35">
        <f t="shared" ca="1" si="232"/>
        <v>4.2299999999999995</v>
      </c>
      <c r="N303" s="35">
        <f t="shared" ca="1" si="232"/>
        <v>74.400000000000006</v>
      </c>
      <c r="O303" s="35">
        <f t="shared" ca="1" si="232"/>
        <v>37.200000000000003</v>
      </c>
      <c r="P303" s="15"/>
      <c r="Q303" s="34">
        <f t="shared" ca="1" si="233"/>
        <v>421294.0008886322</v>
      </c>
      <c r="R303" s="34">
        <f t="shared" ca="1" si="233"/>
        <v>49013.013652012778</v>
      </c>
      <c r="S303" s="34">
        <f t="shared" ca="1" si="233"/>
        <v>0</v>
      </c>
      <c r="T303" s="34">
        <f t="shared" ca="1" si="233"/>
        <v>470307.01454064494</v>
      </c>
      <c r="U303" s="15"/>
      <c r="V303" s="35">
        <f t="shared" si="234"/>
        <v>0.31</v>
      </c>
      <c r="W303" s="34">
        <f t="shared" ca="1" si="227"/>
        <v>32100.299401696539</v>
      </c>
      <c r="X303" s="35">
        <f t="shared" si="234"/>
        <v>0.37</v>
      </c>
      <c r="Y303" s="34">
        <f t="shared" ca="1" si="227"/>
        <v>38313.260576218447</v>
      </c>
      <c r="Z303" s="35">
        <f t="shared" si="225"/>
        <v>0.57999999999999996</v>
      </c>
      <c r="AA303" s="34">
        <f t="shared" ca="1" si="228"/>
        <v>60058.624687045129</v>
      </c>
      <c r="AB303" s="34">
        <f t="shared" ca="1" si="228"/>
        <v>130472.18466496011</v>
      </c>
      <c r="AC303" s="15"/>
      <c r="AD303" s="34">
        <f t="shared" ca="1" si="229"/>
        <v>339834.82987568487</v>
      </c>
      <c r="AE303" s="34">
        <f t="shared" ca="1" si="229"/>
        <v>41615</v>
      </c>
      <c r="AF303" s="34">
        <f t="shared" ca="1" si="229"/>
        <v>298219.82987568487</v>
      </c>
      <c r="AG303" s="15"/>
      <c r="AH303" s="273"/>
      <c r="AI303" s="267"/>
      <c r="AJ303" s="267"/>
      <c r="AK303" s="34">
        <f t="shared" ca="1" si="219"/>
        <v>31254.289892716115</v>
      </c>
      <c r="AL303" s="233"/>
    </row>
    <row r="304" spans="2:38" x14ac:dyDescent="0.3">
      <c r="B304" s="232"/>
      <c r="C304" s="250">
        <f t="shared" si="226"/>
        <v>2038</v>
      </c>
      <c r="D304" s="263">
        <f t="shared" ca="1" si="230"/>
        <v>96790.646968002839</v>
      </c>
      <c r="E304" s="263">
        <f t="shared" ca="1" si="230"/>
        <v>640.2166379084606</v>
      </c>
      <c r="F304" s="263">
        <f t="shared" ca="1" si="230"/>
        <v>0</v>
      </c>
      <c r="G304" s="263">
        <f t="shared" ca="1" si="230"/>
        <v>100631.94679545359</v>
      </c>
      <c r="H304" s="15"/>
      <c r="I304" s="35">
        <f t="shared" ca="1" si="231"/>
        <v>4.5</v>
      </c>
      <c r="J304" s="35">
        <f t="shared" ca="1" si="231"/>
        <v>80</v>
      </c>
      <c r="K304" s="35">
        <f t="shared" ca="1" si="231"/>
        <v>40</v>
      </c>
      <c r="L304" s="15"/>
      <c r="M304" s="35">
        <f t="shared" ca="1" si="232"/>
        <v>4.2299999999999995</v>
      </c>
      <c r="N304" s="35">
        <f t="shared" ca="1" si="232"/>
        <v>74.400000000000006</v>
      </c>
      <c r="O304" s="35">
        <f t="shared" ca="1" si="232"/>
        <v>37.200000000000003</v>
      </c>
      <c r="P304" s="15"/>
      <c r="Q304" s="34">
        <f t="shared" ca="1" si="233"/>
        <v>409424.43667465192</v>
      </c>
      <c r="R304" s="34">
        <f t="shared" ca="1" si="233"/>
        <v>47632.117860389466</v>
      </c>
      <c r="S304" s="34">
        <f t="shared" ca="1" si="233"/>
        <v>0</v>
      </c>
      <c r="T304" s="34">
        <f t="shared" ca="1" si="233"/>
        <v>457056.55453504139</v>
      </c>
      <c r="U304" s="15"/>
      <c r="V304" s="35">
        <f t="shared" si="234"/>
        <v>0.31</v>
      </c>
      <c r="W304" s="34">
        <f t="shared" ca="1" si="227"/>
        <v>31195.903506590614</v>
      </c>
      <c r="X304" s="35">
        <f t="shared" si="234"/>
        <v>0.37</v>
      </c>
      <c r="Y304" s="34">
        <f t="shared" ca="1" si="227"/>
        <v>37233.820314317833</v>
      </c>
      <c r="Z304" s="35">
        <f t="shared" si="225"/>
        <v>0.57999999999999996</v>
      </c>
      <c r="AA304" s="34">
        <f t="shared" ca="1" si="228"/>
        <v>58366.529141363077</v>
      </c>
      <c r="AB304" s="34">
        <f t="shared" ca="1" si="228"/>
        <v>126796.25296227152</v>
      </c>
      <c r="AC304" s="15"/>
      <c r="AD304" s="34">
        <f t="shared" ca="1" si="229"/>
        <v>330260.30157276988</v>
      </c>
      <c r="AE304" s="34">
        <f t="shared" ca="1" si="229"/>
        <v>41615</v>
      </c>
      <c r="AF304" s="34">
        <f t="shared" ca="1" si="229"/>
        <v>288645.30157276988</v>
      </c>
      <c r="AG304" s="15"/>
      <c r="AH304" s="273"/>
      <c r="AI304" s="267"/>
      <c r="AJ304" s="267"/>
      <c r="AK304" s="34">
        <f t="shared" ca="1" si="219"/>
        <v>27500.774528661859</v>
      </c>
      <c r="AL304" s="233"/>
    </row>
    <row r="305" spans="2:38" x14ac:dyDescent="0.3">
      <c r="B305" s="232"/>
      <c r="C305" s="250">
        <f t="shared" si="226"/>
        <v>2039</v>
      </c>
      <c r="D305" s="263">
        <f t="shared" ca="1" si="230"/>
        <v>94325.552853555288</v>
      </c>
      <c r="E305" s="263">
        <f t="shared" ca="1" si="230"/>
        <v>623.91140268670142</v>
      </c>
      <c r="F305" s="263">
        <f t="shared" ca="1" si="230"/>
        <v>0</v>
      </c>
      <c r="G305" s="263">
        <f t="shared" ca="1" si="230"/>
        <v>98069.02126967549</v>
      </c>
      <c r="H305" s="15"/>
      <c r="I305" s="35">
        <f t="shared" ca="1" si="231"/>
        <v>4.5</v>
      </c>
      <c r="J305" s="35">
        <f t="shared" ca="1" si="231"/>
        <v>80</v>
      </c>
      <c r="K305" s="35">
        <f t="shared" ca="1" si="231"/>
        <v>40</v>
      </c>
      <c r="L305" s="15"/>
      <c r="M305" s="35">
        <f t="shared" ca="1" si="232"/>
        <v>4.2299999999999995</v>
      </c>
      <c r="N305" s="35">
        <f t="shared" ca="1" si="232"/>
        <v>74.400000000000006</v>
      </c>
      <c r="O305" s="35">
        <f t="shared" ca="1" si="232"/>
        <v>37.200000000000003</v>
      </c>
      <c r="P305" s="15"/>
      <c r="Q305" s="34">
        <f t="shared" ca="1" si="233"/>
        <v>398997.08857053879</v>
      </c>
      <c r="R305" s="34">
        <f t="shared" ca="1" si="233"/>
        <v>46419.008359890591</v>
      </c>
      <c r="S305" s="34">
        <f t="shared" ca="1" si="233"/>
        <v>0</v>
      </c>
      <c r="T305" s="34">
        <f t="shared" ca="1" si="233"/>
        <v>445416.09693042946</v>
      </c>
      <c r="U305" s="15"/>
      <c r="V305" s="35">
        <f t="shared" si="234"/>
        <v>0.31</v>
      </c>
      <c r="W305" s="34">
        <f t="shared" ca="1" si="227"/>
        <v>30401.396593599406</v>
      </c>
      <c r="X305" s="35">
        <f t="shared" si="234"/>
        <v>0.37</v>
      </c>
      <c r="Y305" s="34">
        <f t="shared" ca="1" si="227"/>
        <v>36285.537869779931</v>
      </c>
      <c r="Z305" s="35">
        <f t="shared" si="225"/>
        <v>0.57999999999999996</v>
      </c>
      <c r="AA305" s="34">
        <f t="shared" ca="1" si="228"/>
        <v>56880.032336411787</v>
      </c>
      <c r="AB305" s="34">
        <f t="shared" ca="1" si="228"/>
        <v>123566.96679979112</v>
      </c>
      <c r="AC305" s="15"/>
      <c r="AD305" s="34">
        <f t="shared" ca="1" si="229"/>
        <v>321849.13013063831</v>
      </c>
      <c r="AE305" s="34">
        <f t="shared" ca="1" si="229"/>
        <v>41615</v>
      </c>
      <c r="AF305" s="34">
        <f t="shared" ca="1" si="229"/>
        <v>280234.13013063831</v>
      </c>
      <c r="AG305" s="15"/>
      <c r="AH305" s="273"/>
      <c r="AI305" s="267"/>
      <c r="AJ305" s="267"/>
      <c r="AK305" s="34">
        <f t="shared" ca="1" si="219"/>
        <v>24272.17949745481</v>
      </c>
      <c r="AL305" s="233"/>
    </row>
    <row r="306" spans="2:38" x14ac:dyDescent="0.3">
      <c r="B306" s="232"/>
      <c r="C306" s="250">
        <f t="shared" si="226"/>
        <v>2040</v>
      </c>
      <c r="D306" s="263">
        <f t="shared" ca="1" si="230"/>
        <v>83892.297729665646</v>
      </c>
      <c r="E306" s="263">
        <f t="shared" ca="1" si="230"/>
        <v>554.90118602737903</v>
      </c>
      <c r="F306" s="263">
        <f t="shared" ca="1" si="230"/>
        <v>0</v>
      </c>
      <c r="G306" s="263">
        <f t="shared" ca="1" si="230"/>
        <v>87221.70484582991</v>
      </c>
      <c r="H306" s="15"/>
      <c r="I306" s="35">
        <f t="shared" ca="1" si="231"/>
        <v>4.5</v>
      </c>
      <c r="J306" s="35">
        <f t="shared" ca="1" si="231"/>
        <v>80</v>
      </c>
      <c r="K306" s="35">
        <f t="shared" ca="1" si="231"/>
        <v>40</v>
      </c>
      <c r="L306" s="15"/>
      <c r="M306" s="35">
        <f t="shared" ca="1" si="232"/>
        <v>4.2299999999999995</v>
      </c>
      <c r="N306" s="35">
        <f t="shared" ca="1" si="232"/>
        <v>74.400000000000006</v>
      </c>
      <c r="O306" s="35">
        <f t="shared" ca="1" si="232"/>
        <v>37.200000000000003</v>
      </c>
      <c r="P306" s="15"/>
      <c r="Q306" s="34">
        <f t="shared" ca="1" si="233"/>
        <v>354864.41939648561</v>
      </c>
      <c r="R306" s="34">
        <f t="shared" ca="1" si="233"/>
        <v>41284.648240437004</v>
      </c>
      <c r="S306" s="34">
        <f t="shared" ca="1" si="233"/>
        <v>0</v>
      </c>
      <c r="T306" s="34">
        <f t="shared" ca="1" si="233"/>
        <v>396149.06763692264</v>
      </c>
      <c r="U306" s="15"/>
      <c r="V306" s="35">
        <f t="shared" si="234"/>
        <v>0.31</v>
      </c>
      <c r="W306" s="34">
        <f t="shared" ca="1" si="227"/>
        <v>27038.728502207268</v>
      </c>
      <c r="X306" s="35">
        <f t="shared" si="234"/>
        <v>0.37</v>
      </c>
      <c r="Y306" s="34">
        <f t="shared" ca="1" si="227"/>
        <v>32272.030792957066</v>
      </c>
      <c r="Z306" s="35">
        <f t="shared" si="225"/>
        <v>0.57999999999999996</v>
      </c>
      <c r="AA306" s="34">
        <f t="shared" ca="1" si="228"/>
        <v>50588.588810581336</v>
      </c>
      <c r="AB306" s="34">
        <f t="shared" ca="1" si="228"/>
        <v>109899.34810574568</v>
      </c>
      <c r="AC306" s="15"/>
      <c r="AD306" s="34">
        <f t="shared" ca="1" si="229"/>
        <v>286249.71953117696</v>
      </c>
      <c r="AE306" s="34">
        <f t="shared" ca="1" si="229"/>
        <v>0</v>
      </c>
      <c r="AF306" s="34">
        <f t="shared" ca="1" si="229"/>
        <v>286249.71953117696</v>
      </c>
      <c r="AG306" s="15"/>
      <c r="AH306" s="273"/>
      <c r="AI306" s="267"/>
      <c r="AJ306" s="267"/>
      <c r="AK306" s="34">
        <f t="shared" ca="1" si="219"/>
        <v>22539.284854800386</v>
      </c>
      <c r="AL306" s="233"/>
    </row>
    <row r="307" spans="2:38" x14ac:dyDescent="0.3">
      <c r="B307" s="232"/>
      <c r="C307" s="250">
        <f t="shared" si="226"/>
        <v>2041</v>
      </c>
      <c r="D307" s="263">
        <f t="shared" ca="1" si="230"/>
        <v>78252.614408927679</v>
      </c>
      <c r="E307" s="263">
        <f t="shared" ca="1" si="230"/>
        <v>517.5977976569626</v>
      </c>
      <c r="F307" s="263">
        <f t="shared" ca="1" si="230"/>
        <v>0</v>
      </c>
      <c r="G307" s="263">
        <f t="shared" ca="1" si="230"/>
        <v>81358.201194869442</v>
      </c>
      <c r="H307" s="15"/>
      <c r="I307" s="35">
        <f t="shared" ca="1" si="231"/>
        <v>4.5</v>
      </c>
      <c r="J307" s="35">
        <f t="shared" ca="1" si="231"/>
        <v>80</v>
      </c>
      <c r="K307" s="35">
        <f t="shared" ca="1" si="231"/>
        <v>40</v>
      </c>
      <c r="L307" s="15"/>
      <c r="M307" s="35">
        <f t="shared" ca="1" si="232"/>
        <v>4.2299999999999995</v>
      </c>
      <c r="N307" s="35">
        <f t="shared" ca="1" si="232"/>
        <v>74.400000000000006</v>
      </c>
      <c r="O307" s="35">
        <f t="shared" ca="1" si="232"/>
        <v>37.200000000000003</v>
      </c>
      <c r="P307" s="15"/>
      <c r="Q307" s="34">
        <f t="shared" ca="1" si="233"/>
        <v>331008.55894976406</v>
      </c>
      <c r="R307" s="34">
        <f t="shared" ca="1" si="233"/>
        <v>38509.276145678021</v>
      </c>
      <c r="S307" s="34">
        <f t="shared" ca="1" si="233"/>
        <v>0</v>
      </c>
      <c r="T307" s="34">
        <f t="shared" ca="1" si="233"/>
        <v>369517.83509544202</v>
      </c>
      <c r="U307" s="15"/>
      <c r="V307" s="35">
        <f t="shared" si="234"/>
        <v>0.31</v>
      </c>
      <c r="W307" s="34">
        <f t="shared" ca="1" si="227"/>
        <v>25221.04237040953</v>
      </c>
      <c r="X307" s="35">
        <f t="shared" si="234"/>
        <v>0.37</v>
      </c>
      <c r="Y307" s="34">
        <f t="shared" ca="1" si="227"/>
        <v>30102.534442101696</v>
      </c>
      <c r="Z307" s="35">
        <f t="shared" si="225"/>
        <v>0.57999999999999996</v>
      </c>
      <c r="AA307" s="34">
        <f t="shared" ca="1" si="228"/>
        <v>47187.756693024283</v>
      </c>
      <c r="AB307" s="34">
        <f t="shared" ca="1" si="228"/>
        <v>102511.3335055355</v>
      </c>
      <c r="AC307" s="15"/>
      <c r="AD307" s="34">
        <f t="shared" ca="1" si="229"/>
        <v>267006.50158990652</v>
      </c>
      <c r="AE307" s="34">
        <f t="shared" ca="1" si="229"/>
        <v>0</v>
      </c>
      <c r="AF307" s="34">
        <f t="shared" ca="1" si="229"/>
        <v>267006.50158990652</v>
      </c>
      <c r="AG307" s="15"/>
      <c r="AH307" s="273"/>
      <c r="AI307" s="267"/>
      <c r="AJ307" s="267"/>
      <c r="AK307" s="34">
        <f t="shared" ca="1" si="219"/>
        <v>19112.795534787492</v>
      </c>
      <c r="AL307" s="233"/>
    </row>
    <row r="308" spans="2:38" x14ac:dyDescent="0.3">
      <c r="B308" s="232"/>
      <c r="C308" s="250">
        <f t="shared" si="226"/>
        <v>2042</v>
      </c>
      <c r="D308" s="263">
        <f t="shared" ca="1" si="230"/>
        <v>73820.248338561418</v>
      </c>
      <c r="E308" s="263">
        <f t="shared" ca="1" si="230"/>
        <v>488.28014566846525</v>
      </c>
      <c r="F308" s="263">
        <f t="shared" ca="1" si="230"/>
        <v>0</v>
      </c>
      <c r="G308" s="263">
        <f t="shared" ca="1" si="230"/>
        <v>76749.929212572228</v>
      </c>
      <c r="H308" s="15"/>
      <c r="I308" s="35">
        <f t="shared" ca="1" si="231"/>
        <v>4.5</v>
      </c>
      <c r="J308" s="35">
        <f t="shared" ca="1" si="231"/>
        <v>80</v>
      </c>
      <c r="K308" s="35">
        <f t="shared" ca="1" si="231"/>
        <v>40</v>
      </c>
      <c r="L308" s="15"/>
      <c r="M308" s="35">
        <f t="shared" ca="1" si="232"/>
        <v>4.2299999999999995</v>
      </c>
      <c r="N308" s="35">
        <f t="shared" ca="1" si="232"/>
        <v>74.400000000000006</v>
      </c>
      <c r="O308" s="35">
        <f t="shared" ca="1" si="232"/>
        <v>37.200000000000003</v>
      </c>
      <c r="P308" s="15"/>
      <c r="Q308" s="34">
        <f t="shared" ca="1" si="233"/>
        <v>312259.65047211479</v>
      </c>
      <c r="R308" s="34">
        <f t="shared" ca="1" si="233"/>
        <v>36328.042837733818</v>
      </c>
      <c r="S308" s="34">
        <f t="shared" ca="1" si="233"/>
        <v>0</v>
      </c>
      <c r="T308" s="34">
        <f t="shared" ca="1" si="233"/>
        <v>348587.6933098486</v>
      </c>
      <c r="U308" s="15"/>
      <c r="V308" s="35">
        <f t="shared" si="234"/>
        <v>0.31</v>
      </c>
      <c r="W308" s="34">
        <f t="shared" ca="1" si="227"/>
        <v>23792.478055897391</v>
      </c>
      <c r="X308" s="35">
        <f t="shared" si="234"/>
        <v>0.37</v>
      </c>
      <c r="Y308" s="34">
        <f t="shared" ca="1" si="227"/>
        <v>28397.473808651721</v>
      </c>
      <c r="Z308" s="35">
        <f t="shared" si="225"/>
        <v>0.57999999999999996</v>
      </c>
      <c r="AA308" s="34">
        <f t="shared" ca="1" si="228"/>
        <v>44514.958943291887</v>
      </c>
      <c r="AB308" s="34">
        <f t="shared" ca="1" si="228"/>
        <v>96704.910807841006</v>
      </c>
      <c r="AC308" s="15"/>
      <c r="AD308" s="34">
        <f t="shared" ca="1" si="229"/>
        <v>251882.78250200761</v>
      </c>
      <c r="AE308" s="34">
        <f t="shared" ca="1" si="229"/>
        <v>0</v>
      </c>
      <c r="AF308" s="34">
        <f t="shared" ca="1" si="229"/>
        <v>251882.78250200761</v>
      </c>
      <c r="AG308" s="15"/>
      <c r="AH308" s="273"/>
      <c r="AI308" s="267"/>
      <c r="AJ308" s="267"/>
      <c r="AK308" s="34">
        <f t="shared" ca="1" si="219"/>
        <v>16391.102811177276</v>
      </c>
      <c r="AL308" s="233"/>
    </row>
    <row r="309" spans="2:38" x14ac:dyDescent="0.3">
      <c r="B309" s="232"/>
      <c r="C309" s="250">
        <f t="shared" si="226"/>
        <v>2043</v>
      </c>
      <c r="D309" s="263">
        <f t="shared" ca="1" si="230"/>
        <v>70039.079955101086</v>
      </c>
      <c r="E309" s="263">
        <f t="shared" ca="1" si="230"/>
        <v>463.26980649153001</v>
      </c>
      <c r="F309" s="263">
        <f t="shared" ca="1" si="230"/>
        <v>0</v>
      </c>
      <c r="G309" s="263">
        <f t="shared" ca="1" si="230"/>
        <v>72818.698794050273</v>
      </c>
      <c r="H309" s="15"/>
      <c r="I309" s="35">
        <f t="shared" ca="1" si="231"/>
        <v>4.5</v>
      </c>
      <c r="J309" s="35">
        <f t="shared" ca="1" si="231"/>
        <v>80</v>
      </c>
      <c r="K309" s="35">
        <f t="shared" ca="1" si="231"/>
        <v>40</v>
      </c>
      <c r="L309" s="15"/>
      <c r="M309" s="35">
        <f t="shared" ca="1" si="232"/>
        <v>4.2299999999999995</v>
      </c>
      <c r="N309" s="35">
        <f t="shared" ca="1" si="232"/>
        <v>74.400000000000006</v>
      </c>
      <c r="O309" s="35">
        <f t="shared" ca="1" si="232"/>
        <v>37.200000000000003</v>
      </c>
      <c r="P309" s="15"/>
      <c r="Q309" s="34">
        <f t="shared" ca="1" si="233"/>
        <v>296265.30821007758</v>
      </c>
      <c r="R309" s="34">
        <f t="shared" ca="1" si="233"/>
        <v>34467.273602969835</v>
      </c>
      <c r="S309" s="34">
        <f t="shared" ca="1" si="233"/>
        <v>0</v>
      </c>
      <c r="T309" s="34">
        <f t="shared" ca="1" si="233"/>
        <v>330732.58181304741</v>
      </c>
      <c r="U309" s="15"/>
      <c r="V309" s="35">
        <f t="shared" si="234"/>
        <v>0.31</v>
      </c>
      <c r="W309" s="34">
        <f t="shared" ca="1" si="227"/>
        <v>22573.796626155585</v>
      </c>
      <c r="X309" s="35">
        <f t="shared" si="234"/>
        <v>0.37</v>
      </c>
      <c r="Y309" s="34">
        <f t="shared" ca="1" si="227"/>
        <v>26942.918553798598</v>
      </c>
      <c r="Z309" s="35">
        <f t="shared" si="225"/>
        <v>0.57999999999999996</v>
      </c>
      <c r="AA309" s="34">
        <f t="shared" ca="1" si="228"/>
        <v>42234.845300549154</v>
      </c>
      <c r="AB309" s="34">
        <f t="shared" ca="1" si="228"/>
        <v>91751.560480503336</v>
      </c>
      <c r="AC309" s="15"/>
      <c r="AD309" s="34">
        <f t="shared" ca="1" si="229"/>
        <v>238981.02133254407</v>
      </c>
      <c r="AE309" s="34">
        <f t="shared" ca="1" si="229"/>
        <v>0</v>
      </c>
      <c r="AF309" s="34">
        <f t="shared" ca="1" si="229"/>
        <v>238981.02133254407</v>
      </c>
      <c r="AG309" s="15"/>
      <c r="AH309" s="273"/>
      <c r="AI309" s="267"/>
      <c r="AJ309" s="267"/>
      <c r="AK309" s="34">
        <f t="shared" ca="1" si="219"/>
        <v>14137.753975270252</v>
      </c>
      <c r="AL309" s="233"/>
    </row>
    <row r="310" spans="2:38" x14ac:dyDescent="0.3">
      <c r="B310" s="232"/>
      <c r="C310" s="250">
        <f t="shared" si="226"/>
        <v>2044</v>
      </c>
      <c r="D310" s="263">
        <f t="shared" ca="1" si="230"/>
        <v>66686.247414822108</v>
      </c>
      <c r="E310" s="263">
        <f t="shared" ca="1" si="230"/>
        <v>441.09267219551589</v>
      </c>
      <c r="F310" s="263">
        <f t="shared" ca="1" si="230"/>
        <v>0</v>
      </c>
      <c r="G310" s="263">
        <f t="shared" ca="1" si="230"/>
        <v>69332.803447995189</v>
      </c>
      <c r="H310" s="15"/>
      <c r="I310" s="35">
        <f t="shared" ca="1" si="231"/>
        <v>4.5</v>
      </c>
      <c r="J310" s="35">
        <f t="shared" ca="1" si="231"/>
        <v>80</v>
      </c>
      <c r="K310" s="35">
        <f t="shared" ca="1" si="231"/>
        <v>40</v>
      </c>
      <c r="L310" s="15"/>
      <c r="M310" s="35">
        <f t="shared" ca="1" si="232"/>
        <v>4.2299999999999995</v>
      </c>
      <c r="N310" s="35">
        <f t="shared" ca="1" si="232"/>
        <v>74.400000000000006</v>
      </c>
      <c r="O310" s="35">
        <f t="shared" ca="1" si="232"/>
        <v>37.200000000000003</v>
      </c>
      <c r="P310" s="15"/>
      <c r="Q310" s="34">
        <f t="shared" ca="1" si="233"/>
        <v>282082.82656469743</v>
      </c>
      <c r="R310" s="34">
        <f t="shared" ca="1" si="233"/>
        <v>32817.294811346386</v>
      </c>
      <c r="S310" s="34">
        <f t="shared" ca="1" si="233"/>
        <v>0</v>
      </c>
      <c r="T310" s="34">
        <f t="shared" ca="1" si="233"/>
        <v>314900.12137604383</v>
      </c>
      <c r="U310" s="15"/>
      <c r="V310" s="35">
        <f t="shared" si="234"/>
        <v>0.31</v>
      </c>
      <c r="W310" s="34">
        <f t="shared" ca="1" si="227"/>
        <v>21493.169068878509</v>
      </c>
      <c r="X310" s="35">
        <f t="shared" si="234"/>
        <v>0.37</v>
      </c>
      <c r="Y310" s="34">
        <f t="shared" ca="1" si="227"/>
        <v>25653.137275758225</v>
      </c>
      <c r="Z310" s="35">
        <f t="shared" si="225"/>
        <v>0.57999999999999996</v>
      </c>
      <c r="AA310" s="34">
        <f t="shared" ca="1" si="228"/>
        <v>40213.025999837206</v>
      </c>
      <c r="AB310" s="34">
        <f t="shared" ca="1" si="228"/>
        <v>87359.332344473951</v>
      </c>
      <c r="AC310" s="15"/>
      <c r="AD310" s="34">
        <f t="shared" ca="1" si="229"/>
        <v>227540.78903156988</v>
      </c>
      <c r="AE310" s="34">
        <f t="shared" ca="1" si="229"/>
        <v>0</v>
      </c>
      <c r="AF310" s="34">
        <f t="shared" ca="1" si="229"/>
        <v>227540.78903156988</v>
      </c>
      <c r="AG310" s="15"/>
      <c r="AH310" s="273"/>
      <c r="AI310" s="267"/>
      <c r="AJ310" s="267"/>
      <c r="AK310" s="34">
        <f t="shared" ca="1" si="219"/>
        <v>12237.242928443269</v>
      </c>
      <c r="AL310" s="233"/>
    </row>
    <row r="311" spans="2:38" x14ac:dyDescent="0.3">
      <c r="B311" s="232"/>
      <c r="C311" s="250">
        <f t="shared" si="226"/>
        <v>2045</v>
      </c>
      <c r="D311" s="263">
        <f t="shared" ca="1" si="230"/>
        <v>63643.318458584952</v>
      </c>
      <c r="E311" s="263">
        <f t="shared" ca="1" si="230"/>
        <v>420.96537883833378</v>
      </c>
      <c r="F311" s="263">
        <f t="shared" ca="1" si="230"/>
        <v>0</v>
      </c>
      <c r="G311" s="263">
        <f t="shared" ca="1" si="230"/>
        <v>66169.110731614957</v>
      </c>
      <c r="H311" s="15"/>
      <c r="I311" s="35">
        <f t="shared" ca="1" si="231"/>
        <v>4.5</v>
      </c>
      <c r="J311" s="35">
        <f t="shared" ca="1" si="231"/>
        <v>80</v>
      </c>
      <c r="K311" s="35">
        <f t="shared" ca="1" si="231"/>
        <v>40</v>
      </c>
      <c r="L311" s="15"/>
      <c r="M311" s="35">
        <f t="shared" ca="1" si="232"/>
        <v>4.2299999999999995</v>
      </c>
      <c r="N311" s="35">
        <f t="shared" ca="1" si="232"/>
        <v>74.400000000000006</v>
      </c>
      <c r="O311" s="35">
        <f t="shared" ca="1" si="232"/>
        <v>37.200000000000003</v>
      </c>
      <c r="P311" s="15"/>
      <c r="Q311" s="34">
        <f t="shared" ca="1" si="233"/>
        <v>269211.23707981431</v>
      </c>
      <c r="R311" s="34">
        <f t="shared" ca="1" si="233"/>
        <v>31319.824185572033</v>
      </c>
      <c r="S311" s="34">
        <f t="shared" ca="1" si="233"/>
        <v>0</v>
      </c>
      <c r="T311" s="34">
        <f t="shared" ca="1" si="233"/>
        <v>300531.06126538641</v>
      </c>
      <c r="U311" s="15"/>
      <c r="V311" s="35">
        <f t="shared" si="234"/>
        <v>0.31</v>
      </c>
      <c r="W311" s="34">
        <f t="shared" ref="W311:Y319" ca="1" si="235">+W61+W111+W161+W211+W261</f>
        <v>20512.424326800636</v>
      </c>
      <c r="X311" s="35">
        <f t="shared" si="234"/>
        <v>0.37</v>
      </c>
      <c r="Y311" s="34">
        <f t="shared" ca="1" si="235"/>
        <v>24482.570970697532</v>
      </c>
      <c r="Z311" s="35">
        <f t="shared" si="225"/>
        <v>0.57999999999999996</v>
      </c>
      <c r="AA311" s="34">
        <f t="shared" ref="AA311:AB319" ca="1" si="236">+AA61+AA111+AA161+AA211+AA261</f>
        <v>38378.084224336671</v>
      </c>
      <c r="AB311" s="34">
        <f t="shared" ca="1" si="236"/>
        <v>83373.079521834836</v>
      </c>
      <c r="AC311" s="15"/>
      <c r="AD311" s="34">
        <f t="shared" ref="AD311:AF321" ca="1" si="237">+AD61+AD111+AD161+AD211+AD261</f>
        <v>217157.98174355153</v>
      </c>
      <c r="AE311" s="34">
        <f t="shared" ca="1" si="237"/>
        <v>0</v>
      </c>
      <c r="AF311" s="34">
        <f t="shared" ca="1" si="237"/>
        <v>217157.98174355153</v>
      </c>
      <c r="AG311" s="15"/>
      <c r="AH311" s="273"/>
      <c r="AI311" s="267"/>
      <c r="AJ311" s="267"/>
      <c r="AK311" s="34">
        <f t="shared" ca="1" si="219"/>
        <v>10617.137292400668</v>
      </c>
      <c r="AL311" s="233"/>
    </row>
    <row r="312" spans="2:38" x14ac:dyDescent="0.3">
      <c r="B312" s="232"/>
      <c r="C312" s="250">
        <f t="shared" si="226"/>
        <v>2046</v>
      </c>
      <c r="D312" s="263">
        <f t="shared" ref="D312:G319" ca="1" si="238">+D62+D112+D162+D212+D262</f>
        <v>60837.363925804922</v>
      </c>
      <c r="E312" s="263">
        <f t="shared" ca="1" si="238"/>
        <v>402.40554032734303</v>
      </c>
      <c r="F312" s="263">
        <f t="shared" ca="1" si="238"/>
        <v>0</v>
      </c>
      <c r="G312" s="263">
        <f t="shared" ca="1" si="238"/>
        <v>63251.797167768978</v>
      </c>
      <c r="H312" s="15"/>
      <c r="I312" s="35">
        <f t="shared" ref="I312:K319" ca="1" si="239">I262</f>
        <v>4.5</v>
      </c>
      <c r="J312" s="35">
        <f t="shared" ca="1" si="239"/>
        <v>80</v>
      </c>
      <c r="K312" s="35">
        <f t="shared" ca="1" si="239"/>
        <v>40</v>
      </c>
      <c r="L312" s="15"/>
      <c r="M312" s="35">
        <f t="shared" ref="M312:O319" ca="1" si="240">M262</f>
        <v>4.2299999999999995</v>
      </c>
      <c r="N312" s="35">
        <f t="shared" ca="1" si="240"/>
        <v>74.400000000000006</v>
      </c>
      <c r="O312" s="35">
        <f t="shared" ca="1" si="240"/>
        <v>37.200000000000003</v>
      </c>
      <c r="P312" s="15"/>
      <c r="Q312" s="34">
        <f t="shared" ref="Q312:T319" ca="1" si="241">+Q62+Q112+Q162+Q212+Q262</f>
        <v>257342.04940615481</v>
      </c>
      <c r="R312" s="34">
        <f t="shared" ca="1" si="241"/>
        <v>29938.972200354325</v>
      </c>
      <c r="S312" s="34">
        <f t="shared" ca="1" si="241"/>
        <v>0</v>
      </c>
      <c r="T312" s="34">
        <f t="shared" ca="1" si="241"/>
        <v>287281.02160650911</v>
      </c>
      <c r="U312" s="15"/>
      <c r="V312" s="35">
        <f t="shared" ref="V312:X319" si="242">V262</f>
        <v>0.31</v>
      </c>
      <c r="W312" s="34">
        <f t="shared" ca="1" si="235"/>
        <v>19608.05712200838</v>
      </c>
      <c r="X312" s="35">
        <f t="shared" si="242"/>
        <v>0.37</v>
      </c>
      <c r="Y312" s="34">
        <f t="shared" ca="1" si="235"/>
        <v>23403.16495207452</v>
      </c>
      <c r="Z312" s="35">
        <f t="shared" si="225"/>
        <v>0.57999999999999996</v>
      </c>
      <c r="AA312" s="34">
        <f t="shared" ca="1" si="236"/>
        <v>36686.042357306011</v>
      </c>
      <c r="AB312" s="34">
        <f t="shared" ca="1" si="236"/>
        <v>79697.264431388903</v>
      </c>
      <c r="AC312" s="15"/>
      <c r="AD312" s="34">
        <f t="shared" ca="1" si="237"/>
        <v>207583.75717512023</v>
      </c>
      <c r="AE312" s="34">
        <f t="shared" ca="1" si="237"/>
        <v>0</v>
      </c>
      <c r="AF312" s="34">
        <f t="shared" ca="1" si="237"/>
        <v>207583.75717512023</v>
      </c>
      <c r="AG312" s="15"/>
      <c r="AH312" s="273"/>
      <c r="AI312" s="267"/>
      <c r="AJ312" s="267"/>
      <c r="AK312" s="34">
        <f t="shared" ca="1" si="219"/>
        <v>9226.4008647497431</v>
      </c>
      <c r="AL312" s="233"/>
    </row>
    <row r="313" spans="2:38" x14ac:dyDescent="0.3">
      <c r="B313" s="232"/>
      <c r="C313" s="250">
        <f t="shared" si="226"/>
        <v>2047</v>
      </c>
      <c r="D313" s="263">
        <f t="shared" ca="1" si="238"/>
        <v>58219.61568942263</v>
      </c>
      <c r="E313" s="263">
        <f t="shared" ca="1" si="238"/>
        <v>385.09058245397023</v>
      </c>
      <c r="F313" s="263">
        <f t="shared" ca="1" si="238"/>
        <v>0</v>
      </c>
      <c r="G313" s="263">
        <f t="shared" ca="1" si="238"/>
        <v>60530.15918414644</v>
      </c>
      <c r="H313" s="15"/>
      <c r="I313" s="35">
        <f t="shared" ca="1" si="239"/>
        <v>4.5</v>
      </c>
      <c r="J313" s="35">
        <f t="shared" ca="1" si="239"/>
        <v>80</v>
      </c>
      <c r="K313" s="35">
        <f t="shared" ca="1" si="239"/>
        <v>40</v>
      </c>
      <c r="L313" s="15"/>
      <c r="M313" s="35">
        <f t="shared" ca="1" si="240"/>
        <v>4.2299999999999995</v>
      </c>
      <c r="N313" s="35">
        <f t="shared" ca="1" si="240"/>
        <v>74.400000000000006</v>
      </c>
      <c r="O313" s="35">
        <f t="shared" ca="1" si="240"/>
        <v>37.200000000000003</v>
      </c>
      <c r="P313" s="15"/>
      <c r="Q313" s="34">
        <f t="shared" ca="1" si="241"/>
        <v>246268.97436625767</v>
      </c>
      <c r="R313" s="34">
        <f t="shared" ca="1" si="241"/>
        <v>28650.739334575384</v>
      </c>
      <c r="S313" s="34">
        <f t="shared" ca="1" si="241"/>
        <v>0</v>
      </c>
      <c r="T313" s="34">
        <f t="shared" ca="1" si="241"/>
        <v>274919.71370083309</v>
      </c>
      <c r="U313" s="15"/>
      <c r="V313" s="35">
        <f t="shared" si="242"/>
        <v>0.31</v>
      </c>
      <c r="W313" s="34">
        <f t="shared" ca="1" si="235"/>
        <v>18764.349347085397</v>
      </c>
      <c r="X313" s="35">
        <f t="shared" si="242"/>
        <v>0.37</v>
      </c>
      <c r="Y313" s="34">
        <f t="shared" ca="1" si="235"/>
        <v>22396.158898134185</v>
      </c>
      <c r="Z313" s="35">
        <f t="shared" si="225"/>
        <v>0.57999999999999996</v>
      </c>
      <c r="AA313" s="34">
        <f t="shared" ca="1" si="236"/>
        <v>35107.492326804939</v>
      </c>
      <c r="AB313" s="34">
        <f t="shared" ca="1" si="236"/>
        <v>76268.000572024524</v>
      </c>
      <c r="AC313" s="15"/>
      <c r="AD313" s="34">
        <f t="shared" ca="1" si="237"/>
        <v>198651.71312880854</v>
      </c>
      <c r="AE313" s="34">
        <f t="shared" ca="1" si="237"/>
        <v>0</v>
      </c>
      <c r="AF313" s="34">
        <f t="shared" ca="1" si="237"/>
        <v>198651.71312880854</v>
      </c>
      <c r="AG313" s="15"/>
      <c r="AH313" s="273"/>
      <c r="AI313" s="267"/>
      <c r="AJ313" s="267"/>
      <c r="AK313" s="34">
        <f t="shared" ca="1" si="219"/>
        <v>8026.7286399460399</v>
      </c>
      <c r="AL313" s="233"/>
    </row>
    <row r="314" spans="2:38" x14ac:dyDescent="0.3">
      <c r="B314" s="232"/>
      <c r="C314" s="250">
        <f t="shared" si="226"/>
        <v>2048</v>
      </c>
      <c r="D314" s="263">
        <f t="shared" ca="1" si="238"/>
        <v>55758.153485849813</v>
      </c>
      <c r="E314" s="263">
        <f t="shared" ca="1" si="238"/>
        <v>368.80937031545557</v>
      </c>
      <c r="F314" s="263">
        <f t="shared" ca="1" si="238"/>
        <v>0</v>
      </c>
      <c r="G314" s="263">
        <f t="shared" ca="1" si="238"/>
        <v>57971.009707742545</v>
      </c>
      <c r="H314" s="15"/>
      <c r="I314" s="35">
        <f t="shared" ca="1" si="239"/>
        <v>4.5</v>
      </c>
      <c r="J314" s="35">
        <f t="shared" ca="1" si="239"/>
        <v>80</v>
      </c>
      <c r="K314" s="35">
        <f t="shared" ca="1" si="239"/>
        <v>40</v>
      </c>
      <c r="L314" s="15"/>
      <c r="M314" s="35">
        <f t="shared" ca="1" si="240"/>
        <v>4.2299999999999995</v>
      </c>
      <c r="N314" s="35">
        <f t="shared" ca="1" si="240"/>
        <v>74.400000000000006</v>
      </c>
      <c r="O314" s="35">
        <f t="shared" ca="1" si="240"/>
        <v>37.200000000000003</v>
      </c>
      <c r="P314" s="15"/>
      <c r="Q314" s="34">
        <f t="shared" ca="1" si="241"/>
        <v>235856.98924514471</v>
      </c>
      <c r="R314" s="34">
        <f t="shared" ca="1" si="241"/>
        <v>27439.41715146989</v>
      </c>
      <c r="S314" s="34">
        <f t="shared" ca="1" si="241"/>
        <v>0</v>
      </c>
      <c r="T314" s="34">
        <f t="shared" ca="1" si="241"/>
        <v>263296.40639661462</v>
      </c>
      <c r="U314" s="15"/>
      <c r="V314" s="35">
        <f t="shared" si="242"/>
        <v>0.31</v>
      </c>
      <c r="W314" s="34">
        <f t="shared" ca="1" si="235"/>
        <v>17971.013009400187</v>
      </c>
      <c r="X314" s="35">
        <f t="shared" si="242"/>
        <v>0.37</v>
      </c>
      <c r="Y314" s="34">
        <f t="shared" ca="1" si="235"/>
        <v>21449.273591864745</v>
      </c>
      <c r="Z314" s="35">
        <f t="shared" si="225"/>
        <v>0.57999999999999996</v>
      </c>
      <c r="AA314" s="34">
        <f t="shared" ca="1" si="236"/>
        <v>33623.185630490676</v>
      </c>
      <c r="AB314" s="34">
        <f t="shared" ca="1" si="236"/>
        <v>73043.472231755615</v>
      </c>
      <c r="AC314" s="15"/>
      <c r="AD314" s="34">
        <f t="shared" ca="1" si="237"/>
        <v>190252.93416485901</v>
      </c>
      <c r="AE314" s="34">
        <f t="shared" ca="1" si="237"/>
        <v>0</v>
      </c>
      <c r="AF314" s="34">
        <f t="shared" ca="1" si="237"/>
        <v>190252.93416485901</v>
      </c>
      <c r="AG314" s="15"/>
      <c r="AH314" s="273"/>
      <c r="AI314" s="267"/>
      <c r="AJ314" s="267"/>
      <c r="AK314" s="34">
        <f t="shared" ca="1" si="219"/>
        <v>6988.5156902021772</v>
      </c>
      <c r="AL314" s="233"/>
    </row>
    <row r="315" spans="2:38" x14ac:dyDescent="0.3">
      <c r="B315" s="232"/>
      <c r="C315" s="250">
        <f t="shared" si="226"/>
        <v>2049</v>
      </c>
      <c r="D315" s="263">
        <f t="shared" ca="1" si="238"/>
        <v>53432.008620866327</v>
      </c>
      <c r="E315" s="263">
        <f t="shared" ca="1" si="238"/>
        <v>353.42320758797558</v>
      </c>
      <c r="F315" s="263">
        <f t="shared" ca="1" si="238"/>
        <v>0</v>
      </c>
      <c r="G315" s="263">
        <f t="shared" ca="1" si="238"/>
        <v>55552.547866394183</v>
      </c>
      <c r="H315" s="15"/>
      <c r="I315" s="35">
        <f t="shared" ca="1" si="239"/>
        <v>4.5</v>
      </c>
      <c r="J315" s="35">
        <f t="shared" ca="1" si="239"/>
        <v>80</v>
      </c>
      <c r="K315" s="35">
        <f t="shared" ca="1" si="239"/>
        <v>40</v>
      </c>
      <c r="L315" s="15"/>
      <c r="M315" s="35">
        <f t="shared" ca="1" si="240"/>
        <v>4.2299999999999995</v>
      </c>
      <c r="N315" s="35">
        <f t="shared" ca="1" si="240"/>
        <v>74.400000000000006</v>
      </c>
      <c r="O315" s="35">
        <f t="shared" ca="1" si="240"/>
        <v>37.200000000000003</v>
      </c>
      <c r="P315" s="15"/>
      <c r="Q315" s="34">
        <f t="shared" ca="1" si="241"/>
        <v>226017.39646626456</v>
      </c>
      <c r="R315" s="34">
        <f t="shared" ca="1" si="241"/>
        <v>26294.686644545385</v>
      </c>
      <c r="S315" s="34">
        <f t="shared" ca="1" si="241"/>
        <v>0</v>
      </c>
      <c r="T315" s="34">
        <f t="shared" ca="1" si="241"/>
        <v>252312.08311080994</v>
      </c>
      <c r="U315" s="15"/>
      <c r="V315" s="35">
        <f t="shared" si="242"/>
        <v>0.31</v>
      </c>
      <c r="W315" s="34">
        <f t="shared" ca="1" si="235"/>
        <v>17221.289838582197</v>
      </c>
      <c r="X315" s="35">
        <f t="shared" si="242"/>
        <v>0.37</v>
      </c>
      <c r="Y315" s="34">
        <f t="shared" ca="1" si="235"/>
        <v>20554.442710565847</v>
      </c>
      <c r="Z315" s="35">
        <f t="shared" si="225"/>
        <v>0.57999999999999996</v>
      </c>
      <c r="AA315" s="34">
        <f t="shared" ca="1" si="236"/>
        <v>32220.477762508628</v>
      </c>
      <c r="AB315" s="34">
        <f t="shared" ca="1" si="236"/>
        <v>69996.210311656672</v>
      </c>
      <c r="AC315" s="15"/>
      <c r="AD315" s="34">
        <f t="shared" ca="1" si="237"/>
        <v>182315.87279915327</v>
      </c>
      <c r="AE315" s="34">
        <f t="shared" ca="1" si="237"/>
        <v>0</v>
      </c>
      <c r="AF315" s="34">
        <f t="shared" ca="1" si="237"/>
        <v>182315.87279915327</v>
      </c>
      <c r="AG315" s="15"/>
      <c r="AH315" s="273"/>
      <c r="AI315" s="267"/>
      <c r="AJ315" s="267"/>
      <c r="AK315" s="34">
        <f t="shared" ca="1" si="219"/>
        <v>6088.1504605372593</v>
      </c>
      <c r="AL315" s="233"/>
    </row>
    <row r="316" spans="2:38" x14ac:dyDescent="0.3">
      <c r="B316" s="232"/>
      <c r="C316" s="250">
        <f t="shared" si="226"/>
        <v>2050</v>
      </c>
      <c r="D316" s="263">
        <f t="shared" ca="1" si="238"/>
        <v>51225.768503401436</v>
      </c>
      <c r="E316" s="263">
        <f t="shared" ca="1" si="238"/>
        <v>338.83014849943498</v>
      </c>
      <c r="F316" s="263">
        <f t="shared" ca="1" si="238"/>
        <v>0</v>
      </c>
      <c r="G316" s="263">
        <f t="shared" ca="1" si="238"/>
        <v>53258.749394398044</v>
      </c>
      <c r="H316" s="15"/>
      <c r="I316" s="35">
        <f t="shared" ca="1" si="239"/>
        <v>4.5</v>
      </c>
      <c r="J316" s="35">
        <f t="shared" ca="1" si="239"/>
        <v>80</v>
      </c>
      <c r="K316" s="35">
        <f t="shared" ca="1" si="239"/>
        <v>40</v>
      </c>
      <c r="L316" s="15"/>
      <c r="M316" s="35">
        <f t="shared" ca="1" si="240"/>
        <v>4.2299999999999995</v>
      </c>
      <c r="N316" s="35">
        <f t="shared" ca="1" si="240"/>
        <v>74.400000000000006</v>
      </c>
      <c r="O316" s="35">
        <f t="shared" ca="1" si="240"/>
        <v>37.200000000000003</v>
      </c>
      <c r="P316" s="15"/>
      <c r="Q316" s="34">
        <f t="shared" ca="1" si="241"/>
        <v>216685.00076938805</v>
      </c>
      <c r="R316" s="34">
        <f t="shared" ca="1" si="241"/>
        <v>25208.96304835796</v>
      </c>
      <c r="S316" s="34">
        <f t="shared" ca="1" si="241"/>
        <v>0</v>
      </c>
      <c r="T316" s="34">
        <f t="shared" ca="1" si="241"/>
        <v>241893.963817746</v>
      </c>
      <c r="U316" s="15"/>
      <c r="V316" s="35">
        <f t="shared" si="242"/>
        <v>0.31</v>
      </c>
      <c r="W316" s="34">
        <f t="shared" ca="1" si="235"/>
        <v>16510.212312263393</v>
      </c>
      <c r="X316" s="35">
        <f t="shared" si="242"/>
        <v>0.37</v>
      </c>
      <c r="Y316" s="34">
        <f t="shared" ca="1" si="235"/>
        <v>19705.737275927277</v>
      </c>
      <c r="Z316" s="35">
        <f t="shared" si="225"/>
        <v>0.57999999999999996</v>
      </c>
      <c r="AA316" s="34">
        <f t="shared" ca="1" si="236"/>
        <v>30890.074648750862</v>
      </c>
      <c r="AB316" s="34">
        <f t="shared" ca="1" si="236"/>
        <v>67106.024236941535</v>
      </c>
      <c r="AC316" s="15"/>
      <c r="AD316" s="34">
        <f t="shared" ca="1" si="237"/>
        <v>174787.93958080446</v>
      </c>
      <c r="AE316" s="34">
        <f t="shared" ca="1" si="237"/>
        <v>0</v>
      </c>
      <c r="AF316" s="34">
        <f t="shared" ca="1" si="237"/>
        <v>174787.93958080446</v>
      </c>
      <c r="AG316" s="15"/>
      <c r="AH316" s="273"/>
      <c r="AI316" s="267"/>
      <c r="AJ316" s="267"/>
      <c r="AK316" s="34">
        <f t="shared" ca="1" si="219"/>
        <v>5306.1518427392875</v>
      </c>
      <c r="AL316" s="233"/>
    </row>
    <row r="317" spans="2:38" x14ac:dyDescent="0.3">
      <c r="B317" s="232"/>
      <c r="C317" s="250">
        <f t="shared" si="226"/>
        <v>2051</v>
      </c>
      <c r="D317" s="263">
        <f t="shared" ca="1" si="238"/>
        <v>49127.22368096689</v>
      </c>
      <c r="E317" s="263">
        <f t="shared" ca="1" si="238"/>
        <v>324.94943426923254</v>
      </c>
      <c r="F317" s="263">
        <f t="shared" ca="1" si="238"/>
        <v>0</v>
      </c>
      <c r="G317" s="263">
        <f t="shared" ca="1" si="238"/>
        <v>51076.920286582281</v>
      </c>
      <c r="H317" s="15"/>
      <c r="I317" s="35">
        <f t="shared" ca="1" si="239"/>
        <v>4.5</v>
      </c>
      <c r="J317" s="35">
        <f t="shared" ca="1" si="239"/>
        <v>80</v>
      </c>
      <c r="K317" s="35">
        <f t="shared" ca="1" si="239"/>
        <v>40</v>
      </c>
      <c r="L317" s="15"/>
      <c r="M317" s="35">
        <f t="shared" ca="1" si="240"/>
        <v>4.2299999999999995</v>
      </c>
      <c r="N317" s="35">
        <f t="shared" ca="1" si="240"/>
        <v>74.400000000000006</v>
      </c>
      <c r="O317" s="35">
        <f t="shared" ca="1" si="240"/>
        <v>37.200000000000003</v>
      </c>
      <c r="P317" s="15"/>
      <c r="Q317" s="34">
        <f t="shared" ca="1" si="241"/>
        <v>207808.15617048991</v>
      </c>
      <c r="R317" s="34">
        <f t="shared" ca="1" si="241"/>
        <v>24176.237909630901</v>
      </c>
      <c r="S317" s="34">
        <f t="shared" ca="1" si="241"/>
        <v>0</v>
      </c>
      <c r="T317" s="34">
        <f t="shared" ca="1" si="241"/>
        <v>231984.39408012084</v>
      </c>
      <c r="U317" s="15"/>
      <c r="V317" s="35">
        <f t="shared" si="242"/>
        <v>0.31</v>
      </c>
      <c r="W317" s="34">
        <f t="shared" ca="1" si="235"/>
        <v>15833.845288840508</v>
      </c>
      <c r="X317" s="35">
        <f t="shared" si="242"/>
        <v>0.37</v>
      </c>
      <c r="Y317" s="34">
        <f t="shared" ca="1" si="235"/>
        <v>18898.460506035444</v>
      </c>
      <c r="Z317" s="35">
        <f t="shared" si="225"/>
        <v>0.57999999999999996</v>
      </c>
      <c r="AA317" s="34">
        <f t="shared" ca="1" si="236"/>
        <v>29624.613766217721</v>
      </c>
      <c r="AB317" s="34">
        <f t="shared" ca="1" si="236"/>
        <v>64356.919561093673</v>
      </c>
      <c r="AC317" s="15"/>
      <c r="AD317" s="34">
        <f t="shared" ca="1" si="237"/>
        <v>167627.47451902714</v>
      </c>
      <c r="AE317" s="34">
        <f t="shared" ca="1" si="237"/>
        <v>0</v>
      </c>
      <c r="AF317" s="34">
        <f t="shared" ca="1" si="237"/>
        <v>167627.47451902714</v>
      </c>
      <c r="AG317" s="15"/>
      <c r="AH317" s="273"/>
      <c r="AI317" s="267"/>
      <c r="AJ317" s="267"/>
      <c r="AK317" s="34">
        <f t="shared" ca="1" si="219"/>
        <v>4626.160836258141</v>
      </c>
      <c r="AL317" s="233"/>
    </row>
    <row r="318" spans="2:38" x14ac:dyDescent="0.3">
      <c r="B318" s="232"/>
      <c r="C318" s="250">
        <f t="shared" si="226"/>
        <v>2052</v>
      </c>
      <c r="D318" s="263">
        <f t="shared" ca="1" si="238"/>
        <v>47126.437113450396</v>
      </c>
      <c r="E318" s="263">
        <f t="shared" ca="1" si="238"/>
        <v>311.71533686877535</v>
      </c>
      <c r="F318" s="263">
        <f t="shared" ca="1" si="238"/>
        <v>0</v>
      </c>
      <c r="G318" s="263">
        <f t="shared" ca="1" si="238"/>
        <v>48996.729134663045</v>
      </c>
      <c r="H318" s="15"/>
      <c r="I318" s="35">
        <f t="shared" ca="1" si="239"/>
        <v>4.5</v>
      </c>
      <c r="J318" s="35">
        <f t="shared" ca="1" si="239"/>
        <v>80</v>
      </c>
      <c r="K318" s="35">
        <f t="shared" ca="1" si="239"/>
        <v>40</v>
      </c>
      <c r="L318" s="15"/>
      <c r="M318" s="35">
        <f t="shared" ca="1" si="240"/>
        <v>4.2299999999999995</v>
      </c>
      <c r="N318" s="35">
        <f t="shared" ca="1" si="240"/>
        <v>74.400000000000006</v>
      </c>
      <c r="O318" s="35">
        <f t="shared" ca="1" si="240"/>
        <v>37.200000000000003</v>
      </c>
      <c r="P318" s="15"/>
      <c r="Q318" s="34">
        <f t="shared" ca="1" si="241"/>
        <v>199344.82898989515</v>
      </c>
      <c r="R318" s="34">
        <f t="shared" ca="1" si="241"/>
        <v>23191.621063036884</v>
      </c>
      <c r="S318" s="34">
        <f t="shared" ca="1" si="241"/>
        <v>0</v>
      </c>
      <c r="T318" s="34">
        <f t="shared" ca="1" si="241"/>
        <v>222536.45005293205</v>
      </c>
      <c r="U318" s="15"/>
      <c r="V318" s="35">
        <f t="shared" si="242"/>
        <v>0.31</v>
      </c>
      <c r="W318" s="34">
        <f t="shared" ca="1" si="235"/>
        <v>15188.986031745546</v>
      </c>
      <c r="X318" s="35">
        <f t="shared" si="242"/>
        <v>0.37</v>
      </c>
      <c r="Y318" s="34">
        <f t="shared" ca="1" si="235"/>
        <v>18128.789779825329</v>
      </c>
      <c r="Z318" s="35">
        <f t="shared" si="225"/>
        <v>0.57999999999999996</v>
      </c>
      <c r="AA318" s="34">
        <f t="shared" ca="1" si="236"/>
        <v>28418.102898104567</v>
      </c>
      <c r="AB318" s="34">
        <f t="shared" ca="1" si="236"/>
        <v>61735.878709675439</v>
      </c>
      <c r="AC318" s="15"/>
      <c r="AD318" s="34">
        <f t="shared" ca="1" si="237"/>
        <v>160800.57134325663</v>
      </c>
      <c r="AE318" s="34">
        <f t="shared" ca="1" si="237"/>
        <v>0</v>
      </c>
      <c r="AF318" s="34">
        <f t="shared" ca="1" si="237"/>
        <v>160800.57134325663</v>
      </c>
      <c r="AG318" s="15"/>
      <c r="AH318" s="273"/>
      <c r="AI318" s="267"/>
      <c r="AJ318" s="267"/>
      <c r="AK318" s="34">
        <f t="shared" ca="1" si="219"/>
        <v>4034.3207879720703</v>
      </c>
      <c r="AL318" s="233"/>
    </row>
    <row r="319" spans="2:38" x14ac:dyDescent="0.3">
      <c r="B319" s="232"/>
      <c r="C319" s="250">
        <f t="shared" si="226"/>
        <v>2053</v>
      </c>
      <c r="D319" s="263">
        <f t="shared" ca="1" si="238"/>
        <v>45215.141483513646</v>
      </c>
      <c r="E319" s="263">
        <f t="shared" ca="1" si="238"/>
        <v>299.07317256284034</v>
      </c>
      <c r="F319" s="263">
        <f t="shared" ca="1" si="238"/>
        <v>0</v>
      </c>
      <c r="G319" s="263">
        <f t="shared" ca="1" si="238"/>
        <v>47009.580518890696</v>
      </c>
      <c r="H319" s="15"/>
      <c r="I319" s="35">
        <f t="shared" ca="1" si="239"/>
        <v>4.5</v>
      </c>
      <c r="J319" s="35">
        <f t="shared" ca="1" si="239"/>
        <v>80</v>
      </c>
      <c r="K319" s="35">
        <f t="shared" ca="1" si="239"/>
        <v>40</v>
      </c>
      <c r="L319" s="15"/>
      <c r="M319" s="35">
        <f t="shared" ca="1" si="240"/>
        <v>4.2299999999999995</v>
      </c>
      <c r="N319" s="35">
        <f t="shared" ca="1" si="240"/>
        <v>74.400000000000006</v>
      </c>
      <c r="O319" s="35">
        <f t="shared" ca="1" si="240"/>
        <v>37.200000000000003</v>
      </c>
      <c r="P319" s="15"/>
      <c r="Q319" s="34">
        <f t="shared" ca="1" si="241"/>
        <v>191260.04847526271</v>
      </c>
      <c r="R319" s="34">
        <f t="shared" ca="1" si="241"/>
        <v>22251.044038675322</v>
      </c>
      <c r="S319" s="34">
        <f t="shared" ca="1" si="241"/>
        <v>0</v>
      </c>
      <c r="T319" s="34">
        <f t="shared" ca="1" si="241"/>
        <v>213511.09251393803</v>
      </c>
      <c r="U319" s="15"/>
      <c r="V319" s="35">
        <f t="shared" si="242"/>
        <v>0.31</v>
      </c>
      <c r="W319" s="34">
        <f t="shared" ca="1" si="235"/>
        <v>14572.969960856113</v>
      </c>
      <c r="X319" s="35">
        <f t="shared" si="242"/>
        <v>0.37</v>
      </c>
      <c r="Y319" s="34">
        <f t="shared" ca="1" si="235"/>
        <v>17393.544791989556</v>
      </c>
      <c r="Z319" s="35">
        <f t="shared" si="225"/>
        <v>0.57999999999999996</v>
      </c>
      <c r="AA319" s="34">
        <f t="shared" ca="1" si="236"/>
        <v>27265.5567009566</v>
      </c>
      <c r="AB319" s="34">
        <f t="shared" ca="1" si="236"/>
        <v>59232.071453802266</v>
      </c>
      <c r="AC319" s="15"/>
      <c r="AD319" s="34">
        <f t="shared" ca="1" si="237"/>
        <v>154279.02106013574</v>
      </c>
      <c r="AE319" s="34">
        <f t="shared" ca="1" si="237"/>
        <v>0</v>
      </c>
      <c r="AF319" s="34">
        <f t="shared" ca="1" si="237"/>
        <v>154279.02106013574</v>
      </c>
      <c r="AG319" s="15"/>
      <c r="AH319" s="273"/>
      <c r="AI319" s="267"/>
      <c r="AJ319" s="267"/>
      <c r="AK319" s="34">
        <f t="shared" ca="1" si="219"/>
        <v>3518.8198231089532</v>
      </c>
      <c r="AL319" s="233"/>
    </row>
    <row r="320" spans="2:38" x14ac:dyDescent="0.3">
      <c r="B320" s="232"/>
      <c r="C320" s="274" t="s">
        <v>302</v>
      </c>
      <c r="D320" s="39">
        <f ca="1">SUM(D279:D319)</f>
        <v>4131432.5610573674</v>
      </c>
      <c r="E320" s="39">
        <f t="shared" ref="E320:G320" ca="1" si="243">SUM(E279:E319)</f>
        <v>27327.143136671868</v>
      </c>
      <c r="F320" s="39">
        <f t="shared" ca="1" si="243"/>
        <v>0</v>
      </c>
      <c r="G320" s="39">
        <f t="shared" ca="1" si="243"/>
        <v>4295395.4198773988</v>
      </c>
      <c r="H320" s="15"/>
      <c r="I320" s="15"/>
      <c r="J320" s="15"/>
      <c r="K320" s="15"/>
      <c r="L320" s="15"/>
      <c r="M320" s="35"/>
      <c r="N320" s="35"/>
      <c r="O320" s="35"/>
      <c r="P320" s="15"/>
      <c r="Q320" s="8">
        <f ca="1">SUM(Q279:Q319)</f>
        <v>17253927.245527428</v>
      </c>
      <c r="R320" s="8">
        <f t="shared" ref="R320:T320" ca="1" si="244">SUM(R279:R319)</f>
        <v>2056435.063842915</v>
      </c>
      <c r="S320" s="8">
        <f t="shared" ca="1" si="244"/>
        <v>0</v>
      </c>
      <c r="T320" s="8">
        <f t="shared" ca="1" si="244"/>
        <v>19310362.309370339</v>
      </c>
      <c r="U320" s="15"/>
      <c r="V320" s="275"/>
      <c r="W320" s="276">
        <f ca="1">SUM(W279:W319)</f>
        <v>1331572.5801619936</v>
      </c>
      <c r="X320" s="275"/>
      <c r="Y320" s="276">
        <f ca="1">SUM(Y279:Y319)</f>
        <v>1589296.3053546378</v>
      </c>
      <c r="Z320" s="275"/>
      <c r="AA320" s="276">
        <f ca="1">SUM(AA279:AA319)</f>
        <v>2491329.3435288905</v>
      </c>
      <c r="AB320" s="276">
        <f ca="1">SUM(AB279:AB319)</f>
        <v>5412198.2290455243</v>
      </c>
      <c r="AC320" s="15"/>
      <c r="AD320" s="276">
        <f ca="1">SUM(AD279:AD319)</f>
        <v>13898164.080324814</v>
      </c>
      <c r="AE320" s="276">
        <f ca="1">SUM(AE279:AE319)</f>
        <v>4468260.5156778488</v>
      </c>
      <c r="AF320" s="276">
        <f ca="1">SUM(AF279:AF319)</f>
        <v>9429903.5646469668</v>
      </c>
      <c r="AG320" s="15"/>
      <c r="AH320" s="277"/>
      <c r="AI320" s="278"/>
      <c r="AJ320" s="278"/>
      <c r="AK320" s="276">
        <f ca="1">SUM(AK279:AK319)</f>
        <v>1875602.4276458751</v>
      </c>
      <c r="AL320" s="233"/>
    </row>
    <row r="321" spans="2:38" x14ac:dyDescent="0.3">
      <c r="B321" s="232"/>
      <c r="C321" s="283" t="s">
        <v>303</v>
      </c>
      <c r="D321" s="263">
        <f ca="1">+D71+D120+D171+D221+D271</f>
        <v>470589.53564600559</v>
      </c>
      <c r="E321" s="263">
        <f ca="1">+E71+E120+E171+E221+E271</f>
        <v>3112.6897048821911</v>
      </c>
      <c r="F321" s="263">
        <f ca="1">+F71+F120+F171+F221+F271</f>
        <v>0</v>
      </c>
      <c r="G321" s="263">
        <f ca="1">+G71+G120+G171+G221+G271</f>
        <v>489265.67387529725</v>
      </c>
      <c r="H321" s="15"/>
      <c r="I321" s="35">
        <f ca="1">+I319</f>
        <v>4.5</v>
      </c>
      <c r="J321" s="35">
        <f t="shared" ref="J321:K321" ca="1" si="245">+J319</f>
        <v>80</v>
      </c>
      <c r="K321" s="35">
        <f t="shared" ca="1" si="245"/>
        <v>40</v>
      </c>
      <c r="L321" s="15"/>
      <c r="M321" s="35">
        <f ca="1">+M319</f>
        <v>4.2299999999999995</v>
      </c>
      <c r="N321" s="35">
        <f t="shared" ref="N321:O321" ca="1" si="246">+N319</f>
        <v>74.400000000000006</v>
      </c>
      <c r="O321" s="35">
        <f t="shared" ca="1" si="246"/>
        <v>37.200000000000003</v>
      </c>
      <c r="P321" s="15"/>
      <c r="Q321" s="34">
        <f t="shared" ref="Q321:T321" ca="1" si="247">+Q71+Q121+Q171+Q221+Q271</f>
        <v>1990593.7357826033</v>
      </c>
      <c r="R321" s="34">
        <f t="shared" ca="1" si="247"/>
        <v>231584.11404323502</v>
      </c>
      <c r="S321" s="34">
        <f t="shared" ca="1" si="247"/>
        <v>0</v>
      </c>
      <c r="T321" s="34">
        <f t="shared" ca="1" si="247"/>
        <v>2222177.8498258381</v>
      </c>
      <c r="U321" s="15"/>
      <c r="V321" s="35"/>
      <c r="W321" s="34">
        <f t="shared" ref="W321:Y321" ca="1" si="248">+W71+W121+W171+W221+W271</f>
        <v>151672.35890134214</v>
      </c>
      <c r="X321" s="35"/>
      <c r="Y321" s="34">
        <f t="shared" ca="1" si="248"/>
        <v>181028.29933385999</v>
      </c>
      <c r="Z321" s="35"/>
      <c r="AA321" s="34">
        <f t="shared" ref="AA321:AB321" ca="1" si="249">+AA71+AA121+AA171+AA221+AA271</f>
        <v>283774.09084767243</v>
      </c>
      <c r="AB321" s="34">
        <f t="shared" ca="1" si="249"/>
        <v>616474.74908287451</v>
      </c>
      <c r="AC321" s="15"/>
      <c r="AD321" s="34">
        <f t="shared" ca="1" si="237"/>
        <v>1605703.1007429638</v>
      </c>
      <c r="AE321" s="62">
        <f t="shared" ca="1" si="237"/>
        <v>101778.4000000001</v>
      </c>
      <c r="AF321" s="34">
        <f t="shared" ca="1" si="237"/>
        <v>1503924.7007429637</v>
      </c>
      <c r="AG321" s="15"/>
      <c r="AH321" s="266"/>
      <c r="AI321" s="267"/>
      <c r="AJ321" s="267"/>
      <c r="AK321" s="34">
        <f t="shared" ref="AK321" ca="1" si="250">+AK71+AK121+AK171+AK221+AK271</f>
        <v>34301.747658709734</v>
      </c>
      <c r="AL321" s="233"/>
    </row>
    <row r="322" spans="2:38" x14ac:dyDescent="0.3">
      <c r="B322" s="232"/>
      <c r="C322" s="60" t="s">
        <v>26</v>
      </c>
      <c r="D322" s="39">
        <f ca="1">SUM(D320:D321)</f>
        <v>4602022.0967033729</v>
      </c>
      <c r="E322" s="39">
        <f t="shared" ref="E322:G322" ca="1" si="251">SUM(E320:E321)</f>
        <v>30439.83284155406</v>
      </c>
      <c r="F322" s="39">
        <f t="shared" ca="1" si="251"/>
        <v>0</v>
      </c>
      <c r="G322" s="39">
        <f t="shared" ca="1" si="251"/>
        <v>4784661.0937526962</v>
      </c>
      <c r="H322" s="15"/>
      <c r="I322" s="15"/>
      <c r="J322" s="15"/>
      <c r="K322" s="15"/>
      <c r="L322" s="15"/>
      <c r="M322" s="15"/>
      <c r="N322" s="15"/>
      <c r="O322" s="15"/>
      <c r="P322" s="15"/>
      <c r="Q322" s="8">
        <f ca="1">SUM(Q320:Q321)</f>
        <v>19244520.981310032</v>
      </c>
      <c r="R322" s="8">
        <f t="shared" ref="R322:T322" ca="1" si="252">SUM(R320:R321)</f>
        <v>2288019.1778861498</v>
      </c>
      <c r="S322" s="8">
        <f t="shared" ca="1" si="252"/>
        <v>0</v>
      </c>
      <c r="T322" s="8">
        <f t="shared" ca="1" si="252"/>
        <v>21532540.159196176</v>
      </c>
      <c r="U322" s="15"/>
      <c r="V322" s="9"/>
      <c r="W322" s="8">
        <f ca="1">SUM(W320:W321)</f>
        <v>1483244.9390633358</v>
      </c>
      <c r="X322" s="9"/>
      <c r="Y322" s="8">
        <f ca="1">SUM(Y320:Y321)</f>
        <v>1770324.6046884977</v>
      </c>
      <c r="Z322" s="9"/>
      <c r="AA322" s="8">
        <f ca="1">SUM(AA320:AA321)</f>
        <v>2775103.4343765629</v>
      </c>
      <c r="AB322" s="8">
        <f ca="1">SUM(AB320:AB321)</f>
        <v>6028672.9781283988</v>
      </c>
      <c r="AC322" s="15"/>
      <c r="AD322" s="8">
        <f t="shared" ref="AD322:AF322" ca="1" si="253">SUM(AD320:AD321)</f>
        <v>15503867.181067778</v>
      </c>
      <c r="AE322" s="8">
        <f t="shared" ca="1" si="253"/>
        <v>4570038.9156778492</v>
      </c>
      <c r="AF322" s="8">
        <f t="shared" ca="1" si="253"/>
        <v>10933828.26538993</v>
      </c>
      <c r="AG322" s="15"/>
      <c r="AH322" s="9"/>
      <c r="AI322" s="9"/>
      <c r="AJ322" s="9"/>
      <c r="AK322" s="8">
        <f ca="1">SUM(AK320:AK321)</f>
        <v>1909904.1753045849</v>
      </c>
      <c r="AL322" s="233"/>
    </row>
    <row r="323" spans="2:38" x14ac:dyDescent="0.3">
      <c r="B323" s="256"/>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258"/>
    </row>
  </sheetData>
  <pageMargins left="0.7" right="0.7" top="0.75" bottom="0.75" header="0.3" footer="0.3"/>
  <pageSetup orientation="portrait" r:id="rId1"/>
  <ignoredErrors>
    <ignoredError sqref="AK320"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38</vt:i4>
      </vt:variant>
    </vt:vector>
  </HeadingPairs>
  <TitlesOfParts>
    <vt:vector size="49" baseType="lpstr">
      <vt:lpstr>Assumptions</vt:lpstr>
      <vt:lpstr>Data</vt:lpstr>
      <vt:lpstr>DCF</vt:lpstr>
      <vt:lpstr>Hedges</vt:lpstr>
      <vt:lpstr>Rollup</vt:lpstr>
      <vt:lpstr>Start</vt:lpstr>
      <vt:lpstr>PD</vt:lpstr>
      <vt:lpstr>PA</vt:lpstr>
      <vt:lpstr>WY</vt:lpstr>
      <vt:lpstr>UT</vt:lpstr>
      <vt:lpstr>End</vt:lpstr>
      <vt:lpstr>Bbl_to_Mcfe</vt:lpstr>
      <vt:lpstr>Circ_Ref</vt:lpstr>
      <vt:lpstr>Company_Name</vt:lpstr>
      <vt:lpstr>Discount_Rate</vt:lpstr>
      <vt:lpstr>Drill_Schedule_Range</vt:lpstr>
      <vt:lpstr>Drill_Schedule_Region_Row</vt:lpstr>
      <vt:lpstr>Drill_Schedule_Year_Column</vt:lpstr>
      <vt:lpstr>FY_Date</vt:lpstr>
      <vt:lpstr>FY_Quarter_End_Date</vt:lpstr>
      <vt:lpstr>GA_Per_Mcfe</vt:lpstr>
      <vt:lpstr>Gas_Price_Diff</vt:lpstr>
      <vt:lpstr>Initial_Tax_Rate</vt:lpstr>
      <vt:lpstr>Initial_Tax_Rate_Years</vt:lpstr>
      <vt:lpstr>LOE_Per_Mcfe</vt:lpstr>
      <vt:lpstr>LT_Gas</vt:lpstr>
      <vt:lpstr>LT_Oil</vt:lpstr>
      <vt:lpstr>NGL_Price_Diff_vs_Oil</vt:lpstr>
      <vt:lpstr>NOL</vt:lpstr>
      <vt:lpstr>Oil_Price_Diff</vt:lpstr>
      <vt:lpstr>Other_OpEx_Per_Mcfe</vt:lpstr>
      <vt:lpstr>Data!Print_Area</vt:lpstr>
      <vt:lpstr>Hedges!Print_Area</vt:lpstr>
      <vt:lpstr>Prod_Taxes_Per_Mcfe</vt:lpstr>
      <vt:lpstr>Regional_Input_Range</vt:lpstr>
      <vt:lpstr>Regional_Input_Region_Row</vt:lpstr>
      <vt:lpstr>Regional_Input_Var_Column</vt:lpstr>
      <vt:lpstr>Remainder_Date</vt:lpstr>
      <vt:lpstr>Reserve_Credit_Categories_Col</vt:lpstr>
      <vt:lpstr>Reserve_Credit_Range</vt:lpstr>
      <vt:lpstr>Reserve_Credit_Regions_Row</vt:lpstr>
      <vt:lpstr>Share_Price</vt:lpstr>
      <vt:lpstr>Stat_Tax_Rate</vt:lpstr>
      <vt:lpstr>Stub_Per_Adj</vt:lpstr>
      <vt:lpstr>Units</vt:lpstr>
      <vt:lpstr>Valuation_Date</vt:lpstr>
      <vt:lpstr>Wells_Input_Range</vt:lpstr>
      <vt:lpstr>Wells_Input_Region_Column</vt:lpstr>
      <vt:lpstr>Wells_Input_Reserve_Row</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2014-05-06T21:36:46Z</dcterms:modified>
</cp:coreProperties>
</file>