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WS Dropbox\Brian DeChesare\BIWS-All-Courses\100-Bonus-Case-Studies\101-Three-Statement-Modeling\101-02-Debt-Schedule\"/>
    </mc:Choice>
  </mc:AlternateContent>
  <xr:revisionPtr revIDLastSave="0" documentId="13_ncr:1_{61EAE648-2C4C-40A6-ADF2-3352492DF9CD}" xr6:coauthVersionLast="47" xr6:coauthVersionMax="47" xr10:uidLastSave="{00000000-0000-0000-0000-000000000000}"/>
  <bookViews>
    <workbookView xWindow="-120" yWindow="-120" windowWidth="29040" windowHeight="15840" xr2:uid="{81226ABA-452E-4746-9005-B40A5720DEFB}"/>
  </bookViews>
  <sheets>
    <sheet name="NFLX" sheetId="1" r:id="rId1"/>
    <sheet name="Data" sheetId="6" r:id="rId2"/>
  </sheets>
  <definedNames>
    <definedName name="CIQWBGuid" hidden="1">"fedf60f8-2cd9-49ba-9fee-91fc372c3a0f"</definedName>
    <definedName name="Company_Name">NFLX!$E$7</definedName>
    <definedName name="Equity_Pct">NFLX!$E$23</definedName>
    <definedName name="Hist_Year">NFLX!$E$9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"08/30/2015 13:55:30"</definedName>
    <definedName name="IQ_QTD" hidden="1">750000</definedName>
    <definedName name="IQ_TODAY" hidden="1">0</definedName>
    <definedName name="IQ_YTDMONTH" hidden="1">130000</definedName>
    <definedName name="Min_Cash_Pct_Revenue">NFLX!$E$14</definedName>
    <definedName name="Months_in_Year">NFLX!$E$17</definedName>
    <definedName name="_xlnm.Print_Area" localSheetId="1">Data!$A$1:$N$24</definedName>
    <definedName name="_xlnm.Print_Area" localSheetId="0">NFLX!$A$1:$O$150</definedName>
    <definedName name="Scenario">NFLX!$E$11</definedName>
    <definedName name="Sr_Note_Pct">NFLX!$E$22</definedName>
    <definedName name="Tax_Rate">NFLX!$E$13</definedName>
    <definedName name="Ticker">NFLX!$E$8</definedName>
    <definedName name="Units">NFLX!$E$16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6" i="1" l="1"/>
  <c r="H75" i="1"/>
  <c r="H145" i="1"/>
  <c r="H144" i="1"/>
  <c r="H133" i="1"/>
  <c r="L129" i="1"/>
  <c r="K129" i="1"/>
  <c r="J129" i="1"/>
  <c r="I129" i="1"/>
  <c r="H129" i="1"/>
  <c r="H127" i="1"/>
  <c r="L121" i="1"/>
  <c r="K121" i="1"/>
  <c r="K120" i="1"/>
  <c r="J121" i="1"/>
  <c r="J120" i="1"/>
  <c r="J119" i="1"/>
  <c r="J118" i="1"/>
  <c r="J117" i="1"/>
  <c r="L119" i="1"/>
  <c r="L118" i="1"/>
  <c r="L117" i="1"/>
  <c r="K116" i="1"/>
  <c r="L116" i="1" s="1"/>
  <c r="I121" i="1"/>
  <c r="H121" i="1"/>
  <c r="H120" i="1"/>
  <c r="I120" i="1" s="1"/>
  <c r="H119" i="1"/>
  <c r="I119" i="1" s="1"/>
  <c r="H118" i="1"/>
  <c r="I118" i="1" s="1"/>
  <c r="H117" i="1"/>
  <c r="I117" i="1" s="1"/>
  <c r="I116" i="1"/>
  <c r="H116" i="1"/>
  <c r="J115" i="1"/>
  <c r="K115" i="1" s="1"/>
  <c r="L115" i="1" s="1"/>
  <c r="I115" i="1"/>
  <c r="J109" i="1"/>
  <c r="K109" i="1" s="1"/>
  <c r="L109" i="1" s="1"/>
  <c r="I109" i="1"/>
  <c r="I108" i="1"/>
  <c r="J108" i="1" s="1"/>
  <c r="K108" i="1" s="1"/>
  <c r="L108" i="1" s="1"/>
  <c r="J107" i="1"/>
  <c r="K107" i="1" s="1"/>
  <c r="L107" i="1" s="1"/>
  <c r="I107" i="1"/>
  <c r="J106" i="1"/>
  <c r="K106" i="1" s="1"/>
  <c r="L106" i="1" s="1"/>
  <c r="I106" i="1"/>
  <c r="I105" i="1"/>
  <c r="J105" i="1" s="1"/>
  <c r="K105" i="1" s="1"/>
  <c r="L105" i="1" s="1"/>
  <c r="I104" i="1"/>
  <c r="J104" i="1" s="1"/>
  <c r="K104" i="1" s="1"/>
  <c r="L104" i="1" s="1"/>
  <c r="J103" i="1"/>
  <c r="K103" i="1" s="1"/>
  <c r="L103" i="1" s="1"/>
  <c r="I103" i="1"/>
  <c r="H109" i="1"/>
  <c r="H108" i="1"/>
  <c r="H107" i="1"/>
  <c r="H106" i="1"/>
  <c r="H105" i="1"/>
  <c r="H104" i="1"/>
  <c r="H103" i="1"/>
  <c r="F144" i="1" l="1"/>
  <c r="G144" i="1"/>
  <c r="E144" i="1"/>
  <c r="N98" i="1"/>
  <c r="N97" i="1"/>
  <c r="B2" i="1"/>
  <c r="I66" i="1"/>
  <c r="J66" i="1" s="1"/>
  <c r="K66" i="1" s="1"/>
  <c r="L66" i="1" s="1"/>
  <c r="I65" i="1"/>
  <c r="J65" i="1" s="1"/>
  <c r="K65" i="1" s="1"/>
  <c r="L65" i="1" s="1"/>
  <c r="I61" i="1"/>
  <c r="J61" i="1" s="1"/>
  <c r="K61" i="1" s="1"/>
  <c r="L61" i="1" s="1"/>
  <c r="I57" i="1"/>
  <c r="J57" i="1" s="1"/>
  <c r="K57" i="1" s="1"/>
  <c r="L57" i="1" s="1"/>
  <c r="G59" i="1"/>
  <c r="F59" i="1"/>
  <c r="F66" i="1"/>
  <c r="G66" i="1"/>
  <c r="E66" i="1"/>
  <c r="F65" i="1"/>
  <c r="G65" i="1"/>
  <c r="E65" i="1"/>
  <c r="F64" i="1"/>
  <c r="G64" i="1"/>
  <c r="E64" i="1"/>
  <c r="F62" i="1"/>
  <c r="G62" i="1"/>
  <c r="E62" i="1"/>
  <c r="H62" i="1" s="1"/>
  <c r="I62" i="1" s="1"/>
  <c r="J62" i="1" s="1"/>
  <c r="K62" i="1" s="1"/>
  <c r="L62" i="1" s="1"/>
  <c r="F61" i="1"/>
  <c r="G61" i="1"/>
  <c r="E61" i="1"/>
  <c r="C55" i="1"/>
  <c r="C54" i="1"/>
  <c r="C53" i="1"/>
  <c r="K52" i="1" s="1"/>
  <c r="F149" i="1"/>
  <c r="G149" i="1"/>
  <c r="E149" i="1"/>
  <c r="E147" i="1"/>
  <c r="F147" i="1"/>
  <c r="B69" i="1"/>
  <c r="H68" i="1"/>
  <c r="E68" i="1"/>
  <c r="G29" i="1"/>
  <c r="G69" i="1" s="1"/>
  <c r="H64" i="1" l="1"/>
  <c r="I64" i="1" s="1"/>
  <c r="J64" i="1" s="1"/>
  <c r="K64" i="1" s="1"/>
  <c r="L64" i="1" s="1"/>
  <c r="H52" i="1"/>
  <c r="J52" i="1"/>
  <c r="I52" i="1"/>
  <c r="L52" i="1"/>
  <c r="F29" i="1"/>
  <c r="F69" i="1" s="1"/>
  <c r="H29" i="1"/>
  <c r="H69" i="1" s="1"/>
  <c r="I29" i="1" l="1"/>
  <c r="J29" i="1" s="1"/>
  <c r="E29" i="1"/>
  <c r="E69" i="1" s="1"/>
  <c r="I69" i="1" l="1"/>
  <c r="K29" i="1"/>
  <c r="J69" i="1"/>
  <c r="L29" i="1" l="1"/>
  <c r="L69" i="1" s="1"/>
  <c r="K69" i="1"/>
  <c r="F78" i="1" l="1"/>
  <c r="F85" i="1" s="1"/>
  <c r="F92" i="1" s="1"/>
  <c r="G78" i="1"/>
  <c r="G85" i="1" s="1"/>
  <c r="G92" i="1" s="1"/>
  <c r="E78" i="1"/>
  <c r="E85" i="1" s="1"/>
  <c r="E92" i="1" s="1"/>
  <c r="E23" i="1"/>
  <c r="N69" i="1"/>
  <c r="N68" i="1"/>
  <c r="E14" i="1" l="1"/>
  <c r="G124" i="1" l="1"/>
  <c r="G147" i="1" s="1"/>
  <c r="C109" i="1"/>
  <c r="C121" i="1" s="1"/>
  <c r="C108" i="1"/>
  <c r="C120" i="1" s="1"/>
  <c r="C107" i="1"/>
  <c r="C119" i="1" s="1"/>
  <c r="C106" i="1"/>
  <c r="C118" i="1" s="1"/>
  <c r="C105" i="1"/>
  <c r="C117" i="1" s="1"/>
  <c r="C104" i="1"/>
  <c r="C116" i="1" s="1"/>
  <c r="C103" i="1"/>
  <c r="C115" i="1" s="1"/>
  <c r="D98" i="1"/>
  <c r="D19" i="1" l="1"/>
  <c r="E22" i="6"/>
  <c r="F22" i="6"/>
  <c r="G22" i="6"/>
  <c r="H22" i="6"/>
  <c r="I22" i="6"/>
  <c r="J22" i="6"/>
  <c r="K22" i="6"/>
  <c r="L22" i="6"/>
  <c r="M22" i="6"/>
  <c r="D22" i="6"/>
  <c r="E19" i="6"/>
  <c r="F19" i="6"/>
  <c r="G19" i="6"/>
  <c r="H19" i="6"/>
  <c r="I19" i="6"/>
  <c r="J19" i="6"/>
  <c r="K19" i="6"/>
  <c r="L19" i="6"/>
  <c r="M19" i="6"/>
  <c r="D19" i="6"/>
  <c r="I38" i="1"/>
  <c r="J38" i="1"/>
  <c r="K38" i="1"/>
  <c r="L38" i="1"/>
  <c r="H38" i="1"/>
  <c r="C50" i="1"/>
  <c r="C49" i="1"/>
  <c r="C48" i="1"/>
  <c r="E6" i="6"/>
  <c r="M6" i="6"/>
  <c r="L6" i="6"/>
  <c r="K6" i="6"/>
  <c r="J6" i="6"/>
  <c r="I6" i="6"/>
  <c r="H6" i="6"/>
  <c r="G6" i="6"/>
  <c r="F6" i="6"/>
  <c r="M14" i="6"/>
  <c r="G47" i="1" s="1"/>
  <c r="L14" i="6"/>
  <c r="F47" i="1" s="1"/>
  <c r="K14" i="6"/>
  <c r="E47" i="1" s="1"/>
  <c r="J14" i="6"/>
  <c r="I14" i="6"/>
  <c r="H14" i="6"/>
  <c r="G14" i="6"/>
  <c r="F14" i="6"/>
  <c r="E14" i="6"/>
  <c r="F9" i="6"/>
  <c r="G9" i="6"/>
  <c r="H9" i="6"/>
  <c r="I9" i="6"/>
  <c r="J9" i="6"/>
  <c r="K9" i="6"/>
  <c r="E38" i="1" s="1"/>
  <c r="L9" i="6"/>
  <c r="F38" i="1" s="1"/>
  <c r="M9" i="6"/>
  <c r="G38" i="1" s="1"/>
  <c r="E9" i="6"/>
  <c r="F31" i="1"/>
  <c r="G31" i="1"/>
  <c r="F32" i="1"/>
  <c r="G32" i="1"/>
  <c r="H32" i="1" s="1"/>
  <c r="I32" i="1" s="1"/>
  <c r="J32" i="1" s="1"/>
  <c r="F37" i="1"/>
  <c r="G37" i="1"/>
  <c r="F44" i="1"/>
  <c r="F57" i="1" s="1"/>
  <c r="G44" i="1"/>
  <c r="G57" i="1" s="1"/>
  <c r="F46" i="1"/>
  <c r="G46" i="1"/>
  <c r="E46" i="1"/>
  <c r="E44" i="1"/>
  <c r="E57" i="1" s="1"/>
  <c r="E37" i="1"/>
  <c r="E43" i="1" s="1"/>
  <c r="E32" i="1"/>
  <c r="E35" i="1" s="1"/>
  <c r="E31" i="1"/>
  <c r="D23" i="6" l="1"/>
  <c r="H97" i="1"/>
  <c r="F35" i="1"/>
  <c r="D20" i="6"/>
  <c r="K47" i="1"/>
  <c r="H37" i="1"/>
  <c r="H43" i="1" s="1"/>
  <c r="L47" i="1"/>
  <c r="J47" i="1"/>
  <c r="G35" i="1"/>
  <c r="H47" i="1"/>
  <c r="H46" i="1" s="1"/>
  <c r="I47" i="1"/>
  <c r="K32" i="1"/>
  <c r="F43" i="1"/>
  <c r="G33" i="1"/>
  <c r="G43" i="1"/>
  <c r="E33" i="1"/>
  <c r="F33" i="1"/>
  <c r="D29" i="1"/>
  <c r="D69" i="1"/>
  <c r="E97" i="1" l="1"/>
  <c r="I46" i="1"/>
  <c r="J46" i="1" s="1"/>
  <c r="K46" i="1" s="1"/>
  <c r="L46" i="1" s="1"/>
  <c r="I37" i="1"/>
  <c r="I43" i="1" s="1"/>
  <c r="H44" i="1"/>
  <c r="H79" i="1" s="1"/>
  <c r="L32" i="1"/>
  <c r="G98" i="1" l="1"/>
  <c r="H31" i="1"/>
  <c r="H33" i="1" s="1"/>
  <c r="H71" i="1" s="1"/>
  <c r="H130" i="1" s="1"/>
  <c r="I44" i="1"/>
  <c r="I79" i="1" s="1"/>
  <c r="J37" i="1"/>
  <c r="K37" i="1" s="1"/>
  <c r="K44" i="1" s="1"/>
  <c r="K79" i="1" s="1"/>
  <c r="E95" i="1"/>
  <c r="F94" i="1" s="1"/>
  <c r="H82" i="1" l="1"/>
  <c r="H86" i="1"/>
  <c r="H73" i="1"/>
  <c r="H149" i="1" s="1"/>
  <c r="H81" i="1"/>
  <c r="H84" i="1"/>
  <c r="H91" i="1"/>
  <c r="H74" i="1"/>
  <c r="H80" i="1" s="1"/>
  <c r="F95" i="1"/>
  <c r="G94" i="1" s="1"/>
  <c r="G95" i="1" s="1"/>
  <c r="F98" i="1"/>
  <c r="H98" i="1"/>
  <c r="I31" i="1"/>
  <c r="I33" i="1" s="1"/>
  <c r="I71" i="1" s="1"/>
  <c r="I130" i="1" s="1"/>
  <c r="K31" i="1"/>
  <c r="K33" i="1" s="1"/>
  <c r="K71" i="1" s="1"/>
  <c r="K130" i="1" s="1"/>
  <c r="L37" i="1"/>
  <c r="J43" i="1"/>
  <c r="J44" i="1"/>
  <c r="J79" i="1" s="1"/>
  <c r="K43" i="1"/>
  <c r="I73" i="1" l="1"/>
  <c r="I86" i="1"/>
  <c r="I81" i="1"/>
  <c r="I84" i="1"/>
  <c r="I91" i="1"/>
  <c r="I74" i="1"/>
  <c r="I80" i="1" s="1"/>
  <c r="I82" i="1"/>
  <c r="K73" i="1"/>
  <c r="K81" i="1"/>
  <c r="K74" i="1"/>
  <c r="K86" i="1"/>
  <c r="K91" i="1"/>
  <c r="K82" i="1"/>
  <c r="H94" i="1"/>
  <c r="H83" i="1"/>
  <c r="L43" i="1"/>
  <c r="I98" i="1"/>
  <c r="E98" i="1"/>
  <c r="J31" i="1"/>
  <c r="J33" i="1" s="1"/>
  <c r="J71" i="1" s="1"/>
  <c r="L44" i="1"/>
  <c r="E2" i="6"/>
  <c r="F2" i="6" s="1"/>
  <c r="G2" i="6" s="1"/>
  <c r="H2" i="6" s="1"/>
  <c r="I2" i="6" s="1"/>
  <c r="J2" i="6" s="1"/>
  <c r="K2" i="6" s="1"/>
  <c r="L2" i="6" s="1"/>
  <c r="M2" i="6" s="1"/>
  <c r="K84" i="1" l="1"/>
  <c r="J130" i="1"/>
  <c r="L79" i="1"/>
  <c r="N44" i="1"/>
  <c r="J86" i="1"/>
  <c r="J73" i="1"/>
  <c r="J81" i="1"/>
  <c r="J84" i="1"/>
  <c r="J82" i="1"/>
  <c r="J91" i="1"/>
  <c r="J74" i="1"/>
  <c r="J80" i="1" s="1"/>
  <c r="K83" i="1"/>
  <c r="I83" i="1"/>
  <c r="J98" i="1"/>
  <c r="L31" i="1"/>
  <c r="K80" i="1" l="1"/>
  <c r="J83" i="1"/>
  <c r="L33" i="1"/>
  <c r="L71" i="1" s="1"/>
  <c r="K98" i="1"/>
  <c r="N31" i="1"/>
  <c r="N71" i="1" l="1"/>
  <c r="L130" i="1"/>
  <c r="L73" i="1"/>
  <c r="L91" i="1"/>
  <c r="L81" i="1"/>
  <c r="L86" i="1"/>
  <c r="L84" i="1"/>
  <c r="L74" i="1"/>
  <c r="L82" i="1"/>
  <c r="H77" i="1"/>
  <c r="N46" i="1"/>
  <c r="N32" i="1"/>
  <c r="N37" i="1"/>
  <c r="N33" i="1"/>
  <c r="L98" i="1"/>
  <c r="N73" i="1" l="1"/>
  <c r="H78" i="1"/>
  <c r="L83" i="1" l="1"/>
  <c r="H85" i="1"/>
  <c r="H128" i="1" s="1"/>
  <c r="H131" i="1" s="1"/>
  <c r="L80" i="1"/>
  <c r="H134" i="1" l="1"/>
  <c r="H137" i="1" l="1"/>
  <c r="H138" i="1"/>
  <c r="H88" i="1" s="1"/>
  <c r="H135" i="1"/>
  <c r="I133" i="1" s="1"/>
  <c r="H122" i="1"/>
  <c r="H139" i="1"/>
  <c r="H89" i="1" s="1"/>
  <c r="H142" i="1"/>
  <c r="H123" i="1" l="1"/>
  <c r="H141" i="1"/>
  <c r="H90" i="1" s="1"/>
  <c r="H87" i="1"/>
  <c r="I144" i="1"/>
  <c r="I75" i="1" s="1"/>
  <c r="I149" i="1" s="1"/>
  <c r="H124" i="1"/>
  <c r="H147" i="1" s="1"/>
  <c r="H92" i="1" l="1"/>
  <c r="H95" i="1" s="1"/>
  <c r="I145" i="1" l="1"/>
  <c r="I76" i="1" s="1"/>
  <c r="I77" i="1" s="1"/>
  <c r="I127" i="1"/>
  <c r="I94" i="1"/>
  <c r="I78" i="1" l="1"/>
  <c r="I85" i="1" s="1"/>
  <c r="I128" i="1" s="1"/>
  <c r="I131" i="1" s="1"/>
  <c r="I134" i="1" l="1"/>
  <c r="I138" i="1" s="1"/>
  <c r="I137" i="1" l="1"/>
  <c r="I87" i="1" s="1"/>
  <c r="I135" i="1"/>
  <c r="J133" i="1" s="1"/>
  <c r="I122" i="1"/>
  <c r="I139" i="1"/>
  <c r="I89" i="1" s="1"/>
  <c r="I141" i="1" l="1"/>
  <c r="I123" i="1"/>
  <c r="I88" i="1"/>
  <c r="I142" i="1"/>
  <c r="I90" i="1" s="1"/>
  <c r="I92" i="1" s="1"/>
  <c r="I95" i="1" s="1"/>
  <c r="J144" i="1" l="1"/>
  <c r="J75" i="1" s="1"/>
  <c r="J149" i="1" s="1"/>
  <c r="I124" i="1"/>
  <c r="I147" i="1" s="1"/>
  <c r="J145" i="1"/>
  <c r="J76" i="1" s="1"/>
  <c r="J127" i="1"/>
  <c r="J94" i="1"/>
  <c r="J77" i="1" l="1"/>
  <c r="J78" i="1" s="1"/>
  <c r="J85" i="1" l="1"/>
  <c r="J128" i="1" s="1"/>
  <c r="J131" i="1" s="1"/>
  <c r="J134" i="1" l="1"/>
  <c r="J138" i="1" s="1"/>
  <c r="J137" i="1" l="1"/>
  <c r="J123" i="1" s="1"/>
  <c r="J88" i="1"/>
  <c r="J142" i="1"/>
  <c r="J135" i="1"/>
  <c r="K133" i="1" s="1"/>
  <c r="J122" i="1"/>
  <c r="J139" i="1"/>
  <c r="J89" i="1" s="1"/>
  <c r="J141" i="1" l="1"/>
  <c r="J90" i="1" s="1"/>
  <c r="J92" i="1" s="1"/>
  <c r="J95" i="1" s="1"/>
  <c r="J87" i="1"/>
  <c r="K144" i="1"/>
  <c r="K75" i="1" s="1"/>
  <c r="K149" i="1" s="1"/>
  <c r="J124" i="1"/>
  <c r="J147" i="1" s="1"/>
  <c r="K145" i="1" l="1"/>
  <c r="K76" i="1" s="1"/>
  <c r="K127" i="1"/>
  <c r="K77" i="1"/>
  <c r="K94" i="1"/>
  <c r="K78" i="1" l="1"/>
  <c r="K85" i="1" l="1"/>
  <c r="K128" i="1" s="1"/>
  <c r="K131" i="1" s="1"/>
  <c r="K134" i="1" l="1"/>
  <c r="K139" i="1" s="1"/>
  <c r="K89" i="1" s="1"/>
  <c r="K138" i="1" l="1"/>
  <c r="K137" i="1"/>
  <c r="K123" i="1" s="1"/>
  <c r="K135" i="1"/>
  <c r="L133" i="1" s="1"/>
  <c r="K122" i="1"/>
  <c r="K141" i="1"/>
  <c r="K87" i="1" l="1"/>
  <c r="K88" i="1"/>
  <c r="K142" i="1"/>
  <c r="L144" i="1"/>
  <c r="L75" i="1" s="1"/>
  <c r="L149" i="1" s="1"/>
  <c r="K124" i="1"/>
  <c r="K147" i="1" s="1"/>
  <c r="K90" i="1"/>
  <c r="K92" i="1" l="1"/>
  <c r="K95" i="1" s="1"/>
  <c r="L145" i="1" s="1"/>
  <c r="L76" i="1" s="1"/>
  <c r="N144" i="1"/>
  <c r="L94" i="1" l="1"/>
  <c r="L127" i="1"/>
  <c r="L77" i="1"/>
  <c r="L78" i="1" s="1"/>
  <c r="N78" i="1" s="1"/>
  <c r="L85" i="1" l="1"/>
  <c r="L128" i="1" s="1"/>
  <c r="L131" i="1" s="1"/>
  <c r="L134" i="1" l="1"/>
  <c r="N85" i="1"/>
  <c r="L138" i="1" l="1"/>
  <c r="L88" i="1" s="1"/>
  <c r="L137" i="1"/>
  <c r="L123" i="1" s="1"/>
  <c r="L135" i="1"/>
  <c r="L122" i="1"/>
  <c r="L139" i="1"/>
  <c r="L89" i="1" s="1"/>
  <c r="L142" i="1"/>
  <c r="L124" i="1" l="1"/>
  <c r="L147" i="1" s="1"/>
  <c r="L87" i="1"/>
  <c r="L141" i="1"/>
  <c r="L90" i="1" l="1"/>
  <c r="L92" i="1" s="1"/>
  <c r="L95" i="1" s="1"/>
  <c r="N95" i="1" s="1"/>
  <c r="N1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BIWS</author>
    <author>Brian DeChesare</author>
  </authors>
  <commentList>
    <comment ref="E13" authorId="0" shapeId="0" xr:uid="{99A831D4-9F02-4DB6-8837-90CC28E6910B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Due to removal of most Excess Tax Benefits from SBC after ~70% stock-price drop.</t>
        </r>
      </text>
    </comment>
    <comment ref="E14" authorId="1" shapeId="0" xr:uid="{A46D86FA-F849-4773-A8C6-E19F1331DBCE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company disclosures and investor presentation.</t>
        </r>
      </text>
    </comment>
    <comment ref="E25" authorId="0" shapeId="0" xr:uid="{66362697-A112-4403-824D-2D7EAAC55FF9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Based on most recent debt issuances on the CFS.</t>
        </r>
      </text>
    </comment>
    <comment ref="H61" authorId="1" shapeId="0" xr:uid="{2BA9F04A-57D3-49C7-A639-5B2D0B4EC114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Excluding acquisitions in the projected period.</t>
        </r>
      </text>
    </comment>
    <comment ref="H65" authorId="0" shapeId="0" xr:uid="{EB761F0A-88D2-4158-B7C7-413B30A139B4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Assuming a lower % because a huge portion of this is related to FX Gains/Losses on Debt.</t>
        </r>
      </text>
    </comment>
  </commentList>
</comments>
</file>

<file path=xl/sharedStrings.xml><?xml version="1.0" encoding="utf-8"?>
<sst xmlns="http://schemas.openxmlformats.org/spreadsheetml/2006/main" count="221" uniqueCount="112">
  <si>
    <t>Units:</t>
  </si>
  <si>
    <t>$ M</t>
  </si>
  <si>
    <t>Total Revenue:</t>
  </si>
  <si>
    <t>$ as Stated</t>
  </si>
  <si>
    <t>Average Paying Memberships:</t>
  </si>
  <si>
    <t>Average Monthly Revenue Per Member:</t>
  </si>
  <si>
    <t>Company Name:</t>
  </si>
  <si>
    <t>Ticker:</t>
  </si>
  <si>
    <t>Name</t>
  </si>
  <si>
    <t>Netflix, Inc.</t>
  </si>
  <si>
    <t>NFLX</t>
  </si>
  <si>
    <t>Total Cash Content Spending:</t>
  </si>
  <si>
    <t>K People</t>
  </si>
  <si>
    <t>Content Amortization:</t>
  </si>
  <si>
    <t>Date</t>
  </si>
  <si>
    <t>($ USD in Millions Except Per Share Amounts and Per Unit Data)</t>
  </si>
  <si>
    <t>Key Metric:</t>
  </si>
  <si>
    <t>End of Period Paid Memberships:</t>
  </si>
  <si>
    <t>Streaming Revenue:</t>
  </si>
  <si>
    <t>Model Assumptions:</t>
  </si>
  <si>
    <t>Last Historical Year:</t>
  </si>
  <si>
    <t>Historical:</t>
  </si>
  <si>
    <t>Projected:</t>
  </si>
  <si>
    <t>Net Income:</t>
  </si>
  <si>
    <t>EBITDA:</t>
  </si>
  <si>
    <t>%</t>
  </si>
  <si>
    <t>(+) Interest and Other Income / (-) Expense:</t>
  </si>
  <si>
    <t>Cash &amp; Cash-Equivalents:</t>
  </si>
  <si>
    <t>(+) Depreciation &amp; Amortization:</t>
  </si>
  <si>
    <t>(+) Stock-Based Compensation:</t>
  </si>
  <si>
    <t>(+/-) Other Non-Cash Items:</t>
  </si>
  <si>
    <t>(+/-) Deferred Income Taxes:</t>
  </si>
  <si>
    <t>Cash Flow from Operations:</t>
  </si>
  <si>
    <t>(+) Debt Issuances / (-) Repayments:</t>
  </si>
  <si>
    <t>(+) Stock Issuances:</t>
  </si>
  <si>
    <t>(-) Stock Repurchases:</t>
  </si>
  <si>
    <t>(+/-) FX Rate Effects:</t>
  </si>
  <si>
    <t>(-) Interest Expense:</t>
  </si>
  <si>
    <t>(+) Streaming Revenue:</t>
  </si>
  <si>
    <t>(+) DVD Revenue:</t>
  </si>
  <si>
    <t>DVD Revenue Growth Rate:</t>
  </si>
  <si>
    <t>Paid Memberships, End of Period:</t>
  </si>
  <si>
    <t>Growth Rate:</t>
  </si>
  <si>
    <t>Base</t>
  </si>
  <si>
    <t>Downside</t>
  </si>
  <si>
    <t>XT Downside</t>
  </si>
  <si>
    <t>Paid Net Membership Additions:</t>
  </si>
  <si>
    <t>Selected Scenario:</t>
  </si>
  <si>
    <t>Conversion Units:</t>
  </si>
  <si>
    <t>#</t>
  </si>
  <si>
    <t>Months in Year:</t>
  </si>
  <si>
    <t>Cash Content Spending per Member:</t>
  </si>
  <si>
    <t>Cash Spending to P&amp;L Content Amort.:</t>
  </si>
  <si>
    <t>Long-Term Average:</t>
  </si>
  <si>
    <t>x</t>
  </si>
  <si>
    <t>Projected Tax Rate:</t>
  </si>
  <si>
    <t>D&amp;A % Revenue:</t>
  </si>
  <si>
    <t>FX Rate Effects % Revenue:</t>
  </si>
  <si>
    <t>Stock-Based Compensation % Revenue:</t>
  </si>
  <si>
    <t>Other Non-Cash Items % Revenue:</t>
  </si>
  <si>
    <t>Capital Raise Assumptions:</t>
  </si>
  <si>
    <t>Funding Percentages:</t>
  </si>
  <si>
    <t>Senior Notes:</t>
  </si>
  <si>
    <t>Follow-On Equity:</t>
  </si>
  <si>
    <t>Debt Issuance Fees:</t>
  </si>
  <si>
    <t>Equity Issuance Fees:</t>
  </si>
  <si>
    <t>Debt &amp; Equity Schedule:</t>
  </si>
  <si>
    <t>Revolver - Maximum Draw:</t>
  </si>
  <si>
    <t>Interest Rates:</t>
  </si>
  <si>
    <t>Revolver (WSJ Prime Rate Forecast):</t>
  </si>
  <si>
    <t>New Senior Notes:</t>
  </si>
  <si>
    <t>Face Values, Including Maturities and Issuances:</t>
  </si>
  <si>
    <t>Drawn Revolver:</t>
  </si>
  <si>
    <t>Total Face Value of Debt:</t>
  </si>
  <si>
    <t>Cash Flow and Revolver Calculations:</t>
  </si>
  <si>
    <t>Cash - Beginning of Period:</t>
  </si>
  <si>
    <t>(-) Debt Maturities:</t>
  </si>
  <si>
    <t>Cash Flow Surplus / (Deficit):</t>
  </si>
  <si>
    <t>Revolver (Repayments) / Drawdowns:</t>
  </si>
  <si>
    <t>Stock Repurchases:</t>
  </si>
  <si>
    <t>Interest Income on Cash:</t>
  </si>
  <si>
    <t>Minimum Cash Balance % Revenue:</t>
  </si>
  <si>
    <t>(-) Minimum Cash for Operations:</t>
  </si>
  <si>
    <t>Projected</t>
  </si>
  <si>
    <t>CAGR:</t>
  </si>
  <si>
    <t>Revenue:</t>
  </si>
  <si>
    <t>(-) Book Taxes:</t>
  </si>
  <si>
    <t>(-) Depreciation &amp; Amortization:</t>
  </si>
  <si>
    <t>(+/-) Net Additions to Content Assets/Liabilities:</t>
  </si>
  <si>
    <t>(+/-) Change in Working Capital:</t>
  </si>
  <si>
    <t>(-) CapEx and Acquisitions:</t>
  </si>
  <si>
    <t>(-) Debt/Equity Issuance Costs and Other Items:</t>
  </si>
  <si>
    <t>Net Change in Cash:</t>
  </si>
  <si>
    <t>Beginning Cash:</t>
  </si>
  <si>
    <t>Ending Cash:</t>
  </si>
  <si>
    <t>Interest Expense:</t>
  </si>
  <si>
    <t>Debt Issuance Costs:</t>
  </si>
  <si>
    <t>Equity Issuance Costs:</t>
  </si>
  <si>
    <t>Additional Senior Note Issuances:</t>
  </si>
  <si>
    <t>Beginning Revolver:</t>
  </si>
  <si>
    <t>Ending Revolver:</t>
  </si>
  <si>
    <t>Additional Stock Issuances:</t>
  </si>
  <si>
    <t>Total Debt / EBITDA</t>
  </si>
  <si>
    <t>Maximum Leverage Ratio</t>
  </si>
  <si>
    <t>EBITDA / Interest Expense</t>
  </si>
  <si>
    <t>Minimum Interest Coverage Ratio</t>
  </si>
  <si>
    <t>EBITDA Margins:</t>
  </si>
  <si>
    <t>Operating Assumptions:</t>
  </si>
  <si>
    <t>Change in Working Capital % Change in Revenue:</t>
  </si>
  <si>
    <t>Net Cash Content Spending per Member:</t>
  </si>
  <si>
    <t>CapEx and Acquisitions % Revenue:</t>
  </si>
  <si>
    <t>(+) Net Change in Cash Before Financing: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</si>
</sst>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Y&quot;\ yy"/>
    <numFmt numFmtId="165" formatCode="&quot;FY&quot;yy"/>
    <numFmt numFmtId="166" formatCode="_(0.0%_);\(0.0%\);_(&quot;–&quot;_)_%;_(@_)_%"/>
    <numFmt numFmtId="167" formatCode="0.00\ \x"/>
    <numFmt numFmtId="168" formatCode="_(0.00%_);\(0.00%\);_(&quot;–&quot;_)_%;_(@_)_%"/>
    <numFmt numFmtId="169" formatCode="_(* #,##0_);_(* \(#,##0\);_(* &quot;-&quot;?_);_(@_)"/>
    <numFmt numFmtId="170" formatCode="_(&quot;$&quot;* #,##0_);_(&quot;$&quot;* \(#,##0\);_(&quot;$&quot;* &quot;-&quot;??_);_(@_)"/>
    <numFmt numFmtId="171" formatCode="_(* #,##0.000_);_(* \(#,##0.000\);_(* &quot;-&quot;???_);_(@_)"/>
    <numFmt numFmtId="172" formatCode="yyyy\-mm\-dd"/>
    <numFmt numFmtId="173" formatCode="_-* #,##0.00\ [$€-40C]_-;\-* #,##0.00\ [$€-40C]_-;_-* &quot;-&quot;??\ [$€-40C]_-;_-@_-"/>
    <numFmt numFmtId="174" formatCode="0.0\ \x;\(0.0\ \x\)"/>
    <numFmt numFmtId="175" formatCode="_(0.0\ \x_);\(0.0\ \x\);_(&quot;–&quot;_);_(@_)"/>
  </numFmts>
  <fonts count="2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u/>
      <sz val="12"/>
      <color indexed="9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FF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alibri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1F497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EBF7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/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2B2B2"/>
      </left>
      <right style="thin">
        <color rgb="FFB2B2B2"/>
      </right>
      <top style="thin">
        <color auto="1"/>
      </top>
      <bottom style="thin">
        <color rgb="FFB2B2B2"/>
      </bottom>
      <diagonal/>
    </border>
  </borders>
  <cellStyleXfs count="10">
    <xf numFmtId="0" fontId="0" fillId="0" borderId="0"/>
    <xf numFmtId="0" fontId="2" fillId="2" borderId="1" applyNumberFormat="0" applyFont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</cellStyleXfs>
  <cellXfs count="132">
    <xf numFmtId="0" fontId="0" fillId="0" borderId="0" xfId="0"/>
    <xf numFmtId="165" fontId="3" fillId="3" borderId="2" xfId="0" applyNumberFormat="1" applyFont="1" applyFill="1" applyBorder="1" applyAlignment="1">
      <alignment horizontal="center"/>
    </xf>
    <xf numFmtId="165" fontId="3" fillId="3" borderId="2" xfId="0" applyNumberFormat="1" applyFont="1" applyFill="1" applyBorder="1"/>
    <xf numFmtId="165" fontId="7" fillId="3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1" fontId="9" fillId="0" borderId="0" xfId="0" applyNumberFormat="1" applyFont="1"/>
    <xf numFmtId="42" fontId="9" fillId="0" borderId="0" xfId="0" applyNumberFormat="1" applyFont="1"/>
    <xf numFmtId="0" fontId="11" fillId="0" borderId="0" xfId="0" applyFont="1" applyAlignment="1">
      <alignment horizontal="left"/>
    </xf>
    <xf numFmtId="49" fontId="9" fillId="4" borderId="1" xfId="1" applyNumberFormat="1" applyFont="1" applyFill="1" applyAlignment="1">
      <alignment horizontal="center"/>
    </xf>
    <xf numFmtId="0" fontId="12" fillId="0" borderId="0" xfId="0" applyFont="1"/>
    <xf numFmtId="43" fontId="9" fillId="0" borderId="0" xfId="0" applyNumberFormat="1" applyFont="1"/>
    <xf numFmtId="37" fontId="9" fillId="0" borderId="0" xfId="0" applyNumberFormat="1" applyFont="1"/>
    <xf numFmtId="37" fontId="0" fillId="0" borderId="0" xfId="0" applyNumberFormat="1"/>
    <xf numFmtId="167" fontId="0" fillId="0" borderId="0" xfId="0" applyNumberFormat="1"/>
    <xf numFmtId="0" fontId="10" fillId="0" borderId="0" xfId="2" applyFont="1"/>
    <xf numFmtId="172" fontId="9" fillId="4" borderId="1" xfId="0" applyNumberFormat="1" applyFont="1" applyFill="1" applyBorder="1" applyAlignment="1">
      <alignment horizontal="center"/>
    </xf>
    <xf numFmtId="166" fontId="10" fillId="0" borderId="0" xfId="0" applyNumberFormat="1" applyFont="1" applyAlignment="1">
      <alignment horizontal="center"/>
    </xf>
    <xf numFmtId="43" fontId="0" fillId="0" borderId="0" xfId="0" applyNumberFormat="1"/>
    <xf numFmtId="171" fontId="10" fillId="0" borderId="0" xfId="0" applyNumberFormat="1" applyFont="1"/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20" fillId="0" borderId="2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 indent="1"/>
    </xf>
    <xf numFmtId="166" fontId="13" fillId="0" borderId="0" xfId="1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9" fontId="10" fillId="0" borderId="0" xfId="0" applyNumberFormat="1" applyFont="1"/>
    <xf numFmtId="165" fontId="3" fillId="3" borderId="0" xfId="0" applyNumberFormat="1" applyFont="1" applyFill="1"/>
    <xf numFmtId="165" fontId="3" fillId="3" borderId="0" xfId="0" applyNumberFormat="1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Continuous"/>
    </xf>
    <xf numFmtId="165" fontId="3" fillId="3" borderId="6" xfId="0" applyNumberFormat="1" applyFont="1" applyFill="1" applyBorder="1" applyAlignment="1">
      <alignment horizontal="centerContinuous"/>
    </xf>
    <xf numFmtId="165" fontId="7" fillId="3" borderId="5" xfId="0" applyNumberFormat="1" applyFont="1" applyFill="1" applyBorder="1" applyAlignment="1">
      <alignment horizontal="centerContinuous"/>
    </xf>
    <xf numFmtId="42" fontId="0" fillId="0" borderId="0" xfId="0" applyNumberFormat="1"/>
    <xf numFmtId="41" fontId="0" fillId="0" borderId="0" xfId="0" applyNumberFormat="1"/>
    <xf numFmtId="0" fontId="0" fillId="0" borderId="0" xfId="0" applyAlignment="1">
      <alignment horizontal="left" indent="1"/>
    </xf>
    <xf numFmtId="0" fontId="4" fillId="0" borderId="0" xfId="0" applyFont="1"/>
    <xf numFmtId="0" fontId="4" fillId="0" borderId="3" xfId="0" applyFont="1" applyBorder="1"/>
    <xf numFmtId="41" fontId="4" fillId="0" borderId="3" xfId="0" applyNumberFormat="1" applyFont="1" applyBorder="1"/>
    <xf numFmtId="0" fontId="4" fillId="0" borderId="3" xfId="0" applyFont="1" applyBorder="1" applyAlignment="1">
      <alignment horizontal="left"/>
    </xf>
    <xf numFmtId="170" fontId="9" fillId="0" borderId="0" xfId="0" applyNumberFormat="1" applyFont="1"/>
    <xf numFmtId="171" fontId="9" fillId="4" borderId="1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42" fontId="10" fillId="0" borderId="0" xfId="0" applyNumberFormat="1" applyFont="1"/>
    <xf numFmtId="41" fontId="10" fillId="0" borderId="0" xfId="0" applyNumberFormat="1" applyFont="1"/>
    <xf numFmtId="3" fontId="0" fillId="0" borderId="0" xfId="0" applyNumberFormat="1"/>
    <xf numFmtId="166" fontId="0" fillId="0" borderId="0" xfId="0" applyNumberFormat="1"/>
    <xf numFmtId="37" fontId="10" fillId="0" borderId="0" xfId="0" applyNumberFormat="1" applyFont="1"/>
    <xf numFmtId="0" fontId="0" fillId="0" borderId="0" xfId="0" applyAlignment="1">
      <alignment horizontal="left" indent="2"/>
    </xf>
    <xf numFmtId="43" fontId="10" fillId="0" borderId="0" xfId="0" applyNumberFormat="1" applyFont="1"/>
    <xf numFmtId="37" fontId="21" fillId="0" borderId="0" xfId="0" applyNumberFormat="1" applyFont="1"/>
    <xf numFmtId="43" fontId="21" fillId="0" borderId="0" xfId="0" applyNumberFormat="1" applyFont="1"/>
    <xf numFmtId="0" fontId="4" fillId="5" borderId="2" xfId="0" applyFont="1" applyFill="1" applyBorder="1"/>
    <xf numFmtId="42" fontId="21" fillId="0" borderId="0" xfId="0" applyNumberFormat="1" applyFont="1"/>
    <xf numFmtId="41" fontId="21" fillId="0" borderId="0" xfId="0" applyNumberFormat="1" applyFont="1"/>
    <xf numFmtId="3" fontId="21" fillId="0" borderId="0" xfId="0" applyNumberFormat="1" applyFont="1"/>
    <xf numFmtId="49" fontId="10" fillId="4" borderId="1" xfId="1" applyNumberFormat="1" applyFont="1" applyFill="1" applyAlignment="1">
      <alignment horizontal="center"/>
    </xf>
    <xf numFmtId="37" fontId="9" fillId="4" borderId="1" xfId="0" applyNumberFormat="1" applyFont="1" applyFill="1" applyBorder="1" applyAlignment="1">
      <alignment horizontal="center"/>
    </xf>
    <xf numFmtId="166" fontId="21" fillId="0" borderId="0" xfId="0" applyNumberFormat="1" applyFont="1"/>
    <xf numFmtId="166" fontId="10" fillId="0" borderId="0" xfId="0" applyNumberFormat="1" applyFont="1"/>
    <xf numFmtId="166" fontId="9" fillId="4" borderId="1" xfId="0" applyNumberFormat="1" applyFont="1" applyFill="1" applyBorder="1" applyAlignment="1">
      <alignment horizontal="center"/>
    </xf>
    <xf numFmtId="9" fontId="0" fillId="0" borderId="0" xfId="0" applyNumberFormat="1"/>
    <xf numFmtId="171" fontId="0" fillId="0" borderId="0" xfId="0" applyNumberFormat="1"/>
    <xf numFmtId="166" fontId="10" fillId="4" borderId="1" xfId="0" applyNumberFormat="1" applyFont="1" applyFill="1" applyBorder="1" applyAlignment="1">
      <alignment horizontal="center"/>
    </xf>
    <xf numFmtId="171" fontId="10" fillId="4" borderId="1" xfId="0" applyNumberFormat="1" applyFont="1" applyFill="1" applyBorder="1" applyAlignment="1">
      <alignment horizontal="center"/>
    </xf>
    <xf numFmtId="170" fontId="10" fillId="0" borderId="0" xfId="0" applyNumberFormat="1" applyFont="1"/>
    <xf numFmtId="41" fontId="18" fillId="0" borderId="3" xfId="0" applyNumberFormat="1" applyFont="1" applyBorder="1"/>
    <xf numFmtId="0" fontId="8" fillId="0" borderId="3" xfId="0" applyFont="1" applyBorder="1" applyAlignment="1">
      <alignment horizontal="center"/>
    </xf>
    <xf numFmtId="0" fontId="18" fillId="5" borderId="2" xfId="2" applyFont="1" applyFill="1" applyBorder="1" applyAlignment="1">
      <alignment horizontal="left"/>
    </xf>
    <xf numFmtId="41" fontId="9" fillId="4" borderId="1" xfId="0" applyNumberFormat="1" applyFont="1" applyFill="1" applyBorder="1" applyAlignment="1">
      <alignment horizontal="center"/>
    </xf>
    <xf numFmtId="0" fontId="18" fillId="5" borderId="2" xfId="2" applyFont="1" applyFill="1" applyBorder="1" applyAlignment="1">
      <alignment horizontal="center"/>
    </xf>
    <xf numFmtId="168" fontId="9" fillId="4" borderId="1" xfId="0" applyNumberFormat="1" applyFont="1" applyFill="1" applyBorder="1" applyAlignment="1">
      <alignment horizontal="center"/>
    </xf>
    <xf numFmtId="175" fontId="9" fillId="4" borderId="7" xfId="0" applyNumberFormat="1" applyFont="1" applyFill="1" applyBorder="1" applyAlignment="1">
      <alignment horizontal="center"/>
    </xf>
    <xf numFmtId="0" fontId="0" fillId="0" borderId="3" xfId="0" applyBorder="1"/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5" fillId="3" borderId="5" xfId="0" applyFont="1" applyFill="1" applyBorder="1" applyAlignment="1">
      <alignment horizontal="centerContinuous"/>
    </xf>
    <xf numFmtId="0" fontId="6" fillId="3" borderId="5" xfId="0" applyFont="1" applyFill="1" applyBorder="1" applyAlignment="1">
      <alignment horizontal="centerContinuous"/>
    </xf>
    <xf numFmtId="0" fontId="6" fillId="3" borderId="6" xfId="0" applyFont="1" applyFill="1" applyBorder="1" applyAlignment="1">
      <alignment horizontal="centerContinuous"/>
    </xf>
    <xf numFmtId="0" fontId="3" fillId="3" borderId="5" xfId="0" applyFont="1" applyFill="1" applyBorder="1" applyAlignment="1">
      <alignment horizontal="centerContinuous"/>
    </xf>
    <xf numFmtId="42" fontId="9" fillId="4" borderId="1" xfId="0" applyNumberFormat="1" applyFont="1" applyFill="1" applyBorder="1" applyAlignment="1">
      <alignment horizontal="center"/>
    </xf>
    <xf numFmtId="168" fontId="0" fillId="0" borderId="0" xfId="0" applyNumberFormat="1"/>
    <xf numFmtId="168" fontId="9" fillId="0" borderId="0" xfId="0" applyNumberFormat="1" applyFont="1"/>
    <xf numFmtId="0" fontId="0" fillId="6" borderId="0" xfId="0" applyFill="1" applyAlignment="1">
      <alignment horizontal="left" indent="1"/>
    </xf>
    <xf numFmtId="0" fontId="0" fillId="6" borderId="0" xfId="0" applyFill="1"/>
    <xf numFmtId="0" fontId="0" fillId="6" borderId="3" xfId="0" applyFill="1" applyBorder="1" applyAlignment="1">
      <alignment horizontal="left" indent="1"/>
    </xf>
    <xf numFmtId="0" fontId="0" fillId="6" borderId="3" xfId="0" applyFill="1" applyBorder="1"/>
    <xf numFmtId="0" fontId="0" fillId="6" borderId="2" xfId="0" applyFill="1" applyBorder="1" applyAlignment="1">
      <alignment horizontal="left" indent="1"/>
    </xf>
    <xf numFmtId="0" fontId="0" fillId="6" borderId="2" xfId="0" applyFill="1" applyBorder="1"/>
    <xf numFmtId="168" fontId="9" fillId="6" borderId="3" xfId="0" applyNumberFormat="1" applyFont="1" applyFill="1" applyBorder="1"/>
    <xf numFmtId="168" fontId="9" fillId="6" borderId="2" xfId="0" applyNumberFormat="1" applyFont="1" applyFill="1" applyBorder="1"/>
    <xf numFmtId="41" fontId="10" fillId="6" borderId="0" xfId="0" applyNumberFormat="1" applyFont="1" applyFill="1"/>
    <xf numFmtId="41" fontId="10" fillId="6" borderId="3" xfId="0" applyNumberFormat="1" applyFont="1" applyFill="1" applyBorder="1"/>
    <xf numFmtId="41" fontId="23" fillId="0" borderId="3" xfId="0" applyNumberFormat="1" applyFont="1" applyBorder="1"/>
    <xf numFmtId="0" fontId="8" fillId="6" borderId="3" xfId="0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41" fontId="0" fillId="6" borderId="0" xfId="0" applyNumberFormat="1" applyFill="1"/>
    <xf numFmtId="41" fontId="0" fillId="6" borderId="3" xfId="0" applyNumberFormat="1" applyFill="1" applyBorder="1"/>
    <xf numFmtId="41" fontId="23" fillId="4" borderId="8" xfId="0" applyNumberFormat="1" applyFont="1" applyFill="1" applyBorder="1" applyAlignment="1">
      <alignment horizontal="center"/>
    </xf>
    <xf numFmtId="174" fontId="10" fillId="0" borderId="0" xfId="2" applyNumberFormat="1" applyFont="1"/>
    <xf numFmtId="0" fontId="3" fillId="3" borderId="5" xfId="9" applyFont="1" applyFill="1" applyBorder="1" applyAlignment="1">
      <alignment horizontal="centerContinuous"/>
    </xf>
    <xf numFmtId="165" fontId="3" fillId="3" borderId="2" xfId="9" applyNumberFormat="1" applyFont="1" applyFill="1" applyBorder="1" applyAlignment="1">
      <alignment horizontal="center"/>
    </xf>
    <xf numFmtId="165" fontId="18" fillId="0" borderId="3" xfId="9" applyNumberFormat="1" applyFont="1" applyBorder="1" applyAlignment="1">
      <alignment horizontal="center"/>
    </xf>
    <xf numFmtId="166" fontId="8" fillId="0" borderId="0" xfId="9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9" fillId="4" borderId="8" xfId="0" applyNumberFormat="1" applyFont="1" applyFill="1" applyBorder="1" applyAlignment="1">
      <alignment horizontal="center"/>
    </xf>
    <xf numFmtId="0" fontId="18" fillId="0" borderId="0" xfId="2" applyFont="1" applyAlignment="1">
      <alignment horizontal="left"/>
    </xf>
    <xf numFmtId="168" fontId="9" fillId="0" borderId="0" xfId="0" applyNumberFormat="1" applyFont="1" applyAlignment="1">
      <alignment horizontal="center"/>
    </xf>
    <xf numFmtId="172" fontId="10" fillId="0" borderId="0" xfId="0" applyNumberFormat="1" applyFont="1" applyAlignment="1">
      <alignment horizontal="center"/>
    </xf>
    <xf numFmtId="170" fontId="23" fillId="0" borderId="0" xfId="0" applyNumberFormat="1" applyFont="1"/>
    <xf numFmtId="41" fontId="23" fillId="0" borderId="0" xfId="0" applyNumberFormat="1" applyFont="1"/>
    <xf numFmtId="41" fontId="22" fillId="0" borderId="3" xfId="0" applyNumberFormat="1" applyFont="1" applyBorder="1"/>
    <xf numFmtId="168" fontId="9" fillId="6" borderId="0" xfId="0" applyNumberFormat="1" applyFont="1" applyFill="1"/>
    <xf numFmtId="170" fontId="18" fillId="0" borderId="0" xfId="0" applyNumberFormat="1" applyFont="1"/>
    <xf numFmtId="166" fontId="16" fillId="0" borderId="0" xfId="1" applyNumberFormat="1" applyFont="1" applyFill="1" applyBorder="1" applyAlignment="1">
      <alignment horizontal="center"/>
    </xf>
    <xf numFmtId="41" fontId="18" fillId="0" borderId="0" xfId="0" applyNumberFormat="1" applyFont="1"/>
    <xf numFmtId="0" fontId="2" fillId="0" borderId="0" xfId="0" applyFont="1"/>
    <xf numFmtId="0" fontId="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171" fontId="9" fillId="0" borderId="0" xfId="0" applyNumberFormat="1" applyFont="1"/>
    <xf numFmtId="44" fontId="9" fillId="0" borderId="0" xfId="0" applyNumberFormat="1" applyFont="1"/>
    <xf numFmtId="171" fontId="2" fillId="0" borderId="0" xfId="0" applyNumberFormat="1" applyFont="1"/>
    <xf numFmtId="171" fontId="4" fillId="0" borderId="0" xfId="0" applyNumberFormat="1" applyFont="1"/>
    <xf numFmtId="169" fontId="9" fillId="0" borderId="0" xfId="0" applyNumberFormat="1" applyFont="1"/>
    <xf numFmtId="0" fontId="11" fillId="0" borderId="0" xfId="0" applyFont="1" applyAlignment="1">
      <alignment horizontal="left" indent="1"/>
    </xf>
    <xf numFmtId="173" fontId="9" fillId="0" borderId="0" xfId="0" applyNumberFormat="1" applyFont="1"/>
    <xf numFmtId="41" fontId="18" fillId="0" borderId="0" xfId="2" applyNumberFormat="1" applyFont="1"/>
  </cellXfs>
  <cellStyles count="10">
    <cellStyle name="Normal" xfId="0" builtinId="0"/>
    <cellStyle name="Normal 2" xfId="2" xr:uid="{69368CCF-40ED-4D65-A7DF-FDB8AC316B4D}"/>
    <cellStyle name="Normal 3" xfId="3" xr:uid="{7A984273-596F-49C1-84B5-D57BFD55B3E5}"/>
    <cellStyle name="Normal 3 2" xfId="4" xr:uid="{BCACA782-14F0-49A3-B43B-5AB292D324C3}"/>
    <cellStyle name="Normal 3 2 3" xfId="7" xr:uid="{FE20A317-6C96-439C-BE31-C8AEE1DCD90B}"/>
    <cellStyle name="Normal 3 2 4" xfId="5" xr:uid="{3C692D7D-C584-4B62-9971-F65BB9761EFB}"/>
    <cellStyle name="Normal 3 3" xfId="9" xr:uid="{99B505A9-57EA-4D9F-AE40-4A87C8E199B4}"/>
    <cellStyle name="Normal 4" xfId="6" xr:uid="{38DA4DF1-D052-4B7A-9A29-D418D11E8CF5}"/>
    <cellStyle name="Normal 5 3" xfId="8" xr:uid="{37656BCF-5140-411C-AE65-74A0CE3127D4}"/>
    <cellStyle name="Note" xfId="1" builtinId="10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B2B2B2"/>
      <color rgb="FF0070C0"/>
      <color rgb="FF0000FF"/>
      <color rgb="FF1F497D"/>
      <color rgb="FFDDEBF7"/>
      <color rgb="FF4F81BD"/>
      <color rgb="FF8DB4E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Projected Debt / EBITDA vs. Maximum Debt / EBITDA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NFLX!$C$147</c:f>
              <c:strCache>
                <c:ptCount val="1"/>
                <c:pt idx="0">
                  <c:v>Total Debt / EBITDA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NFLX!$H$98:$L$98</c:f>
              <c:numCache>
                <c:formatCode>"FY"yy</c:formatCode>
                <c:ptCount val="5"/>
                <c:pt idx="0">
                  <c:v>44926</c:v>
                </c:pt>
                <c:pt idx="1">
                  <c:v>45291</c:v>
                </c:pt>
                <c:pt idx="2">
                  <c:v>45657</c:v>
                </c:pt>
                <c:pt idx="3">
                  <c:v>46022</c:v>
                </c:pt>
                <c:pt idx="4">
                  <c:v>46387</c:v>
                </c:pt>
              </c:numCache>
            </c:numRef>
          </c:cat>
          <c:val>
            <c:numRef>
              <c:f>NFLX!$H$147:$L$147</c:f>
              <c:numCache>
                <c:formatCode>0.0\ \x;\(0.0\ \x\)</c:formatCode>
                <c:ptCount val="5"/>
                <c:pt idx="0">
                  <c:v>1.9903636892062049</c:v>
                </c:pt>
                <c:pt idx="1">
                  <c:v>1.7551095594178292</c:v>
                </c:pt>
                <c:pt idx="2">
                  <c:v>1.5172490978258979</c:v>
                </c:pt>
                <c:pt idx="3">
                  <c:v>1.2194542576371488</c:v>
                </c:pt>
                <c:pt idx="4">
                  <c:v>1.0312831810520691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3-4C9A-8ADF-AE527DBB865E}"/>
            </c:ext>
          </c:extLst>
        </c:ser>
        <c:ser>
          <c:idx val="1"/>
          <c:order val="1"/>
          <c:tx>
            <c:strRef>
              <c:f>NFLX!$C$148</c:f>
              <c:strCache>
                <c:ptCount val="1"/>
                <c:pt idx="0">
                  <c:v>Maximum Leverage Ratio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NFLX!$H$98:$L$98</c:f>
              <c:numCache>
                <c:formatCode>"FY"yy</c:formatCode>
                <c:ptCount val="5"/>
                <c:pt idx="0">
                  <c:v>44926</c:v>
                </c:pt>
                <c:pt idx="1">
                  <c:v>45291</c:v>
                </c:pt>
                <c:pt idx="2">
                  <c:v>45657</c:v>
                </c:pt>
                <c:pt idx="3">
                  <c:v>46022</c:v>
                </c:pt>
                <c:pt idx="4">
                  <c:v>46387</c:v>
                </c:pt>
              </c:numCache>
            </c:numRef>
          </c:cat>
          <c:val>
            <c:numRef>
              <c:f>NFLX!$H$148:$L$148</c:f>
              <c:numCache>
                <c:formatCode>_(0.0\ \x_);\(0.0\ \x\);_("–"_);_(@_)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53-4C9A-8ADF-AE527DBB8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128552"/>
        <c:axId val="86127272"/>
      </c:barChart>
      <c:dateAx>
        <c:axId val="86128552"/>
        <c:scaling>
          <c:orientation val="minMax"/>
        </c:scaling>
        <c:delete val="0"/>
        <c:axPos val="b"/>
        <c:numFmt formatCode="&quot;FY&quot;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127272"/>
        <c:crosses val="autoZero"/>
        <c:auto val="1"/>
        <c:lblOffset val="100"/>
        <c:baseTimeUnit val="years"/>
      </c:dateAx>
      <c:valAx>
        <c:axId val="86127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\x;\(0.0\ \x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128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Projected EBITDA / Interest vs. Minimum Interest Coverage Ratio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NFLX!$C$149</c:f>
              <c:strCache>
                <c:ptCount val="1"/>
                <c:pt idx="0">
                  <c:v>EBITDA / Interest Expense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NFLX!$H$98:$L$98</c:f>
              <c:numCache>
                <c:formatCode>"FY"yy</c:formatCode>
                <c:ptCount val="5"/>
                <c:pt idx="0">
                  <c:v>44926</c:v>
                </c:pt>
                <c:pt idx="1">
                  <c:v>45291</c:v>
                </c:pt>
                <c:pt idx="2">
                  <c:v>45657</c:v>
                </c:pt>
                <c:pt idx="3">
                  <c:v>46022</c:v>
                </c:pt>
                <c:pt idx="4">
                  <c:v>46387</c:v>
                </c:pt>
              </c:numCache>
            </c:numRef>
          </c:cat>
          <c:val>
            <c:numRef>
              <c:f>NFLX!$H$149:$L$149</c:f>
              <c:numCache>
                <c:formatCode>0.0\ \x;\(0.0\ \x\)</c:formatCode>
                <c:ptCount val="5"/>
                <c:pt idx="0">
                  <c:v>10.119632120165345</c:v>
                </c:pt>
                <c:pt idx="1">
                  <c:v>12.111287210180123</c:v>
                </c:pt>
                <c:pt idx="2">
                  <c:v>13.630951869752575</c:v>
                </c:pt>
                <c:pt idx="3">
                  <c:v>15.36821686614609</c:v>
                </c:pt>
                <c:pt idx="4">
                  <c:v>18.860735488463689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0F-4953-80B0-29944CF3D0F2}"/>
            </c:ext>
          </c:extLst>
        </c:ser>
        <c:ser>
          <c:idx val="0"/>
          <c:order val="1"/>
          <c:tx>
            <c:strRef>
              <c:f>NFLX!$C$150</c:f>
              <c:strCache>
                <c:ptCount val="1"/>
                <c:pt idx="0">
                  <c:v>Minimum Interest Coverage Ratio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NFLX!$H$98:$L$98</c:f>
              <c:numCache>
                <c:formatCode>"FY"yy</c:formatCode>
                <c:ptCount val="5"/>
                <c:pt idx="0">
                  <c:v>44926</c:v>
                </c:pt>
                <c:pt idx="1">
                  <c:v>45291</c:v>
                </c:pt>
                <c:pt idx="2">
                  <c:v>45657</c:v>
                </c:pt>
                <c:pt idx="3">
                  <c:v>46022</c:v>
                </c:pt>
                <c:pt idx="4">
                  <c:v>46387</c:v>
                </c:pt>
              </c:numCache>
            </c:numRef>
          </c:cat>
          <c:val>
            <c:numRef>
              <c:f>NFLX!$H$150:$L$150</c:f>
              <c:numCache>
                <c:formatCode>_(0.0\ \x_);\(0.0\ \x\);_("–"_);_(@_)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0F-4953-80B0-29944CF3D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128552"/>
        <c:axId val="86127272"/>
      </c:barChart>
      <c:dateAx>
        <c:axId val="86128552"/>
        <c:scaling>
          <c:orientation val="minMax"/>
        </c:scaling>
        <c:delete val="0"/>
        <c:axPos val="b"/>
        <c:numFmt formatCode="&quot;FY&quot;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127272"/>
        <c:crosses val="autoZero"/>
        <c:auto val="1"/>
        <c:lblOffset val="100"/>
        <c:baseTimeUnit val="years"/>
      </c:dateAx>
      <c:valAx>
        <c:axId val="86127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\x;\(0.0\ \x\)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128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195261</xdr:colOff>
      <xdr:row>150</xdr:row>
      <xdr:rowOff>142875</xdr:rowOff>
    </xdr:from>
    <xdr:to>
      <xdr:col>6</xdr:col>
      <xdr:colOff>657224</xdr:colOff>
      <xdr:row>171</xdr:row>
      <xdr:rowOff>162878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33B43A-D231-96B7-1F1E-7F39CAD6C7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914400</xdr:colOff>
      <xdr:row>150</xdr:row>
      <xdr:rowOff>133350</xdr:rowOff>
    </xdr:from>
    <xdr:to>
      <xdr:col>15</xdr:col>
      <xdr:colOff>171450</xdr:colOff>
      <xdr:row>171</xdr:row>
      <xdr:rowOff>153353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AEA88F6-663A-4EE0-BC0D-9CD6D9DDF8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561BA-8444-4CC7-B7C0-9622CA4448B4}">
  <sheetPr>
    <pageSetUpPr autoPageBreaks="0"/>
  </sheetPr>
  <dimension ref="B2:N150"/>
  <sheetViews>
    <sheetView showGridLines="0" tabSelected="1" zoomScaleNormal="100" workbookViewId="0">
      <selection activeCell="B2" sqref="B2"/>
    </sheetView>
  </sheetViews>
  <sheetFormatPr defaultRowHeight="15.75" outlineLevelRow="1" outlineLevelCol="1" x14ac:dyDescent="0.25"/>
  <cols>
    <col min="1" max="2" width="2.625" customWidth="1"/>
    <col min="3" max="3" width="45.75" bestFit="1" customWidth="1"/>
    <col min="4" max="4" width="12.625" customWidth="1"/>
    <col min="5" max="7" width="12.625" customWidth="1" outlineLevel="1"/>
    <col min="8" max="12" width="12.625" customWidth="1"/>
    <col min="13" max="13" width="2.625" customWidth="1"/>
    <col min="14" max="14" width="12.625" customWidth="1"/>
    <col min="15" max="15" width="2.625" customWidth="1"/>
    <col min="16" max="23" width="12.625" customWidth="1"/>
  </cols>
  <sheetData>
    <row r="2" spans="2:13" ht="18.75" x14ac:dyDescent="0.3">
      <c r="B2" s="9" t="str">
        <f>Company_Name&amp;" - Credit Analysis for Upcoming Debt Maturities (Simplified Version)"</f>
        <v>Netflix, Inc. - Credit Analysis for Upcoming Debt Maturities (Simplified Version)</v>
      </c>
    </row>
    <row r="3" spans="2:13" x14ac:dyDescent="0.25">
      <c r="B3" s="14" t="s">
        <v>15</v>
      </c>
    </row>
    <row r="5" spans="2:13" x14ac:dyDescent="0.25">
      <c r="B5" s="2" t="s">
        <v>19</v>
      </c>
      <c r="C5" s="1"/>
      <c r="D5" s="3" t="s">
        <v>0</v>
      </c>
      <c r="E5" s="1"/>
      <c r="F5" s="1"/>
      <c r="G5" s="1"/>
      <c r="H5" s="1"/>
      <c r="I5" s="3"/>
      <c r="J5" s="1"/>
      <c r="K5" s="1"/>
      <c r="L5" s="1"/>
    </row>
    <row r="6" spans="2:13" outlineLevel="1" x14ac:dyDescent="0.25"/>
    <row r="7" spans="2:13" outlineLevel="1" x14ac:dyDescent="0.25">
      <c r="C7" s="7" t="s">
        <v>6</v>
      </c>
      <c r="D7" s="4" t="s">
        <v>8</v>
      </c>
      <c r="E7" s="8" t="s">
        <v>9</v>
      </c>
      <c r="G7" s="38"/>
      <c r="H7" s="120"/>
      <c r="I7" s="120"/>
      <c r="J7" s="120"/>
      <c r="K7" s="120"/>
      <c r="L7" s="120"/>
      <c r="M7" s="23"/>
    </row>
    <row r="8" spans="2:13" outlineLevel="1" x14ac:dyDescent="0.25">
      <c r="C8" s="7" t="s">
        <v>7</v>
      </c>
      <c r="D8" s="4" t="s">
        <v>8</v>
      </c>
      <c r="E8" s="8" t="s">
        <v>10</v>
      </c>
      <c r="G8" s="38"/>
      <c r="H8" s="120"/>
      <c r="I8" s="120"/>
      <c r="J8" s="120"/>
      <c r="K8" s="120"/>
      <c r="L8" s="120"/>
      <c r="M8" s="23"/>
    </row>
    <row r="9" spans="2:13" outlineLevel="1" x14ac:dyDescent="0.25">
      <c r="C9" t="s">
        <v>20</v>
      </c>
      <c r="D9" s="4" t="s">
        <v>14</v>
      </c>
      <c r="E9" s="15">
        <v>44561</v>
      </c>
      <c r="G9" s="121"/>
      <c r="H9" s="121"/>
      <c r="I9" s="122"/>
      <c r="J9" s="121"/>
      <c r="K9" s="121"/>
      <c r="L9" s="121"/>
      <c r="M9" s="23"/>
    </row>
    <row r="10" spans="2:13" outlineLevel="1" x14ac:dyDescent="0.25">
      <c r="G10" s="123"/>
      <c r="I10" s="4"/>
      <c r="J10" s="124"/>
      <c r="K10" s="125"/>
      <c r="L10" s="126"/>
      <c r="M10" s="23"/>
    </row>
    <row r="11" spans="2:13" outlineLevel="1" x14ac:dyDescent="0.25">
      <c r="C11" t="s">
        <v>47</v>
      </c>
      <c r="D11" s="4" t="s">
        <v>8</v>
      </c>
      <c r="E11" s="58" t="s">
        <v>43</v>
      </c>
      <c r="G11" s="129"/>
      <c r="I11" s="4"/>
      <c r="J11" s="128"/>
      <c r="K11" s="121"/>
      <c r="L11" s="120"/>
      <c r="M11" s="23"/>
    </row>
    <row r="12" spans="2:13" outlineLevel="1" x14ac:dyDescent="0.25">
      <c r="G12" s="129"/>
      <c r="I12" s="4"/>
      <c r="J12" s="128"/>
      <c r="K12" s="130"/>
      <c r="L12" s="126"/>
      <c r="M12" s="23"/>
    </row>
    <row r="13" spans="2:13" outlineLevel="1" x14ac:dyDescent="0.25">
      <c r="C13" t="s">
        <v>55</v>
      </c>
      <c r="D13" s="4" t="s">
        <v>25</v>
      </c>
      <c r="E13" s="62">
        <v>0.2</v>
      </c>
      <c r="G13" s="129"/>
      <c r="I13" s="4"/>
      <c r="J13" s="128"/>
      <c r="K13" s="130"/>
      <c r="L13" s="126"/>
      <c r="M13" s="23"/>
    </row>
    <row r="14" spans="2:13" outlineLevel="1" x14ac:dyDescent="0.25">
      <c r="C14" t="s">
        <v>81</v>
      </c>
      <c r="D14" s="4" t="s">
        <v>25</v>
      </c>
      <c r="E14" s="62">
        <f>2/12</f>
        <v>0.16666666666666666</v>
      </c>
      <c r="G14" s="129"/>
      <c r="I14" s="4"/>
      <c r="J14" s="128"/>
      <c r="K14" s="120"/>
      <c r="L14" s="127"/>
      <c r="M14" s="23"/>
    </row>
    <row r="15" spans="2:13" outlineLevel="1" x14ac:dyDescent="0.25">
      <c r="G15" s="129"/>
      <c r="I15" s="4"/>
      <c r="J15" s="128"/>
      <c r="M15" s="23"/>
    </row>
    <row r="16" spans="2:13" outlineLevel="1" x14ac:dyDescent="0.25">
      <c r="C16" t="s">
        <v>48</v>
      </c>
      <c r="D16" s="4" t="s">
        <v>49</v>
      </c>
      <c r="E16" s="59">
        <v>1000</v>
      </c>
      <c r="G16" s="129"/>
      <c r="I16" s="4"/>
      <c r="J16" s="128"/>
      <c r="M16" s="23"/>
    </row>
    <row r="17" spans="2:14" outlineLevel="1" x14ac:dyDescent="0.25">
      <c r="C17" t="s">
        <v>50</v>
      </c>
      <c r="D17" s="4" t="s">
        <v>49</v>
      </c>
      <c r="E17" s="59">
        <v>12</v>
      </c>
      <c r="G17" s="110"/>
      <c r="I17" s="4"/>
      <c r="J17" s="131"/>
      <c r="M17" s="23"/>
    </row>
    <row r="18" spans="2:14" x14ac:dyDescent="0.25">
      <c r="D18" s="4"/>
      <c r="E18" s="25"/>
      <c r="G18" s="24"/>
      <c r="H18" s="23"/>
      <c r="I18" s="26"/>
      <c r="J18" s="27"/>
      <c r="K18" s="23"/>
      <c r="L18" s="23"/>
      <c r="M18" s="23"/>
    </row>
    <row r="19" spans="2:14" x14ac:dyDescent="0.25">
      <c r="B19" s="2" t="s">
        <v>60</v>
      </c>
      <c r="C19" s="1"/>
      <c r="D19" s="3" t="str">
        <f>$D$5</f>
        <v>Units:</v>
      </c>
      <c r="E19" s="1"/>
      <c r="F19" s="1"/>
      <c r="G19" s="1"/>
      <c r="H19" s="1"/>
      <c r="I19" s="3"/>
      <c r="J19" s="1"/>
      <c r="K19" s="1"/>
      <c r="L19" s="1"/>
      <c r="M19" s="23"/>
    </row>
    <row r="20" spans="2:14" outlineLevel="1" x14ac:dyDescent="0.25">
      <c r="D20" s="4"/>
      <c r="E20" s="25"/>
      <c r="G20" s="24"/>
      <c r="H20" s="23"/>
      <c r="I20" s="26"/>
      <c r="J20" s="27"/>
      <c r="K20" s="23"/>
      <c r="L20" s="23"/>
      <c r="M20" s="23"/>
    </row>
    <row r="21" spans="2:14" outlineLevel="1" x14ac:dyDescent="0.25">
      <c r="C21" s="70" t="s">
        <v>61</v>
      </c>
      <c r="D21" s="72"/>
      <c r="E21" s="72" t="s">
        <v>25</v>
      </c>
      <c r="G21" s="110"/>
      <c r="H21" s="110"/>
      <c r="I21" s="110"/>
      <c r="J21" s="110"/>
      <c r="K21" s="110"/>
      <c r="L21" s="110"/>
      <c r="M21" s="23"/>
    </row>
    <row r="22" spans="2:14" outlineLevel="1" x14ac:dyDescent="0.25">
      <c r="C22" s="37" t="s">
        <v>62</v>
      </c>
      <c r="E22" s="109">
        <v>0.5</v>
      </c>
      <c r="G22" s="24"/>
      <c r="H22" s="23"/>
      <c r="I22" s="4"/>
      <c r="J22" s="108"/>
      <c r="K22" s="23"/>
      <c r="L22" s="23"/>
      <c r="M22" s="23"/>
    </row>
    <row r="23" spans="2:14" outlineLevel="1" x14ac:dyDescent="0.25">
      <c r="C23" s="37" t="s">
        <v>63</v>
      </c>
      <c r="E23" s="16">
        <f>1-SUM(E22:E22)</f>
        <v>0.5</v>
      </c>
      <c r="G23" s="24"/>
      <c r="H23" s="23"/>
      <c r="I23" s="26"/>
      <c r="J23" s="27"/>
      <c r="K23" s="23"/>
      <c r="L23" s="23"/>
      <c r="M23" s="23"/>
    </row>
    <row r="24" spans="2:14" outlineLevel="1" x14ac:dyDescent="0.25">
      <c r="E24" s="4"/>
      <c r="G24" s="110"/>
      <c r="H24" s="110"/>
      <c r="I24" s="110"/>
      <c r="J24" s="110"/>
      <c r="K24" s="110"/>
      <c r="L24" s="110"/>
      <c r="M24" s="23"/>
    </row>
    <row r="25" spans="2:14" outlineLevel="1" x14ac:dyDescent="0.25">
      <c r="C25" s="37" t="s">
        <v>64</v>
      </c>
      <c r="E25" s="73">
        <v>7.4999999999999997E-3</v>
      </c>
      <c r="G25" s="24"/>
      <c r="H25" s="23"/>
      <c r="I25" s="4"/>
      <c r="J25" s="111"/>
      <c r="K25" s="23"/>
      <c r="L25" s="23"/>
      <c r="M25" s="23"/>
    </row>
    <row r="26" spans="2:14" outlineLevel="1" x14ac:dyDescent="0.25">
      <c r="C26" s="37" t="s">
        <v>65</v>
      </c>
      <c r="E26" s="73">
        <v>1.2500000000000001E-2</v>
      </c>
      <c r="G26" s="24"/>
      <c r="H26" s="23"/>
      <c r="I26" s="4"/>
      <c r="J26" s="108"/>
      <c r="K26" s="23"/>
      <c r="L26" s="23"/>
      <c r="M26" s="23"/>
    </row>
    <row r="27" spans="2:14" outlineLevel="1" x14ac:dyDescent="0.25">
      <c r="D27" s="4"/>
      <c r="E27" s="25"/>
      <c r="G27" s="24"/>
      <c r="H27" s="23"/>
      <c r="I27" s="4"/>
      <c r="J27" s="112"/>
      <c r="K27" s="23"/>
      <c r="L27" s="23"/>
      <c r="M27" s="23"/>
    </row>
    <row r="28" spans="2:14" x14ac:dyDescent="0.25">
      <c r="B28" s="28"/>
      <c r="C28" s="29"/>
      <c r="D28" s="30"/>
      <c r="E28" s="32" t="s">
        <v>21</v>
      </c>
      <c r="F28" s="32"/>
      <c r="G28" s="33"/>
      <c r="H28" s="32" t="s">
        <v>22</v>
      </c>
      <c r="I28" s="34"/>
      <c r="J28" s="32"/>
      <c r="K28" s="32"/>
      <c r="L28" s="32"/>
      <c r="M28" s="23"/>
      <c r="N28" s="104" t="s">
        <v>83</v>
      </c>
    </row>
    <row r="29" spans="2:14" x14ac:dyDescent="0.25">
      <c r="B29" s="2" t="s">
        <v>107</v>
      </c>
      <c r="C29" s="1"/>
      <c r="D29" s="3" t="str">
        <f>$D$5</f>
        <v>Units:</v>
      </c>
      <c r="E29" s="1">
        <f>EOMONTH(F29,-Months_in_Year)</f>
        <v>43830</v>
      </c>
      <c r="F29" s="1">
        <f>EOMONTH(G29,-Months_in_Year)</f>
        <v>44196</v>
      </c>
      <c r="G29" s="31">
        <f>Hist_Year</f>
        <v>44561</v>
      </c>
      <c r="H29" s="1">
        <f>EOMONTH(G29,Months_in_Year)</f>
        <v>44926</v>
      </c>
      <c r="I29" s="1">
        <f>EOMONTH(H29,Months_in_Year)</f>
        <v>45291</v>
      </c>
      <c r="J29" s="1">
        <f>EOMONTH(I29,Months_in_Year)</f>
        <v>45657</v>
      </c>
      <c r="K29" s="1">
        <f>EOMONTH(J29,Months_in_Year)</f>
        <v>46022</v>
      </c>
      <c r="L29" s="1">
        <f>EOMONTH(K29,Months_in_Year)</f>
        <v>46387</v>
      </c>
      <c r="M29" s="23"/>
      <c r="N29" s="105" t="s">
        <v>84</v>
      </c>
    </row>
    <row r="30" spans="2:14" x14ac:dyDescent="0.25">
      <c r="D30" s="4"/>
      <c r="E30" s="25"/>
      <c r="G30" s="24"/>
      <c r="H30" s="23"/>
      <c r="I30" s="26"/>
      <c r="J30" s="27"/>
      <c r="K30" s="23"/>
      <c r="L30" s="23"/>
      <c r="M30" s="23"/>
      <c r="N30" s="106"/>
    </row>
    <row r="31" spans="2:14" x14ac:dyDescent="0.25">
      <c r="C31" s="37" t="s">
        <v>38</v>
      </c>
      <c r="D31" s="4" t="s">
        <v>1</v>
      </c>
      <c r="E31" s="55">
        <f>Data!K5</f>
        <v>19859.23</v>
      </c>
      <c r="F31" s="55">
        <f>Data!L5</f>
        <v>24756.674999999999</v>
      </c>
      <c r="G31" s="55">
        <f>Data!M5</f>
        <v>29515.495999999999</v>
      </c>
      <c r="H31" s="45">
        <f>H44*H46*Months_in_Year/Units</f>
        <v>32799.020892120003</v>
      </c>
      <c r="I31" s="45">
        <f>I44*I46*Months_in_Year/Units</f>
        <v>35299.106260218876</v>
      </c>
      <c r="J31" s="45">
        <f>J44*J46*Months_in_Year/Units</f>
        <v>37812.402625946452</v>
      </c>
      <c r="K31" s="45">
        <f>K44*K46*Months_in_Year/Units</f>
        <v>39914.772211949079</v>
      </c>
      <c r="L31" s="45">
        <f>L44*L46*Months_in_Year/Units</f>
        <v>41934.459685873699</v>
      </c>
      <c r="M31" s="23"/>
      <c r="N31" s="107">
        <f>(L31/G31)^(1/YEARFRAC(G$29,L$29,))-1</f>
        <v>7.2764005438604951E-2</v>
      </c>
    </row>
    <row r="32" spans="2:14" x14ac:dyDescent="0.25">
      <c r="C32" s="37" t="s">
        <v>39</v>
      </c>
      <c r="D32" s="44" t="s">
        <v>1</v>
      </c>
      <c r="E32" s="56">
        <f>Data!K4-Data!K5</f>
        <v>297.21700000000055</v>
      </c>
      <c r="F32" s="56">
        <f>Data!L4-Data!L5</f>
        <v>239.38100000000122</v>
      </c>
      <c r="G32" s="56">
        <f>Data!M4-Data!M5</f>
        <v>182.34800000000178</v>
      </c>
      <c r="H32" s="46">
        <f>G32*(1+H35)</f>
        <v>136.76100000000133</v>
      </c>
      <c r="I32" s="46">
        <f t="shared" ref="I32:L32" si="0">H32*(1+I35)</f>
        <v>109.40880000000107</v>
      </c>
      <c r="J32" s="46">
        <f t="shared" si="0"/>
        <v>92.997480000000905</v>
      </c>
      <c r="K32" s="46">
        <f t="shared" si="0"/>
        <v>79.047858000000772</v>
      </c>
      <c r="L32" s="46">
        <f t="shared" si="0"/>
        <v>67.190679300000653</v>
      </c>
      <c r="M32" s="23"/>
      <c r="N32" s="107">
        <f>(L32/G32)^(1/YEARFRAC(G$29,L$29,))-1</f>
        <v>-0.18100433030592156</v>
      </c>
    </row>
    <row r="33" spans="3:14" x14ac:dyDescent="0.25">
      <c r="C33" s="39" t="s">
        <v>2</v>
      </c>
      <c r="D33" s="4" t="s">
        <v>1</v>
      </c>
      <c r="E33" s="40">
        <f>SUM(E31:E32)</f>
        <v>20156.447</v>
      </c>
      <c r="F33" s="40">
        <f t="shared" ref="F33:G33" si="1">SUM(F31:F32)</f>
        <v>24996.056</v>
      </c>
      <c r="G33" s="40">
        <f t="shared" si="1"/>
        <v>29697.844000000001</v>
      </c>
      <c r="H33" s="40">
        <f>SUM(H31:H32)</f>
        <v>32935.781892120001</v>
      </c>
      <c r="I33" s="40">
        <f t="shared" ref="I33:L33" si="2">SUM(I31:I32)</f>
        <v>35408.515060218881</v>
      </c>
      <c r="J33" s="40">
        <f t="shared" si="2"/>
        <v>37905.40010594645</v>
      </c>
      <c r="K33" s="40">
        <f t="shared" si="2"/>
        <v>39993.820069949077</v>
      </c>
      <c r="L33" s="40">
        <f t="shared" si="2"/>
        <v>42001.6503651737</v>
      </c>
      <c r="M33" s="23"/>
      <c r="N33" s="107">
        <f>(L33/G33)^(1/YEARFRAC(G$29,L$29,))-1</f>
        <v>7.1786510612894761E-2</v>
      </c>
    </row>
    <row r="34" spans="3:14" x14ac:dyDescent="0.25">
      <c r="F34" s="47"/>
      <c r="G34" s="47"/>
      <c r="J34" s="63"/>
      <c r="M34" s="23"/>
    </row>
    <row r="35" spans="3:14" x14ac:dyDescent="0.25">
      <c r="C35" t="s">
        <v>40</v>
      </c>
      <c r="D35" s="4" t="s">
        <v>25</v>
      </c>
      <c r="E35" s="61">
        <f>E32/(Data!J4-Data!J5)-1</f>
        <v>-0.18701875603478058</v>
      </c>
      <c r="F35" s="61">
        <f>F32/E32-1</f>
        <v>-0.19459183021159365</v>
      </c>
      <c r="G35" s="61">
        <f>G32/F32-1</f>
        <v>-0.23825199159498522</v>
      </c>
      <c r="H35" s="62">
        <v>-0.25</v>
      </c>
      <c r="I35" s="62">
        <v>-0.2</v>
      </c>
      <c r="J35" s="62">
        <v>-0.15</v>
      </c>
      <c r="K35" s="62">
        <v>-0.15</v>
      </c>
      <c r="L35" s="62">
        <v>-0.15</v>
      </c>
      <c r="M35" s="23"/>
    </row>
    <row r="36" spans="3:14" x14ac:dyDescent="0.25">
      <c r="F36" s="47"/>
      <c r="G36" s="47"/>
      <c r="M36" s="23"/>
    </row>
    <row r="37" spans="3:14" x14ac:dyDescent="0.25">
      <c r="C37" t="s">
        <v>41</v>
      </c>
      <c r="D37" s="4" t="s">
        <v>12</v>
      </c>
      <c r="E37" s="52">
        <f>Data!K8</f>
        <v>167090</v>
      </c>
      <c r="F37" s="52">
        <f>Data!L8</f>
        <v>203663</v>
      </c>
      <c r="G37" s="52">
        <f>Data!M8</f>
        <v>221844</v>
      </c>
      <c r="H37" s="49">
        <f>G37*(1+H38)</f>
        <v>232936.2</v>
      </c>
      <c r="I37" s="49">
        <f t="shared" ref="I37:L37" si="3">H37*(1+I38)</f>
        <v>242253.64800000002</v>
      </c>
      <c r="J37" s="49">
        <f t="shared" si="3"/>
        <v>251943.79392000003</v>
      </c>
      <c r="K37" s="49">
        <f t="shared" si="3"/>
        <v>259502.10773760005</v>
      </c>
      <c r="L37" s="49">
        <f t="shared" si="3"/>
        <v>267287.17096972803</v>
      </c>
      <c r="M37" s="23"/>
      <c r="N37" s="107">
        <f>(L37/G37)^(1/YEARFRAC(G$29,L$29,))-1</f>
        <v>3.7973068658926801E-2</v>
      </c>
    </row>
    <row r="38" spans="3:14" x14ac:dyDescent="0.25">
      <c r="C38" t="s">
        <v>42</v>
      </c>
      <c r="D38" s="4" t="s">
        <v>25</v>
      </c>
      <c r="E38" s="60">
        <f>Data!K9</f>
        <v>0.19985063801980485</v>
      </c>
      <c r="F38" s="60">
        <f>Data!L9</f>
        <v>0.21888203961936692</v>
      </c>
      <c r="G38" s="60">
        <f>Data!M9</f>
        <v>8.92700195911873E-2</v>
      </c>
      <c r="H38" s="16">
        <f>INDEX(H39:H41,MATCH(Scenario,$C39:$C41,0),1)</f>
        <v>0.05</v>
      </c>
      <c r="I38" s="16">
        <f>INDEX(I39:I41,MATCH(Scenario,$C39:$C41,0),1)</f>
        <v>0.04</v>
      </c>
      <c r="J38" s="16">
        <f>INDEX(J39:J41,MATCH(Scenario,$C39:$C41,0),1)</f>
        <v>0.04</v>
      </c>
      <c r="K38" s="16">
        <f>INDEX(K39:K41,MATCH(Scenario,$C39:$C41,0),1)</f>
        <v>0.03</v>
      </c>
      <c r="L38" s="16">
        <f>INDEX(L39:L41,MATCH(Scenario,$C39:$C41,0),1)</f>
        <v>0.03</v>
      </c>
      <c r="M38" s="23"/>
    </row>
    <row r="39" spans="3:14" x14ac:dyDescent="0.25">
      <c r="C39" s="37" t="s">
        <v>43</v>
      </c>
      <c r="D39" s="4" t="s">
        <v>25</v>
      </c>
      <c r="E39" s="57"/>
      <c r="F39" s="57"/>
      <c r="G39" s="57"/>
      <c r="H39" s="62">
        <v>0.05</v>
      </c>
      <c r="I39" s="62">
        <v>0.04</v>
      </c>
      <c r="J39" s="62">
        <v>0.04</v>
      </c>
      <c r="K39" s="62">
        <v>0.03</v>
      </c>
      <c r="L39" s="62">
        <v>0.03</v>
      </c>
      <c r="M39" s="23"/>
    </row>
    <row r="40" spans="3:14" x14ac:dyDescent="0.25">
      <c r="C40" s="37" t="s">
        <v>44</v>
      </c>
      <c r="D40" s="4" t="s">
        <v>25</v>
      </c>
      <c r="E40" s="57"/>
      <c r="F40" s="57"/>
      <c r="G40" s="57"/>
      <c r="H40" s="62">
        <v>-0.1</v>
      </c>
      <c r="I40" s="62">
        <v>-7.0000000000000007E-2</v>
      </c>
      <c r="J40" s="62">
        <v>0.05</v>
      </c>
      <c r="K40" s="62">
        <v>0.04</v>
      </c>
      <c r="L40" s="62">
        <v>0.03</v>
      </c>
      <c r="M40" s="23"/>
    </row>
    <row r="41" spans="3:14" x14ac:dyDescent="0.25">
      <c r="C41" s="37" t="s">
        <v>45</v>
      </c>
      <c r="D41" s="4" t="s">
        <v>25</v>
      </c>
      <c r="E41" s="57"/>
      <c r="F41" s="57"/>
      <c r="G41" s="57"/>
      <c r="H41" s="62">
        <v>-0.15</v>
      </c>
      <c r="I41" s="62">
        <v>-0.1</v>
      </c>
      <c r="J41" s="62">
        <v>-0.05</v>
      </c>
      <c r="K41" s="62">
        <v>0.05</v>
      </c>
      <c r="L41" s="62">
        <v>0.04</v>
      </c>
      <c r="M41" s="23"/>
    </row>
    <row r="42" spans="3:14" x14ac:dyDescent="0.25">
      <c r="D42" s="4"/>
      <c r="E42" s="57"/>
      <c r="F42" s="57"/>
      <c r="G42" s="57"/>
      <c r="M42" s="23"/>
    </row>
    <row r="43" spans="3:14" x14ac:dyDescent="0.25">
      <c r="C43" t="s">
        <v>46</v>
      </c>
      <c r="D43" s="4" t="s">
        <v>12</v>
      </c>
      <c r="E43" s="49">
        <f>E37-Data!J8</f>
        <v>27831</v>
      </c>
      <c r="F43" s="49">
        <f t="shared" ref="F43:L43" si="4">F37-E37</f>
        <v>36573</v>
      </c>
      <c r="G43" s="49">
        <f t="shared" si="4"/>
        <v>18181</v>
      </c>
      <c r="H43" s="49">
        <f t="shared" si="4"/>
        <v>11092.200000000012</v>
      </c>
      <c r="I43" s="12">
        <f t="shared" si="4"/>
        <v>9317.448000000004</v>
      </c>
      <c r="J43" s="12">
        <f t="shared" si="4"/>
        <v>9690.1459200000099</v>
      </c>
      <c r="K43" s="12">
        <f t="shared" si="4"/>
        <v>7558.3138176000211</v>
      </c>
      <c r="L43" s="12">
        <f t="shared" si="4"/>
        <v>7785.0632321279845</v>
      </c>
      <c r="M43" s="23"/>
    </row>
    <row r="44" spans="3:14" x14ac:dyDescent="0.25">
      <c r="C44" t="s">
        <v>4</v>
      </c>
      <c r="D44" s="4" t="s">
        <v>12</v>
      </c>
      <c r="E44" s="52">
        <f>Data!K11</f>
        <v>152984</v>
      </c>
      <c r="F44" s="52">
        <f>Data!L11</f>
        <v>189083</v>
      </c>
      <c r="G44" s="52">
        <f>Data!M11</f>
        <v>210784</v>
      </c>
      <c r="H44" s="12">
        <f>AVERAGE(G37,H37)</f>
        <v>227390.1</v>
      </c>
      <c r="I44" s="12">
        <f>AVERAGE(H37,I37)</f>
        <v>237594.924</v>
      </c>
      <c r="J44" s="12">
        <f>AVERAGE(I37,J37)</f>
        <v>247098.72096000001</v>
      </c>
      <c r="K44" s="12">
        <f>AVERAGE(J37,K37)</f>
        <v>255722.95082880004</v>
      </c>
      <c r="L44" s="12">
        <f>AVERAGE(K37,L37)</f>
        <v>263394.63935366401</v>
      </c>
      <c r="M44" s="23"/>
      <c r="N44" s="107">
        <f>(L44/G44)^(1/YEARFRAC(G$29,L$29,))-1</f>
        <v>4.5571791822334839E-2</v>
      </c>
    </row>
    <row r="45" spans="3:14" x14ac:dyDescent="0.25">
      <c r="D45" s="4"/>
      <c r="E45" s="57"/>
      <c r="F45" s="57"/>
      <c r="G45" s="57"/>
      <c r="M45" s="23"/>
    </row>
    <row r="46" spans="3:14" x14ac:dyDescent="0.25">
      <c r="C46" t="s">
        <v>5</v>
      </c>
      <c r="D46" s="4" t="s">
        <v>3</v>
      </c>
      <c r="E46" s="53">
        <f>Data!K13</f>
        <v>10.81770533737733</v>
      </c>
      <c r="F46" s="53">
        <f>Data!L13</f>
        <v>10.910849997091224</v>
      </c>
      <c r="G46" s="53">
        <f>Data!M13</f>
        <v>11.67</v>
      </c>
      <c r="H46" s="51">
        <f>G46*(1+H47)</f>
        <v>12.020100000000001</v>
      </c>
      <c r="I46" s="51">
        <f t="shared" ref="I46" si="5">H46*(1+I47)</f>
        <v>12.380703000000002</v>
      </c>
      <c r="J46" s="51">
        <f t="shared" ref="J46" si="6">I46*(1+J47)</f>
        <v>12.752124090000002</v>
      </c>
      <c r="K46" s="51">
        <f t="shared" ref="K46" si="7">J46*(1+K47)</f>
        <v>13.007166571800003</v>
      </c>
      <c r="L46" s="51">
        <f t="shared" ref="L46" si="8">K46*(1+L47)</f>
        <v>13.267309903236002</v>
      </c>
      <c r="M46" s="23"/>
      <c r="N46" s="107">
        <f>(L46/G46)^(1/YEARFRAC(G$29,L$29,))-1</f>
        <v>2.598828880504489E-2</v>
      </c>
    </row>
    <row r="47" spans="3:14" x14ac:dyDescent="0.25">
      <c r="C47" s="37" t="s">
        <v>42</v>
      </c>
      <c r="D47" s="4" t="s">
        <v>25</v>
      </c>
      <c r="E47" s="60">
        <f>Data!K14</f>
        <v>4.8831567411375731E-2</v>
      </c>
      <c r="F47" s="60">
        <f>Data!L14</f>
        <v>8.6103898016209879E-3</v>
      </c>
      <c r="G47" s="60">
        <f>Data!M14</f>
        <v>6.9577530908330854E-2</v>
      </c>
      <c r="H47" s="16">
        <f>INDEX(H48:H50,MATCH(Scenario,$C48:$C50,0),1)</f>
        <v>0.03</v>
      </c>
      <c r="I47" s="16">
        <f>INDEX(I48:I50,MATCH(Scenario,$C48:$C50,0),1)</f>
        <v>0.03</v>
      </c>
      <c r="J47" s="16">
        <f>INDEX(J48:J50,MATCH(Scenario,$C48:$C50,0),1)</f>
        <v>0.03</v>
      </c>
      <c r="K47" s="16">
        <f>INDEX(K48:K50,MATCH(Scenario,$C48:$C50,0),1)</f>
        <v>0.02</v>
      </c>
      <c r="L47" s="16">
        <f>INDEX(L48:L50,MATCH(Scenario,$C48:$C50,0),1)</f>
        <v>0.02</v>
      </c>
      <c r="M47" s="23"/>
    </row>
    <row r="48" spans="3:14" x14ac:dyDescent="0.25">
      <c r="C48" s="50" t="str">
        <f>$C$39</f>
        <v>Base</v>
      </c>
      <c r="D48" s="4" t="s">
        <v>25</v>
      </c>
      <c r="E48" s="53"/>
      <c r="F48" s="53"/>
      <c r="G48" s="53"/>
      <c r="H48" s="62">
        <v>0.03</v>
      </c>
      <c r="I48" s="62">
        <v>0.03</v>
      </c>
      <c r="J48" s="62">
        <v>0.03</v>
      </c>
      <c r="K48" s="62">
        <v>0.02</v>
      </c>
      <c r="L48" s="62">
        <v>0.02</v>
      </c>
      <c r="M48" s="23"/>
    </row>
    <row r="49" spans="3:13" x14ac:dyDescent="0.25">
      <c r="C49" s="50" t="str">
        <f>$C$40</f>
        <v>Downside</v>
      </c>
      <c r="D49" s="4" t="s">
        <v>25</v>
      </c>
      <c r="E49" s="53"/>
      <c r="F49" s="53"/>
      <c r="G49" s="53"/>
      <c r="H49" s="62">
        <v>-0.04</v>
      </c>
      <c r="I49" s="62">
        <v>-0.03</v>
      </c>
      <c r="J49" s="62">
        <v>0.05</v>
      </c>
      <c r="K49" s="62">
        <v>0.04</v>
      </c>
      <c r="L49" s="62">
        <v>0.03</v>
      </c>
      <c r="M49" s="23"/>
    </row>
    <row r="50" spans="3:13" x14ac:dyDescent="0.25">
      <c r="C50" s="50" t="str">
        <f>$C$41</f>
        <v>XT Downside</v>
      </c>
      <c r="D50" s="4" t="s">
        <v>25</v>
      </c>
      <c r="E50" s="53"/>
      <c r="F50" s="53"/>
      <c r="G50" s="53"/>
      <c r="H50" s="62">
        <v>-0.05</v>
      </c>
      <c r="I50" s="62">
        <v>-0.04</v>
      </c>
      <c r="J50" s="62">
        <v>-0.03</v>
      </c>
      <c r="K50" s="62">
        <v>0.05</v>
      </c>
      <c r="L50" s="62">
        <v>0.04</v>
      </c>
      <c r="M50" s="23"/>
    </row>
    <row r="51" spans="3:13" x14ac:dyDescent="0.25">
      <c r="D51" s="4"/>
      <c r="E51" s="25"/>
      <c r="G51" s="24"/>
      <c r="H51" s="23"/>
      <c r="I51" s="26"/>
      <c r="J51" s="27"/>
      <c r="K51" s="23"/>
      <c r="L51" s="23"/>
      <c r="M51" s="23"/>
    </row>
    <row r="52" spans="3:13" x14ac:dyDescent="0.25">
      <c r="C52" t="s">
        <v>106</v>
      </c>
      <c r="D52" s="4"/>
      <c r="E52" s="25"/>
      <c r="G52" s="24"/>
      <c r="H52" s="16">
        <f>INDEX(H53:H55,MATCH(Scenario,$C53:$C55,0),1)</f>
        <v>0.22553861581480517</v>
      </c>
      <c r="I52" s="16">
        <f>INDEX(I53:I55,MATCH(Scenario,$C53:$C55,0),1)</f>
        <v>0.23790818469783873</v>
      </c>
      <c r="J52" s="16">
        <f>INDEX(J53:J55,MATCH(Scenario,$C53:$C55,0),1)</f>
        <v>0.25012200027244641</v>
      </c>
      <c r="K52" s="16">
        <f>INDEX(K53:K55,MATCH(Scenario,$C53:$C55,0),1)</f>
        <v>0.25843632377969905</v>
      </c>
      <c r="L52" s="16">
        <f>INDEX(L53:L55,MATCH(Scenario,$C53:$C55,0),1)</f>
        <v>0.26664760903171003</v>
      </c>
      <c r="M52" s="23"/>
    </row>
    <row r="53" spans="3:13" x14ac:dyDescent="0.25">
      <c r="C53" s="37" t="str">
        <f>$C$39</f>
        <v>Base</v>
      </c>
      <c r="D53" s="4"/>
      <c r="E53" s="25"/>
      <c r="G53" s="24"/>
      <c r="H53" s="62">
        <v>0.22553861581480517</v>
      </c>
      <c r="I53" s="62">
        <v>0.23790818469783873</v>
      </c>
      <c r="J53" s="62">
        <v>0.25012200027244641</v>
      </c>
      <c r="K53" s="62">
        <v>0.25843632377969905</v>
      </c>
      <c r="L53" s="62">
        <v>0.26664760903171003</v>
      </c>
      <c r="M53" s="23"/>
    </row>
    <row r="54" spans="3:13" x14ac:dyDescent="0.25">
      <c r="C54" s="37" t="str">
        <f>$C$40</f>
        <v>Downside</v>
      </c>
      <c r="D54" s="4"/>
      <c r="E54" s="25"/>
      <c r="G54" s="24"/>
      <c r="H54" s="62">
        <v>0.19627728389615243</v>
      </c>
      <c r="I54" s="62">
        <v>0.18361465018202672</v>
      </c>
      <c r="J54" s="62">
        <v>0.20560923870807016</v>
      </c>
      <c r="K54" s="62">
        <v>0.22271220481964585</v>
      </c>
      <c r="L54" s="62">
        <v>0.23545304402228687</v>
      </c>
      <c r="M54" s="23"/>
    </row>
    <row r="55" spans="3:13" x14ac:dyDescent="0.25">
      <c r="C55" s="37" t="str">
        <f>$C$41</f>
        <v>XT Downside</v>
      </c>
      <c r="D55" s="4"/>
      <c r="E55" s="25"/>
      <c r="G55" s="24"/>
      <c r="H55" s="62">
        <v>0.19176367443752845</v>
      </c>
      <c r="I55" s="62">
        <v>0.17432753206841339</v>
      </c>
      <c r="J55" s="62">
        <v>0.16108603354364512</v>
      </c>
      <c r="K55" s="62">
        <v>0.18416122555018721</v>
      </c>
      <c r="L55" s="62">
        <v>0.20210955624129112</v>
      </c>
      <c r="M55" s="23"/>
    </row>
    <row r="56" spans="3:13" x14ac:dyDescent="0.25">
      <c r="D56" s="4"/>
      <c r="E56" s="25"/>
      <c r="G56" s="24"/>
      <c r="H56" s="23"/>
      <c r="I56" s="26"/>
      <c r="J56" s="27"/>
      <c r="K56" s="23"/>
      <c r="L56" s="23"/>
      <c r="M56" s="23"/>
    </row>
    <row r="57" spans="3:13" x14ac:dyDescent="0.25">
      <c r="C57" t="s">
        <v>109</v>
      </c>
      <c r="D57" s="4" t="s">
        <v>3</v>
      </c>
      <c r="E57" s="18">
        <f>-E79/E44*Units</f>
        <v>35.261511007687091</v>
      </c>
      <c r="F57" s="18">
        <f>-F79/F44*Units</f>
        <v>9.1483898605374385</v>
      </c>
      <c r="G57" s="18">
        <f>-G79/G44*Units</f>
        <v>24.85452880674055</v>
      </c>
      <c r="H57" s="43">
        <v>22.936789356880567</v>
      </c>
      <c r="I57" s="66">
        <f>H57</f>
        <v>22.936789356880567</v>
      </c>
      <c r="J57" s="66">
        <f t="shared" ref="J57:L57" si="9">I57</f>
        <v>22.936789356880567</v>
      </c>
      <c r="K57" s="66">
        <f t="shared" si="9"/>
        <v>22.936789356880567</v>
      </c>
      <c r="L57" s="66">
        <f t="shared" si="9"/>
        <v>22.936789356880567</v>
      </c>
      <c r="M57" s="23"/>
    </row>
    <row r="58" spans="3:13" x14ac:dyDescent="0.25">
      <c r="D58" s="4"/>
      <c r="E58" s="25"/>
      <c r="G58" s="24"/>
      <c r="H58" s="23"/>
      <c r="I58" s="26"/>
      <c r="J58" s="27"/>
      <c r="K58" s="23"/>
      <c r="L58" s="23"/>
      <c r="M58" s="23"/>
    </row>
    <row r="59" spans="3:13" x14ac:dyDescent="0.25">
      <c r="C59" t="s">
        <v>108</v>
      </c>
      <c r="D59" s="4" t="s">
        <v>25</v>
      </c>
      <c r="E59" s="118"/>
      <c r="F59" s="118">
        <f>F84/(F71-E71)</f>
        <v>-6.5858626182404324E-3</v>
      </c>
      <c r="G59" s="118">
        <f>G84/(G71-F71)</f>
        <v>-5.146488952713308E-2</v>
      </c>
      <c r="H59" s="62">
        <v>6.604224492397856E-2</v>
      </c>
      <c r="I59" s="62">
        <v>1.3667020502317596E-2</v>
      </c>
      <c r="J59" s="62">
        <v>7.6695211007385248E-4</v>
      </c>
      <c r="K59" s="62">
        <v>2.0415797491955833E-2</v>
      </c>
      <c r="L59" s="62">
        <v>4.4400849458000241E-2</v>
      </c>
      <c r="M59" s="23"/>
    </row>
    <row r="60" spans="3:13" x14ac:dyDescent="0.25">
      <c r="D60" s="4"/>
      <c r="E60" s="25"/>
      <c r="G60" s="24"/>
      <c r="H60" s="23"/>
      <c r="I60" s="26"/>
      <c r="J60" s="27"/>
      <c r="K60" s="23"/>
      <c r="L60" s="23"/>
      <c r="M60" s="23"/>
    </row>
    <row r="61" spans="3:13" x14ac:dyDescent="0.25">
      <c r="C61" t="s">
        <v>110</v>
      </c>
      <c r="D61" s="4" t="s">
        <v>25</v>
      </c>
      <c r="E61" s="118">
        <f>-E86/E71</f>
        <v>1.9202987510646096E-2</v>
      </c>
      <c r="F61" s="118">
        <f t="shared" ref="F61:G61" si="10">-F86/F71</f>
        <v>2.0217349489055392E-2</v>
      </c>
      <c r="G61" s="118">
        <f t="shared" si="10"/>
        <v>4.5116170722696233E-2</v>
      </c>
      <c r="H61" s="62">
        <v>1.7000000000000001E-2</v>
      </c>
      <c r="I61" s="65">
        <f>H61</f>
        <v>1.7000000000000001E-2</v>
      </c>
      <c r="J61" s="65">
        <f t="shared" ref="J61:L62" si="11">I61</f>
        <v>1.7000000000000001E-2</v>
      </c>
      <c r="K61" s="65">
        <f t="shared" si="11"/>
        <v>1.7000000000000001E-2</v>
      </c>
      <c r="L61" s="65">
        <f t="shared" si="11"/>
        <v>1.7000000000000001E-2</v>
      </c>
      <c r="M61" s="23"/>
    </row>
    <row r="62" spans="3:13" x14ac:dyDescent="0.25">
      <c r="C62" t="s">
        <v>56</v>
      </c>
      <c r="D62" s="4" t="s">
        <v>25</v>
      </c>
      <c r="E62" s="118">
        <f>-E74/E71</f>
        <v>5.1387528764370027E-3</v>
      </c>
      <c r="F62" s="118">
        <f t="shared" ref="F62:G62" si="12">-F74/F71</f>
        <v>4.6291302915948017E-3</v>
      </c>
      <c r="G62" s="118">
        <f t="shared" si="12"/>
        <v>7.0177484937963847E-3</v>
      </c>
      <c r="H62" s="65">
        <f>AVERAGE(E62:G62)</f>
        <v>5.5952105539427309E-3</v>
      </c>
      <c r="I62" s="65">
        <f>H62</f>
        <v>5.5952105539427309E-3</v>
      </c>
      <c r="J62" s="65">
        <f t="shared" si="11"/>
        <v>5.5952105539427309E-3</v>
      </c>
      <c r="K62" s="65">
        <f t="shared" si="11"/>
        <v>5.5952105539427309E-3</v>
      </c>
      <c r="L62" s="65">
        <f t="shared" si="11"/>
        <v>5.5952105539427309E-3</v>
      </c>
      <c r="M62" s="23"/>
    </row>
    <row r="63" spans="3:13" x14ac:dyDescent="0.25">
      <c r="D63" s="4"/>
      <c r="E63" s="25"/>
      <c r="G63" s="24"/>
      <c r="H63" s="23"/>
      <c r="I63" s="26"/>
      <c r="J63" s="27"/>
      <c r="K63" s="23"/>
      <c r="L63" s="23"/>
      <c r="M63" s="23"/>
    </row>
    <row r="64" spans="3:13" x14ac:dyDescent="0.25">
      <c r="C64" t="s">
        <v>57</v>
      </c>
      <c r="D64" s="4" t="s">
        <v>25</v>
      </c>
      <c r="E64" s="118">
        <f>E91/E71</f>
        <v>2.3267989641229923E-5</v>
      </c>
      <c r="F64" s="118">
        <f t="shared" ref="F64:G64" si="13">F91/F71</f>
        <v>1.4422275258144724E-3</v>
      </c>
      <c r="G64" s="118">
        <f t="shared" si="13"/>
        <v>-2.9207507454076464E-3</v>
      </c>
      <c r="H64" s="65">
        <f>AVERAGE(E64:G64)</f>
        <v>-4.8508507665064802E-4</v>
      </c>
      <c r="I64" s="65">
        <f>H64</f>
        <v>-4.8508507665064802E-4</v>
      </c>
      <c r="J64" s="65">
        <f t="shared" ref="J64:L66" si="14">I64</f>
        <v>-4.8508507665064802E-4</v>
      </c>
      <c r="K64" s="65">
        <f t="shared" si="14"/>
        <v>-4.8508507665064802E-4</v>
      </c>
      <c r="L64" s="65">
        <f t="shared" si="14"/>
        <v>-4.8508507665064802E-4</v>
      </c>
      <c r="M64" s="23"/>
    </row>
    <row r="65" spans="2:14" x14ac:dyDescent="0.25">
      <c r="C65" t="s">
        <v>59</v>
      </c>
      <c r="D65" s="4" t="s">
        <v>25</v>
      </c>
      <c r="E65" s="118">
        <f>E82/E71</f>
        <v>9.0618153090175069E-3</v>
      </c>
      <c r="F65" s="118">
        <f t="shared" ref="F65:G65" si="15">F82/F71</f>
        <v>3.3061375762640316E-2</v>
      </c>
      <c r="G65" s="118">
        <f t="shared" si="15"/>
        <v>-1.8144078068428136E-3</v>
      </c>
      <c r="H65" s="62">
        <v>8.0000000000000002E-3</v>
      </c>
      <c r="I65" s="65">
        <f>H65</f>
        <v>8.0000000000000002E-3</v>
      </c>
      <c r="J65" s="65">
        <f t="shared" si="14"/>
        <v>8.0000000000000002E-3</v>
      </c>
      <c r="K65" s="65">
        <f t="shared" si="14"/>
        <v>8.0000000000000002E-3</v>
      </c>
      <c r="L65" s="65">
        <f t="shared" si="14"/>
        <v>8.0000000000000002E-3</v>
      </c>
      <c r="M65" s="23"/>
    </row>
    <row r="66" spans="2:14" x14ac:dyDescent="0.25">
      <c r="C66" t="s">
        <v>58</v>
      </c>
      <c r="D66" s="4" t="s">
        <v>25</v>
      </c>
      <c r="E66" s="118">
        <f>E81/E71</f>
        <v>2.0111480956936507E-2</v>
      </c>
      <c r="F66" s="118">
        <f t="shared" ref="F66:G66" si="16">F81/F71</f>
        <v>1.6609820365260822E-2</v>
      </c>
      <c r="G66" s="118">
        <f t="shared" si="16"/>
        <v>1.3577416596302412E-2</v>
      </c>
      <c r="H66" s="62">
        <v>1.4999999999999999E-2</v>
      </c>
      <c r="I66" s="65">
        <f>H66</f>
        <v>1.4999999999999999E-2</v>
      </c>
      <c r="J66" s="65">
        <f t="shared" si="14"/>
        <v>1.4999999999999999E-2</v>
      </c>
      <c r="K66" s="65">
        <f t="shared" si="14"/>
        <v>1.4999999999999999E-2</v>
      </c>
      <c r="L66" s="65">
        <f t="shared" si="14"/>
        <v>1.4999999999999999E-2</v>
      </c>
      <c r="M66" s="23"/>
    </row>
    <row r="67" spans="2:14" x14ac:dyDescent="0.25">
      <c r="D67" s="4"/>
      <c r="E67" s="25"/>
      <c r="G67" s="24"/>
      <c r="H67" s="23"/>
      <c r="I67" s="26"/>
      <c r="J67" s="27"/>
      <c r="K67" s="23"/>
      <c r="L67" s="23"/>
      <c r="M67" s="23"/>
    </row>
    <row r="68" spans="2:14" x14ac:dyDescent="0.25">
      <c r="B68" s="28"/>
      <c r="C68" s="29"/>
      <c r="D68" s="30"/>
      <c r="E68" s="32" t="str">
        <f>$E$28</f>
        <v>Historical:</v>
      </c>
      <c r="F68" s="32"/>
      <c r="G68" s="33"/>
      <c r="H68" s="32" t="str">
        <f>$H$28</f>
        <v>Projected:</v>
      </c>
      <c r="I68" s="34"/>
      <c r="J68" s="32"/>
      <c r="K68" s="32"/>
      <c r="L68" s="32"/>
      <c r="N68" s="104" t="str">
        <f>$N$28</f>
        <v>Projected</v>
      </c>
    </row>
    <row r="69" spans="2:14" x14ac:dyDescent="0.25">
      <c r="B69" s="2" t="str">
        <f>Company_Name&amp;" - Simplified Cash Flow Projections:"</f>
        <v>Netflix, Inc. - Simplified Cash Flow Projections:</v>
      </c>
      <c r="C69" s="1"/>
      <c r="D69" s="3" t="str">
        <f>$D$5</f>
        <v>Units:</v>
      </c>
      <c r="E69" s="1">
        <f>$E$29</f>
        <v>43830</v>
      </c>
      <c r="F69" s="1">
        <f>$F$29</f>
        <v>44196</v>
      </c>
      <c r="G69" s="31">
        <f>$G$29</f>
        <v>44561</v>
      </c>
      <c r="H69" s="1">
        <f>$H$29</f>
        <v>44926</v>
      </c>
      <c r="I69" s="1">
        <f>$I$29</f>
        <v>45291</v>
      </c>
      <c r="J69" s="1">
        <f>$J$29</f>
        <v>45657</v>
      </c>
      <c r="K69" s="1">
        <f>$K$29</f>
        <v>46022</v>
      </c>
      <c r="L69" s="1">
        <f>$L$29</f>
        <v>46387</v>
      </c>
      <c r="N69" s="105" t="str">
        <f>$N$29</f>
        <v>CAGR:</v>
      </c>
    </row>
    <row r="70" spans="2:14" outlineLevel="1" x14ac:dyDescent="0.25">
      <c r="B70" s="38"/>
    </row>
    <row r="71" spans="2:14" outlineLevel="1" x14ac:dyDescent="0.25">
      <c r="B71" s="38"/>
      <c r="C71" s="38" t="s">
        <v>85</v>
      </c>
      <c r="D71" s="4" t="s">
        <v>1</v>
      </c>
      <c r="E71" s="113">
        <v>20156.447</v>
      </c>
      <c r="F71" s="113">
        <v>24996.056</v>
      </c>
      <c r="G71" s="113">
        <v>29697.844000000001</v>
      </c>
      <c r="H71" s="117">
        <f>H33</f>
        <v>32935.781892120001</v>
      </c>
      <c r="I71" s="117">
        <f t="shared" ref="I71:L71" si="17">I33</f>
        <v>35408.515060218881</v>
      </c>
      <c r="J71" s="117">
        <f t="shared" si="17"/>
        <v>37905.40010594645</v>
      </c>
      <c r="K71" s="117">
        <f t="shared" si="17"/>
        <v>39993.820069949077</v>
      </c>
      <c r="L71" s="117">
        <f t="shared" si="17"/>
        <v>42001.6503651737</v>
      </c>
      <c r="N71" s="107">
        <f>(L71/G71)^(1/YEARFRAC(G$29,L$29,))-1</f>
        <v>7.1786510612894761E-2</v>
      </c>
    </row>
    <row r="72" spans="2:14" outlineLevel="1" x14ac:dyDescent="0.25">
      <c r="B72" s="38"/>
      <c r="H72" s="22"/>
      <c r="I72" s="22"/>
      <c r="J72" s="22"/>
      <c r="K72" s="22"/>
      <c r="L72" s="22"/>
    </row>
    <row r="73" spans="2:14" outlineLevel="1" x14ac:dyDescent="0.25">
      <c r="B73" s="38"/>
      <c r="C73" s="38" t="s">
        <v>24</v>
      </c>
      <c r="D73" s="4" t="s">
        <v>1</v>
      </c>
      <c r="E73" s="114">
        <v>2707.833000000001</v>
      </c>
      <c r="F73" s="114">
        <v>4700.9990000000007</v>
      </c>
      <c r="G73" s="114">
        <v>6402.9209999999994</v>
      </c>
      <c r="H73" s="119">
        <f>H71*H52</f>
        <v>7428.29065872707</v>
      </c>
      <c r="I73" s="119">
        <f t="shared" ref="I73:L73" si="18">I71*I52</f>
        <v>8423.9755408227575</v>
      </c>
      <c r="J73" s="119">
        <f t="shared" si="18"/>
        <v>9480.9744956267277</v>
      </c>
      <c r="K73" s="119">
        <f t="shared" si="18"/>
        <v>10335.855832784386</v>
      </c>
      <c r="L73" s="119">
        <f t="shared" si="18"/>
        <v>11199.639645259418</v>
      </c>
      <c r="N73" s="107">
        <f>(L73/G73)^(1/YEARFRAC(G$29,L$29,))-1</f>
        <v>0.11831765485307155</v>
      </c>
    </row>
    <row r="74" spans="2:14" outlineLevel="1" x14ac:dyDescent="0.25">
      <c r="B74" s="38"/>
      <c r="C74" s="37" t="s">
        <v>87</v>
      </c>
      <c r="D74" s="4" t="s">
        <v>1</v>
      </c>
      <c r="E74" s="5">
        <v>-103.57899999999999</v>
      </c>
      <c r="F74" s="5">
        <v>-115.71</v>
      </c>
      <c r="G74" s="5">
        <v>-208.41200000000001</v>
      </c>
      <c r="H74" s="46">
        <f>-H71*H62</f>
        <v>-184.28263444514573</v>
      </c>
      <c r="I74" s="46">
        <f t="shared" ref="I74:L74" si="19">-I71*I62</f>
        <v>-198.11809716437682</v>
      </c>
      <c r="J74" s="46">
        <f t="shared" si="19"/>
        <v>-212.0886947242135</v>
      </c>
      <c r="K74" s="46">
        <f t="shared" si="19"/>
        <v>-223.77384414786567</v>
      </c>
      <c r="L74" s="46">
        <f t="shared" si="19"/>
        <v>-235.00807740623245</v>
      </c>
    </row>
    <row r="75" spans="2:14" outlineLevel="1" x14ac:dyDescent="0.25">
      <c r="B75" s="38"/>
      <c r="C75" s="37" t="s">
        <v>37</v>
      </c>
      <c r="D75" s="4" t="s">
        <v>1</v>
      </c>
      <c r="E75" s="5">
        <v>-626.02300000000002</v>
      </c>
      <c r="F75" s="5">
        <v>-767.49900000000002</v>
      </c>
      <c r="G75" s="5">
        <v>-765.62</v>
      </c>
      <c r="H75" s="36">
        <f>-H144</f>
        <v>-734.0474999999999</v>
      </c>
      <c r="I75" s="36">
        <f t="shared" ref="I75:L75" si="20">-I144</f>
        <v>-695.5474999999999</v>
      </c>
      <c r="J75" s="36">
        <f t="shared" si="20"/>
        <v>-695.5474999999999</v>
      </c>
      <c r="K75" s="36">
        <f t="shared" si="20"/>
        <v>-672.5474999999999</v>
      </c>
      <c r="L75" s="36">
        <f t="shared" si="20"/>
        <v>-593.80715307257037</v>
      </c>
    </row>
    <row r="76" spans="2:14" outlineLevel="1" x14ac:dyDescent="0.25">
      <c r="B76" s="38"/>
      <c r="C76" s="37" t="s">
        <v>26</v>
      </c>
      <c r="D76" s="4" t="s">
        <v>1</v>
      </c>
      <c r="E76" s="5">
        <v>84</v>
      </c>
      <c r="F76" s="5">
        <v>-618.44100000000003</v>
      </c>
      <c r="G76" s="5">
        <v>411.214</v>
      </c>
      <c r="H76" s="36">
        <f>H145</f>
        <v>60.297619999999995</v>
      </c>
      <c r="I76" s="36">
        <f t="shared" ref="I76:L76" si="21">I145</f>
        <v>82.339454730299991</v>
      </c>
      <c r="J76" s="36">
        <f t="shared" si="21"/>
        <v>118.02838353406293</v>
      </c>
      <c r="K76" s="36">
        <f t="shared" si="21"/>
        <v>94.76350026486611</v>
      </c>
      <c r="L76" s="36">
        <f t="shared" si="21"/>
        <v>99.984550174872666</v>
      </c>
    </row>
    <row r="77" spans="2:14" outlineLevel="1" x14ac:dyDescent="0.25">
      <c r="B77" s="38"/>
      <c r="C77" s="37" t="s">
        <v>86</v>
      </c>
      <c r="D77" s="44" t="s">
        <v>1</v>
      </c>
      <c r="E77" s="5">
        <v>-195.315</v>
      </c>
      <c r="F77" s="5">
        <v>-437.95400000000001</v>
      </c>
      <c r="G77" s="5">
        <v>-723.875</v>
      </c>
      <c r="H77" s="36">
        <f>-SUM(H73:H76)*Tax_Rate</f>
        <v>-1314.0516288563849</v>
      </c>
      <c r="I77" s="36">
        <f>-SUM(I73:I76)*Tax_Rate</f>
        <v>-1522.5298796777361</v>
      </c>
      <c r="J77" s="36">
        <f>-SUM(J73:J76)*Tax_Rate</f>
        <v>-1738.2733368873153</v>
      </c>
      <c r="K77" s="36">
        <f>-SUM(K73:K76)*Tax_Rate</f>
        <v>-1906.8595977802772</v>
      </c>
      <c r="L77" s="36">
        <f>-SUM(L73:L76)*Tax_Rate</f>
        <v>-2094.1617929910981</v>
      </c>
    </row>
    <row r="78" spans="2:14" outlineLevel="1" x14ac:dyDescent="0.25">
      <c r="B78" s="38"/>
      <c r="C78" s="39" t="s">
        <v>23</v>
      </c>
      <c r="D78" s="4" t="s">
        <v>1</v>
      </c>
      <c r="E78" s="68">
        <f>SUM(E73:E77)</f>
        <v>1866.9160000000006</v>
      </c>
      <c r="F78" s="68">
        <f t="shared" ref="F78:G78" si="22">SUM(F73:F77)</f>
        <v>2761.3950000000009</v>
      </c>
      <c r="G78" s="68">
        <f t="shared" si="22"/>
        <v>5116.2279999999992</v>
      </c>
      <c r="H78" s="40">
        <f t="shared" ref="H78:L78" si="23">SUM(H73:H77)</f>
        <v>5256.2065154255397</v>
      </c>
      <c r="I78" s="40">
        <f t="shared" si="23"/>
        <v>6090.1195187109442</v>
      </c>
      <c r="J78" s="40">
        <f t="shared" si="23"/>
        <v>6953.0933475492611</v>
      </c>
      <c r="K78" s="40">
        <f t="shared" si="23"/>
        <v>7627.4383911211089</v>
      </c>
      <c r="L78" s="40">
        <f t="shared" si="23"/>
        <v>8376.6471719643923</v>
      </c>
      <c r="N78" s="107">
        <f>(L78/G78)^(1/YEARFRAC(G$29,L$29,))-1</f>
        <v>0.10363144643224387</v>
      </c>
    </row>
    <row r="79" spans="2:14" outlineLevel="1" x14ac:dyDescent="0.25">
      <c r="B79" s="38"/>
      <c r="C79" s="37" t="s">
        <v>88</v>
      </c>
      <c r="D79" s="4" t="s">
        <v>1</v>
      </c>
      <c r="E79" s="5">
        <v>-5394.4470000000019</v>
      </c>
      <c r="F79" s="5">
        <v>-1729.8050000000003</v>
      </c>
      <c r="G79" s="5">
        <v>-5238.9369999999999</v>
      </c>
      <c r="H79" s="46">
        <f>-H57*H44/Units</f>
        <v>-5215.598825540008</v>
      </c>
      <c r="I79" s="46">
        <f>-I57*I44/Units</f>
        <v>-5449.6647240520469</v>
      </c>
      <c r="J79" s="46">
        <f>-J57*J44/Units</f>
        <v>-5667.6513130141293</v>
      </c>
      <c r="K79" s="46">
        <f>-K57*K44/Units</f>
        <v>-5865.463456880113</v>
      </c>
      <c r="L79" s="46">
        <f>-L57*L44/Units</f>
        <v>-6041.4273605865155</v>
      </c>
    </row>
    <row r="80" spans="2:14" outlineLevel="1" x14ac:dyDescent="0.25">
      <c r="B80" s="38"/>
      <c r="C80" s="37" t="s">
        <v>28</v>
      </c>
      <c r="D80" s="4" t="s">
        <v>1</v>
      </c>
      <c r="E80" s="5">
        <v>103.57899999999999</v>
      </c>
      <c r="F80" s="5">
        <v>115.71</v>
      </c>
      <c r="G80" s="5">
        <v>208.41200000000001</v>
      </c>
      <c r="H80" s="36">
        <f t="shared" ref="H80:L80" si="24">-H74</f>
        <v>184.28263444514573</v>
      </c>
      <c r="I80" s="36">
        <f t="shared" si="24"/>
        <v>198.11809716437682</v>
      </c>
      <c r="J80" s="36">
        <f t="shared" si="24"/>
        <v>212.0886947242135</v>
      </c>
      <c r="K80" s="36">
        <f t="shared" si="24"/>
        <v>223.77384414786567</v>
      </c>
      <c r="L80" s="36">
        <f t="shared" si="24"/>
        <v>235.00807740623245</v>
      </c>
    </row>
    <row r="81" spans="2:14" outlineLevel="1" x14ac:dyDescent="0.25">
      <c r="B81" s="38"/>
      <c r="C81" s="37" t="s">
        <v>29</v>
      </c>
      <c r="D81" s="4" t="s">
        <v>1</v>
      </c>
      <c r="E81" s="5">
        <v>405.37599999999998</v>
      </c>
      <c r="F81" s="5">
        <v>415.18</v>
      </c>
      <c r="G81" s="5">
        <v>403.22</v>
      </c>
      <c r="H81" s="36">
        <f>H71*H66</f>
        <v>494.0367283818</v>
      </c>
      <c r="I81" s="36">
        <f t="shared" ref="I81:L81" si="25">I71*I66</f>
        <v>531.12772590328314</v>
      </c>
      <c r="J81" s="36">
        <f t="shared" si="25"/>
        <v>568.58100158919672</v>
      </c>
      <c r="K81" s="36">
        <f t="shared" si="25"/>
        <v>599.90730104923614</v>
      </c>
      <c r="L81" s="36">
        <f t="shared" si="25"/>
        <v>630.02475547760548</v>
      </c>
    </row>
    <row r="82" spans="2:14" outlineLevel="1" x14ac:dyDescent="0.25">
      <c r="B82" s="38"/>
      <c r="C82" s="37" t="s">
        <v>30</v>
      </c>
      <c r="D82" s="4" t="s">
        <v>1</v>
      </c>
      <c r="E82" s="5">
        <v>182.654</v>
      </c>
      <c r="F82" s="5">
        <v>826.404</v>
      </c>
      <c r="G82" s="5">
        <v>-53.884000000000015</v>
      </c>
      <c r="H82" s="46">
        <f>H71*H65</f>
        <v>263.48625513696004</v>
      </c>
      <c r="I82" s="46">
        <f t="shared" ref="I82:L82" si="26">I71*I65</f>
        <v>283.26812048175105</v>
      </c>
      <c r="J82" s="46">
        <f t="shared" si="26"/>
        <v>303.24320084757159</v>
      </c>
      <c r="K82" s="46">
        <f t="shared" si="26"/>
        <v>319.95056055959265</v>
      </c>
      <c r="L82" s="46">
        <f t="shared" si="26"/>
        <v>336.01320292138962</v>
      </c>
    </row>
    <row r="83" spans="2:14" outlineLevel="1" x14ac:dyDescent="0.25">
      <c r="B83" s="38"/>
      <c r="C83" s="37" t="s">
        <v>31</v>
      </c>
      <c r="D83" s="4" t="s">
        <v>1</v>
      </c>
      <c r="E83" s="5">
        <v>-94.442999999999998</v>
      </c>
      <c r="F83" s="5">
        <v>70.066000000000003</v>
      </c>
      <c r="G83" s="5">
        <v>199.548</v>
      </c>
      <c r="H83" s="36">
        <f>-H81*Tax_Rate</f>
        <v>-98.807345676360001</v>
      </c>
      <c r="I83" s="36">
        <f>-I81*Tax_Rate</f>
        <v>-106.22554518065664</v>
      </c>
      <c r="J83" s="36">
        <f>-J81*Tax_Rate</f>
        <v>-113.71620031783935</v>
      </c>
      <c r="K83" s="36">
        <f>-K81*Tax_Rate</f>
        <v>-119.98146020984723</v>
      </c>
      <c r="L83" s="36">
        <f>-L81*Tax_Rate</f>
        <v>-126.00495109552111</v>
      </c>
    </row>
    <row r="84" spans="2:14" outlineLevel="1" x14ac:dyDescent="0.25">
      <c r="B84" s="38"/>
      <c r="C84" s="37" t="s">
        <v>89</v>
      </c>
      <c r="D84" s="44" t="s">
        <v>1</v>
      </c>
      <c r="E84" s="5">
        <v>43.043000000000006</v>
      </c>
      <c r="F84" s="5">
        <v>-31.872999999999962</v>
      </c>
      <c r="G84" s="5">
        <v>-241.977</v>
      </c>
      <c r="H84" s="46">
        <f>(H71-G71)*H59</f>
        <v>213.84068732001995</v>
      </c>
      <c r="I84" s="46">
        <f t="shared" ref="I84:L84" si="27">(I71-H71)*I59</f>
        <v>33.794894905168121</v>
      </c>
      <c r="J84" s="46">
        <f t="shared" si="27"/>
        <v>1.9149912544326069</v>
      </c>
      <c r="K84" s="46">
        <f t="shared" si="27"/>
        <v>42.636759063235331</v>
      </c>
      <c r="L84" s="46">
        <f t="shared" si="27"/>
        <v>89.149370675480668</v>
      </c>
    </row>
    <row r="85" spans="2:14" outlineLevel="1" x14ac:dyDescent="0.25">
      <c r="B85" s="38"/>
      <c r="C85" s="39" t="s">
        <v>32</v>
      </c>
      <c r="D85" s="4" t="s">
        <v>1</v>
      </c>
      <c r="E85" s="68">
        <f>SUM(E78:E84)</f>
        <v>-2887.322000000001</v>
      </c>
      <c r="F85" s="68">
        <f t="shared" ref="F85:G85" si="28">SUM(F78:F84)</f>
        <v>2427.0770000000007</v>
      </c>
      <c r="G85" s="68">
        <f t="shared" si="28"/>
        <v>392.60999999999933</v>
      </c>
      <c r="H85" s="115">
        <f t="shared" ref="H85:L85" si="29">SUM(H78:H84)</f>
        <v>1097.4466494930975</v>
      </c>
      <c r="I85" s="115">
        <f t="shared" si="29"/>
        <v>1580.53808793282</v>
      </c>
      <c r="J85" s="115">
        <f t="shared" si="29"/>
        <v>2257.5537226327069</v>
      </c>
      <c r="K85" s="115">
        <f t="shared" si="29"/>
        <v>2828.2619388510784</v>
      </c>
      <c r="L85" s="115">
        <f t="shared" si="29"/>
        <v>3499.4102667630641</v>
      </c>
      <c r="N85" s="107">
        <f>(L85/G85)^(1/YEARFRAC(G$29,L$29,))-1</f>
        <v>0.54884051640494658</v>
      </c>
    </row>
    <row r="86" spans="2:14" outlineLevel="1" x14ac:dyDescent="0.25">
      <c r="B86" s="38"/>
      <c r="C86" s="37" t="s">
        <v>90</v>
      </c>
      <c r="D86" s="4" t="s">
        <v>1</v>
      </c>
      <c r="E86" s="5">
        <v>-387.06399999999996</v>
      </c>
      <c r="F86" s="5">
        <v>-505.35399999999998</v>
      </c>
      <c r="G86" s="5">
        <v>-1339.8530000000001</v>
      </c>
      <c r="H86" s="46">
        <f>-H71*H61</f>
        <v>-559.90829216604004</v>
      </c>
      <c r="I86" s="46">
        <f t="shared" ref="I86:L86" si="30">-I71*I61</f>
        <v>-601.94475602372097</v>
      </c>
      <c r="J86" s="46">
        <f t="shared" si="30"/>
        <v>-644.39180180108974</v>
      </c>
      <c r="K86" s="46">
        <f t="shared" si="30"/>
        <v>-679.89494118913433</v>
      </c>
      <c r="L86" s="46">
        <f t="shared" si="30"/>
        <v>-714.028056207953</v>
      </c>
    </row>
    <row r="87" spans="2:14" outlineLevel="1" x14ac:dyDescent="0.25">
      <c r="B87" s="38"/>
      <c r="C87" s="37" t="s">
        <v>33</v>
      </c>
      <c r="D87" s="4" t="s">
        <v>1</v>
      </c>
      <c r="E87" s="5">
        <v>4469.3059999999996</v>
      </c>
      <c r="F87" s="5">
        <v>1009.4640000000001</v>
      </c>
      <c r="G87" s="5">
        <v>-500</v>
      </c>
      <c r="H87" s="36">
        <f>H129+H134+H137</f>
        <v>-700</v>
      </c>
      <c r="I87" s="36">
        <f t="shared" ref="I87:L87" si="31">I129+I134+I137</f>
        <v>0</v>
      </c>
      <c r="J87" s="36">
        <f t="shared" si="31"/>
        <v>-400</v>
      </c>
      <c r="K87" s="36">
        <f t="shared" si="31"/>
        <v>-1780.8965983873231</v>
      </c>
      <c r="L87" s="36">
        <f t="shared" si="31"/>
        <v>-1054.1034016126769</v>
      </c>
    </row>
    <row r="88" spans="2:14" outlineLevel="1" x14ac:dyDescent="0.25">
      <c r="B88" s="38"/>
      <c r="C88" s="37" t="s">
        <v>34</v>
      </c>
      <c r="D88" s="4" t="s">
        <v>1</v>
      </c>
      <c r="E88" s="5">
        <v>72.489999999999995</v>
      </c>
      <c r="F88" s="5">
        <v>235.40600000000001</v>
      </c>
      <c r="G88" s="5">
        <v>174.41399999999999</v>
      </c>
      <c r="H88" s="36">
        <f>H138</f>
        <v>0</v>
      </c>
      <c r="I88" s="36">
        <f t="shared" ref="I88:L88" si="32">I138</f>
        <v>0</v>
      </c>
      <c r="J88" s="36">
        <f t="shared" si="32"/>
        <v>0</v>
      </c>
      <c r="K88" s="36">
        <f t="shared" si="32"/>
        <v>0</v>
      </c>
      <c r="L88" s="36">
        <f t="shared" si="32"/>
        <v>0</v>
      </c>
    </row>
    <row r="89" spans="2:14" outlineLevel="1" x14ac:dyDescent="0.25">
      <c r="B89" s="38"/>
      <c r="C89" s="37" t="s">
        <v>35</v>
      </c>
      <c r="D89" s="4" t="s">
        <v>1</v>
      </c>
      <c r="E89" s="5">
        <v>0</v>
      </c>
      <c r="F89" s="5">
        <v>0</v>
      </c>
      <c r="G89" s="5">
        <v>-600.02200000000005</v>
      </c>
      <c r="H89" s="36">
        <f>H139</f>
        <v>-362.02671902336988</v>
      </c>
      <c r="I89" s="36">
        <f t="shared" ref="I89:L89" si="33">I139</f>
        <v>-549.29499498388031</v>
      </c>
      <c r="J89" s="36">
        <f t="shared" si="33"/>
        <v>-778.62706929448905</v>
      </c>
      <c r="K89" s="36">
        <f t="shared" si="33"/>
        <v>0</v>
      </c>
      <c r="L89" s="36">
        <f t="shared" si="33"/>
        <v>-1376.2660526181526</v>
      </c>
    </row>
    <row r="90" spans="2:14" outlineLevel="1" x14ac:dyDescent="0.25">
      <c r="B90" s="38"/>
      <c r="C90" s="37" t="s">
        <v>91</v>
      </c>
      <c r="D90" s="4" t="s">
        <v>1</v>
      </c>
      <c r="E90" s="5">
        <v>-36.134</v>
      </c>
      <c r="F90" s="5">
        <v>-7.5590000000000002</v>
      </c>
      <c r="G90" s="5">
        <v>-224.16800000000001</v>
      </c>
      <c r="H90" s="36">
        <f>-SUM(H141:H142)</f>
        <v>0</v>
      </c>
      <c r="I90" s="36">
        <f t="shared" ref="I90:L90" si="34">-SUM(I141:I142)</f>
        <v>0</v>
      </c>
      <c r="J90" s="36">
        <f t="shared" si="34"/>
        <v>0</v>
      </c>
      <c r="K90" s="36">
        <f t="shared" si="34"/>
        <v>0</v>
      </c>
      <c r="L90" s="36">
        <f t="shared" si="34"/>
        <v>0</v>
      </c>
    </row>
    <row r="91" spans="2:14" outlineLevel="1" x14ac:dyDescent="0.25">
      <c r="B91" s="38"/>
      <c r="C91" s="37" t="s">
        <v>36</v>
      </c>
      <c r="D91" s="44" t="s">
        <v>1</v>
      </c>
      <c r="E91" s="5">
        <v>0.46899999999999997</v>
      </c>
      <c r="F91" s="5">
        <v>36.049999999999997</v>
      </c>
      <c r="G91" s="5">
        <v>-86.74</v>
      </c>
      <c r="H91" s="46">
        <f>H71*H64</f>
        <v>-15.976656283688056</v>
      </c>
      <c r="I91" s="46">
        <f t="shared" ref="I91:L91" si="35">I71*I64</f>
        <v>-17.176142242071901</v>
      </c>
      <c r="J91" s="46">
        <f t="shared" si="35"/>
        <v>-18.387343915866516</v>
      </c>
      <c r="K91" s="46">
        <f t="shared" si="35"/>
        <v>-19.400405274183473</v>
      </c>
      <c r="L91" s="46">
        <f t="shared" si="35"/>
        <v>-20.374373786844004</v>
      </c>
    </row>
    <row r="92" spans="2:14" outlineLevel="1" x14ac:dyDescent="0.25">
      <c r="B92" s="38"/>
      <c r="C92" s="41" t="s">
        <v>92</v>
      </c>
      <c r="D92" s="4" t="s">
        <v>1</v>
      </c>
      <c r="E92" s="68">
        <f>SUM(E85:E91)</f>
        <v>1231.7449999999988</v>
      </c>
      <c r="F92" s="68">
        <f t="shared" ref="F92:L92" si="36">SUM(F85:F91)</f>
        <v>3195.0840000000007</v>
      </c>
      <c r="G92" s="68">
        <f t="shared" si="36"/>
        <v>-2183.7590000000009</v>
      </c>
      <c r="H92" s="68">
        <f t="shared" si="36"/>
        <v>-540.46501798000043</v>
      </c>
      <c r="I92" s="68">
        <f t="shared" si="36"/>
        <v>412.1221946831468</v>
      </c>
      <c r="J92" s="68">
        <f t="shared" si="36"/>
        <v>416.14750762126164</v>
      </c>
      <c r="K92" s="68">
        <f t="shared" si="36"/>
        <v>348.06999400043736</v>
      </c>
      <c r="L92" s="68">
        <f t="shared" si="36"/>
        <v>334.63838253743779</v>
      </c>
    </row>
    <row r="93" spans="2:14" outlineLevel="1" x14ac:dyDescent="0.25">
      <c r="B93" s="38"/>
      <c r="C93" s="37"/>
    </row>
    <row r="94" spans="2:14" outlineLevel="1" x14ac:dyDescent="0.25">
      <c r="B94" s="38"/>
      <c r="C94" s="37" t="s">
        <v>93</v>
      </c>
      <c r="D94" s="4" t="s">
        <v>1</v>
      </c>
      <c r="E94" s="5">
        <v>3786.6920000000009</v>
      </c>
      <c r="F94" s="36">
        <f>E95</f>
        <v>5018.4369999999999</v>
      </c>
      <c r="G94" s="36">
        <f>F95</f>
        <v>8213.5210000000006</v>
      </c>
      <c r="H94" s="36">
        <f t="shared" ref="H94:L94" si="37">G95</f>
        <v>6029.7619999999997</v>
      </c>
      <c r="I94" s="36">
        <f t="shared" si="37"/>
        <v>5489.2969820199996</v>
      </c>
      <c r="J94" s="36">
        <f t="shared" si="37"/>
        <v>5901.4191767031461</v>
      </c>
      <c r="K94" s="36">
        <f t="shared" si="37"/>
        <v>6317.566684324408</v>
      </c>
      <c r="L94" s="36">
        <f t="shared" si="37"/>
        <v>6665.636678324845</v>
      </c>
    </row>
    <row r="95" spans="2:14" outlineLevel="1" x14ac:dyDescent="0.25">
      <c r="B95" s="38"/>
      <c r="C95" s="37" t="s">
        <v>94</v>
      </c>
      <c r="D95" s="4" t="s">
        <v>1</v>
      </c>
      <c r="E95" s="67">
        <f>E94+E92</f>
        <v>5018.4369999999999</v>
      </c>
      <c r="F95" s="67">
        <f>F94+F92</f>
        <v>8213.5210000000006</v>
      </c>
      <c r="G95" s="67">
        <f>G94+G92</f>
        <v>6029.7619999999997</v>
      </c>
      <c r="H95" s="67">
        <f t="shared" ref="H95:L95" si="38">H94+H92</f>
        <v>5489.2969820199996</v>
      </c>
      <c r="I95" s="67">
        <f t="shared" si="38"/>
        <v>5901.4191767031461</v>
      </c>
      <c r="J95" s="67">
        <f t="shared" si="38"/>
        <v>6317.566684324408</v>
      </c>
      <c r="K95" s="67">
        <f t="shared" si="38"/>
        <v>6665.636678324845</v>
      </c>
      <c r="L95" s="67">
        <f t="shared" si="38"/>
        <v>7000.2750608622828</v>
      </c>
      <c r="N95" s="107">
        <f>(L95/G95)^(1/YEARFRAC(G$29,L$29,))-1</f>
        <v>3.0298308703703869E-2</v>
      </c>
    </row>
    <row r="96" spans="2:14" x14ac:dyDescent="0.25">
      <c r="B96" s="38"/>
    </row>
    <row r="97" spans="2:14" x14ac:dyDescent="0.25">
      <c r="B97" s="76"/>
      <c r="C97" s="77"/>
      <c r="D97" s="77"/>
      <c r="E97" s="78" t="str">
        <f>$E$28</f>
        <v>Historical:</v>
      </c>
      <c r="F97" s="79"/>
      <c r="G97" s="80"/>
      <c r="H97" s="78" t="str">
        <f>$H$28</f>
        <v>Projected:</v>
      </c>
      <c r="I97" s="79"/>
      <c r="J97" s="79"/>
      <c r="K97" s="78"/>
      <c r="L97" s="81"/>
      <c r="N97" s="104" t="str">
        <f>$N$28</f>
        <v>Projected</v>
      </c>
    </row>
    <row r="98" spans="2:14" x14ac:dyDescent="0.25">
      <c r="B98" s="2" t="s">
        <v>66</v>
      </c>
      <c r="C98" s="1"/>
      <c r="D98" s="3" t="str">
        <f>$D$5</f>
        <v>Units:</v>
      </c>
      <c r="E98" s="1">
        <f>$E$29</f>
        <v>43830</v>
      </c>
      <c r="F98" s="1">
        <f>$F$29</f>
        <v>44196</v>
      </c>
      <c r="G98" s="31">
        <f>$G$29</f>
        <v>44561</v>
      </c>
      <c r="H98" s="1">
        <f>$H$29</f>
        <v>44926</v>
      </c>
      <c r="I98" s="1">
        <f>$I$29</f>
        <v>45291</v>
      </c>
      <c r="J98" s="1">
        <f>$J$29</f>
        <v>45657</v>
      </c>
      <c r="K98" s="1">
        <f>$K$29</f>
        <v>46022</v>
      </c>
      <c r="L98" s="1">
        <f>$L$29</f>
        <v>46387</v>
      </c>
      <c r="N98" s="105" t="str">
        <f>$N$29</f>
        <v>CAGR:</v>
      </c>
    </row>
    <row r="99" spans="2:14" outlineLevel="1" x14ac:dyDescent="0.25"/>
    <row r="100" spans="2:14" outlineLevel="1" x14ac:dyDescent="0.25">
      <c r="C100" t="s">
        <v>67</v>
      </c>
      <c r="D100" s="4" t="s">
        <v>1</v>
      </c>
      <c r="G100" s="82">
        <v>500</v>
      </c>
    </row>
    <row r="101" spans="2:14" outlineLevel="1" x14ac:dyDescent="0.25"/>
    <row r="102" spans="2:14" outlineLevel="1" x14ac:dyDescent="0.25">
      <c r="C102" s="54" t="s">
        <v>68</v>
      </c>
      <c r="D102" s="54"/>
      <c r="E102" s="54"/>
      <c r="F102" s="54"/>
      <c r="G102" s="54"/>
      <c r="H102" s="54"/>
      <c r="I102" s="54"/>
      <c r="J102" s="54"/>
      <c r="K102" s="54"/>
      <c r="L102" s="54"/>
    </row>
    <row r="103" spans="2:14" outlineLevel="1" x14ac:dyDescent="0.25">
      <c r="C103" s="37" t="str">
        <f t="shared" ref="C103:C108" si="39">TEXT(G103,"0.00%")&amp;" Senior Notes:"</f>
        <v>5.50% Senior Notes:</v>
      </c>
      <c r="D103" s="4" t="s">
        <v>25</v>
      </c>
      <c r="G103" s="84">
        <v>5.5E-2</v>
      </c>
      <c r="H103" s="83">
        <f>G103</f>
        <v>5.5E-2</v>
      </c>
      <c r="I103" s="83">
        <f t="shared" ref="I103:L103" si="40">H103</f>
        <v>5.5E-2</v>
      </c>
      <c r="J103" s="83">
        <f t="shared" si="40"/>
        <v>5.5E-2</v>
      </c>
      <c r="K103" s="83">
        <f t="shared" si="40"/>
        <v>5.5E-2</v>
      </c>
      <c r="L103" s="83">
        <f t="shared" si="40"/>
        <v>5.5E-2</v>
      </c>
    </row>
    <row r="104" spans="2:14" outlineLevel="1" x14ac:dyDescent="0.25">
      <c r="C104" s="37" t="str">
        <f t="shared" si="39"/>
        <v>5.75% Senior Notes:</v>
      </c>
      <c r="D104" s="4" t="s">
        <v>25</v>
      </c>
      <c r="G104" s="84">
        <v>5.7500000000000002E-2</v>
      </c>
      <c r="H104" s="83">
        <f t="shared" ref="H104:L109" si="41">G104</f>
        <v>5.7500000000000002E-2</v>
      </c>
      <c r="I104" s="83">
        <f t="shared" si="41"/>
        <v>5.7500000000000002E-2</v>
      </c>
      <c r="J104" s="83">
        <f t="shared" si="41"/>
        <v>5.7500000000000002E-2</v>
      </c>
      <c r="K104" s="83">
        <f t="shared" si="41"/>
        <v>5.7500000000000002E-2</v>
      </c>
      <c r="L104" s="83">
        <f t="shared" si="41"/>
        <v>5.7500000000000002E-2</v>
      </c>
    </row>
    <row r="105" spans="2:14" outlineLevel="1" x14ac:dyDescent="0.25">
      <c r="C105" s="37" t="str">
        <f t="shared" si="39"/>
        <v>5.88% Senior Notes:</v>
      </c>
      <c r="D105" s="4" t="s">
        <v>25</v>
      </c>
      <c r="G105" s="84">
        <v>5.8749999999999997E-2</v>
      </c>
      <c r="H105" s="83">
        <f t="shared" si="41"/>
        <v>5.8749999999999997E-2</v>
      </c>
      <c r="I105" s="83">
        <f t="shared" si="41"/>
        <v>5.8749999999999997E-2</v>
      </c>
      <c r="J105" s="83">
        <f t="shared" si="41"/>
        <v>5.8749999999999997E-2</v>
      </c>
      <c r="K105" s="83">
        <f t="shared" si="41"/>
        <v>5.8749999999999997E-2</v>
      </c>
      <c r="L105" s="83">
        <f t="shared" si="41"/>
        <v>5.8749999999999997E-2</v>
      </c>
    </row>
    <row r="106" spans="2:14" outlineLevel="1" x14ac:dyDescent="0.25">
      <c r="C106" s="37" t="str">
        <f t="shared" si="39"/>
        <v>3.00% Senior Notes:</v>
      </c>
      <c r="D106" s="4" t="s">
        <v>25</v>
      </c>
      <c r="G106" s="84">
        <v>0.03</v>
      </c>
      <c r="H106" s="83">
        <f t="shared" si="41"/>
        <v>0.03</v>
      </c>
      <c r="I106" s="83">
        <f t="shared" si="41"/>
        <v>0.03</v>
      </c>
      <c r="J106" s="83">
        <f t="shared" si="41"/>
        <v>0.03</v>
      </c>
      <c r="K106" s="83">
        <f t="shared" si="41"/>
        <v>0.03</v>
      </c>
      <c r="L106" s="83">
        <f t="shared" si="41"/>
        <v>0.03</v>
      </c>
    </row>
    <row r="107" spans="2:14" outlineLevel="1" x14ac:dyDescent="0.25">
      <c r="C107" s="37" t="str">
        <f t="shared" si="39"/>
        <v>3.63% Senior Notes:</v>
      </c>
      <c r="D107" s="4" t="s">
        <v>25</v>
      </c>
      <c r="G107" s="84">
        <v>3.6249999999999998E-2</v>
      </c>
      <c r="H107" s="83">
        <f t="shared" si="41"/>
        <v>3.6249999999999998E-2</v>
      </c>
      <c r="I107" s="83">
        <f t="shared" si="41"/>
        <v>3.6249999999999998E-2</v>
      </c>
      <c r="J107" s="83">
        <f t="shared" si="41"/>
        <v>3.6249999999999998E-2</v>
      </c>
      <c r="K107" s="83">
        <f t="shared" si="41"/>
        <v>3.6249999999999998E-2</v>
      </c>
      <c r="L107" s="83">
        <f t="shared" si="41"/>
        <v>3.6249999999999998E-2</v>
      </c>
    </row>
    <row r="108" spans="2:14" outlineLevel="1" x14ac:dyDescent="0.25">
      <c r="C108" s="37" t="str">
        <f t="shared" si="39"/>
        <v>4.38% Senior Notes:</v>
      </c>
      <c r="D108" s="4" t="s">
        <v>25</v>
      </c>
      <c r="G108" s="84">
        <v>4.3749999999999997E-2</v>
      </c>
      <c r="H108" s="83">
        <f t="shared" si="41"/>
        <v>4.3749999999999997E-2</v>
      </c>
      <c r="I108" s="83">
        <f t="shared" si="41"/>
        <v>4.3749999999999997E-2</v>
      </c>
      <c r="J108" s="83">
        <f t="shared" si="41"/>
        <v>4.3749999999999997E-2</v>
      </c>
      <c r="K108" s="83">
        <f t="shared" si="41"/>
        <v>4.3749999999999997E-2</v>
      </c>
      <c r="L108" s="83">
        <f t="shared" si="41"/>
        <v>4.3749999999999997E-2</v>
      </c>
    </row>
    <row r="109" spans="2:14" outlineLevel="1" x14ac:dyDescent="0.25">
      <c r="C109" s="37" t="str">
        <f>TEXT(G109,"0.00%")&amp;" Non-Refinanced Senior Notes (Weighted Avg.):"</f>
        <v>4.74% Non-Refinanced Senior Notes (Weighted Avg.):</v>
      </c>
      <c r="D109" s="4" t="s">
        <v>25</v>
      </c>
      <c r="G109" s="84">
        <v>4.7413203463203456E-2</v>
      </c>
      <c r="H109" s="83">
        <f t="shared" si="41"/>
        <v>4.7413203463203456E-2</v>
      </c>
      <c r="I109" s="83">
        <f t="shared" si="41"/>
        <v>4.7413203463203456E-2</v>
      </c>
      <c r="J109" s="83">
        <f t="shared" si="41"/>
        <v>4.7413203463203456E-2</v>
      </c>
      <c r="K109" s="83">
        <f t="shared" si="41"/>
        <v>4.7413203463203456E-2</v>
      </c>
      <c r="L109" s="83">
        <f t="shared" si="41"/>
        <v>4.7413203463203456E-2</v>
      </c>
    </row>
    <row r="110" spans="2:14" outlineLevel="1" x14ac:dyDescent="0.25">
      <c r="C110" s="87" t="s">
        <v>69</v>
      </c>
      <c r="D110" s="96" t="s">
        <v>25</v>
      </c>
      <c r="E110" s="88"/>
      <c r="F110" s="88"/>
      <c r="G110" s="88"/>
      <c r="H110" s="91">
        <v>0.04</v>
      </c>
      <c r="I110" s="91">
        <v>4.4999999999999998E-2</v>
      </c>
      <c r="J110" s="91">
        <v>0.05</v>
      </c>
      <c r="K110" s="91">
        <v>4.4999999999999998E-2</v>
      </c>
      <c r="L110" s="91">
        <v>4.4999999999999998E-2</v>
      </c>
    </row>
    <row r="111" spans="2:14" outlineLevel="1" x14ac:dyDescent="0.25">
      <c r="C111" s="85" t="s">
        <v>70</v>
      </c>
      <c r="D111" s="97" t="s">
        <v>25</v>
      </c>
      <c r="E111" s="86"/>
      <c r="F111" s="86"/>
      <c r="G111" s="86"/>
      <c r="H111" s="116">
        <v>0.05</v>
      </c>
      <c r="I111" s="116">
        <v>6.5000000000000002E-2</v>
      </c>
      <c r="J111" s="116">
        <v>7.4999999999999997E-2</v>
      </c>
      <c r="K111" s="116">
        <v>7.0000000000000007E-2</v>
      </c>
      <c r="L111" s="116">
        <v>0.06</v>
      </c>
    </row>
    <row r="112" spans="2:14" outlineLevel="1" x14ac:dyDescent="0.25">
      <c r="C112" s="89" t="s">
        <v>27</v>
      </c>
      <c r="D112" s="98" t="s">
        <v>25</v>
      </c>
      <c r="E112" s="90"/>
      <c r="F112" s="90"/>
      <c r="G112" s="90"/>
      <c r="H112" s="92">
        <v>0.01</v>
      </c>
      <c r="I112" s="92">
        <v>1.4999999999999999E-2</v>
      </c>
      <c r="J112" s="92">
        <v>0.02</v>
      </c>
      <c r="K112" s="92">
        <v>1.4999999999999999E-2</v>
      </c>
      <c r="L112" s="92">
        <v>1.4999999999999999E-2</v>
      </c>
    </row>
    <row r="113" spans="3:14" outlineLevel="1" x14ac:dyDescent="0.25"/>
    <row r="114" spans="3:14" outlineLevel="1" x14ac:dyDescent="0.25">
      <c r="C114" s="54" t="s">
        <v>71</v>
      </c>
      <c r="D114" s="54"/>
      <c r="E114" s="54"/>
      <c r="F114" s="54"/>
      <c r="G114" s="54"/>
      <c r="H114" s="54"/>
      <c r="I114" s="54"/>
      <c r="J114" s="54"/>
      <c r="K114" s="54"/>
      <c r="L114" s="54"/>
    </row>
    <row r="115" spans="3:14" outlineLevel="1" x14ac:dyDescent="0.25">
      <c r="C115" s="37" t="str">
        <f t="shared" ref="C115:C121" si="42">C103</f>
        <v>5.50% Senior Notes:</v>
      </c>
      <c r="D115" s="4" t="s">
        <v>1</v>
      </c>
      <c r="G115" s="42">
        <v>700</v>
      </c>
      <c r="H115" s="82">
        <v>0</v>
      </c>
      <c r="I115" s="36">
        <f>H115</f>
        <v>0</v>
      </c>
      <c r="J115" s="36">
        <f t="shared" ref="J115:L116" si="43">I115</f>
        <v>0</v>
      </c>
      <c r="K115" s="36">
        <f t="shared" si="43"/>
        <v>0</v>
      </c>
      <c r="L115" s="36">
        <f t="shared" si="43"/>
        <v>0</v>
      </c>
    </row>
    <row r="116" spans="3:14" outlineLevel="1" x14ac:dyDescent="0.25">
      <c r="C116" s="37" t="str">
        <f t="shared" si="42"/>
        <v>5.75% Senior Notes:</v>
      </c>
      <c r="D116" s="4" t="s">
        <v>1</v>
      </c>
      <c r="G116" s="5">
        <v>400</v>
      </c>
      <c r="H116" s="36">
        <f t="shared" ref="H116:I116" si="44">G116</f>
        <v>400</v>
      </c>
      <c r="I116" s="36">
        <f t="shared" si="44"/>
        <v>400</v>
      </c>
      <c r="J116" s="71">
        <v>0</v>
      </c>
      <c r="K116" s="36">
        <f t="shared" si="43"/>
        <v>0</v>
      </c>
      <c r="L116" s="36">
        <f t="shared" si="43"/>
        <v>0</v>
      </c>
    </row>
    <row r="117" spans="3:14" outlineLevel="1" x14ac:dyDescent="0.25">
      <c r="C117" s="37" t="str">
        <f t="shared" si="42"/>
        <v>5.88% Senior Notes:</v>
      </c>
      <c r="D117" s="4" t="s">
        <v>1</v>
      </c>
      <c r="G117" s="5">
        <v>800</v>
      </c>
      <c r="H117" s="36">
        <f t="shared" ref="H117:I117" si="45">G117</f>
        <v>800</v>
      </c>
      <c r="I117" s="36">
        <f t="shared" si="45"/>
        <v>800</v>
      </c>
      <c r="J117" s="36">
        <f t="shared" ref="J117" si="46">I117</f>
        <v>800</v>
      </c>
      <c r="K117" s="71">
        <v>0</v>
      </c>
      <c r="L117" s="36">
        <f t="shared" ref="L117" si="47">K117</f>
        <v>0</v>
      </c>
    </row>
    <row r="118" spans="3:14" outlineLevel="1" x14ac:dyDescent="0.25">
      <c r="C118" s="37" t="str">
        <f t="shared" si="42"/>
        <v>3.00% Senior Notes:</v>
      </c>
      <c r="D118" s="4" t="s">
        <v>1</v>
      </c>
      <c r="G118" s="5">
        <v>535</v>
      </c>
      <c r="H118" s="36">
        <f t="shared" ref="H118:I118" si="48">G118</f>
        <v>535</v>
      </c>
      <c r="I118" s="36">
        <f t="shared" si="48"/>
        <v>535</v>
      </c>
      <c r="J118" s="36">
        <f t="shared" ref="J118" si="49">I118</f>
        <v>535</v>
      </c>
      <c r="K118" s="71">
        <v>0</v>
      </c>
      <c r="L118" s="36">
        <f t="shared" ref="L118" si="50">K118</f>
        <v>0</v>
      </c>
    </row>
    <row r="119" spans="3:14" outlineLevel="1" x14ac:dyDescent="0.25">
      <c r="C119" s="37" t="str">
        <f t="shared" si="42"/>
        <v>3.63% Senior Notes:</v>
      </c>
      <c r="D119" s="4" t="s">
        <v>1</v>
      </c>
      <c r="G119" s="5">
        <v>500</v>
      </c>
      <c r="H119" s="36">
        <f t="shared" ref="H119:I119" si="51">G119</f>
        <v>500</v>
      </c>
      <c r="I119" s="36">
        <f t="shared" si="51"/>
        <v>500</v>
      </c>
      <c r="J119" s="36">
        <f t="shared" ref="J119" si="52">I119</f>
        <v>500</v>
      </c>
      <c r="K119" s="71">
        <v>0</v>
      </c>
      <c r="L119" s="36">
        <f t="shared" ref="L119" si="53">K119</f>
        <v>0</v>
      </c>
    </row>
    <row r="120" spans="3:14" outlineLevel="1" x14ac:dyDescent="0.25">
      <c r="C120" s="37" t="str">
        <f t="shared" si="42"/>
        <v>4.38% Senior Notes:</v>
      </c>
      <c r="D120" s="4" t="s">
        <v>1</v>
      </c>
      <c r="G120" s="5">
        <v>1000</v>
      </c>
      <c r="H120" s="36">
        <f t="shared" ref="H120:I120" si="54">G120</f>
        <v>1000</v>
      </c>
      <c r="I120" s="36">
        <f t="shared" si="54"/>
        <v>1000</v>
      </c>
      <c r="J120" s="36">
        <f t="shared" ref="J120:K120" si="55">I120</f>
        <v>1000</v>
      </c>
      <c r="K120" s="36">
        <f t="shared" si="55"/>
        <v>1000</v>
      </c>
      <c r="L120" s="71">
        <v>0</v>
      </c>
    </row>
    <row r="121" spans="3:14" outlineLevel="1" x14ac:dyDescent="0.25">
      <c r="C121" s="37" t="str">
        <f t="shared" si="42"/>
        <v>4.74% Non-Refinanced Senior Notes (Weighted Avg.):</v>
      </c>
      <c r="D121" s="4" t="s">
        <v>1</v>
      </c>
      <c r="G121" s="5">
        <v>11550</v>
      </c>
      <c r="H121" s="36">
        <f t="shared" ref="H121:I121" si="56">G121</f>
        <v>11550</v>
      </c>
      <c r="I121" s="36">
        <f t="shared" si="56"/>
        <v>11550</v>
      </c>
      <c r="J121" s="36">
        <f t="shared" ref="J121:L121" si="57">I121</f>
        <v>11550</v>
      </c>
      <c r="K121" s="36">
        <f t="shared" si="57"/>
        <v>11550</v>
      </c>
      <c r="L121" s="36">
        <f t="shared" si="57"/>
        <v>11550</v>
      </c>
    </row>
    <row r="122" spans="3:14" outlineLevel="1" x14ac:dyDescent="0.25">
      <c r="C122" s="87" t="s">
        <v>72</v>
      </c>
      <c r="D122" s="96" t="s">
        <v>1</v>
      </c>
      <c r="E122" s="88"/>
      <c r="F122" s="88"/>
      <c r="G122" s="94">
        <v>0</v>
      </c>
      <c r="H122" s="101">
        <f>G122+H134</f>
        <v>0</v>
      </c>
      <c r="I122" s="101">
        <f t="shared" ref="I122:L122" si="58">H122+I134</f>
        <v>0</v>
      </c>
      <c r="J122" s="101">
        <f t="shared" si="58"/>
        <v>0</v>
      </c>
      <c r="K122" s="101">
        <f t="shared" si="58"/>
        <v>54.103401612676862</v>
      </c>
      <c r="L122" s="101">
        <f t="shared" si="58"/>
        <v>0</v>
      </c>
    </row>
    <row r="123" spans="3:14" outlineLevel="1" x14ac:dyDescent="0.25">
      <c r="C123" s="85" t="s">
        <v>70</v>
      </c>
      <c r="D123" s="97" t="s">
        <v>1</v>
      </c>
      <c r="E123" s="86"/>
      <c r="F123" s="86"/>
      <c r="G123" s="93">
        <v>0</v>
      </c>
      <c r="H123" s="100">
        <f>G123+H137</f>
        <v>0</v>
      </c>
      <c r="I123" s="100">
        <f t="shared" ref="I123:L123" si="59">H123+I137</f>
        <v>0</v>
      </c>
      <c r="J123" s="100">
        <f t="shared" si="59"/>
        <v>0</v>
      </c>
      <c r="K123" s="100">
        <f t="shared" si="59"/>
        <v>0</v>
      </c>
      <c r="L123" s="100">
        <f t="shared" si="59"/>
        <v>0</v>
      </c>
    </row>
    <row r="124" spans="3:14" outlineLevel="1" x14ac:dyDescent="0.25">
      <c r="C124" s="39" t="s">
        <v>73</v>
      </c>
      <c r="D124" s="69" t="s">
        <v>1</v>
      </c>
      <c r="E124" s="95">
        <v>14873</v>
      </c>
      <c r="F124" s="95">
        <v>16416</v>
      </c>
      <c r="G124" s="68">
        <f t="shared" ref="G124" si="60">SUM(G115:G123)</f>
        <v>15485</v>
      </c>
      <c r="H124" s="68">
        <f>SUM(H115:H123)</f>
        <v>14785</v>
      </c>
      <c r="I124" s="68">
        <f t="shared" ref="I124:L124" si="61">SUM(I115:I123)</f>
        <v>14785</v>
      </c>
      <c r="J124" s="68">
        <f t="shared" si="61"/>
        <v>14385</v>
      </c>
      <c r="K124" s="68">
        <f t="shared" si="61"/>
        <v>12604.103401612676</v>
      </c>
      <c r="L124" s="68">
        <f t="shared" si="61"/>
        <v>11550</v>
      </c>
      <c r="N124" s="107">
        <f>(L124/G124)^(1/YEARFRAC(G$29,L$29,))-1</f>
        <v>-5.6951225781737724E-2</v>
      </c>
    </row>
    <row r="125" spans="3:14" outlineLevel="1" x14ac:dyDescent="0.25"/>
    <row r="126" spans="3:14" outlineLevel="1" x14ac:dyDescent="0.25">
      <c r="C126" s="54" t="s">
        <v>74</v>
      </c>
      <c r="D126" s="54"/>
      <c r="E126" s="54"/>
      <c r="F126" s="54"/>
      <c r="G126" s="54"/>
      <c r="H126" s="54"/>
      <c r="I126" s="54"/>
      <c r="J126" s="54"/>
      <c r="K126" s="54"/>
      <c r="L126" s="54"/>
    </row>
    <row r="127" spans="3:14" outlineLevel="1" x14ac:dyDescent="0.25">
      <c r="C127" s="99" t="s">
        <v>75</v>
      </c>
      <c r="D127" s="4" t="s">
        <v>1</v>
      </c>
      <c r="H127" s="35">
        <f>G95</f>
        <v>6029.7619999999997</v>
      </c>
      <c r="I127" s="35">
        <f t="shared" ref="I127:L127" si="62">H95</f>
        <v>5489.2969820199996</v>
      </c>
      <c r="J127" s="35">
        <f t="shared" si="62"/>
        <v>5901.4191767031461</v>
      </c>
      <c r="K127" s="35">
        <f t="shared" si="62"/>
        <v>6317.566684324408</v>
      </c>
      <c r="L127" s="35">
        <f t="shared" si="62"/>
        <v>6665.636678324845</v>
      </c>
    </row>
    <row r="128" spans="3:14" outlineLevel="1" x14ac:dyDescent="0.25">
      <c r="C128" s="37" t="s">
        <v>111</v>
      </c>
      <c r="D128" s="4" t="s">
        <v>1</v>
      </c>
      <c r="H128" s="36">
        <f>H85+H86+H91</f>
        <v>521.56170104336945</v>
      </c>
      <c r="I128" s="36">
        <f t="shared" ref="I128:L128" si="63">I85+I86+I91</f>
        <v>961.41718966702706</v>
      </c>
      <c r="J128" s="36">
        <f t="shared" si="63"/>
        <v>1594.7745769157507</v>
      </c>
      <c r="K128" s="36">
        <f t="shared" si="63"/>
        <v>2128.9665923877606</v>
      </c>
      <c r="L128" s="36">
        <f t="shared" si="63"/>
        <v>2765.0078367682672</v>
      </c>
    </row>
    <row r="129" spans="3:14" outlineLevel="1" x14ac:dyDescent="0.25">
      <c r="C129" s="37" t="s">
        <v>76</v>
      </c>
      <c r="D129" s="4" t="s">
        <v>1</v>
      </c>
      <c r="G129" s="36"/>
      <c r="H129" s="36">
        <f>SUM(H115:H121)-SUM(G115:G121)</f>
        <v>-700</v>
      </c>
      <c r="I129" s="36">
        <f t="shared" ref="I129:L129" si="64">SUM(I115:I121)-SUM(H115:H121)</f>
        <v>0</v>
      </c>
      <c r="J129" s="36">
        <f t="shared" si="64"/>
        <v>-400</v>
      </c>
      <c r="K129" s="36">
        <f t="shared" si="64"/>
        <v>-1835</v>
      </c>
      <c r="L129" s="36">
        <f t="shared" si="64"/>
        <v>-1000</v>
      </c>
    </row>
    <row r="130" spans="3:14" outlineLevel="1" x14ac:dyDescent="0.25">
      <c r="C130" s="37" t="s">
        <v>82</v>
      </c>
      <c r="D130" s="44" t="s">
        <v>1</v>
      </c>
      <c r="H130" s="36">
        <f>-H71*Min_Cash_Pct_Revenue</f>
        <v>-5489.2969820199996</v>
      </c>
      <c r="I130" s="36">
        <f>-I71*Min_Cash_Pct_Revenue</f>
        <v>-5901.4191767031461</v>
      </c>
      <c r="J130" s="36">
        <f>-J71*Min_Cash_Pct_Revenue</f>
        <v>-6317.566684324408</v>
      </c>
      <c r="K130" s="36">
        <f>-K71*Min_Cash_Pct_Revenue</f>
        <v>-6665.6366783248459</v>
      </c>
      <c r="L130" s="36">
        <f>-L71*Min_Cash_Pct_Revenue</f>
        <v>-7000.2750608622828</v>
      </c>
    </row>
    <row r="131" spans="3:14" outlineLevel="1" x14ac:dyDescent="0.25">
      <c r="C131" s="39" t="s">
        <v>77</v>
      </c>
      <c r="D131" s="4" t="s">
        <v>1</v>
      </c>
      <c r="E131" s="75"/>
      <c r="F131" s="75"/>
      <c r="G131" s="75"/>
      <c r="H131" s="68">
        <f>SUM(H127:H130)</f>
        <v>362.02671902336988</v>
      </c>
      <c r="I131" s="68">
        <f t="shared" ref="I131:L131" si="65">SUM(I127:I130)</f>
        <v>549.29499498388031</v>
      </c>
      <c r="J131" s="68">
        <f t="shared" si="65"/>
        <v>778.62706929448905</v>
      </c>
      <c r="K131" s="68">
        <f t="shared" si="65"/>
        <v>-54.103401612676862</v>
      </c>
      <c r="L131" s="68">
        <f t="shared" si="65"/>
        <v>1430.3694542308294</v>
      </c>
    </row>
    <row r="132" spans="3:14" outlineLevel="1" x14ac:dyDescent="0.25">
      <c r="H132" s="36"/>
      <c r="I132" s="36"/>
      <c r="J132" s="36"/>
      <c r="K132" s="36"/>
      <c r="L132" s="36"/>
    </row>
    <row r="133" spans="3:14" outlineLevel="1" x14ac:dyDescent="0.25">
      <c r="C133" s="99" t="s">
        <v>99</v>
      </c>
      <c r="D133" s="4" t="s">
        <v>1</v>
      </c>
      <c r="H133" s="36">
        <f>G135</f>
        <v>0</v>
      </c>
      <c r="I133" s="36">
        <f t="shared" ref="I133:L133" si="66">H135</f>
        <v>0</v>
      </c>
      <c r="J133" s="36">
        <f t="shared" si="66"/>
        <v>0</v>
      </c>
      <c r="K133" s="36">
        <f t="shared" si="66"/>
        <v>0</v>
      </c>
      <c r="L133" s="36">
        <f t="shared" si="66"/>
        <v>54.103401612676862</v>
      </c>
    </row>
    <row r="134" spans="3:14" outlineLevel="1" x14ac:dyDescent="0.25">
      <c r="C134" s="37" t="s">
        <v>78</v>
      </c>
      <c r="D134" s="4" t="s">
        <v>1</v>
      </c>
      <c r="H134" s="36">
        <f>IF(H131&gt;0,-MIN(H131,H133),MIN($G$100-H133,ABS(H131)))</f>
        <v>0</v>
      </c>
      <c r="I134" s="36">
        <f t="shared" ref="I134:L134" si="67">IF(I131&gt;0,-MIN(I131,I133),MIN($G$100-I133,ABS(I131)))</f>
        <v>0</v>
      </c>
      <c r="J134" s="36">
        <f t="shared" si="67"/>
        <v>0</v>
      </c>
      <c r="K134" s="36">
        <f t="shared" si="67"/>
        <v>54.103401612676862</v>
      </c>
      <c r="L134" s="36">
        <f t="shared" si="67"/>
        <v>-54.103401612676862</v>
      </c>
    </row>
    <row r="135" spans="3:14" outlineLevel="1" x14ac:dyDescent="0.25">
      <c r="C135" s="41" t="s">
        <v>100</v>
      </c>
      <c r="D135" s="69" t="s">
        <v>1</v>
      </c>
      <c r="E135" s="75"/>
      <c r="F135" s="75"/>
      <c r="G135" s="102">
        <v>0</v>
      </c>
      <c r="H135" s="40">
        <f>SUM(H133:H134)</f>
        <v>0</v>
      </c>
      <c r="I135" s="40">
        <f t="shared" ref="I135:L135" si="68">SUM(I133:I134)</f>
        <v>0</v>
      </c>
      <c r="J135" s="40">
        <f t="shared" si="68"/>
        <v>0</v>
      </c>
      <c r="K135" s="40">
        <f t="shared" si="68"/>
        <v>54.103401612676862</v>
      </c>
      <c r="L135" s="40">
        <f t="shared" si="68"/>
        <v>0</v>
      </c>
    </row>
    <row r="136" spans="3:14" outlineLevel="1" x14ac:dyDescent="0.25">
      <c r="H136" s="36"/>
      <c r="I136" s="36"/>
      <c r="J136" s="36"/>
      <c r="K136" s="36"/>
      <c r="L136" s="36"/>
    </row>
    <row r="137" spans="3:14" outlineLevel="1" x14ac:dyDescent="0.25">
      <c r="C137" s="99" t="s">
        <v>98</v>
      </c>
      <c r="D137" s="4" t="s">
        <v>1</v>
      </c>
      <c r="H137" s="36">
        <f>-IF(H131&lt;0,(H131+H134)*Sr_Note_Pct,0)</f>
        <v>0</v>
      </c>
      <c r="I137" s="36">
        <f>-IF(I131&lt;0,(I131+I134)*Sr_Note_Pct,0)</f>
        <v>0</v>
      </c>
      <c r="J137" s="36">
        <f>-IF(J131&lt;0,(J131+J134)*Sr_Note_Pct,0)</f>
        <v>0</v>
      </c>
      <c r="K137" s="36">
        <f>-IF(K131&lt;0,(K131+K134)*Sr_Note_Pct,0)</f>
        <v>0</v>
      </c>
      <c r="L137" s="36">
        <f>-IF(L131&lt;0,(L131+L134)*Sr_Note_Pct,0)</f>
        <v>0</v>
      </c>
    </row>
    <row r="138" spans="3:14" outlineLevel="1" x14ac:dyDescent="0.25">
      <c r="C138" s="99" t="s">
        <v>101</v>
      </c>
      <c r="D138" s="4" t="s">
        <v>1</v>
      </c>
      <c r="H138" s="36">
        <f>-IF(H131&lt;0,(H131+H134)*Equity_Pct,0)</f>
        <v>0</v>
      </c>
      <c r="I138" s="36">
        <f>-IF(I131&lt;0,(I131+I134)*Equity_Pct,0)</f>
        <v>0</v>
      </c>
      <c r="J138" s="36">
        <f>-IF(J131&lt;0,(J131+J134)*Equity_Pct,0)</f>
        <v>0</v>
      </c>
      <c r="K138" s="36">
        <f>-IF(K131&lt;0,(K131+K134)*Equity_Pct,0)</f>
        <v>0</v>
      </c>
      <c r="L138" s="36">
        <f>-IF(L131&lt;0,(L131+L134)*Equity_Pct,0)</f>
        <v>0</v>
      </c>
    </row>
    <row r="139" spans="3:14" outlineLevel="1" x14ac:dyDescent="0.25">
      <c r="C139" s="99" t="s">
        <v>79</v>
      </c>
      <c r="D139" s="4" t="s">
        <v>1</v>
      </c>
      <c r="H139" s="36">
        <f>-MAX(0,H131+H134)</f>
        <v>-362.02671902336988</v>
      </c>
      <c r="I139" s="36">
        <f t="shared" ref="I139:L139" si="69">-MAX(0,I131+I134)</f>
        <v>-549.29499498388031</v>
      </c>
      <c r="J139" s="36">
        <f t="shared" si="69"/>
        <v>-778.62706929448905</v>
      </c>
      <c r="K139" s="36">
        <f t="shared" si="69"/>
        <v>0</v>
      </c>
      <c r="L139" s="36">
        <f t="shared" si="69"/>
        <v>-1376.2660526181526</v>
      </c>
    </row>
    <row r="140" spans="3:14" outlineLevel="1" x14ac:dyDescent="0.25">
      <c r="H140" s="36"/>
      <c r="I140" s="36"/>
      <c r="J140" s="36"/>
      <c r="K140" s="36"/>
      <c r="L140" s="36"/>
    </row>
    <row r="141" spans="3:14" outlineLevel="1" x14ac:dyDescent="0.25">
      <c r="C141" s="99" t="s">
        <v>96</v>
      </c>
      <c r="D141" s="4" t="s">
        <v>1</v>
      </c>
      <c r="H141" s="36">
        <f>H137*$E25</f>
        <v>0</v>
      </c>
      <c r="I141" s="36">
        <f t="shared" ref="I141:L141" si="70">I137*$E$25</f>
        <v>0</v>
      </c>
      <c r="J141" s="36">
        <f t="shared" si="70"/>
        <v>0</v>
      </c>
      <c r="K141" s="36">
        <f t="shared" si="70"/>
        <v>0</v>
      </c>
      <c r="L141" s="36">
        <f t="shared" si="70"/>
        <v>0</v>
      </c>
    </row>
    <row r="142" spans="3:14" outlineLevel="1" x14ac:dyDescent="0.25">
      <c r="C142" s="99" t="s">
        <v>97</v>
      </c>
      <c r="D142" s="4" t="s">
        <v>1</v>
      </c>
      <c r="H142" s="36">
        <f>H138*$E26</f>
        <v>0</v>
      </c>
      <c r="I142" s="36">
        <f>I138*$E26</f>
        <v>0</v>
      </c>
      <c r="J142" s="36">
        <f>J138*$E26</f>
        <v>0</v>
      </c>
      <c r="K142" s="36">
        <f>K138*$E26</f>
        <v>0</v>
      </c>
      <c r="L142" s="36">
        <f>L138*$E26</f>
        <v>0</v>
      </c>
    </row>
    <row r="143" spans="3:14" outlineLevel="1" x14ac:dyDescent="0.25">
      <c r="H143" s="36"/>
      <c r="I143" s="36"/>
      <c r="J143" s="36"/>
      <c r="K143" s="36"/>
      <c r="L143" s="36"/>
    </row>
    <row r="144" spans="3:14" outlineLevel="1" x14ac:dyDescent="0.25">
      <c r="C144" s="99" t="s">
        <v>95</v>
      </c>
      <c r="D144" s="4" t="s">
        <v>1</v>
      </c>
      <c r="E144" s="36">
        <f>-E75</f>
        <v>626.02300000000002</v>
      </c>
      <c r="F144" s="36">
        <f t="shared" ref="F144:G144" si="71">-F75</f>
        <v>767.49900000000002</v>
      </c>
      <c r="G144" s="36">
        <f t="shared" si="71"/>
        <v>765.62</v>
      </c>
      <c r="H144" s="36">
        <f>SUMPRODUCT(H103:H111,G115:G123)</f>
        <v>734.0474999999999</v>
      </c>
      <c r="I144" s="36">
        <f t="shared" ref="I144:L144" si="72">SUMPRODUCT(I103:I111,H115:H123)</f>
        <v>695.5474999999999</v>
      </c>
      <c r="J144" s="36">
        <f t="shared" si="72"/>
        <v>695.5474999999999</v>
      </c>
      <c r="K144" s="36">
        <f t="shared" si="72"/>
        <v>672.5474999999999</v>
      </c>
      <c r="L144" s="36">
        <f t="shared" si="72"/>
        <v>593.80715307257037</v>
      </c>
      <c r="N144" s="107">
        <f>(L144/G144)^(1/YEARFRAC(G$29,L$29,))-1</f>
        <v>-4.9556224082585421E-2</v>
      </c>
    </row>
    <row r="145" spans="3:12" outlineLevel="1" x14ac:dyDescent="0.25">
      <c r="C145" s="99" t="s">
        <v>80</v>
      </c>
      <c r="D145" s="4" t="s">
        <v>1</v>
      </c>
      <c r="E145" s="36"/>
      <c r="F145" s="36"/>
      <c r="G145" s="36"/>
      <c r="H145" s="36">
        <f>H112*G95</f>
        <v>60.297619999999995</v>
      </c>
      <c r="I145" s="36">
        <f t="shared" ref="I145:L145" si="73">I112*H95</f>
        <v>82.339454730299991</v>
      </c>
      <c r="J145" s="36">
        <f t="shared" si="73"/>
        <v>118.02838353406293</v>
      </c>
      <c r="K145" s="36">
        <f t="shared" si="73"/>
        <v>94.76350026486611</v>
      </c>
      <c r="L145" s="36">
        <f t="shared" si="73"/>
        <v>99.984550174872666</v>
      </c>
    </row>
    <row r="146" spans="3:12" outlineLevel="1" x14ac:dyDescent="0.25"/>
    <row r="147" spans="3:12" outlineLevel="1" x14ac:dyDescent="0.25">
      <c r="C147" s="99" t="s">
        <v>102</v>
      </c>
      <c r="D147" s="4" t="s">
        <v>54</v>
      </c>
      <c r="E147" s="103">
        <f>E124/E73</f>
        <v>5.4925839222729005</v>
      </c>
      <c r="F147" s="103">
        <f>F124/F73</f>
        <v>3.492023716661075</v>
      </c>
      <c r="G147" s="103">
        <f>G124/G73</f>
        <v>2.4184274645899899</v>
      </c>
      <c r="H147" s="103">
        <f>H124/H73</f>
        <v>1.9903636892062049</v>
      </c>
      <c r="I147" s="103">
        <f t="shared" ref="I147:L147" si="74">I124/I73</f>
        <v>1.7551095594178292</v>
      </c>
      <c r="J147" s="103">
        <f t="shared" si="74"/>
        <v>1.5172490978258979</v>
      </c>
      <c r="K147" s="103">
        <f t="shared" si="74"/>
        <v>1.2194542576371488</v>
      </c>
      <c r="L147" s="103">
        <f t="shared" si="74"/>
        <v>1.0312831810520691</v>
      </c>
    </row>
    <row r="148" spans="3:12" outlineLevel="1" x14ac:dyDescent="0.25">
      <c r="C148" t="s">
        <v>103</v>
      </c>
      <c r="D148" s="4" t="s">
        <v>54</v>
      </c>
      <c r="H148" s="74">
        <v>5</v>
      </c>
      <c r="I148" s="74">
        <v>5</v>
      </c>
      <c r="J148" s="74">
        <v>5</v>
      </c>
      <c r="K148" s="74">
        <v>5</v>
      </c>
      <c r="L148" s="74">
        <v>5</v>
      </c>
    </row>
    <row r="149" spans="3:12" outlineLevel="1" x14ac:dyDescent="0.25">
      <c r="C149" s="99" t="s">
        <v>104</v>
      </c>
      <c r="D149" s="4" t="s">
        <v>54</v>
      </c>
      <c r="E149" s="103">
        <f>-E73/E75</f>
        <v>4.325452898695417</v>
      </c>
      <c r="F149" s="103">
        <f t="shared" ref="F149:G149" si="75">-F73/F75</f>
        <v>6.125088110863989</v>
      </c>
      <c r="G149" s="103">
        <f t="shared" si="75"/>
        <v>8.363053473002271</v>
      </c>
      <c r="H149" s="103">
        <f>-H73/H75</f>
        <v>10.119632120165345</v>
      </c>
      <c r="I149" s="103">
        <f t="shared" ref="I149:L149" si="76">-I73/I75</f>
        <v>12.111287210180123</v>
      </c>
      <c r="J149" s="103">
        <f t="shared" si="76"/>
        <v>13.630951869752575</v>
      </c>
      <c r="K149" s="103">
        <f t="shared" si="76"/>
        <v>15.36821686614609</v>
      </c>
      <c r="L149" s="103">
        <f t="shared" si="76"/>
        <v>18.860735488463689</v>
      </c>
    </row>
    <row r="150" spans="3:12" x14ac:dyDescent="0.25">
      <c r="C150" t="s">
        <v>105</v>
      </c>
      <c r="D150" s="4" t="s">
        <v>54</v>
      </c>
      <c r="H150" s="74">
        <v>3</v>
      </c>
      <c r="I150" s="74">
        <v>3</v>
      </c>
      <c r="J150" s="74">
        <v>3</v>
      </c>
      <c r="K150" s="74">
        <v>3</v>
      </c>
      <c r="L150" s="74">
        <v>3</v>
      </c>
    </row>
  </sheetData>
  <conditionalFormatting sqref="H147:L147">
    <cfRule type="cellIs" dxfId="1" priority="6" operator="greaterThan">
      <formula>$H$148</formula>
    </cfRule>
  </conditionalFormatting>
  <conditionalFormatting sqref="H149:L149">
    <cfRule type="cellIs" dxfId="0" priority="1" operator="lessThan">
      <formula>$H$150</formula>
    </cfRule>
  </conditionalFormatting>
  <dataValidations count="1">
    <dataValidation type="list" allowBlank="1" showInputMessage="1" showErrorMessage="1" sqref="E11" xr:uid="{690F87AD-3745-411B-BFAE-6CF6F27BCFC8}">
      <formula1>$C$39:$C$41</formula1>
    </dataValidation>
  </dataValidations>
  <pageMargins left="0.7" right="0.7" top="0.75" bottom="0.75" header="0.3" footer="0.3"/>
  <pageSetup scale="44" orientation="portrait" horizontalDpi="1200" verticalDpi="1200" r:id="rId1"/>
  <rowBreaks count="2" manualBreakCount="2">
    <brk id="27" max="15" man="1"/>
    <brk id="96" max="15" man="1"/>
  </rowBreaks>
  <ignoredErrors>
    <ignoredError sqref="H129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F3B5E-F17F-4A78-AD4F-606CD6D987AC}">
  <sheetPr>
    <pageSetUpPr autoPageBreaks="0"/>
  </sheetPr>
  <dimension ref="B2:M23"/>
  <sheetViews>
    <sheetView showGridLines="0" zoomScaleNormal="100" workbookViewId="0">
      <selection activeCell="B2" sqref="B2"/>
    </sheetView>
  </sheetViews>
  <sheetFormatPr defaultRowHeight="15.75" x14ac:dyDescent="0.25"/>
  <cols>
    <col min="1" max="1" width="2.625" customWidth="1"/>
    <col min="2" max="2" width="34.625" bestFit="1" customWidth="1"/>
    <col min="3" max="3" width="9.5" customWidth="1"/>
    <col min="4" max="13" width="12.125" customWidth="1"/>
    <col min="14" max="14" width="2.625" customWidth="1"/>
  </cols>
  <sheetData>
    <row r="2" spans="2:13" x14ac:dyDescent="0.25">
      <c r="B2" s="20" t="s">
        <v>16</v>
      </c>
      <c r="C2" s="21" t="s">
        <v>0</v>
      </c>
      <c r="D2" s="19">
        <v>41274</v>
      </c>
      <c r="E2" s="19">
        <f>EOMONTH(D2,12)</f>
        <v>41639</v>
      </c>
      <c r="F2" s="19">
        <f t="shared" ref="F2:M2" si="0">EOMONTH(E2,12)</f>
        <v>42004</v>
      </c>
      <c r="G2" s="19">
        <f t="shared" si="0"/>
        <v>42369</v>
      </c>
      <c r="H2" s="19">
        <f t="shared" si="0"/>
        <v>42735</v>
      </c>
      <c r="I2" s="19">
        <f t="shared" si="0"/>
        <v>43100</v>
      </c>
      <c r="J2" s="19">
        <f t="shared" si="0"/>
        <v>43465</v>
      </c>
      <c r="K2" s="19">
        <f t="shared" si="0"/>
        <v>43830</v>
      </c>
      <c r="L2" s="19">
        <f t="shared" si="0"/>
        <v>44196</v>
      </c>
      <c r="M2" s="19">
        <f t="shared" si="0"/>
        <v>44561</v>
      </c>
    </row>
    <row r="4" spans="2:13" x14ac:dyDescent="0.25">
      <c r="B4" t="s">
        <v>2</v>
      </c>
      <c r="C4" s="4" t="s">
        <v>1</v>
      </c>
      <c r="D4" s="6">
        <v>3609.2820000000002</v>
      </c>
      <c r="E4" s="6">
        <v>4374.5619999999999</v>
      </c>
      <c r="F4" s="6">
        <v>5504.6559999999999</v>
      </c>
      <c r="G4" s="6">
        <v>6779.5110000000004</v>
      </c>
      <c r="H4" s="6">
        <v>8830.6689999999999</v>
      </c>
      <c r="I4" s="6">
        <v>11692.713</v>
      </c>
      <c r="J4" s="6">
        <v>15794.341</v>
      </c>
      <c r="K4" s="6">
        <v>20156.447</v>
      </c>
      <c r="L4" s="6">
        <v>24996.056</v>
      </c>
      <c r="M4" s="6">
        <v>29697.844000000001</v>
      </c>
    </row>
    <row r="5" spans="2:13" x14ac:dyDescent="0.25">
      <c r="B5" t="s">
        <v>18</v>
      </c>
      <c r="C5" s="4" t="s">
        <v>1</v>
      </c>
      <c r="D5" s="5">
        <v>2472.41</v>
      </c>
      <c r="E5" s="5">
        <v>3463.7649999999999</v>
      </c>
      <c r="F5" s="5">
        <v>4739.4949999999999</v>
      </c>
      <c r="G5" s="5">
        <v>6133.7739999999994</v>
      </c>
      <c r="H5" s="5">
        <v>8288.402</v>
      </c>
      <c r="I5" s="5">
        <v>11242.216</v>
      </c>
      <c r="J5" s="5">
        <v>15428.752</v>
      </c>
      <c r="K5" s="5">
        <v>19859.23</v>
      </c>
      <c r="L5" s="5">
        <v>24756.674999999999</v>
      </c>
      <c r="M5" s="5">
        <v>29515.495999999999</v>
      </c>
    </row>
    <row r="6" spans="2:13" x14ac:dyDescent="0.25">
      <c r="B6" s="37" t="s">
        <v>42</v>
      </c>
      <c r="E6" s="48">
        <f>E5/D5-1</f>
        <v>0.40096707261336118</v>
      </c>
      <c r="F6" s="48">
        <f t="shared" ref="F6" si="1">F5/E5-1</f>
        <v>0.36830731877018219</v>
      </c>
      <c r="G6" s="48">
        <f t="shared" ref="G6" si="2">G5/F5-1</f>
        <v>0.29418303004855995</v>
      </c>
      <c r="H6" s="48">
        <f t="shared" ref="H6" si="3">H5/G5-1</f>
        <v>0.35127280529083738</v>
      </c>
      <c r="I6" s="48">
        <f t="shared" ref="I6" si="4">I5/H5-1</f>
        <v>0.35637919106722871</v>
      </c>
      <c r="J6" s="48">
        <f t="shared" ref="J6" si="5">J5/I5-1</f>
        <v>0.37239419701596188</v>
      </c>
      <c r="K6" s="48">
        <f t="shared" ref="K6" si="6">K5/J5-1</f>
        <v>0.28715725030773709</v>
      </c>
      <c r="L6" s="48">
        <f t="shared" ref="L6" si="7">L5/K5-1</f>
        <v>0.24660800041089215</v>
      </c>
      <c r="M6" s="48">
        <f t="shared" ref="M6" si="8">M5/L5-1</f>
        <v>0.19222375379569345</v>
      </c>
    </row>
    <row r="8" spans="2:13" x14ac:dyDescent="0.25">
      <c r="B8" t="s">
        <v>17</v>
      </c>
      <c r="C8" s="4" t="s">
        <v>12</v>
      </c>
      <c r="D8" s="11">
        <v>33267</v>
      </c>
      <c r="E8" s="11">
        <v>44350</v>
      </c>
      <c r="F8" s="11">
        <v>57391</v>
      </c>
      <c r="G8" s="11">
        <v>74762</v>
      </c>
      <c r="H8" s="11">
        <v>93796</v>
      </c>
      <c r="I8" s="11">
        <v>117582</v>
      </c>
      <c r="J8" s="11">
        <v>139259</v>
      </c>
      <c r="K8" s="11">
        <v>167090</v>
      </c>
      <c r="L8" s="11">
        <v>203663</v>
      </c>
      <c r="M8" s="11">
        <v>221844</v>
      </c>
    </row>
    <row r="9" spans="2:13" x14ac:dyDescent="0.25">
      <c r="B9" s="37" t="s">
        <v>42</v>
      </c>
      <c r="C9" s="4"/>
      <c r="D9" s="12"/>
      <c r="E9" s="48">
        <f>E8/D8-1</f>
        <v>0.33315297441909397</v>
      </c>
      <c r="F9" s="48">
        <f t="shared" ref="F9:M9" si="9">F8/E8-1</f>
        <v>0.29404735062006759</v>
      </c>
      <c r="G9" s="48">
        <f t="shared" si="9"/>
        <v>0.30267812026275887</v>
      </c>
      <c r="H9" s="48">
        <f t="shared" si="9"/>
        <v>0.25459458013429281</v>
      </c>
      <c r="I9" s="48">
        <f t="shared" si="9"/>
        <v>0.25359290374856069</v>
      </c>
      <c r="J9" s="48">
        <f t="shared" si="9"/>
        <v>0.1843564491163614</v>
      </c>
      <c r="K9" s="48">
        <f t="shared" si="9"/>
        <v>0.19985063801980485</v>
      </c>
      <c r="L9" s="48">
        <f t="shared" si="9"/>
        <v>0.21888203961936692</v>
      </c>
      <c r="M9" s="48">
        <f t="shared" si="9"/>
        <v>8.92700195911873E-2</v>
      </c>
    </row>
    <row r="10" spans="2:13" x14ac:dyDescent="0.25">
      <c r="C10" s="4"/>
      <c r="D10" s="12"/>
      <c r="E10" s="48"/>
      <c r="F10" s="12"/>
      <c r="G10" s="12"/>
      <c r="H10" s="12"/>
      <c r="I10" s="12"/>
      <c r="J10" s="12"/>
      <c r="K10" s="12"/>
      <c r="L10" s="12"/>
      <c r="M10" s="12"/>
    </row>
    <row r="11" spans="2:13" x14ac:dyDescent="0.25">
      <c r="B11" t="s">
        <v>4</v>
      </c>
      <c r="C11" s="4" t="s">
        <v>12</v>
      </c>
      <c r="D11" s="11">
        <v>29765</v>
      </c>
      <c r="E11" s="11">
        <v>38808.5</v>
      </c>
      <c r="F11" s="11">
        <v>50870.5</v>
      </c>
      <c r="G11" s="11">
        <v>66076.5</v>
      </c>
      <c r="H11" s="11">
        <v>84279</v>
      </c>
      <c r="I11" s="11">
        <v>105689</v>
      </c>
      <c r="J11" s="11">
        <v>124658</v>
      </c>
      <c r="K11" s="11">
        <v>152984</v>
      </c>
      <c r="L11" s="11">
        <v>189083</v>
      </c>
      <c r="M11" s="11">
        <v>210784</v>
      </c>
    </row>
    <row r="12" spans="2:13" x14ac:dyDescent="0.25">
      <c r="H12" s="17"/>
      <c r="I12" s="17"/>
    </row>
    <row r="13" spans="2:13" x14ac:dyDescent="0.25">
      <c r="B13" t="s">
        <v>5</v>
      </c>
      <c r="C13" s="4" t="s">
        <v>3</v>
      </c>
      <c r="D13" s="10">
        <v>6.9220281090766562</v>
      </c>
      <c r="E13" s="10">
        <v>7.4377284186024539</v>
      </c>
      <c r="F13" s="10">
        <v>7.763987314193229</v>
      </c>
      <c r="G13" s="22">
        <v>8.15</v>
      </c>
      <c r="H13" s="22">
        <v>8.61</v>
      </c>
      <c r="I13" s="22">
        <v>9.43</v>
      </c>
      <c r="J13" s="10">
        <v>10.314053918186826</v>
      </c>
      <c r="K13" s="10">
        <v>10.81770533737733</v>
      </c>
      <c r="L13" s="10">
        <v>10.910849997091224</v>
      </c>
      <c r="M13" s="10">
        <v>11.67</v>
      </c>
    </row>
    <row r="14" spans="2:13" x14ac:dyDescent="0.25">
      <c r="B14" s="37" t="s">
        <v>42</v>
      </c>
      <c r="D14" s="17"/>
      <c r="E14" s="48">
        <f>E13/D13-1</f>
        <v>7.4501331314961616E-2</v>
      </c>
      <c r="F14" s="48">
        <f t="shared" ref="F14" si="10">F13/E13-1</f>
        <v>4.3865395081483571E-2</v>
      </c>
      <c r="G14" s="48">
        <f t="shared" ref="G14" si="11">G13/F13-1</f>
        <v>4.9718356069581304E-2</v>
      </c>
      <c r="H14" s="48">
        <f t="shared" ref="H14" si="12">H13/G13-1</f>
        <v>5.6441717791410939E-2</v>
      </c>
      <c r="I14" s="48">
        <f t="shared" ref="I14" si="13">I13/H13-1</f>
        <v>9.5238095238095344E-2</v>
      </c>
      <c r="J14" s="48">
        <f t="shared" ref="J14" si="14">J13/I13-1</f>
        <v>9.3749089945580621E-2</v>
      </c>
      <c r="K14" s="48">
        <f t="shared" ref="K14" si="15">K13/J13-1</f>
        <v>4.8831567411375731E-2</v>
      </c>
      <c r="L14" s="48">
        <f t="shared" ref="L14" si="16">L13/K13-1</f>
        <v>8.6103898016209879E-3</v>
      </c>
      <c r="M14" s="48">
        <f t="shared" ref="M14" si="17">M13/L13-1</f>
        <v>6.9577530908330854E-2</v>
      </c>
    </row>
    <row r="15" spans="2:13" x14ac:dyDescent="0.25">
      <c r="D15" s="17"/>
      <c r="E15" s="48"/>
    </row>
    <row r="16" spans="2:13" x14ac:dyDescent="0.25">
      <c r="B16" t="s">
        <v>11</v>
      </c>
      <c r="C16" s="4" t="s">
        <v>1</v>
      </c>
      <c r="D16" s="11">
        <v>1753.4169999999999</v>
      </c>
      <c r="E16" s="11">
        <v>2375.973</v>
      </c>
      <c r="F16" s="11">
        <v>3180.3339999999998</v>
      </c>
      <c r="G16" s="11">
        <v>4609.2389999999996</v>
      </c>
      <c r="H16" s="11">
        <v>6880.6360000000004</v>
      </c>
      <c r="I16" s="11">
        <v>8905.7570000000014</v>
      </c>
      <c r="J16" s="11">
        <v>14043.316999999999</v>
      </c>
      <c r="K16" s="11">
        <v>14610.694</v>
      </c>
      <c r="L16" s="11">
        <v>12536.717000000001</v>
      </c>
      <c r="M16" s="5">
        <v>17469.304</v>
      </c>
    </row>
    <row r="17" spans="2:13" x14ac:dyDescent="0.25">
      <c r="B17" t="s">
        <v>13</v>
      </c>
      <c r="C17" s="4" t="s">
        <v>1</v>
      </c>
      <c r="D17" s="11">
        <v>1591.2180000000001</v>
      </c>
      <c r="E17" s="11">
        <v>2121.9810000000002</v>
      </c>
      <c r="F17" s="11">
        <v>2656.279</v>
      </c>
      <c r="G17" s="11">
        <v>3405.3820000000001</v>
      </c>
      <c r="H17" s="11">
        <v>4788.4979999999996</v>
      </c>
      <c r="I17" s="11">
        <v>6197.817</v>
      </c>
      <c r="J17" s="11">
        <v>7532.0879999999997</v>
      </c>
      <c r="K17" s="11">
        <v>9216.2469999999994</v>
      </c>
      <c r="L17" s="11">
        <v>10806.912</v>
      </c>
      <c r="M17" s="5">
        <v>12230.367</v>
      </c>
    </row>
    <row r="19" spans="2:13" x14ac:dyDescent="0.25">
      <c r="B19" t="s">
        <v>51</v>
      </c>
      <c r="C19" s="4" t="s">
        <v>3</v>
      </c>
      <c r="D19" s="64">
        <f t="shared" ref="D19:M19" si="18">D16/D11*Units</f>
        <v>58.908684696791532</v>
      </c>
      <c r="E19" s="64">
        <f t="shared" si="18"/>
        <v>61.22300526946416</v>
      </c>
      <c r="F19" s="64">
        <f t="shared" si="18"/>
        <v>62.51823748537953</v>
      </c>
      <c r="G19" s="64">
        <f t="shared" si="18"/>
        <v>69.756100883067347</v>
      </c>
      <c r="H19" s="64">
        <f t="shared" si="18"/>
        <v>81.64116802524947</v>
      </c>
      <c r="I19" s="64">
        <f t="shared" si="18"/>
        <v>84.263802287844541</v>
      </c>
      <c r="J19" s="64">
        <f t="shared" si="18"/>
        <v>112.65475942177798</v>
      </c>
      <c r="K19" s="64">
        <f t="shared" si="18"/>
        <v>95.504719447785376</v>
      </c>
      <c r="L19" s="64">
        <f t="shared" si="18"/>
        <v>66.302718911800639</v>
      </c>
      <c r="M19" s="64">
        <f t="shared" si="18"/>
        <v>82.877751632002429</v>
      </c>
    </row>
    <row r="20" spans="2:13" x14ac:dyDescent="0.25">
      <c r="B20" s="37" t="s">
        <v>53</v>
      </c>
      <c r="C20" s="4" t="s">
        <v>3</v>
      </c>
      <c r="D20" s="64">
        <f>AVERAGE(D19:M19)</f>
        <v>77.565094806116306</v>
      </c>
    </row>
    <row r="22" spans="2:13" x14ac:dyDescent="0.25">
      <c r="B22" t="s">
        <v>52</v>
      </c>
      <c r="C22" s="4" t="s">
        <v>54</v>
      </c>
      <c r="D22" s="13">
        <f>D16/D17</f>
        <v>1.1019338644987675</v>
      </c>
      <c r="E22" s="13">
        <f t="shared" ref="E22:M22" si="19">E16/E17</f>
        <v>1.1196956994431146</v>
      </c>
      <c r="F22" s="13">
        <f t="shared" si="19"/>
        <v>1.1972891401844459</v>
      </c>
      <c r="G22" s="13">
        <f t="shared" si="19"/>
        <v>1.353515993213096</v>
      </c>
      <c r="H22" s="13">
        <f t="shared" si="19"/>
        <v>1.4369090265882958</v>
      </c>
      <c r="I22" s="13">
        <f t="shared" si="19"/>
        <v>1.4369183536719463</v>
      </c>
      <c r="J22" s="13">
        <f t="shared" si="19"/>
        <v>1.8644653381638663</v>
      </c>
      <c r="K22" s="13">
        <f t="shared" si="19"/>
        <v>1.5853192736696402</v>
      </c>
      <c r="L22" s="13">
        <f t="shared" si="19"/>
        <v>1.160064688229163</v>
      </c>
      <c r="M22" s="13">
        <f t="shared" si="19"/>
        <v>1.4283548482232791</v>
      </c>
    </row>
    <row r="23" spans="2:13" x14ac:dyDescent="0.25">
      <c r="B23" s="37" t="s">
        <v>53</v>
      </c>
      <c r="C23" s="4" t="s">
        <v>54</v>
      </c>
      <c r="D23" s="13">
        <f>AVERAGE(D22:M22)</f>
        <v>1.3684466225885614</v>
      </c>
    </row>
  </sheetData>
  <pageMargins left="0.7" right="0.7" top="0.75" bottom="0.75" header="0.3" footer="0.3"/>
  <pageSetup scale="4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NFLX</vt:lpstr>
      <vt:lpstr>Data</vt:lpstr>
      <vt:lpstr>Company_Name</vt:lpstr>
      <vt:lpstr>Equity_Pct</vt:lpstr>
      <vt:lpstr>Hist_Year</vt:lpstr>
      <vt:lpstr>Min_Cash_Pct_Revenue</vt:lpstr>
      <vt:lpstr>Months_in_Year</vt:lpstr>
      <vt:lpstr>Data!Print_Area</vt:lpstr>
      <vt:lpstr>NFLX!Print_Area</vt:lpstr>
      <vt:lpstr>Scenario</vt:lpstr>
      <vt:lpstr>Sr_Note_Pct</vt:lpstr>
      <vt:lpstr>Tax_Rate</vt:lpstr>
      <vt:lpstr>Ticker</vt:lpstr>
      <vt:lpstr>Units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BIWS</dc:creator>
  <cp:lastModifiedBy>BIWS</cp:lastModifiedBy>
  <cp:lastPrinted>2022-05-27T19:06:29Z</cp:lastPrinted>
  <dcterms:created xsi:type="dcterms:W3CDTF">2022-05-05T22:52:11Z</dcterms:created>
  <dcterms:modified xsi:type="dcterms:W3CDTF">2022-12-26T16:27:59Z</dcterms:modified>
</cp:coreProperties>
</file>