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filterPrivacy="1" defaultThemeVersion="124226"/>
  <xr:revisionPtr revIDLastSave="0" documentId="13_ncr:1_{3C95A8DE-F830-4EAA-AB4A-B29F1C19FE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LD" sheetId="2" r:id="rId1"/>
    <sheet name="VIV" sheetId="1" r:id="rId2"/>
  </sheets>
  <definedNames>
    <definedName name="Basic_Shares" localSheetId="0">STLD!#REF!</definedName>
    <definedName name="Basic_Shares">VIV!#REF!</definedName>
    <definedName name="Company_Name" localSheetId="0">STLD!$F$7</definedName>
    <definedName name="Company_Name">VIV!$F$7</definedName>
    <definedName name="Diluted_Shares" localSheetId="0">STLD!$F$11</definedName>
    <definedName name="Diluted_Shares">VIV!$F$11</definedName>
    <definedName name="_xlnm.Print_Area" localSheetId="0">STLD!$A$1:$M$33</definedName>
    <definedName name="_xlnm.Print_Area" localSheetId="1">VIV!$A$1:$M$33</definedName>
    <definedName name="Share_Price" localSheetId="0">STLD!$F$10</definedName>
    <definedName name="Share_Price">VIV!$F$10</definedName>
    <definedName name="Tax_Rate" localSheetId="0">STLD!$F$12</definedName>
    <definedName name="Tax_Rate" localSheetId="1">VIV!$F$12</definedName>
  </definedNames>
  <calcPr calcId="191029"/>
</workbook>
</file>

<file path=xl/calcChain.xml><?xml version="1.0" encoding="utf-8"?>
<calcChain xmlns="http://schemas.openxmlformats.org/spreadsheetml/2006/main">
  <c r="L9" i="2" l="1"/>
  <c r="F12" i="2"/>
  <c r="L18" i="2" l="1"/>
  <c r="L12" i="2"/>
  <c r="L7" i="2"/>
  <c r="F24" i="2" l="1"/>
  <c r="F20" i="2"/>
  <c r="L12" i="1" l="1"/>
  <c r="L18" i="1"/>
  <c r="L10" i="1"/>
  <c r="L9" i="1"/>
  <c r="L7" i="1"/>
  <c r="F16" i="1"/>
  <c r="B5" i="1"/>
  <c r="L11" i="1" l="1"/>
  <c r="L11" i="2"/>
  <c r="L13" i="2" l="1"/>
  <c r="L16" i="2" s="1"/>
  <c r="L13" i="1"/>
  <c r="L16" i="1" l="1"/>
  <c r="B2" i="1" l="1"/>
  <c r="B2" i="2"/>
  <c r="B5" i="2" l="1"/>
  <c r="F14" i="2" l="1"/>
  <c r="L32" i="2" s="1"/>
  <c r="F26" i="2" l="1"/>
  <c r="L22" i="2" s="1"/>
  <c r="L24" i="2" s="1"/>
  <c r="L28" i="2" l="1"/>
  <c r="L29" i="2"/>
  <c r="L26" i="2"/>
  <c r="F14" i="1"/>
  <c r="F26" i="1" l="1"/>
  <c r="L32" i="1"/>
  <c r="L24" i="1"/>
  <c r="L26" i="1" l="1"/>
  <c r="L22" i="1"/>
  <c r="L30" i="1"/>
  <c r="L29" i="1"/>
  <c r="L3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L10" authorId="0" shapeId="0" xr:uid="{89F5A9D2-204D-40EF-97EB-8CB9CF9F994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Asset impairment charge.</t>
        </r>
      </text>
    </comment>
    <comment ref="F11" authorId="0" shapeId="0" xr:uid="{A3E166CC-89F2-4A35-ADA6-455B6EDC64DA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Taken from most recent 10-Q as a simplification.</t>
        </r>
      </text>
    </comment>
    <comment ref="F12" authorId="0" shapeId="0" xr:uid="{E26F1E68-0044-405F-9B04-8170B8B3473D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Average tax rate over the past 3 years from the filings.</t>
        </r>
      </text>
    </comment>
    <comment ref="L14" authorId="0" shapeId="0" xr:uid="{5AA242B7-7A48-4151-AA97-75CC3DACD3F1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No estimates in the 10-Q; using annual number from 10-K.</t>
        </r>
      </text>
    </comment>
    <comment ref="F20" authorId="0" shapeId="0" xr:uid="{44AECD64-4515-4E8E-9D7A-410F3133E5AB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Using market value from 10-K instead of book value from more recent 10-Q; appears to be almost no difference anyway.</t>
        </r>
      </text>
    </comment>
    <comment ref="F22" authorId="0" shapeId="0" xr:uid="{B64941AA-C90A-48DF-AE97-D983D00F7F7E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Not counting these under U.S. GAAP; deducting the Rental Expense in the UFCF calculation.</t>
        </r>
      </text>
    </comment>
    <comment ref="L23" authorId="0" shapeId="0" xr:uid="{C1E05E4D-E4A6-47EA-809B-6B91024F5AF4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No estimates from 10-Q, so going back to the 10-K for this.</t>
        </r>
      </text>
    </comment>
    <comment ref="F24" authorId="0" shapeId="0" xr:uid="{DEAF1A61-2C39-403C-8836-D4EBE3E56BC2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Redeemable NCI and traditional NCI.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L10" authorId="0" shapeId="0" xr:uid="{965AC4E2-DB13-4C47-9AF1-56AF51BAE9C5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Not counting Restructuring because they have it in nearly every historical year.</t>
        </r>
      </text>
    </comment>
    <comment ref="F12" authorId="0" shapeId="0" xr:uid="{B33AD0C3-6532-4D0E-8618-ADD6EA7BF30D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Pg. 8 of interim filing.</t>
        </r>
      </text>
    </comment>
    <comment ref="L12" authorId="0" shapeId="0" xr:uid="{EBB00264-0FE6-4840-93A2-CC2808F6E18D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Per breakout on pg. 104. Fine to add back Lease D&amp;A here since EBITDA under IFRS completely excludes the full Lease Expense anyway, and we add Leases in TEV.</t>
        </r>
      </text>
    </comment>
    <comment ref="L14" authorId="0" shapeId="0" xr:uid="{3E3E1A63-40ED-4334-842F-D0393268D4C5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This should be 0 under IFRS because the Rent/Lease Expense is split into Interest and Depreciation.</t>
        </r>
      </text>
    </comment>
    <comment ref="L15" authorId="0" shapeId="0" xr:uid="{F0CE7DB6-4A64-45FC-8C14-54D6C3D2D6E8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Has nothing here.</t>
        </r>
      </text>
    </comment>
    <comment ref="F17" authorId="0" shapeId="0" xr:uid="{15E72FCB-B467-45CA-83C8-954D87030DB9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Technically, we could use the company's estimate for the Market Value of the shares, but we're sticking to the Balance Sheet figure here since we only have that number for a portion of the Equity Investments.</t>
        </r>
      </text>
    </comment>
    <comment ref="L18" authorId="0" shapeId="0" xr:uid="{2B27AE9D-ECAF-4374-A6B6-A3BED599739F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Strange numbers because of how the company records a Tax Benefit on the IS.</t>
        </r>
      </text>
    </comment>
    <comment ref="F20" authorId="0" shapeId="0" xr:uid="{5E668249-1E14-4C87-A3D5-F4D15169CF07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Using market value from pg. 60 of interim report.</t>
        </r>
      </text>
    </comment>
    <comment ref="F22" authorId="0" shapeId="0" xr:uid="{AFCE9336-79F9-472A-9189-509B4141FC4F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Adding Op. Leases since company follows IFRS; total on pg. 50 of interim report.</t>
        </r>
      </text>
    </comment>
    <comment ref="F25" authorId="0" shapeId="0" xr:uid="{F28D0444-B776-4C30-BC00-6A639BB22EBF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Taken from annual report. Not tax-adjusting since contributions into most European plans are not tax-deductible.</t>
        </r>
      </text>
    </comment>
  </commentList>
</comments>
</file>

<file path=xl/sharedStrings.xml><?xml version="1.0" encoding="utf-8"?>
<sst xmlns="http://schemas.openxmlformats.org/spreadsheetml/2006/main" count="84" uniqueCount="49">
  <si>
    <t>Current Share Price:</t>
  </si>
  <si>
    <t>Valuation Date:</t>
  </si>
  <si>
    <t>Diluted Shares Outstanding (Millions):</t>
  </si>
  <si>
    <t>Company Name:</t>
  </si>
  <si>
    <t>Vivendi SA</t>
  </si>
  <si>
    <t>Ticker:</t>
  </si>
  <si>
    <t>ENXTPA:VIV</t>
  </si>
  <si>
    <t>(€ in Millions Except Per Share Data)</t>
  </si>
  <si>
    <t>($ in Millions Except Per Share Data)</t>
  </si>
  <si>
    <t>(-) Cash &amp; Cash-Equivalents:</t>
  </si>
  <si>
    <t>(-) Financial Investments:</t>
  </si>
  <si>
    <t>(-) Equity Investments:</t>
  </si>
  <si>
    <t>(-) Other Non-Core Assets:</t>
  </si>
  <si>
    <t>(-) Net Operating Losses:</t>
  </si>
  <si>
    <t>(+) Total Debt:</t>
  </si>
  <si>
    <t>(+) Preferred Stock:</t>
  </si>
  <si>
    <t>(+) Noncontrolling Interests:</t>
  </si>
  <si>
    <t>(+) Unfunded Pensions:</t>
  </si>
  <si>
    <t>Enterprise Value (TEV):</t>
  </si>
  <si>
    <t>Effective Tax Rate:</t>
  </si>
  <si>
    <t>(+) Non-Recurring Charges:</t>
  </si>
  <si>
    <t>(+) D&amp;A from Cash Flow Statement:</t>
  </si>
  <si>
    <t>(+) Rental Expense on Income Statement:</t>
  </si>
  <si>
    <t>(-) Sublease Income:</t>
  </si>
  <si>
    <t>Valuation Metric Calculations:</t>
  </si>
  <si>
    <t>Enterprise Value Excluding Op. Leases:</t>
  </si>
  <si>
    <t>Enterprise Value Including Op. Leases:</t>
  </si>
  <si>
    <t>Equity Value:</t>
  </si>
  <si>
    <t>(+) Operating Lease Liabilities:</t>
  </si>
  <si>
    <t>N/A</t>
  </si>
  <si>
    <t>TEV / Revenue Multiple:</t>
  </si>
  <si>
    <t>TEV / EBIT Multiple:</t>
  </si>
  <si>
    <t>TEV / EBITDA Multiple:</t>
  </si>
  <si>
    <t>TEV Incl. Op. Leases / EBITDAR Multiple:</t>
  </si>
  <si>
    <t>Eq Val / Net Income Multiple (P / E):</t>
  </si>
  <si>
    <t>TEV Incl. Op. Leases / Revenue Multiple:</t>
  </si>
  <si>
    <t>TEV Incl. Op. Leases / EBIT Multiple:</t>
  </si>
  <si>
    <t>TEV Incl. Op. Leases / EBITDA Multiple:</t>
  </si>
  <si>
    <t>Valuation Multiples:</t>
  </si>
  <si>
    <t>Valuation Metrics:</t>
  </si>
  <si>
    <t>LTM Revenue:</t>
  </si>
  <si>
    <t>LTM Net Income:</t>
  </si>
  <si>
    <t>LTM Operating Income:</t>
  </si>
  <si>
    <t>Steel Dynamics Inc.</t>
  </si>
  <si>
    <t>NASDAQ:STLD</t>
  </si>
  <si>
    <t>(+) Finance Lease Liabilities:</t>
  </si>
  <si>
    <t>LTM EBITDA:</t>
  </si>
  <si>
    <t>LTM EBIT:</t>
  </si>
  <si>
    <t>LTM EBITDAR: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</si>
</sst>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yyyy\-mm\-dd"/>
    <numFmt numFmtId="165" formatCode="_(* #,##0.000_);_(* \(#,##0.000\);_(* &quot;-&quot;???_);_(@_)"/>
    <numFmt numFmtId="166" formatCode="_([$€-2]\ * #,##0.00_);_([$€-2]\ * \(#,##0.00\);_([$€-2]\ * &quot;-&quot;??_);_(@_)"/>
    <numFmt numFmtId="167" formatCode="_([$€-2]\ * #,##0_);_([$€-2]\ * \(#,##0\);_([$€-2]\ * &quot;-&quot;_);_(@_)"/>
    <numFmt numFmtId="168" formatCode="_(* #,##0.0_);_(* \(#,##0.0\);_(* &quot;-&quot;_);_(@_)"/>
    <numFmt numFmtId="169" formatCode="0.0%"/>
    <numFmt numFmtId="170" formatCode="_(0.0\ \x_);\(0.0\ \x\);_(&quot;–&quot;_);_(@_)"/>
    <numFmt numFmtId="171" formatCode="_(* #,##0_);_(* \(#,##0\);_(* &quot;-&quot;?_);_(@_)"/>
    <numFmt numFmtId="172" formatCode="0.0%;\(0.0%\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7" fillId="3" borderId="3" applyNumberFormat="0" applyFont="0" applyAlignment="0" applyProtection="0"/>
    <xf numFmtId="0" fontId="15" fillId="0" borderId="0"/>
  </cellStyleXfs>
  <cellXfs count="56">
    <xf numFmtId="0" fontId="0" fillId="0" borderId="0" xfId="0"/>
    <xf numFmtId="0" fontId="10" fillId="0" borderId="0" xfId="0" applyFont="1"/>
    <xf numFmtId="0" fontId="6" fillId="0" borderId="0" xfId="0" applyFont="1"/>
    <xf numFmtId="0" fontId="10" fillId="0" borderId="0" xfId="0" applyFont="1" applyBorder="1"/>
    <xf numFmtId="0" fontId="6" fillId="0" borderId="0" xfId="0" applyFont="1" applyBorder="1"/>
    <xf numFmtId="0" fontId="11" fillId="2" borderId="3" xfId="1" applyFont="1" applyFill="1" applyBorder="1" applyAlignment="1">
      <alignment horizontal="centerContinuous"/>
    </xf>
    <xf numFmtId="164" fontId="11" fillId="2" borderId="3" xfId="0" applyNumberFormat="1" applyFont="1" applyFill="1" applyBorder="1"/>
    <xf numFmtId="166" fontId="11" fillId="2" borderId="3" xfId="0" applyNumberFormat="1" applyFont="1" applyFill="1" applyBorder="1"/>
    <xf numFmtId="0" fontId="6" fillId="0" borderId="0" xfId="0" applyFont="1" applyBorder="1" applyAlignment="1">
      <alignment horizontal="center"/>
    </xf>
    <xf numFmtId="167" fontId="13" fillId="0" borderId="0" xfId="0" applyNumberFormat="1" applyFont="1" applyFill="1" applyBorder="1"/>
    <xf numFmtId="0" fontId="10" fillId="0" borderId="2" xfId="0" applyFont="1" applyBorder="1"/>
    <xf numFmtId="0" fontId="6" fillId="0" borderId="2" xfId="0" applyFont="1" applyBorder="1"/>
    <xf numFmtId="165" fontId="10" fillId="0" borderId="0" xfId="0" applyNumberFormat="1" applyFont="1" applyBorder="1"/>
    <xf numFmtId="0" fontId="14" fillId="0" borderId="0" xfId="0" applyFont="1"/>
    <xf numFmtId="0" fontId="10" fillId="4" borderId="1" xfId="0" applyFont="1" applyFill="1" applyBorder="1"/>
    <xf numFmtId="0" fontId="6" fillId="4" borderId="1" xfId="0" applyFont="1" applyFill="1" applyBorder="1"/>
    <xf numFmtId="168" fontId="11" fillId="2" borderId="4" xfId="0" applyNumberFormat="1" applyFont="1" applyFill="1" applyBorder="1"/>
    <xf numFmtId="44" fontId="11" fillId="2" borderId="3" xfId="0" applyNumberFormat="1" applyFont="1" applyFill="1" applyBorder="1"/>
    <xf numFmtId="42" fontId="13" fillId="0" borderId="0" xfId="0" applyNumberFormat="1" applyFont="1" applyFill="1" applyBorder="1"/>
    <xf numFmtId="0" fontId="5" fillId="0" borderId="0" xfId="0" applyFont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6" fillId="0" borderId="1" xfId="0" applyFont="1" applyBorder="1"/>
    <xf numFmtId="41" fontId="11" fillId="2" borderId="3" xfId="0" applyNumberFormat="1" applyFont="1" applyFill="1" applyBorder="1"/>
    <xf numFmtId="41" fontId="11" fillId="2" borderId="5" xfId="0" applyNumberFormat="1" applyFont="1" applyFill="1" applyBorder="1"/>
    <xf numFmtId="41" fontId="12" fillId="2" borderId="3" xfId="0" applyNumberFormat="1" applyFont="1" applyFill="1" applyBorder="1"/>
    <xf numFmtId="0" fontId="5" fillId="0" borderId="0" xfId="0" applyFont="1"/>
    <xf numFmtId="164" fontId="11" fillId="2" borderId="3" xfId="0" applyNumberFormat="1" applyFont="1" applyFill="1" applyBorder="1" applyAlignment="1">
      <alignment horizontal="center"/>
    </xf>
    <xf numFmtId="169" fontId="11" fillId="2" borderId="3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indent="1"/>
    </xf>
    <xf numFmtId="41" fontId="10" fillId="0" borderId="2" xfId="0" applyNumberFormat="1" applyFont="1" applyBorder="1"/>
    <xf numFmtId="41" fontId="11" fillId="2" borderId="6" xfId="0" applyNumberFormat="1" applyFont="1" applyFill="1" applyBorder="1"/>
    <xf numFmtId="41" fontId="10" fillId="0" borderId="0" xfId="0" applyNumberFormat="1" applyFont="1" applyBorder="1"/>
    <xf numFmtId="0" fontId="6" fillId="0" borderId="0" xfId="0" applyFont="1" applyFill="1" applyBorder="1"/>
    <xf numFmtId="41" fontId="12" fillId="2" borderId="6" xfId="0" applyNumberFormat="1" applyFont="1" applyFill="1" applyBorder="1"/>
    <xf numFmtId="41" fontId="12" fillId="2" borderId="5" xfId="0" applyNumberFormat="1" applyFont="1" applyFill="1" applyBorder="1"/>
    <xf numFmtId="41" fontId="10" fillId="0" borderId="0" xfId="0" applyNumberFormat="1" applyFont="1"/>
    <xf numFmtId="170" fontId="6" fillId="0" borderId="0" xfId="0" applyNumberFormat="1" applyFont="1"/>
    <xf numFmtId="170" fontId="3" fillId="0" borderId="0" xfId="0" applyNumberFormat="1" applyFont="1"/>
    <xf numFmtId="0" fontId="2" fillId="0" borderId="0" xfId="0" applyFont="1"/>
    <xf numFmtId="0" fontId="10" fillId="0" borderId="0" xfId="0" applyFont="1" applyFill="1" applyBorder="1"/>
    <xf numFmtId="0" fontId="4" fillId="0" borderId="0" xfId="0" applyFont="1" applyFill="1" applyBorder="1" applyAlignment="1">
      <alignment horizontal="left" indent="1"/>
    </xf>
    <xf numFmtId="41" fontId="12" fillId="0" borderId="0" xfId="0" applyNumberFormat="1" applyFont="1" applyFill="1" applyBorder="1"/>
    <xf numFmtId="0" fontId="6" fillId="0" borderId="0" xfId="0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/>
    <xf numFmtId="0" fontId="1" fillId="0" borderId="0" xfId="0" applyFont="1"/>
    <xf numFmtId="0" fontId="1" fillId="0" borderId="0" xfId="0" applyFont="1" applyBorder="1" applyAlignment="1">
      <alignment horizontal="left" indent="1"/>
    </xf>
    <xf numFmtId="41" fontId="11" fillId="2" borderId="4" xfId="0" applyNumberFormat="1" applyFont="1" applyFill="1" applyBorder="1"/>
    <xf numFmtId="167" fontId="10" fillId="0" borderId="2" xfId="0" applyNumberFormat="1" applyFont="1" applyBorder="1"/>
    <xf numFmtId="0" fontId="1" fillId="0" borderId="0" xfId="0" applyFont="1" applyAlignment="1">
      <alignment horizontal="left" indent="1"/>
    </xf>
    <xf numFmtId="0" fontId="3" fillId="0" borderId="0" xfId="0" applyFont="1" applyBorder="1" applyAlignment="1">
      <alignment horizontal="left" indent="1"/>
    </xf>
    <xf numFmtId="167" fontId="13" fillId="2" borderId="3" xfId="0" applyNumberFormat="1" applyFont="1" applyFill="1" applyBorder="1"/>
    <xf numFmtId="165" fontId="11" fillId="2" borderId="7" xfId="0" applyNumberFormat="1" applyFont="1" applyFill="1" applyBorder="1"/>
    <xf numFmtId="171" fontId="12" fillId="2" borderId="3" xfId="0" applyNumberFormat="1" applyFont="1" applyFill="1" applyBorder="1"/>
    <xf numFmtId="42" fontId="13" fillId="2" borderId="3" xfId="0" applyNumberFormat="1" applyFont="1" applyFill="1" applyBorder="1"/>
    <xf numFmtId="172" fontId="12" fillId="2" borderId="3" xfId="1" applyNumberFormat="1" applyFont="1" applyFill="1" applyBorder="1" applyAlignment="1">
      <alignment horizontal="center"/>
    </xf>
  </cellXfs>
  <cellStyles count="3">
    <cellStyle name="Normal" xfId="0" builtinId="0"/>
    <cellStyle name="Normal 2" xfId="2" xr:uid="{EEF1FE11-9F4F-4BE3-BD4C-457391DFFA66}"/>
    <cellStyle name="Note" xfId="1" builtinId="10"/>
  </cellStyles>
  <dxfs count="0"/>
  <tableStyles count="0" defaultTableStyle="TableStyleMedium2" defaultPivotStyle="PivotStyleMedium9"/>
  <colors>
    <mruColors>
      <color rgb="FF0000FF"/>
      <color rgb="FFB2B2B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73534-A9E1-4FD2-81A1-A3226D3FCBB9}">
  <sheetPr>
    <pageSetUpPr autoPageBreaks="0"/>
  </sheetPr>
  <dimension ref="B2:M50"/>
  <sheetViews>
    <sheetView showGridLines="0" tabSelected="1" zoomScaleNormal="100" workbookViewId="0">
      <selection activeCell="B2" sqref="B2"/>
    </sheetView>
  </sheetViews>
  <sheetFormatPr defaultRowHeight="15.75" x14ac:dyDescent="0.25"/>
  <cols>
    <col min="1" max="2" width="2.7109375" style="2" customWidth="1"/>
    <col min="3" max="5" width="15.7109375" style="2" customWidth="1"/>
    <col min="6" max="6" width="18.7109375" style="2" bestFit="1" customWidth="1"/>
    <col min="7" max="8" width="2.7109375" style="2" customWidth="1"/>
    <col min="9" max="12" width="14.7109375" style="2" customWidth="1"/>
    <col min="13" max="14" width="2.7109375" style="2" customWidth="1"/>
    <col min="15" max="20" width="14.7109375" style="2" customWidth="1"/>
    <col min="21" max="16384" width="9.140625" style="2"/>
  </cols>
  <sheetData>
    <row r="2" spans="2:13" ht="18.75" x14ac:dyDescent="0.3">
      <c r="B2" s="13" t="str">
        <f>Company_Name&amp;" - Equity Value and Enterprise Value"</f>
        <v>Steel Dynamics Inc. - Equity Value and Enterprise Value</v>
      </c>
    </row>
    <row r="3" spans="2:13" x14ac:dyDescent="0.25">
      <c r="B3" s="2" t="s">
        <v>8</v>
      </c>
    </row>
    <row r="5" spans="2:13" x14ac:dyDescent="0.25">
      <c r="B5" s="14" t="str">
        <f>Company_Name&amp;" - Equity Value Calculation:"</f>
        <v>Steel Dynamics Inc. - Equity Value Calculation:</v>
      </c>
      <c r="C5" s="15"/>
      <c r="D5" s="15"/>
      <c r="E5" s="15"/>
      <c r="F5" s="15"/>
      <c r="H5" s="14" t="s">
        <v>24</v>
      </c>
      <c r="I5" s="15"/>
      <c r="J5" s="15"/>
      <c r="K5" s="15"/>
      <c r="L5" s="15"/>
    </row>
    <row r="6" spans="2:13" x14ac:dyDescent="0.25">
      <c r="B6" s="3"/>
      <c r="C6" s="4"/>
      <c r="D6" s="4"/>
      <c r="E6" s="4"/>
      <c r="F6" s="4"/>
    </row>
    <row r="7" spans="2:13" x14ac:dyDescent="0.25">
      <c r="B7" s="3"/>
      <c r="C7" s="2" t="s">
        <v>3</v>
      </c>
      <c r="F7" s="5" t="s">
        <v>43</v>
      </c>
      <c r="I7" s="1" t="s">
        <v>40</v>
      </c>
      <c r="L7" s="54">
        <f>9601.482+8009.905-4669.405</f>
        <v>12941.982</v>
      </c>
    </row>
    <row r="8" spans="2:13" x14ac:dyDescent="0.25">
      <c r="C8" s="2" t="s">
        <v>5</v>
      </c>
      <c r="F8" s="5" t="s">
        <v>44</v>
      </c>
    </row>
    <row r="9" spans="2:13" x14ac:dyDescent="0.25">
      <c r="C9" s="4" t="s">
        <v>1</v>
      </c>
      <c r="D9" s="4"/>
      <c r="E9" s="4"/>
      <c r="F9" s="26">
        <v>44425</v>
      </c>
      <c r="I9" s="45" t="s">
        <v>42</v>
      </c>
      <c r="L9" s="24">
        <f>847.412+1549.934-432.536</f>
        <v>1964.81</v>
      </c>
      <c r="M9" s="8"/>
    </row>
    <row r="10" spans="2:13" x14ac:dyDescent="0.25">
      <c r="C10" s="2" t="s">
        <v>0</v>
      </c>
      <c r="F10" s="17">
        <v>68.290000000000006</v>
      </c>
      <c r="I10" s="28" t="s">
        <v>20</v>
      </c>
      <c r="L10" s="23">
        <v>19.408999999999999</v>
      </c>
    </row>
    <row r="11" spans="2:13" x14ac:dyDescent="0.25">
      <c r="C11" s="2" t="s">
        <v>2</v>
      </c>
      <c r="F11" s="52">
        <v>211.24600000000001</v>
      </c>
      <c r="I11" s="10" t="s">
        <v>47</v>
      </c>
      <c r="J11" s="11"/>
      <c r="K11" s="11"/>
      <c r="L11" s="29">
        <f>SUM(L9:L10)</f>
        <v>1984.2190000000001</v>
      </c>
    </row>
    <row r="12" spans="2:13" x14ac:dyDescent="0.25">
      <c r="C12" s="25" t="s">
        <v>19</v>
      </c>
      <c r="F12" s="55">
        <f>AVERAGE(19.1%,22.6%,22.5%)</f>
        <v>0.214</v>
      </c>
      <c r="I12" s="28" t="s">
        <v>21</v>
      </c>
      <c r="L12" s="33">
        <f>325.789+173.966-158.98</f>
        <v>340.77499999999998</v>
      </c>
    </row>
    <row r="13" spans="2:13" x14ac:dyDescent="0.25">
      <c r="I13" s="10" t="s">
        <v>46</v>
      </c>
      <c r="J13" s="11"/>
      <c r="K13" s="11"/>
      <c r="L13" s="29">
        <f>SUM(L11:L12)</f>
        <v>2324.9940000000001</v>
      </c>
    </row>
    <row r="14" spans="2:13" x14ac:dyDescent="0.25">
      <c r="C14" s="1" t="s">
        <v>27</v>
      </c>
      <c r="F14" s="18">
        <f>Share_Price*Diluted_Shares</f>
        <v>14425.989340000002</v>
      </c>
      <c r="I14" s="28" t="s">
        <v>22</v>
      </c>
      <c r="L14" s="22">
        <v>21.3</v>
      </c>
    </row>
    <row r="15" spans="2:13" x14ac:dyDescent="0.25">
      <c r="C15" s="19" t="s">
        <v>9</v>
      </c>
      <c r="F15" s="22">
        <v>-1113.7439999999999</v>
      </c>
      <c r="I15" s="28" t="s">
        <v>23</v>
      </c>
      <c r="L15" s="23">
        <v>0</v>
      </c>
    </row>
    <row r="16" spans="2:13" x14ac:dyDescent="0.25">
      <c r="C16" s="19" t="s">
        <v>10</v>
      </c>
      <c r="F16" s="22">
        <v>0</v>
      </c>
      <c r="I16" s="10" t="s">
        <v>48</v>
      </c>
      <c r="J16" s="11"/>
      <c r="K16" s="11"/>
      <c r="L16" s="29">
        <f>SUM(L13:L15)</f>
        <v>2346.2940000000003</v>
      </c>
    </row>
    <row r="17" spans="3:13" x14ac:dyDescent="0.25">
      <c r="C17" s="19" t="s">
        <v>11</v>
      </c>
      <c r="F17" s="22">
        <v>0</v>
      </c>
    </row>
    <row r="18" spans="3:13" x14ac:dyDescent="0.25">
      <c r="C18" s="19" t="s">
        <v>12</v>
      </c>
      <c r="F18" s="22">
        <v>0</v>
      </c>
      <c r="I18" s="1" t="s">
        <v>41</v>
      </c>
      <c r="L18" s="54">
        <f>550.822+1132.798-262.836</f>
        <v>1420.7839999999999</v>
      </c>
    </row>
    <row r="19" spans="3:13" x14ac:dyDescent="0.25">
      <c r="C19" s="19" t="s">
        <v>13</v>
      </c>
      <c r="F19" s="22">
        <v>-25.088999999999999</v>
      </c>
      <c r="H19" s="32"/>
      <c r="I19" s="39"/>
      <c r="J19" s="32"/>
      <c r="K19" s="44"/>
      <c r="L19" s="44"/>
    </row>
    <row r="20" spans="3:13" x14ac:dyDescent="0.25">
      <c r="C20" s="19" t="s">
        <v>14</v>
      </c>
      <c r="F20" s="53">
        <f>3329.914+82.698</f>
        <v>3412.6120000000001</v>
      </c>
      <c r="H20" s="14" t="s">
        <v>38</v>
      </c>
      <c r="I20" s="15"/>
      <c r="J20" s="15"/>
      <c r="K20" s="15"/>
      <c r="L20" s="15"/>
    </row>
    <row r="21" spans="3:13" x14ac:dyDescent="0.25">
      <c r="C21" s="19" t="s">
        <v>15</v>
      </c>
      <c r="F21" s="22">
        <v>0</v>
      </c>
    </row>
    <row r="22" spans="3:13" x14ac:dyDescent="0.25">
      <c r="C22" s="49" t="s">
        <v>28</v>
      </c>
      <c r="F22" s="22">
        <v>0</v>
      </c>
      <c r="I22" s="1" t="s">
        <v>25</v>
      </c>
      <c r="J22" s="1"/>
      <c r="K22" s="1"/>
      <c r="L22" s="35">
        <f>F26</f>
        <v>16710.006340000004</v>
      </c>
    </row>
    <row r="23" spans="3:13" x14ac:dyDescent="0.25">
      <c r="C23" s="46" t="s">
        <v>45</v>
      </c>
      <c r="F23" s="22">
        <v>0</v>
      </c>
      <c r="I23" s="49" t="s">
        <v>28</v>
      </c>
      <c r="L23" s="30">
        <v>90.316000000000003</v>
      </c>
    </row>
    <row r="24" spans="3:13" x14ac:dyDescent="0.25">
      <c r="C24" s="19" t="s">
        <v>16</v>
      </c>
      <c r="F24" s="53">
        <f>176.414-166.176</f>
        <v>10.238</v>
      </c>
      <c r="I24" s="10" t="s">
        <v>26</v>
      </c>
      <c r="J24" s="10"/>
      <c r="K24" s="10"/>
      <c r="L24" s="29">
        <f>SUM(L22:L23)</f>
        <v>16800.322340000002</v>
      </c>
    </row>
    <row r="25" spans="3:13" x14ac:dyDescent="0.25">
      <c r="C25" s="20" t="s">
        <v>17</v>
      </c>
      <c r="D25" s="21"/>
      <c r="E25" s="21"/>
      <c r="F25" s="23">
        <v>0</v>
      </c>
      <c r="I25" s="50"/>
      <c r="J25" s="4"/>
      <c r="K25" s="4"/>
      <c r="L25" s="41"/>
    </row>
    <row r="26" spans="3:13" x14ac:dyDescent="0.25">
      <c r="C26" s="3" t="s">
        <v>18</v>
      </c>
      <c r="F26" s="18">
        <f>SUM(F14:F25)</f>
        <v>16710.006340000004</v>
      </c>
      <c r="I26" s="38" t="s">
        <v>30</v>
      </c>
      <c r="L26" s="36">
        <f>L22/L7</f>
        <v>1.291147394579903</v>
      </c>
      <c r="M26" s="12"/>
    </row>
    <row r="27" spans="3:13" x14ac:dyDescent="0.25">
      <c r="I27" s="38"/>
      <c r="L27" s="36"/>
    </row>
    <row r="28" spans="3:13" x14ac:dyDescent="0.25">
      <c r="I28" s="38" t="s">
        <v>31</v>
      </c>
      <c r="L28" s="36">
        <f>L22/L11</f>
        <v>8.4214526420722731</v>
      </c>
    </row>
    <row r="29" spans="3:13" x14ac:dyDescent="0.25">
      <c r="I29" s="38" t="s">
        <v>32</v>
      </c>
      <c r="L29" s="36">
        <f>L22/L13</f>
        <v>7.1871180484766857</v>
      </c>
    </row>
    <row r="30" spans="3:13" x14ac:dyDescent="0.25">
      <c r="I30" s="38" t="s">
        <v>33</v>
      </c>
      <c r="L30" s="36">
        <f>L24/L16</f>
        <v>7.1603653847301318</v>
      </c>
    </row>
    <row r="31" spans="3:13" x14ac:dyDescent="0.25">
      <c r="G31" s="32"/>
      <c r="I31" s="38"/>
      <c r="L31" s="36"/>
      <c r="M31" s="32"/>
    </row>
    <row r="32" spans="3:13" x14ac:dyDescent="0.25">
      <c r="I32" s="38" t="s">
        <v>34</v>
      </c>
      <c r="L32" s="36">
        <f>F14/L18</f>
        <v>10.153541523553196</v>
      </c>
      <c r="M32" s="32"/>
    </row>
    <row r="33" spans="8:13" x14ac:dyDescent="0.25">
      <c r="M33" s="32"/>
    </row>
    <row r="34" spans="8:13" x14ac:dyDescent="0.25">
      <c r="M34" s="32"/>
    </row>
    <row r="35" spans="8:13" x14ac:dyDescent="0.25">
      <c r="I35" s="38"/>
      <c r="L35" s="36"/>
      <c r="M35" s="32"/>
    </row>
    <row r="36" spans="8:13" x14ac:dyDescent="0.25">
      <c r="H36" s="32"/>
      <c r="I36" s="39"/>
      <c r="J36" s="32"/>
      <c r="K36" s="32"/>
      <c r="L36" s="32"/>
      <c r="M36" s="32"/>
    </row>
    <row r="37" spans="8:13" x14ac:dyDescent="0.25">
      <c r="H37" s="32"/>
      <c r="I37" s="40"/>
      <c r="J37" s="32"/>
      <c r="K37" s="32"/>
      <c r="L37" s="32"/>
      <c r="M37" s="32"/>
    </row>
    <row r="38" spans="8:13" x14ac:dyDescent="0.25">
      <c r="H38" s="32"/>
      <c r="I38" s="40"/>
      <c r="J38" s="32"/>
      <c r="K38" s="32"/>
      <c r="L38" s="32"/>
      <c r="M38" s="32"/>
    </row>
    <row r="39" spans="8:13" x14ac:dyDescent="0.25">
      <c r="H39" s="32"/>
      <c r="I39" s="40"/>
      <c r="J39" s="32"/>
      <c r="K39" s="32"/>
      <c r="L39" s="32"/>
      <c r="M39" s="32"/>
    </row>
    <row r="40" spans="8:13" x14ac:dyDescent="0.25">
      <c r="H40" s="32"/>
      <c r="I40" s="40"/>
      <c r="J40" s="32"/>
      <c r="K40" s="32"/>
      <c r="L40" s="32"/>
      <c r="M40" s="32"/>
    </row>
    <row r="41" spans="8:13" x14ac:dyDescent="0.25">
      <c r="H41" s="32"/>
      <c r="I41" s="39"/>
      <c r="J41" s="32"/>
      <c r="K41" s="32"/>
      <c r="L41" s="32"/>
      <c r="M41" s="32"/>
    </row>
    <row r="42" spans="8:13" x14ac:dyDescent="0.25">
      <c r="H42" s="32"/>
      <c r="I42" s="32"/>
      <c r="J42" s="32"/>
      <c r="K42" s="32"/>
      <c r="L42" s="32"/>
      <c r="M42" s="32"/>
    </row>
    <row r="43" spans="8:13" x14ac:dyDescent="0.25">
      <c r="H43" s="32"/>
      <c r="I43" s="39"/>
      <c r="J43" s="32"/>
      <c r="K43" s="32"/>
      <c r="L43" s="32"/>
      <c r="M43" s="32"/>
    </row>
    <row r="44" spans="8:13" x14ac:dyDescent="0.25">
      <c r="H44" s="32"/>
      <c r="I44" s="40"/>
      <c r="J44" s="32"/>
      <c r="K44" s="32"/>
      <c r="L44" s="32"/>
      <c r="M44" s="32"/>
    </row>
    <row r="45" spans="8:13" x14ac:dyDescent="0.25">
      <c r="H45" s="32"/>
      <c r="I45" s="42"/>
      <c r="J45" s="32"/>
      <c r="K45" s="32"/>
      <c r="L45" s="32"/>
      <c r="M45" s="32"/>
    </row>
    <row r="46" spans="8:13" x14ac:dyDescent="0.25">
      <c r="H46" s="32"/>
      <c r="I46" s="42"/>
      <c r="J46" s="32"/>
      <c r="K46" s="32"/>
      <c r="L46" s="32"/>
      <c r="M46" s="32"/>
    </row>
    <row r="47" spans="8:13" x14ac:dyDescent="0.25">
      <c r="H47" s="32"/>
      <c r="I47" s="42"/>
      <c r="J47" s="32"/>
      <c r="K47" s="32"/>
      <c r="L47" s="32"/>
      <c r="M47" s="32"/>
    </row>
    <row r="48" spans="8:13" x14ac:dyDescent="0.25">
      <c r="H48" s="32"/>
      <c r="I48" s="40"/>
      <c r="J48" s="32"/>
      <c r="K48" s="32"/>
      <c r="L48" s="32"/>
      <c r="M48" s="32"/>
    </row>
    <row r="49" spans="8:13" x14ac:dyDescent="0.25">
      <c r="H49" s="32"/>
      <c r="I49" s="40"/>
      <c r="J49" s="32"/>
      <c r="K49" s="32"/>
      <c r="L49" s="32"/>
      <c r="M49" s="32"/>
    </row>
    <row r="50" spans="8:13" x14ac:dyDescent="0.25">
      <c r="H50" s="32"/>
      <c r="I50" s="39"/>
      <c r="J50" s="32"/>
      <c r="K50" s="32"/>
      <c r="L50" s="32"/>
      <c r="M50" s="32"/>
    </row>
  </sheetData>
  <pageMargins left="0.7" right="0.7" top="0.75" bottom="0.75" header="0.3" footer="0.3"/>
  <pageSetup scale="41" orientation="portrait" r:id="rId1"/>
  <ignoredErrors>
    <ignoredError sqref="L12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O35"/>
  <sheetViews>
    <sheetView showGridLines="0" zoomScaleNormal="100" workbookViewId="0">
      <selection activeCell="B2" sqref="B2"/>
    </sheetView>
  </sheetViews>
  <sheetFormatPr defaultRowHeight="15.75" x14ac:dyDescent="0.25"/>
  <cols>
    <col min="1" max="2" width="2.7109375" style="2" customWidth="1"/>
    <col min="3" max="5" width="15.7109375" style="2" customWidth="1"/>
    <col min="6" max="6" width="18.7109375" style="2" customWidth="1"/>
    <col min="7" max="8" width="2.7109375" style="2" customWidth="1"/>
    <col min="9" max="12" width="14.7109375" style="2" customWidth="1"/>
    <col min="13" max="14" width="2.7109375" style="2" customWidth="1"/>
    <col min="15" max="16384" width="9.140625" style="2"/>
  </cols>
  <sheetData>
    <row r="2" spans="2:15" ht="18.75" x14ac:dyDescent="0.3">
      <c r="B2" s="13" t="str">
        <f>Company_Name&amp;" - Equity Value and Enterprise Value"</f>
        <v>Vivendi SA - Equity Value and Enterprise Value</v>
      </c>
    </row>
    <row r="3" spans="2:15" x14ac:dyDescent="0.25">
      <c r="B3" s="2" t="s">
        <v>7</v>
      </c>
    </row>
    <row r="5" spans="2:15" x14ac:dyDescent="0.25">
      <c r="B5" s="14" t="str">
        <f>Company_Name&amp;" - Equity Value and Enterprise Value:"</f>
        <v>Vivendi SA - Equity Value and Enterprise Value:</v>
      </c>
      <c r="C5" s="15"/>
      <c r="D5" s="15"/>
      <c r="E5" s="15"/>
      <c r="F5" s="15"/>
      <c r="H5" s="14" t="s">
        <v>39</v>
      </c>
      <c r="I5" s="15"/>
      <c r="J5" s="15"/>
      <c r="K5" s="15"/>
      <c r="L5" s="15"/>
      <c r="M5" s="32"/>
      <c r="N5" s="32"/>
      <c r="O5" s="32"/>
    </row>
    <row r="6" spans="2:15" x14ac:dyDescent="0.25">
      <c r="B6" s="3"/>
      <c r="C6" s="4"/>
      <c r="D6" s="4"/>
      <c r="E6" s="4"/>
      <c r="F6" s="4"/>
      <c r="M6" s="32"/>
      <c r="N6" s="32"/>
      <c r="O6" s="32"/>
    </row>
    <row r="7" spans="2:15" x14ac:dyDescent="0.25">
      <c r="B7" s="3"/>
      <c r="C7" s="2" t="s">
        <v>3</v>
      </c>
      <c r="F7" s="5" t="s">
        <v>4</v>
      </c>
      <c r="I7" s="1" t="s">
        <v>40</v>
      </c>
      <c r="L7" s="51">
        <f>16090+8221-7576</f>
        <v>16735</v>
      </c>
      <c r="M7" s="32"/>
      <c r="N7" s="32"/>
      <c r="O7" s="32"/>
    </row>
    <row r="8" spans="2:15" x14ac:dyDescent="0.25">
      <c r="C8" s="2" t="s">
        <v>5</v>
      </c>
      <c r="F8" s="5" t="s">
        <v>6</v>
      </c>
      <c r="M8" s="32"/>
      <c r="N8" s="32"/>
      <c r="O8" s="32"/>
    </row>
    <row r="9" spans="2:15" x14ac:dyDescent="0.25">
      <c r="C9" s="4" t="s">
        <v>1</v>
      </c>
      <c r="D9" s="4"/>
      <c r="E9" s="4"/>
      <c r="F9" s="6">
        <v>44425</v>
      </c>
      <c r="I9" s="45" t="s">
        <v>42</v>
      </c>
      <c r="L9" s="24">
        <f>1468+973-660</f>
        <v>1781</v>
      </c>
      <c r="M9" s="43"/>
      <c r="N9" s="32"/>
      <c r="O9" s="32"/>
    </row>
    <row r="10" spans="2:15" x14ac:dyDescent="0.25">
      <c r="C10" s="2" t="s">
        <v>0</v>
      </c>
      <c r="F10" s="7">
        <v>30.77</v>
      </c>
      <c r="I10" s="28" t="s">
        <v>20</v>
      </c>
      <c r="L10" s="34">
        <f>18+1-2-18</f>
        <v>-1</v>
      </c>
      <c r="M10" s="32"/>
      <c r="N10" s="32"/>
      <c r="O10" s="32"/>
    </row>
    <row r="11" spans="2:15" x14ac:dyDescent="0.25">
      <c r="C11" s="2" t="s">
        <v>2</v>
      </c>
      <c r="F11" s="16">
        <v>1087.5</v>
      </c>
      <c r="I11" s="10" t="s">
        <v>47</v>
      </c>
      <c r="J11" s="11"/>
      <c r="K11" s="11"/>
      <c r="L11" s="29">
        <f>SUM(L9:L10)</f>
        <v>1780</v>
      </c>
      <c r="M11" s="32"/>
      <c r="N11" s="32"/>
      <c r="O11" s="32"/>
    </row>
    <row r="12" spans="2:15" x14ac:dyDescent="0.25">
      <c r="C12" s="25" t="s">
        <v>19</v>
      </c>
      <c r="F12" s="27">
        <v>0.253</v>
      </c>
      <c r="I12" s="28" t="s">
        <v>21</v>
      </c>
      <c r="L12" s="33">
        <f>818+129+77+103+93-128-71-114-75</f>
        <v>832</v>
      </c>
      <c r="M12" s="32"/>
      <c r="N12" s="32"/>
      <c r="O12" s="32"/>
    </row>
    <row r="13" spans="2:15" x14ac:dyDescent="0.25">
      <c r="I13" s="10" t="s">
        <v>46</v>
      </c>
      <c r="J13" s="11"/>
      <c r="K13" s="11"/>
      <c r="L13" s="29">
        <f>SUM(L11:L12)</f>
        <v>2612</v>
      </c>
      <c r="M13" s="32"/>
      <c r="N13" s="32"/>
      <c r="O13" s="32"/>
    </row>
    <row r="14" spans="2:15" x14ac:dyDescent="0.25">
      <c r="C14" s="1" t="s">
        <v>27</v>
      </c>
      <c r="F14" s="9">
        <f>Share_Price*Diluted_Shares</f>
        <v>33462.375</v>
      </c>
      <c r="I14" s="28" t="s">
        <v>22</v>
      </c>
      <c r="L14" s="22">
        <v>0</v>
      </c>
      <c r="M14" s="32"/>
      <c r="N14" s="32"/>
      <c r="O14" s="32"/>
    </row>
    <row r="15" spans="2:15" x14ac:dyDescent="0.25">
      <c r="C15" s="19" t="s">
        <v>9</v>
      </c>
      <c r="F15" s="22">
        <v>-1590</v>
      </c>
      <c r="I15" s="28" t="s">
        <v>23</v>
      </c>
      <c r="L15" s="23">
        <v>0</v>
      </c>
      <c r="M15" s="32"/>
      <c r="N15" s="32"/>
      <c r="O15" s="32"/>
    </row>
    <row r="16" spans="2:15" x14ac:dyDescent="0.25">
      <c r="C16" s="19" t="s">
        <v>10</v>
      </c>
      <c r="F16" s="24">
        <f>-4468-236</f>
        <v>-4704</v>
      </c>
      <c r="I16" s="10" t="s">
        <v>48</v>
      </c>
      <c r="J16" s="11"/>
      <c r="K16" s="11"/>
      <c r="L16" s="29">
        <f>SUM(L13:L15)</f>
        <v>2612</v>
      </c>
      <c r="M16" s="32"/>
      <c r="N16" s="32"/>
      <c r="O16" s="32"/>
    </row>
    <row r="17" spans="3:15" x14ac:dyDescent="0.25">
      <c r="C17" s="19" t="s">
        <v>11</v>
      </c>
      <c r="F17" s="22">
        <v>-3384</v>
      </c>
      <c r="M17" s="32"/>
      <c r="N17" s="32"/>
      <c r="O17" s="32"/>
    </row>
    <row r="18" spans="3:15" x14ac:dyDescent="0.25">
      <c r="C18" s="19" t="s">
        <v>12</v>
      </c>
      <c r="F18" s="22">
        <v>0</v>
      </c>
      <c r="I18" s="1" t="s">
        <v>41</v>
      </c>
      <c r="L18" s="51">
        <f>1607+597-841</f>
        <v>1363</v>
      </c>
      <c r="M18" s="32"/>
      <c r="N18" s="32"/>
      <c r="O18" s="32"/>
    </row>
    <row r="19" spans="3:15" x14ac:dyDescent="0.25">
      <c r="C19" s="19" t="s">
        <v>13</v>
      </c>
      <c r="F19" s="22">
        <v>0</v>
      </c>
      <c r="H19" s="32"/>
      <c r="I19" s="39"/>
      <c r="J19" s="32"/>
      <c r="K19" s="32"/>
      <c r="L19" s="32"/>
      <c r="M19" s="32"/>
      <c r="N19" s="32"/>
      <c r="O19" s="32"/>
    </row>
    <row r="20" spans="3:15" x14ac:dyDescent="0.25">
      <c r="C20" s="19" t="s">
        <v>14</v>
      </c>
      <c r="F20" s="22">
        <v>4960</v>
      </c>
      <c r="H20" s="14" t="s">
        <v>38</v>
      </c>
      <c r="I20" s="15"/>
      <c r="J20" s="15"/>
      <c r="K20" s="15"/>
      <c r="L20" s="15"/>
      <c r="M20" s="32"/>
      <c r="N20" s="32"/>
      <c r="O20" s="32"/>
    </row>
    <row r="21" spans="3:15" x14ac:dyDescent="0.25">
      <c r="C21" s="19" t="s">
        <v>15</v>
      </c>
      <c r="F21" s="22">
        <v>0</v>
      </c>
      <c r="M21" s="32"/>
      <c r="N21" s="32"/>
      <c r="O21" s="32"/>
    </row>
    <row r="22" spans="3:15" x14ac:dyDescent="0.25">
      <c r="C22" s="49" t="s">
        <v>28</v>
      </c>
      <c r="F22" s="22">
        <v>1259</v>
      </c>
      <c r="I22" s="1" t="s">
        <v>25</v>
      </c>
      <c r="J22" s="1"/>
      <c r="K22" s="1"/>
      <c r="L22" s="35">
        <f>L24-F22</f>
        <v>30710.375</v>
      </c>
      <c r="M22" s="32"/>
      <c r="N22" s="32"/>
      <c r="O22" s="32"/>
    </row>
    <row r="23" spans="3:15" x14ac:dyDescent="0.25">
      <c r="C23" s="46" t="s">
        <v>45</v>
      </c>
      <c r="F23" s="22">
        <v>0</v>
      </c>
      <c r="I23" s="50"/>
      <c r="J23" s="4"/>
      <c r="K23" s="4"/>
      <c r="L23" s="41"/>
      <c r="M23" s="32"/>
      <c r="N23" s="32"/>
      <c r="O23" s="32"/>
    </row>
    <row r="24" spans="3:15" x14ac:dyDescent="0.25">
      <c r="C24" s="19" t="s">
        <v>16</v>
      </c>
      <c r="F24" s="47">
        <v>1174</v>
      </c>
      <c r="I24" s="3" t="s">
        <v>26</v>
      </c>
      <c r="J24" s="3"/>
      <c r="K24" s="3"/>
      <c r="L24" s="31">
        <f>F26</f>
        <v>31969.375</v>
      </c>
      <c r="M24" s="32"/>
      <c r="N24" s="32"/>
      <c r="O24" s="32"/>
    </row>
    <row r="25" spans="3:15" x14ac:dyDescent="0.25">
      <c r="C25" s="19" t="s">
        <v>17</v>
      </c>
      <c r="F25" s="30">
        <v>792</v>
      </c>
      <c r="M25" s="32"/>
      <c r="N25" s="32"/>
      <c r="O25" s="32"/>
    </row>
    <row r="26" spans="3:15" x14ac:dyDescent="0.25">
      <c r="C26" s="10" t="s">
        <v>18</v>
      </c>
      <c r="D26" s="11"/>
      <c r="E26" s="11"/>
      <c r="F26" s="48">
        <f>SUM(F14:F25)</f>
        <v>31969.375</v>
      </c>
      <c r="I26" s="38" t="s">
        <v>35</v>
      </c>
      <c r="L26" s="36">
        <f>L24/L7</f>
        <v>1.9103301463997611</v>
      </c>
      <c r="M26" s="32"/>
      <c r="N26" s="32"/>
      <c r="O26" s="32"/>
    </row>
    <row r="27" spans="3:15" x14ac:dyDescent="0.25">
      <c r="M27" s="32"/>
      <c r="N27" s="32"/>
      <c r="O27" s="32"/>
    </row>
    <row r="28" spans="3:15" x14ac:dyDescent="0.25">
      <c r="I28" s="38" t="s">
        <v>36</v>
      </c>
      <c r="L28" s="37" t="s">
        <v>29</v>
      </c>
      <c r="M28" s="32"/>
      <c r="N28" s="32"/>
      <c r="O28" s="32"/>
    </row>
    <row r="29" spans="3:15" x14ac:dyDescent="0.25">
      <c r="I29" s="38" t="s">
        <v>37</v>
      </c>
      <c r="L29" s="36">
        <f>L24/L13</f>
        <v>12.239423813169985</v>
      </c>
      <c r="M29" s="32"/>
      <c r="N29" s="32"/>
      <c r="O29" s="32"/>
    </row>
    <row r="30" spans="3:15" x14ac:dyDescent="0.25">
      <c r="I30" s="38" t="s">
        <v>33</v>
      </c>
      <c r="L30" s="36">
        <f>L24/L16</f>
        <v>12.239423813169985</v>
      </c>
      <c r="M30" s="32"/>
      <c r="N30" s="32"/>
      <c r="O30" s="32"/>
    </row>
    <row r="31" spans="3:15" x14ac:dyDescent="0.25">
      <c r="I31" s="38"/>
      <c r="L31" s="36"/>
      <c r="M31" s="32"/>
      <c r="N31" s="32"/>
      <c r="O31" s="32"/>
    </row>
    <row r="32" spans="3:15" x14ac:dyDescent="0.25">
      <c r="I32" s="38" t="s">
        <v>34</v>
      </c>
      <c r="L32" s="36">
        <f>F14/L18</f>
        <v>24.550531914893618</v>
      </c>
      <c r="M32" s="32"/>
      <c r="N32" s="32"/>
      <c r="O32" s="32"/>
    </row>
    <row r="33" spans="9:15" x14ac:dyDescent="0.25">
      <c r="M33" s="32"/>
      <c r="N33" s="32"/>
      <c r="O33" s="32"/>
    </row>
    <row r="34" spans="9:15" x14ac:dyDescent="0.25">
      <c r="M34" s="32"/>
      <c r="N34" s="32"/>
      <c r="O34" s="32"/>
    </row>
    <row r="35" spans="9:15" x14ac:dyDescent="0.25">
      <c r="I35" s="38"/>
      <c r="L35" s="36"/>
      <c r="M35" s="32"/>
      <c r="N35" s="32"/>
      <c r="O35" s="32"/>
    </row>
  </sheetData>
  <pageMargins left="0.7" right="0.7" top="0.75" bottom="0.75" header="0.3" footer="0.3"/>
  <pageSetup scale="41" orientation="portrait" r:id="rId1"/>
  <ignoredErrors>
    <ignoredError sqref="L1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STLD</vt:lpstr>
      <vt:lpstr>VIV</vt:lpstr>
      <vt:lpstr>STLD!Company_Name</vt:lpstr>
      <vt:lpstr>Company_Name</vt:lpstr>
      <vt:lpstr>STLD!Diluted_Shares</vt:lpstr>
      <vt:lpstr>Diluted_Shares</vt:lpstr>
      <vt:lpstr>STLD!Print_Area</vt:lpstr>
      <vt:lpstr>VIV!Print_Area</vt:lpstr>
      <vt:lpstr>STLD!Share_Price</vt:lpstr>
      <vt:lpstr>Share_Price</vt:lpstr>
      <vt:lpstr>STLD!Tax_Rate</vt:lpstr>
      <vt:lpstr>VIV!Tax_Rate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2021-08-18T14:31:12Z</dcterms:modified>
</cp:coreProperties>
</file>