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BIWS)\BIWS-All-Courses\100-Bonus-Case-Studies\107-Valuation-Discounted-Cash-Flow\107-19-Snap-Valuation\"/>
    </mc:Choice>
  </mc:AlternateContent>
  <bookViews>
    <workbookView xWindow="120" yWindow="165" windowWidth="15135" windowHeight="6750"/>
  </bookViews>
  <sheets>
    <sheet name="SNAP-DCF" sheetId="14" r:id="rId1"/>
    <sheet name="WACC" sheetId="15" r:id="rId2"/>
  </sheets>
  <definedNames>
    <definedName name="Basic_Shares">'SNAP-DCF'!$F$11</definedName>
    <definedName name="Company_Name">'SNAP-DCF'!$F$8</definedName>
    <definedName name="Cost_of_Debt">WACC!$F$8</definedName>
    <definedName name="Cost_of_Preferred">WACC!$F$9</definedName>
    <definedName name="DIluted_Shares">'SNAP-DCF'!$F$12</definedName>
    <definedName name="Discount_Rate_Initial">'SNAP-DCF'!$F$16</definedName>
    <definedName name="Discount_Rate_Terminal">'SNAP-DCF'!$F$17</definedName>
    <definedName name="Equity_Risk_Premium">WACC!$F$7</definedName>
    <definedName name="Hist_Year">'SNAP-DCF'!$F$14</definedName>
    <definedName name="_xlnm.Print_Area" localSheetId="0">'SNAP-DCF'!$A$1:$AC$134</definedName>
    <definedName name="_xlnm.Print_Area" localSheetId="1">WACC!$A$1:$M$34</definedName>
    <definedName name="Risk_Free_Rate">WACC!$F$6</definedName>
    <definedName name="Scenario">'SNAP-DCF'!$F$19</definedName>
    <definedName name="Share_Price">'SNAP-DCF'!$F$10</definedName>
    <definedName name="Tax_Rate">'SNAP-DCF'!$F$15</definedName>
    <definedName name="Terminal_Growth_Rate">'SNAP-DCF'!$P$18</definedName>
    <definedName name="Terminal_Multiple">'SNAP-DCF'!$K$18</definedName>
    <definedName name="Ticker">'SNAP-DCF'!$F$9</definedName>
  </definedNames>
  <calcPr calcId="162913" iterate="1"/>
</workbook>
</file>

<file path=xl/calcChain.xml><?xml version="1.0" encoding="utf-8"?>
<calcChain xmlns="http://schemas.openxmlformats.org/spreadsheetml/2006/main">
  <c r="F17" i="14" l="1"/>
  <c r="P18" i="14"/>
  <c r="K18" i="14"/>
  <c r="H89" i="14" l="1"/>
  <c r="G89" i="14"/>
  <c r="I44" i="14"/>
  <c r="D127" i="14" l="1"/>
  <c r="D128" i="14" s="1"/>
  <c r="D129" i="14" s="1"/>
  <c r="D130" i="14" s="1"/>
  <c r="D131" i="14" s="1"/>
  <c r="D132" i="14" s="1"/>
  <c r="D133" i="14" s="1"/>
  <c r="D126" i="14"/>
  <c r="D114" i="14" l="1"/>
  <c r="D115" i="14" s="1"/>
  <c r="D116" i="14" s="1"/>
  <c r="D117" i="14" s="1"/>
  <c r="D118" i="14" s="1"/>
  <c r="D119" i="14" s="1"/>
  <c r="D120" i="14" s="1"/>
  <c r="D121" i="14" s="1"/>
  <c r="G112" i="14"/>
  <c r="H112" i="14" s="1"/>
  <c r="I112" i="14" s="1"/>
  <c r="J112" i="14" s="1"/>
  <c r="K112" i="14" s="1"/>
  <c r="L112" i="14" s="1"/>
  <c r="M112" i="14" s="1"/>
  <c r="N112" i="14" s="1"/>
  <c r="O112" i="14" s="1"/>
  <c r="F112" i="14"/>
  <c r="E124" i="14"/>
  <c r="E123" i="14"/>
  <c r="F124" i="14" l="1"/>
  <c r="G124" i="14"/>
  <c r="H124" i="14" l="1"/>
  <c r="I124" i="14" l="1"/>
  <c r="J124" i="14" l="1"/>
  <c r="K124" i="14" l="1"/>
  <c r="L124" i="14" l="1"/>
  <c r="M124" i="14" l="1"/>
  <c r="M24" i="14"/>
  <c r="N124" i="14" l="1"/>
  <c r="O124" i="14"/>
  <c r="S56" i="14"/>
  <c r="T56" i="14"/>
  <c r="U56" i="14"/>
  <c r="V56" i="14"/>
  <c r="W56" i="14"/>
  <c r="X56" i="14"/>
  <c r="Y56" i="14"/>
  <c r="Z56" i="14"/>
  <c r="AA56" i="14"/>
  <c r="AB56" i="14"/>
  <c r="M44" i="14"/>
  <c r="M43" i="14"/>
  <c r="O44" i="14"/>
  <c r="O43" i="14"/>
  <c r="N43" i="14"/>
  <c r="P42" i="14"/>
  <c r="O41" i="14"/>
  <c r="O42" i="14"/>
  <c r="N42" i="14"/>
  <c r="M42" i="14"/>
  <c r="E22" i="15"/>
  <c r="K33" i="14"/>
  <c r="P33" i="14" s="1"/>
  <c r="K32" i="14"/>
  <c r="P32" i="14" s="1"/>
  <c r="M34" i="14"/>
  <c r="M33" i="14"/>
  <c r="M32" i="14"/>
  <c r="M31" i="14"/>
  <c r="M30" i="14"/>
  <c r="M28" i="14"/>
  <c r="N44" i="14"/>
  <c r="P44" i="14" s="1"/>
  <c r="F22" i="14"/>
  <c r="K44" i="14" l="1"/>
  <c r="F12" i="14"/>
  <c r="F21" i="14" s="1"/>
  <c r="F26" i="14" s="1"/>
  <c r="I22" i="15" l="1"/>
  <c r="B3" i="15" l="1"/>
  <c r="K31" i="14" l="1"/>
  <c r="P31" i="14" s="1"/>
  <c r="K30" i="14"/>
  <c r="P30" i="14" s="1"/>
  <c r="M26" i="14" l="1"/>
  <c r="M25" i="14"/>
  <c r="M23" i="14"/>
  <c r="M45" i="14" l="1"/>
  <c r="I101" i="14" l="1"/>
  <c r="I102" i="14" s="1"/>
  <c r="K23" i="15" l="1"/>
  <c r="C23" i="15"/>
  <c r="K22" i="15"/>
  <c r="C22" i="15"/>
  <c r="B19" i="15"/>
  <c r="K17" i="15"/>
  <c r="D17" i="15"/>
  <c r="B2" i="15"/>
  <c r="I77" i="14"/>
  <c r="H95" i="14" l="1"/>
  <c r="G95" i="14"/>
  <c r="H91" i="14"/>
  <c r="H92" i="14" s="1"/>
  <c r="G91" i="14"/>
  <c r="H75" i="14"/>
  <c r="G75" i="14"/>
  <c r="C74" i="14"/>
  <c r="C73" i="14"/>
  <c r="C72" i="14"/>
  <c r="H67" i="14"/>
  <c r="C63" i="14"/>
  <c r="C62" i="14"/>
  <c r="C61" i="14"/>
  <c r="J56" i="14"/>
  <c r="K56" i="14"/>
  <c r="L56" i="14"/>
  <c r="M56" i="14"/>
  <c r="N56" i="14"/>
  <c r="O56" i="14"/>
  <c r="P56" i="14"/>
  <c r="Q56" i="14"/>
  <c r="R56" i="14"/>
  <c r="I56" i="14"/>
  <c r="H50" i="14"/>
  <c r="G50" i="14"/>
  <c r="G58" i="14" s="1"/>
  <c r="N64" i="14" l="1"/>
  <c r="T64" i="14"/>
  <c r="AB64" i="14"/>
  <c r="S64" i="14"/>
  <c r="U64" i="14"/>
  <c r="AA64" i="14"/>
  <c r="V64" i="14"/>
  <c r="W64" i="14"/>
  <c r="X64" i="14"/>
  <c r="Y64" i="14"/>
  <c r="Z64" i="14"/>
  <c r="R75" i="14"/>
  <c r="X75" i="14"/>
  <c r="Y75" i="14"/>
  <c r="AA75" i="14"/>
  <c r="Z75" i="14"/>
  <c r="S75" i="14"/>
  <c r="T75" i="14"/>
  <c r="AB75" i="14"/>
  <c r="V75" i="14"/>
  <c r="U75" i="14"/>
  <c r="W75" i="14"/>
  <c r="H15" i="15"/>
  <c r="H22" i="15"/>
  <c r="F22" i="15"/>
  <c r="J22" i="15"/>
  <c r="F14" i="15"/>
  <c r="E17" i="15"/>
  <c r="L14" i="15"/>
  <c r="F15" i="15"/>
  <c r="H14" i="15"/>
  <c r="G17" i="15"/>
  <c r="I17" i="15"/>
  <c r="J14" i="15"/>
  <c r="J15" i="15"/>
  <c r="L15" i="15"/>
  <c r="O64" i="14"/>
  <c r="K75" i="14"/>
  <c r="L75" i="14"/>
  <c r="M75" i="14"/>
  <c r="N75" i="14"/>
  <c r="O75" i="14"/>
  <c r="P75" i="14"/>
  <c r="I75" i="14"/>
  <c r="Q75" i="14"/>
  <c r="J75" i="14"/>
  <c r="H56" i="14"/>
  <c r="P64" i="14"/>
  <c r="I64" i="14"/>
  <c r="Q64" i="14"/>
  <c r="J64" i="14"/>
  <c r="R64" i="14"/>
  <c r="K64" i="14"/>
  <c r="H58" i="14"/>
  <c r="H64" i="14" s="1"/>
  <c r="L64" i="14"/>
  <c r="M64" i="14"/>
  <c r="I50" i="14"/>
  <c r="J50" i="14" s="1"/>
  <c r="K50" i="14" s="1"/>
  <c r="L50" i="14" s="1"/>
  <c r="M50" i="14" s="1"/>
  <c r="N50" i="14" s="1"/>
  <c r="O50" i="14" s="1"/>
  <c r="P50" i="14" s="1"/>
  <c r="Q50" i="14" s="1"/>
  <c r="R50" i="14" s="1"/>
  <c r="S50" i="14" s="1"/>
  <c r="T50" i="14" l="1"/>
  <c r="F17" i="15"/>
  <c r="F23" i="15" s="1"/>
  <c r="E23" i="15" s="1"/>
  <c r="J17" i="15"/>
  <c r="J23" i="15" s="1"/>
  <c r="I23" i="15" s="1"/>
  <c r="L17" i="15"/>
  <c r="H17" i="15"/>
  <c r="H23" i="15" s="1"/>
  <c r="G23" i="15" s="1"/>
  <c r="I58" i="14"/>
  <c r="U50" i="14" l="1"/>
  <c r="D22" i="15"/>
  <c r="L22" i="15" s="1"/>
  <c r="L25" i="15" s="1"/>
  <c r="L30" i="15" s="1"/>
  <c r="D23" i="15"/>
  <c r="L23" i="15" s="1"/>
  <c r="L26" i="15" s="1"/>
  <c r="L31" i="15" s="1"/>
  <c r="J58" i="14"/>
  <c r="I66" i="14"/>
  <c r="L33" i="15" l="1"/>
  <c r="V50" i="14"/>
  <c r="I91" i="14"/>
  <c r="I94" i="14"/>
  <c r="I88" i="14"/>
  <c r="I67" i="14"/>
  <c r="I69" i="14"/>
  <c r="K58" i="14"/>
  <c r="J66" i="14"/>
  <c r="X101" i="14" l="1"/>
  <c r="AB101" i="14"/>
  <c r="I106" i="14"/>
  <c r="I107" i="14" s="1"/>
  <c r="W50" i="14"/>
  <c r="I78" i="14"/>
  <c r="J91" i="14"/>
  <c r="J94" i="14"/>
  <c r="J88" i="14"/>
  <c r="J67" i="14"/>
  <c r="J69" i="14"/>
  <c r="L58" i="14"/>
  <c r="K66" i="14"/>
  <c r="R101" i="14" l="1"/>
  <c r="V101" i="14"/>
  <c r="AA101" i="14"/>
  <c r="T101" i="14"/>
  <c r="Z101" i="14"/>
  <c r="S101" i="14"/>
  <c r="U101" i="14"/>
  <c r="Y101" i="14"/>
  <c r="W101" i="14"/>
  <c r="X50" i="14"/>
  <c r="J78" i="14"/>
  <c r="J106" i="14"/>
  <c r="J107" i="14" s="1"/>
  <c r="I79" i="14"/>
  <c r="I82" i="14" s="1"/>
  <c r="I84" i="14" s="1"/>
  <c r="I86" i="14" s="1"/>
  <c r="K91" i="14"/>
  <c r="K88" i="14"/>
  <c r="K94" i="14"/>
  <c r="K67" i="14"/>
  <c r="K69" i="14"/>
  <c r="M58" i="14"/>
  <c r="L66" i="14"/>
  <c r="Y50" i="14" l="1"/>
  <c r="K78" i="14"/>
  <c r="K106" i="14"/>
  <c r="K107" i="14" s="1"/>
  <c r="I80" i="14"/>
  <c r="J77" i="14" s="1"/>
  <c r="L88" i="14"/>
  <c r="L91" i="14"/>
  <c r="L94" i="14"/>
  <c r="L67" i="14"/>
  <c r="L69" i="14"/>
  <c r="N58" i="14"/>
  <c r="M66" i="14"/>
  <c r="Z50" i="14" l="1"/>
  <c r="L78" i="14"/>
  <c r="L106" i="14"/>
  <c r="L107" i="14" s="1"/>
  <c r="J79" i="14"/>
  <c r="J82" i="14" s="1"/>
  <c r="J84" i="14" s="1"/>
  <c r="J86" i="14" s="1"/>
  <c r="M88" i="14"/>
  <c r="M91" i="14"/>
  <c r="M94" i="14"/>
  <c r="M67" i="14"/>
  <c r="M69" i="14"/>
  <c r="O58" i="14"/>
  <c r="N66" i="14"/>
  <c r="AA50" i="14" l="1"/>
  <c r="M78" i="14"/>
  <c r="M106" i="14"/>
  <c r="M107" i="14" s="1"/>
  <c r="J80" i="14"/>
  <c r="K77" i="14" s="1"/>
  <c r="K79" i="14" s="1"/>
  <c r="K82" i="14" s="1"/>
  <c r="K84" i="14" s="1"/>
  <c r="K86" i="14" s="1"/>
  <c r="N94" i="14"/>
  <c r="N88" i="14"/>
  <c r="N91" i="14"/>
  <c r="N67" i="14"/>
  <c r="N69" i="14"/>
  <c r="P58" i="14"/>
  <c r="O66" i="14"/>
  <c r="AB50" i="14" l="1"/>
  <c r="N78" i="14"/>
  <c r="N106" i="14"/>
  <c r="N107" i="14" s="1"/>
  <c r="K80" i="14"/>
  <c r="L77" i="14" s="1"/>
  <c r="O88" i="14"/>
  <c r="O94" i="14"/>
  <c r="O91" i="14"/>
  <c r="O67" i="14"/>
  <c r="O69" i="14"/>
  <c r="Q58" i="14"/>
  <c r="P66" i="14"/>
  <c r="O78" i="14" l="1"/>
  <c r="O106" i="14"/>
  <c r="O107" i="14" s="1"/>
  <c r="L79" i="14"/>
  <c r="L82" i="14" s="1"/>
  <c r="L84" i="14" s="1"/>
  <c r="L86" i="14" s="1"/>
  <c r="P91" i="14"/>
  <c r="P94" i="14"/>
  <c r="P88" i="14"/>
  <c r="P67" i="14"/>
  <c r="P69" i="14"/>
  <c r="R58" i="14"/>
  <c r="Q66" i="14"/>
  <c r="R66" i="14" l="1"/>
  <c r="R67" i="14" s="1"/>
  <c r="S58" i="14"/>
  <c r="P78" i="14"/>
  <c r="P106" i="14"/>
  <c r="P107" i="14" s="1"/>
  <c r="L80" i="14"/>
  <c r="M77" i="14" s="1"/>
  <c r="Q91" i="14"/>
  <c r="Q94" i="14"/>
  <c r="Q88" i="14"/>
  <c r="Q67" i="14"/>
  <c r="Q69" i="14"/>
  <c r="R88" i="14" l="1"/>
  <c r="R69" i="14"/>
  <c r="R78" i="14" s="1"/>
  <c r="R91" i="14"/>
  <c r="R94" i="14"/>
  <c r="T58" i="14"/>
  <c r="S66" i="14"/>
  <c r="S67" i="14" s="1"/>
  <c r="Q78" i="14"/>
  <c r="Q106" i="14"/>
  <c r="Q107" i="14" s="1"/>
  <c r="M79" i="14"/>
  <c r="M82" i="14" s="1"/>
  <c r="M84" i="14" s="1"/>
  <c r="M86" i="14" s="1"/>
  <c r="R106" i="14" l="1"/>
  <c r="R107" i="14" s="1"/>
  <c r="S88" i="14"/>
  <c r="S91" i="14"/>
  <c r="S69" i="14"/>
  <c r="S94" i="14"/>
  <c r="U58" i="14"/>
  <c r="T66" i="14"/>
  <c r="M80" i="14"/>
  <c r="N77" i="14" s="1"/>
  <c r="V58" i="14" l="1"/>
  <c r="U66" i="14"/>
  <c r="S78" i="14"/>
  <c r="S106" i="14"/>
  <c r="S107" i="14" s="1"/>
  <c r="T67" i="14"/>
  <c r="T88" i="14"/>
  <c r="T94" i="14"/>
  <c r="T91" i="14"/>
  <c r="T69" i="14"/>
  <c r="N79" i="14"/>
  <c r="N82" i="14" s="1"/>
  <c r="N84" i="14" s="1"/>
  <c r="N86" i="14" s="1"/>
  <c r="T78" i="14" l="1"/>
  <c r="T106" i="14"/>
  <c r="T107" i="14" s="1"/>
  <c r="U67" i="14"/>
  <c r="U94" i="14"/>
  <c r="U69" i="14"/>
  <c r="U88" i="14"/>
  <c r="U91" i="14"/>
  <c r="W58" i="14"/>
  <c r="V66" i="14"/>
  <c r="N80" i="14"/>
  <c r="O77" i="14" s="1"/>
  <c r="V67" i="14" l="1"/>
  <c r="V69" i="14"/>
  <c r="V94" i="14"/>
  <c r="V88" i="14"/>
  <c r="V91" i="14"/>
  <c r="U106" i="14"/>
  <c r="U107" i="14" s="1"/>
  <c r="U78" i="14"/>
  <c r="X58" i="14"/>
  <c r="W66" i="14"/>
  <c r="O79" i="14"/>
  <c r="O82" i="14" s="1"/>
  <c r="O84" i="14" s="1"/>
  <c r="O86" i="14" s="1"/>
  <c r="W67" i="14" l="1"/>
  <c r="W91" i="14"/>
  <c r="W69" i="14"/>
  <c r="W94" i="14"/>
  <c r="W88" i="14"/>
  <c r="Y58" i="14"/>
  <c r="X66" i="14"/>
  <c r="V106" i="14"/>
  <c r="V107" i="14" s="1"/>
  <c r="V78" i="14"/>
  <c r="O80" i="14"/>
  <c r="P77" i="14" s="1"/>
  <c r="Z58" i="14" l="1"/>
  <c r="Y66" i="14"/>
  <c r="X67" i="14"/>
  <c r="X91" i="14"/>
  <c r="X69" i="14"/>
  <c r="X94" i="14"/>
  <c r="X88" i="14"/>
  <c r="W106" i="14"/>
  <c r="W107" i="14" s="1"/>
  <c r="W78" i="14"/>
  <c r="P79" i="14"/>
  <c r="P82" i="14" s="1"/>
  <c r="P84" i="14" s="1"/>
  <c r="P86" i="14" s="1"/>
  <c r="X78" i="14" l="1"/>
  <c r="X106" i="14"/>
  <c r="X107" i="14" s="1"/>
  <c r="Y67" i="14"/>
  <c r="Y88" i="14"/>
  <c r="Y91" i="14"/>
  <c r="Y69" i="14"/>
  <c r="Y94" i="14"/>
  <c r="AA58" i="14"/>
  <c r="Z66" i="14"/>
  <c r="P80" i="14"/>
  <c r="Q77" i="14" s="1"/>
  <c r="Q79" i="14" s="1"/>
  <c r="Q82" i="14" s="1"/>
  <c r="Q84" i="14" s="1"/>
  <c r="Q86" i="14" s="1"/>
  <c r="Z67" i="14" l="1"/>
  <c r="Z88" i="14"/>
  <c r="Z91" i="14"/>
  <c r="Z69" i="14"/>
  <c r="Z94" i="14"/>
  <c r="Y78" i="14"/>
  <c r="Y106" i="14"/>
  <c r="Y107" i="14" s="1"/>
  <c r="AB58" i="14"/>
  <c r="AB66" i="14" s="1"/>
  <c r="AA66" i="14"/>
  <c r="Q80" i="14"/>
  <c r="R77" i="14" s="1"/>
  <c r="AA67" i="14" l="1"/>
  <c r="AA88" i="14"/>
  <c r="AA91" i="14"/>
  <c r="AA69" i="14"/>
  <c r="AA94" i="14"/>
  <c r="Z78" i="14"/>
  <c r="Z106" i="14"/>
  <c r="Z107" i="14" s="1"/>
  <c r="AB94" i="14"/>
  <c r="AB88" i="14"/>
  <c r="AB91" i="14"/>
  <c r="AB69" i="14"/>
  <c r="AB67" i="14"/>
  <c r="R79" i="14"/>
  <c r="R82" i="14" s="1"/>
  <c r="R84" i="14" s="1"/>
  <c r="R86" i="14" s="1"/>
  <c r="AA78" i="14" l="1"/>
  <c r="AA106" i="14"/>
  <c r="AA107" i="14" s="1"/>
  <c r="AB106" i="14"/>
  <c r="AB78" i="14"/>
  <c r="R80" i="14"/>
  <c r="S77" i="14" s="1"/>
  <c r="AB107" i="14" l="1"/>
  <c r="K20" i="14"/>
  <c r="S79" i="14"/>
  <c r="S82" i="14" s="1"/>
  <c r="S84" i="14" s="1"/>
  <c r="S86" i="14" s="1"/>
  <c r="S97" i="14" s="1"/>
  <c r="H48" i="14"/>
  <c r="I48" i="14" s="1"/>
  <c r="J48" i="14" s="1"/>
  <c r="K48" i="14" s="1"/>
  <c r="L48" i="14" s="1"/>
  <c r="M48" i="14" s="1"/>
  <c r="N48" i="14" s="1"/>
  <c r="O48" i="14" s="1"/>
  <c r="P48" i="14" s="1"/>
  <c r="Q48" i="14" s="1"/>
  <c r="R48" i="14" s="1"/>
  <c r="S48" i="14" s="1"/>
  <c r="T48" i="14" s="1"/>
  <c r="U48" i="14" s="1"/>
  <c r="V48" i="14" s="1"/>
  <c r="W48" i="14" s="1"/>
  <c r="X48" i="14" s="1"/>
  <c r="Y48" i="14" s="1"/>
  <c r="Z48" i="14" s="1"/>
  <c r="AA48" i="14" s="1"/>
  <c r="AB48" i="14" s="1"/>
  <c r="S80" i="14" l="1"/>
  <c r="T77" i="14" s="1"/>
  <c r="T79" i="14" s="1"/>
  <c r="G48" i="14"/>
  <c r="T80" i="14" l="1"/>
  <c r="U77" i="14" s="1"/>
  <c r="T82" i="14"/>
  <c r="T84" i="14" s="1"/>
  <c r="T86" i="14" s="1"/>
  <c r="T97" i="14" s="1"/>
  <c r="T98" i="14" s="1"/>
  <c r="J100" i="14"/>
  <c r="K100" i="14" s="1"/>
  <c r="U79" i="14" l="1"/>
  <c r="U82" i="14" s="1"/>
  <c r="U84" i="14" s="1"/>
  <c r="U86" i="14" s="1"/>
  <c r="U97" i="14" s="1"/>
  <c r="U98" i="14" s="1"/>
  <c r="B6" i="14"/>
  <c r="B2" i="14"/>
  <c r="B48" i="14"/>
  <c r="U80" i="14" l="1"/>
  <c r="V77" i="14" s="1"/>
  <c r="L100" i="14"/>
  <c r="M100" i="14" s="1"/>
  <c r="N100" i="14" s="1"/>
  <c r="O100" i="14" s="1"/>
  <c r="P100" i="14" s="1"/>
  <c r="Q100" i="14" s="1"/>
  <c r="R100" i="14" s="1"/>
  <c r="J101" i="14" l="1"/>
  <c r="K101" i="14" s="1"/>
  <c r="L101" i="14" s="1"/>
  <c r="M101" i="14" s="1"/>
  <c r="N101" i="14" s="1"/>
  <c r="O101" i="14" s="1"/>
  <c r="P101" i="14" s="1"/>
  <c r="Q101" i="14" s="1"/>
  <c r="S100" i="14"/>
  <c r="T100" i="14" s="1"/>
  <c r="U100" i="14" s="1"/>
  <c r="V100" i="14" s="1"/>
  <c r="W100" i="14" s="1"/>
  <c r="X100" i="14" s="1"/>
  <c r="Y100" i="14" s="1"/>
  <c r="Z100" i="14" s="1"/>
  <c r="AA100" i="14" s="1"/>
  <c r="AB100" i="14" s="1"/>
  <c r="V79" i="14"/>
  <c r="V82" i="14" s="1"/>
  <c r="V84" i="14" s="1"/>
  <c r="V86" i="14" s="1"/>
  <c r="V97" i="14" s="1"/>
  <c r="V98" i="14" s="1"/>
  <c r="L97" i="14"/>
  <c r="J102" i="14" l="1"/>
  <c r="K102" i="14" s="1"/>
  <c r="L102" i="14" s="1"/>
  <c r="M102" i="14" s="1"/>
  <c r="N102" i="14" s="1"/>
  <c r="O102" i="14" s="1"/>
  <c r="P102" i="14" s="1"/>
  <c r="Q102" i="14" s="1"/>
  <c r="R102" i="14" s="1"/>
  <c r="S102" i="14" s="1"/>
  <c r="V80" i="14"/>
  <c r="W77" i="14" s="1"/>
  <c r="W79" i="14" s="1"/>
  <c r="W82" i="14" s="1"/>
  <c r="W84" i="14" s="1"/>
  <c r="W86" i="14" s="1"/>
  <c r="W97" i="14" s="1"/>
  <c r="W98" i="14" s="1"/>
  <c r="M97" i="14"/>
  <c r="M98" i="14" s="1"/>
  <c r="J97" i="14"/>
  <c r="K97" i="14"/>
  <c r="L98" i="14" s="1"/>
  <c r="K98" i="14" l="1"/>
  <c r="J104" i="14"/>
  <c r="W80" i="14"/>
  <c r="X77" i="14" s="1"/>
  <c r="X79" i="14" s="1"/>
  <c r="X82" i="14" s="1"/>
  <c r="X84" i="14" s="1"/>
  <c r="X86" i="14" s="1"/>
  <c r="X97" i="14" s="1"/>
  <c r="X98" i="14" s="1"/>
  <c r="T102" i="14"/>
  <c r="S104" i="14"/>
  <c r="K104" i="14"/>
  <c r="M104" i="14"/>
  <c r="L104" i="14"/>
  <c r="N97" i="14"/>
  <c r="N104" i="14" l="1"/>
  <c r="N98" i="14"/>
  <c r="X80" i="14"/>
  <c r="Y77" i="14" s="1"/>
  <c r="Y79" i="14" s="1"/>
  <c r="Y80" i="14" s="1"/>
  <c r="Z77" i="14" s="1"/>
  <c r="Z79" i="14" s="1"/>
  <c r="U102" i="14"/>
  <c r="T104" i="14"/>
  <c r="O97" i="14"/>
  <c r="I97" i="14"/>
  <c r="I104" i="14" l="1"/>
  <c r="I98" i="14"/>
  <c r="J98" i="14"/>
  <c r="O104" i="14"/>
  <c r="O98" i="14"/>
  <c r="Y82" i="14"/>
  <c r="Y84" i="14" s="1"/>
  <c r="Y86" i="14" s="1"/>
  <c r="Y97" i="14" s="1"/>
  <c r="Y98" i="14" s="1"/>
  <c r="Z80" i="14"/>
  <c r="AA77" i="14" s="1"/>
  <c r="AA79" i="14" s="1"/>
  <c r="Z82" i="14"/>
  <c r="Z84" i="14" s="1"/>
  <c r="Z86" i="14" s="1"/>
  <c r="Z97" i="14" s="1"/>
  <c r="V102" i="14"/>
  <c r="U104" i="14"/>
  <c r="Q97" i="14"/>
  <c r="P97" i="14"/>
  <c r="Z98" i="14" l="1"/>
  <c r="P104" i="14"/>
  <c r="P98" i="14"/>
  <c r="Q104" i="14"/>
  <c r="Q98" i="14"/>
  <c r="AA80" i="14"/>
  <c r="AB77" i="14" s="1"/>
  <c r="AA82" i="14"/>
  <c r="AA84" i="14" s="1"/>
  <c r="AA86" i="14" s="1"/>
  <c r="AA97" i="14" s="1"/>
  <c r="AA98" i="14" s="1"/>
  <c r="W102" i="14"/>
  <c r="V104" i="14"/>
  <c r="X102" i="14" l="1"/>
  <c r="W104" i="14"/>
  <c r="AB79" i="14"/>
  <c r="AB82" i="14" s="1"/>
  <c r="AB84" i="14" s="1"/>
  <c r="AB86" i="14" s="1"/>
  <c r="AB97" i="14" s="1"/>
  <c r="AB98" i="14" s="1"/>
  <c r="R97" i="14"/>
  <c r="R98" i="14" l="1"/>
  <c r="S98" i="14"/>
  <c r="P20" i="14"/>
  <c r="K21" i="14"/>
  <c r="Y102" i="14"/>
  <c r="X104" i="14"/>
  <c r="AB80" i="14"/>
  <c r="R104" i="14"/>
  <c r="Z102" i="14" l="1"/>
  <c r="Y104" i="14"/>
  <c r="P21" i="14"/>
  <c r="AA102" i="14" l="1"/>
  <c r="Z104" i="14"/>
  <c r="AB102" i="14" l="1"/>
  <c r="AA104" i="14"/>
  <c r="P24" i="14" l="1"/>
  <c r="K24" i="14"/>
  <c r="K23" i="14"/>
  <c r="P23" i="14"/>
  <c r="AB104" i="14"/>
  <c r="K25" i="14" s="1"/>
  <c r="K26" i="14" l="1"/>
  <c r="K34" i="14" s="1"/>
  <c r="P25" i="14"/>
  <c r="P26" i="14" s="1"/>
  <c r="P34" i="14" s="1"/>
  <c r="K28" i="14" l="1"/>
  <c r="P28" i="14"/>
  <c r="K36" i="14"/>
  <c r="P36" i="14"/>
  <c r="K38" i="14"/>
  <c r="P38" i="14"/>
  <c r="K39" i="14"/>
  <c r="P39" i="14"/>
  <c r="K43" i="14"/>
  <c r="P43" i="14"/>
  <c r="K45" i="14"/>
  <c r="P45" i="14"/>
  <c r="D112" i="14"/>
  <c r="D124" i="14"/>
</calcChain>
</file>

<file path=xl/comments1.xml><?xml version="1.0" encoding="utf-8"?>
<comments xmlns="http://schemas.openxmlformats.org/spreadsheetml/2006/main">
  <authors>
    <author>BIWS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As of 2017-03-13.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BIWS:</t>
        </r>
        <r>
          <rPr>
            <sz val="9"/>
            <color indexed="81"/>
            <rFont val="Tahoma"/>
            <charset val="1"/>
          </rPr>
          <t xml:space="preserve">
According to IPO prospectus. Class A + B + C total outstanding after offering.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Based on Discount Rates for earlier-stage Internet/tech companies.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BIWS:</t>
        </r>
        <r>
          <rPr>
            <sz val="9"/>
            <color indexed="81"/>
            <rFont val="Tahoma"/>
            <charset val="1"/>
          </rPr>
          <t xml:space="preserve">
Factoring in PRIMARY SHARE IPO proceeds only! Over 25% of $3.5 billion was secondary.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Capital leases.</t>
        </r>
      </text>
    </comment>
    <comment ref="I43" authorId="0" shapeId="0">
      <text>
        <r>
          <rPr>
            <b/>
            <sz val="9"/>
            <color indexed="81"/>
            <rFont val="Tahoma"/>
            <charset val="1"/>
          </rPr>
          <t>BIWS:</t>
        </r>
        <r>
          <rPr>
            <sz val="9"/>
            <color indexed="81"/>
            <rFont val="Tahoma"/>
            <charset val="1"/>
          </rPr>
          <t xml:space="preserve">
Based on Options Exercisable as of end of last FY. 2012 and 2014 plans.</t>
        </r>
      </text>
    </comment>
    <comment ref="I44" authorId="0" shapeId="0">
      <text>
        <r>
          <rPr>
            <b/>
            <sz val="9"/>
            <color indexed="81"/>
            <rFont val="Tahoma"/>
            <charset val="1"/>
          </rPr>
          <t>BIWS:</t>
        </r>
        <r>
          <rPr>
            <sz val="9"/>
            <color indexed="81"/>
            <rFont val="Tahoma"/>
            <charset val="1"/>
          </rPr>
          <t xml:space="preserve">
Unvested A + B classes as of end of last FY.</t>
        </r>
      </text>
    </comment>
  </commentList>
</comments>
</file>

<file path=xl/comments2.xml><?xml version="1.0" encoding="utf-8"?>
<comments xmlns="http://schemas.openxmlformats.org/spreadsheetml/2006/main">
  <authors>
    <author>BIWS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10-Year U.S. Treasury Rate as of valuation date.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Middle of the range of typical ERPs for U.S.-based stock markets.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Approximation based on TWTR's effective interest rate on Debt.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Not relevant since none of these companies have Preferred Stock with a coupon.</t>
        </r>
      </text>
    </comment>
  </commentList>
</comments>
</file>

<file path=xl/sharedStrings.xml><?xml version="1.0" encoding="utf-8"?>
<sst xmlns="http://schemas.openxmlformats.org/spreadsheetml/2006/main" count="200" uniqueCount="136">
  <si>
    <t>Revenue:</t>
  </si>
  <si>
    <t>($ in Millions Except Per Share Data)</t>
  </si>
  <si>
    <t>Effective Tax Rate:</t>
  </si>
  <si>
    <t>% Revenue:</t>
  </si>
  <si>
    <t>Operating Margin:</t>
  </si>
  <si>
    <t>Discount Rate (WACC):</t>
  </si>
  <si>
    <t>Net Operating Profit After Tax (NOPAT):</t>
  </si>
  <si>
    <t>Unlevered Free Cash Flow:</t>
  </si>
  <si>
    <t>% Change in Revenue:</t>
  </si>
  <si>
    <t>Baseline Terminal EBITDA Multiple:</t>
  </si>
  <si>
    <t>Baseline Terminal Value:</t>
  </si>
  <si>
    <t>Baseline Terminal FCF Growth Rate:</t>
  </si>
  <si>
    <t>Implied Terminal FCF Growth Rate:</t>
  </si>
  <si>
    <t>Implied Terminal EBITDA Multiple:</t>
  </si>
  <si>
    <t>EBITDA:</t>
  </si>
  <si>
    <t>Company Name:</t>
  </si>
  <si>
    <t>Implied Enterprise Value:</t>
  </si>
  <si>
    <t>Implied Equity Value:</t>
  </si>
  <si>
    <t>Growth Rate:</t>
  </si>
  <si>
    <t>Terminal Value - Multiples Method:</t>
  </si>
  <si>
    <t>(+) PV of Terminal Value:</t>
  </si>
  <si>
    <t>(+) Sum of PV of Free Cash Flows:</t>
  </si>
  <si>
    <t>Units:</t>
  </si>
  <si>
    <t>%</t>
  </si>
  <si>
    <t>M Users</t>
  </si>
  <si>
    <t>$ M</t>
  </si>
  <si>
    <t>$ as Stated</t>
  </si>
  <si>
    <t>(-) Cash Taxes:</t>
  </si>
  <si>
    <t>(-) Capital Expenditures:</t>
  </si>
  <si>
    <t>Revenue Growth Rate:</t>
  </si>
  <si>
    <t>Last Fiscal Year End:</t>
  </si>
  <si>
    <t>Historical:</t>
  </si>
  <si>
    <t>Facebook</t>
  </si>
  <si>
    <t>Facebook-Like</t>
  </si>
  <si>
    <t>Twitter-Like</t>
  </si>
  <si>
    <t>Crash and Burn</t>
  </si>
  <si>
    <t>Average Revenue per User (ARPU):</t>
  </si>
  <si>
    <t>DAU Growth Rate:</t>
  </si>
  <si>
    <t>Selected DAU Growth Rate:</t>
  </si>
  <si>
    <t>ARPU Growth Rate:</t>
  </si>
  <si>
    <t>Selected ARPU Growth Rate:</t>
  </si>
  <si>
    <t>(+) Depreciation &amp; Amortization:</t>
  </si>
  <si>
    <t>Selected Operating Margin:</t>
  </si>
  <si>
    <t>Operating Income (EBIT):</t>
  </si>
  <si>
    <t>FB</t>
  </si>
  <si>
    <t>TWTR</t>
  </si>
  <si>
    <t>(+/-) Change in Working Capital:</t>
  </si>
  <si>
    <t>Beginning NOL Balance:</t>
  </si>
  <si>
    <t>(+) NOLs Created:</t>
  </si>
  <si>
    <t>(-) NOLs Used:</t>
  </si>
  <si>
    <t>Ending NOL Balance:</t>
  </si>
  <si>
    <t>NOL-Adjusted Operating Income:</t>
  </si>
  <si>
    <t>Discount Rate Calculations - Assumptions:</t>
  </si>
  <si>
    <t>Risk-Free Rate:</t>
  </si>
  <si>
    <t>Equity Risk Premium:</t>
  </si>
  <si>
    <t>Pre-Tax Cost of Debt:</t>
  </si>
  <si>
    <t>Cost of Preferred Stock:</t>
  </si>
  <si>
    <t>Comparable Companies - Unlevered Beta Calculation:</t>
  </si>
  <si>
    <t>Levered</t>
  </si>
  <si>
    <t>Preferred</t>
  </si>
  <si>
    <t>Equity</t>
  </si>
  <si>
    <t>Unlevered</t>
  </si>
  <si>
    <t>Name</t>
  </si>
  <si>
    <t>Ticker</t>
  </si>
  <si>
    <t>Beta</t>
  </si>
  <si>
    <t>Debt</t>
  </si>
  <si>
    <t>% Debt</t>
  </si>
  <si>
    <t>Stock</t>
  </si>
  <si>
    <t>% Preferred</t>
  </si>
  <si>
    <t>Value</t>
  </si>
  <si>
    <t>% Equity</t>
  </si>
  <si>
    <t>Tax Rate</t>
  </si>
  <si>
    <t>Median:</t>
  </si>
  <si>
    <t>Current Capital Structure:</t>
  </si>
  <si>
    <t>"Optimal" Capital Structure:</t>
  </si>
  <si>
    <t>Cost of Equity Based on Comparables, Current Capital Structure:</t>
  </si>
  <si>
    <t>Cost of Equity Based on Comparables, "Optimal" Capital Structure:</t>
  </si>
  <si>
    <t>WACC = Cost of Equity * % Equity + Cost of Debt * (1 - Tax Rate) * % Debt + Cost of Preferred Stock * % Preferred Stock</t>
  </si>
  <si>
    <t>WACC, Current Capital Structure:</t>
  </si>
  <si>
    <t>WACC, "Optimal" Capital Structure:</t>
  </si>
  <si>
    <t>Average WACC Produced by All Methods:</t>
  </si>
  <si>
    <t>Twitter</t>
  </si>
  <si>
    <t>Ticker:</t>
  </si>
  <si>
    <t>SNAP</t>
  </si>
  <si>
    <t>Discount Period:</t>
  </si>
  <si>
    <t>Cumulative Discount Factor:</t>
  </si>
  <si>
    <t>Initial Discount Rate (WACC):</t>
  </si>
  <si>
    <t>Terminal Discount Rate:</t>
  </si>
  <si>
    <t>PV of Unlevered FCF:</t>
  </si>
  <si>
    <t>Basic Shares Outstanding:</t>
  </si>
  <si>
    <t>Diluted Shares @ Current Price:</t>
  </si>
  <si>
    <t>Scenario:</t>
  </si>
  <si>
    <t>Current Equity Value:</t>
  </si>
  <si>
    <t>(-) Cash &amp; Cash-Equivalents:</t>
  </si>
  <si>
    <t>(-) Other Non-Core-Business Assets:</t>
  </si>
  <si>
    <t>(+) Total Debt:</t>
  </si>
  <si>
    <t>(+) Other Funding Sources:</t>
  </si>
  <si>
    <t>Current Enterprise Value:</t>
  </si>
  <si>
    <t>Expected Long-Term GDP Growth:</t>
  </si>
  <si>
    <t>% of Implied EV from Terminal Value:</t>
  </si>
  <si>
    <t>(+) Cash &amp; Cash-Equivalents:</t>
  </si>
  <si>
    <t>(+) Other Non-Core-Business Assets:</t>
  </si>
  <si>
    <t>(-) Total Debt:</t>
  </si>
  <si>
    <t>(-) Other Funding Sources:</t>
  </si>
  <si>
    <t>Diluted Shares Outstanding:</t>
  </si>
  <si>
    <t>Implied Share Price from DCF:</t>
  </si>
  <si>
    <t>Premium / (Discount) to Current:</t>
  </si>
  <si>
    <t>Exercise</t>
  </si>
  <si>
    <t>Type:</t>
  </si>
  <si>
    <t>Number:</t>
  </si>
  <si>
    <t>Price:</t>
  </si>
  <si>
    <t>Dilution:</t>
  </si>
  <si>
    <t>Options:</t>
  </si>
  <si>
    <t>Total:</t>
  </si>
  <si>
    <t>Current Share Price:</t>
  </si>
  <si>
    <t>RSUs:</t>
  </si>
  <si>
    <t>N/A</t>
  </si>
  <si>
    <t>#</t>
  </si>
  <si>
    <t>Forward EV / EBITDA of FB:</t>
  </si>
  <si>
    <t>Forward EV / EBITDA of TWTR:</t>
  </si>
  <si>
    <t>Projected - Phase I (Growth):</t>
  </si>
  <si>
    <t>Projected - Phase II (Maturity)</t>
  </si>
  <si>
    <t>Forward EV / EBITDA of GOOGL:</t>
  </si>
  <si>
    <t>(+) PV of Year 20 NOL Balance:</t>
  </si>
  <si>
    <t>Selected Terminal FCF Growth Rate:</t>
  </si>
  <si>
    <t>Selected Terminal EBITDA Multiple:</t>
  </si>
  <si>
    <t>Sensitivity Analyses:</t>
  </si>
  <si>
    <t>Terminal EV / EBITDA Multiple (Terminal Value Calculated Using the Multiples Method):</t>
  </si>
  <si>
    <t>Terminal FCF Growth Rate (Terminal Value Calculated Using the Gordon Growth Method):</t>
  </si>
  <si>
    <t>Snap Inc.</t>
  </si>
  <si>
    <t>Terminal Weighted Average Cost of Capital (WACC):</t>
  </si>
  <si>
    <t>&lt;-- Terminal Multiple in FB case.</t>
  </si>
  <si>
    <t>&lt;-- Terminal Multiple in TWTR case.</t>
  </si>
  <si>
    <t>&lt;-- Terminal Growth Rate in FB case.</t>
  </si>
  <si>
    <t>&lt;-- Terminal Growth Rate in TWTR case.</t>
  </si>
  <si>
    <t>Average Daily Active Users (DAUs):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</si>
</sst>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_);_(@_)"/>
    <numFmt numFmtId="165" formatCode="0.0%;\(0.0%\)"/>
    <numFmt numFmtId="166" formatCode="_(* #,##0.0_);_(* \(#,##0.0\);_(* &quot;-&quot;?_);_(@_)"/>
    <numFmt numFmtId="167" formatCode="_(0.0\ \x_);\(0.0\ \x\);_(&quot;–&quot;_);_(@_)"/>
    <numFmt numFmtId="168" formatCode="_(0.0%_);\(0.0%\);_(&quot;–&quot;_);_(@_)"/>
    <numFmt numFmtId="169" formatCode="0.0\ \x"/>
    <numFmt numFmtId="170" formatCode="yyyy\-mm\-dd"/>
    <numFmt numFmtId="171" formatCode="&quot;FY&quot;\ yy"/>
    <numFmt numFmtId="172" formatCode="0.0"/>
    <numFmt numFmtId="173" formatCode="0.0%"/>
    <numFmt numFmtId="174" formatCode="_(0.00%_);\(0.00%\);_(&quot;–&quot;_)_%;_(@_)_%"/>
    <numFmt numFmtId="175" formatCode="_(#,##0.00_)_%;\(#,##0.00\)_%;_(&quot;–&quot;_)_%;_(@_)_%"/>
    <numFmt numFmtId="176" formatCode="_(0.0%_);\(0.0%\);_(&quot;–&quot;_)_%;_(@_)_%"/>
    <numFmt numFmtId="177" formatCode="_(#,##0.00_);\(#,##0.00\);_(&quot;–&quot;_);_(@_)"/>
    <numFmt numFmtId="178" formatCode="0.00%;\(0.00%\)"/>
    <numFmt numFmtId="179" formatCode="_(* #,##0.000_);_(* \(#,##0.000\);_(* &quot;-&quot;???_);_(@_)"/>
    <numFmt numFmtId="180" formatCode="0.000"/>
    <numFmt numFmtId="181" formatCode="0.00%_);\(0.00%\);\-_%_);@_)"/>
    <numFmt numFmtId="182" formatCode="0.00\ \x;\(0.00\ \x\)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sz val="12"/>
      <color rgb="FF0000FF"/>
      <name val="Calibri"/>
      <family val="2"/>
    </font>
    <font>
      <b/>
      <sz val="12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</font>
    <font>
      <sz val="12"/>
      <color theme="4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color rgb="FFFF0000"/>
      <name val="Calibri"/>
      <family val="2"/>
    </font>
    <font>
      <b/>
      <sz val="12"/>
      <color indexed="9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B050"/>
      <name val="Calibri"/>
      <family val="2"/>
    </font>
    <font>
      <sz val="12"/>
      <color theme="0" tint="-0.1499984740745262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3" borderId="3" applyNumberFormat="0" applyFont="0" applyAlignment="0" applyProtection="0"/>
  </cellStyleXfs>
  <cellXfs count="224">
    <xf numFmtId="0" fontId="0" fillId="0" borderId="0" xfId="0"/>
    <xf numFmtId="170" fontId="9" fillId="5" borderId="3" xfId="2" applyNumberFormat="1" applyFont="1" applyFill="1" applyAlignment="1">
      <alignment horizontal="center"/>
    </xf>
    <xf numFmtId="171" fontId="10" fillId="6" borderId="9" xfId="0" applyNumberFormat="1" applyFont="1" applyFill="1" applyBorder="1" applyAlignment="1">
      <alignment horizontal="center"/>
    </xf>
    <xf numFmtId="171" fontId="10" fillId="6" borderId="10" xfId="0" applyNumberFormat="1" applyFont="1" applyFill="1" applyBorder="1" applyAlignment="1">
      <alignment horizontal="center"/>
    </xf>
    <xf numFmtId="171" fontId="10" fillId="6" borderId="11" xfId="0" applyNumberFormat="1" applyFont="1" applyFill="1" applyBorder="1" applyAlignment="1">
      <alignment horizontal="center"/>
    </xf>
    <xf numFmtId="0" fontId="11" fillId="0" borderId="0" xfId="1" applyFont="1"/>
    <xf numFmtId="0" fontId="2" fillId="0" borderId="0" xfId="0" applyFont="1"/>
    <xf numFmtId="0" fontId="7" fillId="6" borderId="0" xfId="1" applyFont="1" applyFill="1" applyBorder="1"/>
    <xf numFmtId="0" fontId="7" fillId="6" borderId="2" xfId="1" applyFont="1" applyFill="1" applyBorder="1"/>
    <xf numFmtId="14" fontId="7" fillId="6" borderId="2" xfId="1" applyNumberFormat="1" applyFont="1" applyFill="1" applyBorder="1" applyAlignment="1">
      <alignment horizontal="center"/>
    </xf>
    <xf numFmtId="0" fontId="9" fillId="5" borderId="5" xfId="2" applyFont="1" applyFill="1" applyBorder="1" applyAlignment="1">
      <alignment horizontal="centerContinuous"/>
    </xf>
    <xf numFmtId="0" fontId="11" fillId="0" borderId="0" xfId="1" applyFont="1" applyBorder="1"/>
    <xf numFmtId="0" fontId="8" fillId="7" borderId="2" xfId="0" applyFont="1" applyFill="1" applyBorder="1"/>
    <xf numFmtId="164" fontId="13" fillId="0" borderId="0" xfId="1" applyNumberFormat="1" applyFont="1" applyBorder="1"/>
    <xf numFmtId="165" fontId="11" fillId="0" borderId="0" xfId="1" applyNumberFormat="1" applyFont="1" applyBorder="1"/>
    <xf numFmtId="169" fontId="11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 applyBorder="1" applyAlignment="1">
      <alignment horizontal="left" indent="1"/>
    </xf>
    <xf numFmtId="0" fontId="11" fillId="0" borderId="2" xfId="1" applyFont="1" applyBorder="1" applyAlignment="1">
      <alignment horizontal="left" indent="1"/>
    </xf>
    <xf numFmtId="0" fontId="11" fillId="0" borderId="2" xfId="1" applyFont="1" applyBorder="1"/>
    <xf numFmtId="0" fontId="13" fillId="0" borderId="0" xfId="1" applyFont="1" applyBorder="1"/>
    <xf numFmtId="0" fontId="11" fillId="0" borderId="0" xfId="1" applyFont="1" applyAlignment="1">
      <alignment horizontal="left" indent="1"/>
    </xf>
    <xf numFmtId="166" fontId="11" fillId="0" borderId="0" xfId="0" applyNumberFormat="1" applyFont="1" applyFill="1" applyBorder="1"/>
    <xf numFmtId="0" fontId="13" fillId="0" borderId="1" xfId="1" applyFont="1" applyBorder="1" applyAlignment="1">
      <alignment horizontal="left"/>
    </xf>
    <xf numFmtId="0" fontId="11" fillId="0" borderId="1" xfId="1" applyFont="1" applyBorder="1"/>
    <xf numFmtId="0" fontId="9" fillId="0" borderId="0" xfId="1" applyFont="1" applyAlignment="1">
      <alignment horizontal="center"/>
    </xf>
    <xf numFmtId="0" fontId="7" fillId="6" borderId="7" xfId="1" applyFont="1" applyFill="1" applyBorder="1" applyAlignment="1">
      <alignment horizontal="centerContinuous"/>
    </xf>
    <xf numFmtId="0" fontId="14" fillId="6" borderId="8" xfId="1" applyFont="1" applyFill="1" applyBorder="1" applyAlignment="1">
      <alignment horizontal="centerContinuous"/>
    </xf>
    <xf numFmtId="0" fontId="14" fillId="6" borderId="7" xfId="1" applyFont="1" applyFill="1" applyBorder="1" applyAlignment="1">
      <alignment horizontal="centerContinuous"/>
    </xf>
    <xf numFmtId="0" fontId="15" fillId="6" borderId="2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166" fontId="11" fillId="0" borderId="0" xfId="1" applyNumberFormat="1" applyFont="1"/>
    <xf numFmtId="0" fontId="17" fillId="0" borderId="0" xfId="0" applyFont="1" applyBorder="1" applyAlignment="1">
      <alignment horizontal="center"/>
    </xf>
    <xf numFmtId="0" fontId="16" fillId="0" borderId="0" xfId="1" applyFont="1" applyBorder="1" applyAlignment="1">
      <alignment horizontal="left" indent="1"/>
    </xf>
    <xf numFmtId="165" fontId="16" fillId="0" borderId="0" xfId="1" applyNumberFormat="1" applyFont="1" applyBorder="1"/>
    <xf numFmtId="165" fontId="18" fillId="0" borderId="0" xfId="1" applyNumberFormat="1" applyFont="1" applyBorder="1"/>
    <xf numFmtId="166" fontId="19" fillId="0" borderId="0" xfId="1" applyNumberFormat="1" applyFont="1" applyBorder="1"/>
    <xf numFmtId="166" fontId="13" fillId="0" borderId="0" xfId="1" applyNumberFormat="1" applyFont="1" applyBorder="1"/>
    <xf numFmtId="41" fontId="11" fillId="0" borderId="0" xfId="1" applyNumberFormat="1" applyFont="1" applyBorder="1"/>
    <xf numFmtId="166" fontId="11" fillId="0" borderId="0" xfId="1" applyNumberFormat="1" applyFont="1" applyBorder="1"/>
    <xf numFmtId="166" fontId="9" fillId="0" borderId="0" xfId="1" applyNumberFormat="1" applyFont="1" applyBorder="1"/>
    <xf numFmtId="0" fontId="11" fillId="0" borderId="0" xfId="1" applyFont="1" applyBorder="1" applyAlignment="1">
      <alignment horizontal="left" indent="2"/>
    </xf>
    <xf numFmtId="0" fontId="11" fillId="0" borderId="0" xfId="1" applyFont="1" applyBorder="1" applyAlignment="1">
      <alignment horizontal="left"/>
    </xf>
    <xf numFmtId="41" fontId="21" fillId="0" borderId="0" xfId="1" applyNumberFormat="1" applyFont="1" applyBorder="1"/>
    <xf numFmtId="0" fontId="13" fillId="2" borderId="0" xfId="1" applyFont="1" applyFill="1" applyBorder="1"/>
    <xf numFmtId="0" fontId="16" fillId="2" borderId="0" xfId="1" applyFont="1" applyFill="1" applyBorder="1" applyAlignment="1">
      <alignment horizontal="center"/>
    </xf>
    <xf numFmtId="164" fontId="13" fillId="2" borderId="0" xfId="1" applyNumberFormat="1" applyFont="1" applyFill="1" applyBorder="1"/>
    <xf numFmtId="0" fontId="16" fillId="0" borderId="0" xfId="1" applyFont="1" applyAlignment="1">
      <alignment horizontal="left" indent="1"/>
    </xf>
    <xf numFmtId="164" fontId="11" fillId="0" borderId="0" xfId="1" applyNumberFormat="1" applyFont="1"/>
    <xf numFmtId="0" fontId="13" fillId="4" borderId="0" xfId="1" applyFont="1" applyFill="1" applyBorder="1"/>
    <xf numFmtId="0" fontId="16" fillId="4" borderId="0" xfId="1" applyFont="1" applyFill="1" applyBorder="1" applyAlignment="1">
      <alignment horizontal="center"/>
    </xf>
    <xf numFmtId="164" fontId="13" fillId="4" borderId="0" xfId="1" applyNumberFormat="1" applyFont="1" applyFill="1" applyBorder="1"/>
    <xf numFmtId="164" fontId="19" fillId="0" borderId="0" xfId="1" applyNumberFormat="1" applyFont="1" applyBorder="1"/>
    <xf numFmtId="172" fontId="11" fillId="0" borderId="0" xfId="1" applyNumberFormat="1" applyFont="1" applyBorder="1"/>
    <xf numFmtId="172" fontId="9" fillId="0" borderId="0" xfId="1" applyNumberFormat="1" applyFont="1" applyBorder="1"/>
    <xf numFmtId="0" fontId="16" fillId="0" borderId="0" xfId="1" applyFont="1" applyBorder="1"/>
    <xf numFmtId="0" fontId="13" fillId="0" borderId="0" xfId="1" applyFont="1" applyBorder="1" applyAlignment="1">
      <alignment horizontal="left"/>
    </xf>
    <xf numFmtId="165" fontId="13" fillId="0" borderId="0" xfId="1" applyNumberFormat="1" applyFont="1" applyBorder="1"/>
    <xf numFmtId="0" fontId="16" fillId="0" borderId="2" xfId="1" applyFont="1" applyBorder="1" applyAlignment="1">
      <alignment horizontal="center"/>
    </xf>
    <xf numFmtId="165" fontId="9" fillId="0" borderId="0" xfId="1" applyNumberFormat="1" applyFont="1"/>
    <xf numFmtId="165" fontId="9" fillId="0" borderId="2" xfId="1" applyNumberFormat="1" applyFont="1" applyBorder="1"/>
    <xf numFmtId="165" fontId="13" fillId="0" borderId="0" xfId="1" applyNumberFormat="1" applyFont="1"/>
    <xf numFmtId="0" fontId="9" fillId="5" borderId="3" xfId="2" applyFont="1" applyFill="1" applyBorder="1" applyAlignment="1">
      <alignment horizontal="centerContinuous"/>
    </xf>
    <xf numFmtId="0" fontId="9" fillId="5" borderId="6" xfId="2" applyFont="1" applyFill="1" applyBorder="1" applyAlignment="1">
      <alignment horizontal="right"/>
    </xf>
    <xf numFmtId="44" fontId="11" fillId="0" borderId="0" xfId="1" applyNumberFormat="1" applyFont="1"/>
    <xf numFmtId="165" fontId="9" fillId="5" borderId="3" xfId="2" applyNumberFormat="1" applyFont="1" applyFill="1" applyBorder="1" applyAlignment="1">
      <alignment horizontal="center"/>
    </xf>
    <xf numFmtId="165" fontId="9" fillId="5" borderId="3" xfId="2" applyNumberFormat="1" applyFont="1" applyFill="1" applyBorder="1" applyAlignment="1"/>
    <xf numFmtId="0" fontId="16" fillId="0" borderId="0" xfId="1" applyFont="1" applyAlignment="1">
      <alignment horizontal="center"/>
    </xf>
    <xf numFmtId="173" fontId="11" fillId="0" borderId="0" xfId="1" applyNumberFormat="1" applyFont="1"/>
    <xf numFmtId="0" fontId="17" fillId="0" borderId="2" xfId="0" applyFont="1" applyBorder="1" applyAlignment="1">
      <alignment horizontal="center"/>
    </xf>
    <xf numFmtId="166" fontId="11" fillId="0" borderId="2" xfId="1" applyNumberFormat="1" applyFont="1" applyBorder="1"/>
    <xf numFmtId="0" fontId="22" fillId="0" borderId="0" xfId="0" applyFont="1" applyFill="1"/>
    <xf numFmtId="0" fontId="23" fillId="0" borderId="0" xfId="0" applyFont="1"/>
    <xf numFmtId="0" fontId="24" fillId="0" borderId="0" xfId="0" applyFont="1"/>
    <xf numFmtId="9" fontId="0" fillId="0" borderId="0" xfId="0" applyNumberFormat="1"/>
    <xf numFmtId="0" fontId="25" fillId="6" borderId="2" xfId="0" applyFont="1" applyFill="1" applyBorder="1"/>
    <xf numFmtId="0" fontId="26" fillId="6" borderId="2" xfId="0" applyFont="1" applyFill="1" applyBorder="1"/>
    <xf numFmtId="0" fontId="26" fillId="0" borderId="0" xfId="0" applyFont="1" applyFill="1" applyBorder="1"/>
    <xf numFmtId="0" fontId="2" fillId="0" borderId="0" xfId="0" applyFont="1" applyBorder="1"/>
    <xf numFmtId="174" fontId="9" fillId="5" borderId="4" xfId="0" applyNumberFormat="1" applyFont="1" applyFill="1" applyBorder="1" applyAlignment="1">
      <alignment horizontal="center"/>
    </xf>
    <xf numFmtId="174" fontId="12" fillId="0" borderId="0" xfId="0" applyNumberFormat="1" applyFont="1" applyBorder="1"/>
    <xf numFmtId="0" fontId="27" fillId="0" borderId="0" xfId="0" applyFont="1"/>
    <xf numFmtId="0" fontId="28" fillId="6" borderId="0" xfId="1" applyFont="1" applyFill="1" applyBorder="1"/>
    <xf numFmtId="0" fontId="28" fillId="6" borderId="0" xfId="1" applyFont="1" applyFill="1" applyBorder="1" applyAlignment="1">
      <alignment horizontal="center"/>
    </xf>
    <xf numFmtId="0" fontId="28" fillId="6" borderId="2" xfId="1" applyFont="1" applyFill="1" applyBorder="1"/>
    <xf numFmtId="0" fontId="28" fillId="6" borderId="2" xfId="1" applyFont="1" applyFill="1" applyBorder="1" applyAlignment="1">
      <alignment horizontal="center"/>
    </xf>
    <xf numFmtId="175" fontId="12" fillId="0" borderId="0" xfId="0" applyNumberFormat="1" applyFont="1" applyBorder="1"/>
    <xf numFmtId="164" fontId="20" fillId="0" borderId="0" xfId="0" applyNumberFormat="1" applyFont="1" applyBorder="1"/>
    <xf numFmtId="176" fontId="20" fillId="0" borderId="0" xfId="0" applyNumberFormat="1" applyFont="1" applyBorder="1"/>
    <xf numFmtId="176" fontId="9" fillId="0" borderId="0" xfId="0" applyNumberFormat="1" applyFont="1" applyBorder="1" applyAlignment="1">
      <alignment horizontal="right" vertical="top" wrapText="1"/>
    </xf>
    <xf numFmtId="177" fontId="2" fillId="0" borderId="0" xfId="0" applyNumberFormat="1" applyFont="1" applyBorder="1"/>
    <xf numFmtId="166" fontId="20" fillId="0" borderId="0" xfId="0" applyNumberFormat="1" applyFont="1" applyBorder="1"/>
    <xf numFmtId="0" fontId="13" fillId="9" borderId="12" xfId="1" applyFont="1" applyFill="1" applyBorder="1" applyAlignment="1">
      <alignment horizontal="left"/>
    </xf>
    <xf numFmtId="0" fontId="13" fillId="9" borderId="13" xfId="1" applyFont="1" applyFill="1" applyBorder="1" applyAlignment="1"/>
    <xf numFmtId="175" fontId="13" fillId="9" borderId="13" xfId="1" applyNumberFormat="1" applyFont="1" applyFill="1" applyBorder="1" applyAlignment="1"/>
    <xf numFmtId="164" fontId="13" fillId="9" borderId="13" xfId="1" applyNumberFormat="1" applyFont="1" applyFill="1" applyBorder="1"/>
    <xf numFmtId="176" fontId="13" fillId="9" borderId="13" xfId="1" applyNumberFormat="1" applyFont="1" applyFill="1" applyBorder="1"/>
    <xf numFmtId="43" fontId="13" fillId="9" borderId="14" xfId="1" applyNumberFormat="1" applyFont="1" applyFill="1" applyBorder="1"/>
    <xf numFmtId="0" fontId="7" fillId="10" borderId="12" xfId="1" applyFont="1" applyFill="1" applyBorder="1"/>
    <xf numFmtId="0" fontId="7" fillId="10" borderId="13" xfId="1" applyFont="1" applyFill="1" applyBorder="1"/>
    <xf numFmtId="0" fontId="11" fillId="0" borderId="1" xfId="1" applyFont="1" applyFill="1" applyBorder="1"/>
    <xf numFmtId="175" fontId="11" fillId="0" borderId="1" xfId="1" applyNumberFormat="1" applyFont="1" applyFill="1" applyBorder="1" applyAlignment="1"/>
    <xf numFmtId="176" fontId="11" fillId="0" borderId="1" xfId="1" applyNumberFormat="1" applyFont="1" applyFill="1" applyBorder="1"/>
    <xf numFmtId="173" fontId="29" fillId="0" borderId="1" xfId="1" applyNumberFormat="1" applyFont="1" applyFill="1" applyBorder="1"/>
    <xf numFmtId="43" fontId="11" fillId="0" borderId="1" xfId="1" applyNumberFormat="1" applyFont="1" applyFill="1" applyBorder="1"/>
    <xf numFmtId="0" fontId="11" fillId="0" borderId="0" xfId="1" applyFont="1" applyFill="1" applyBorder="1"/>
    <xf numFmtId="175" fontId="11" fillId="0" borderId="0" xfId="1" applyNumberFormat="1" applyFont="1" applyFill="1" applyBorder="1" applyAlignment="1"/>
    <xf numFmtId="166" fontId="11" fillId="0" borderId="0" xfId="1" applyNumberFormat="1" applyFont="1" applyFill="1" applyBorder="1"/>
    <xf numFmtId="176" fontId="11" fillId="0" borderId="0" xfId="1" applyNumberFormat="1" applyFont="1" applyFill="1" applyBorder="1"/>
    <xf numFmtId="173" fontId="29" fillId="0" borderId="0" xfId="1" applyNumberFormat="1" applyFont="1" applyFill="1" applyBorder="1"/>
    <xf numFmtId="43" fontId="11" fillId="0" borderId="0" xfId="1" applyNumberFormat="1" applyFont="1" applyFill="1" applyBorder="1"/>
    <xf numFmtId="0" fontId="7" fillId="10" borderId="15" xfId="1" applyFont="1" applyFill="1" applyBorder="1"/>
    <xf numFmtId="0" fontId="7" fillId="10" borderId="1" xfId="1" applyFont="1" applyFill="1" applyBorder="1"/>
    <xf numFmtId="178" fontId="7" fillId="10" borderId="16" xfId="1" applyNumberFormat="1" applyFont="1" applyFill="1" applyBorder="1"/>
    <xf numFmtId="0" fontId="7" fillId="10" borderId="17" xfId="1" applyFont="1" applyFill="1" applyBorder="1"/>
    <xf numFmtId="0" fontId="7" fillId="10" borderId="0" xfId="1" applyFont="1" applyFill="1" applyBorder="1"/>
    <xf numFmtId="178" fontId="7" fillId="10" borderId="18" xfId="1" applyNumberFormat="1" applyFont="1" applyFill="1" applyBorder="1"/>
    <xf numFmtId="174" fontId="7" fillId="10" borderId="16" xfId="1" applyNumberFormat="1" applyFont="1" applyFill="1" applyBorder="1"/>
    <xf numFmtId="174" fontId="7" fillId="10" borderId="18" xfId="1" applyNumberFormat="1" applyFont="1" applyFill="1" applyBorder="1"/>
    <xf numFmtId="174" fontId="7" fillId="10" borderId="14" xfId="1" applyNumberFormat="1" applyFont="1" applyFill="1" applyBorder="1"/>
    <xf numFmtId="0" fontId="9" fillId="5" borderId="3" xfId="1" applyFont="1" applyFill="1" applyBorder="1" applyAlignment="1">
      <alignment horizontal="center"/>
    </xf>
    <xf numFmtId="178" fontId="9" fillId="5" borderId="3" xfId="2" applyNumberFormat="1" applyFont="1" applyFill="1" applyBorder="1" applyAlignment="1"/>
    <xf numFmtId="178" fontId="29" fillId="0" borderId="0" xfId="1" applyNumberFormat="1" applyFont="1"/>
    <xf numFmtId="178" fontId="11" fillId="0" borderId="21" xfId="2" applyNumberFormat="1" applyFont="1" applyFill="1" applyBorder="1" applyAlignment="1"/>
    <xf numFmtId="178" fontId="11" fillId="0" borderId="0" xfId="2" applyNumberFormat="1" applyFont="1" applyFill="1" applyBorder="1" applyAlignment="1"/>
    <xf numFmtId="179" fontId="11" fillId="0" borderId="0" xfId="1" applyNumberFormat="1" applyFont="1"/>
    <xf numFmtId="0" fontId="13" fillId="0" borderId="0" xfId="1" applyFont="1"/>
    <xf numFmtId="0" fontId="13" fillId="7" borderId="2" xfId="1" applyFont="1" applyFill="1" applyBorder="1" applyAlignment="1">
      <alignment horizontal="left"/>
    </xf>
    <xf numFmtId="0" fontId="11" fillId="7" borderId="2" xfId="1" applyFont="1" applyFill="1" applyBorder="1"/>
    <xf numFmtId="164" fontId="8" fillId="7" borderId="2" xfId="0" applyNumberFormat="1" applyFont="1" applyFill="1" applyBorder="1"/>
    <xf numFmtId="166" fontId="9" fillId="5" borderId="22" xfId="0" applyNumberFormat="1" applyFont="1" applyFill="1" applyBorder="1"/>
    <xf numFmtId="166" fontId="9" fillId="5" borderId="3" xfId="0" applyNumberFormat="1" applyFont="1" applyFill="1" applyBorder="1"/>
    <xf numFmtId="166" fontId="9" fillId="5" borderId="23" xfId="0" applyNumberFormat="1" applyFont="1" applyFill="1" applyBorder="1"/>
    <xf numFmtId="0" fontId="13" fillId="7" borderId="1" xfId="1" applyFont="1" applyFill="1" applyBorder="1" applyAlignment="1">
      <alignment horizontal="left"/>
    </xf>
    <xf numFmtId="0" fontId="11" fillId="7" borderId="1" xfId="1" applyFont="1" applyFill="1" applyBorder="1"/>
    <xf numFmtId="166" fontId="13" fillId="7" borderId="0" xfId="1" applyNumberFormat="1" applyFont="1" applyFill="1" applyBorder="1"/>
    <xf numFmtId="164" fontId="13" fillId="0" borderId="0" xfId="1" applyNumberFormat="1" applyFont="1" applyFill="1" applyBorder="1"/>
    <xf numFmtId="165" fontId="11" fillId="0" borderId="0" xfId="1" applyNumberFormat="1" applyFont="1" applyFill="1" applyBorder="1"/>
    <xf numFmtId="168" fontId="9" fillId="0" borderId="0" xfId="0" applyNumberFormat="1" applyFont="1" applyFill="1" applyBorder="1" applyAlignment="1">
      <alignment horizontal="center"/>
    </xf>
    <xf numFmtId="169" fontId="11" fillId="0" borderId="0" xfId="1" applyNumberFormat="1" applyFont="1" applyFill="1" applyBorder="1"/>
    <xf numFmtId="164" fontId="8" fillId="0" borderId="0" xfId="0" applyNumberFormat="1" applyFont="1" applyFill="1" applyBorder="1"/>
    <xf numFmtId="166" fontId="13" fillId="0" borderId="0" xfId="1" applyNumberFormat="1" applyFont="1" applyFill="1" applyBorder="1"/>
    <xf numFmtId="0" fontId="13" fillId="7" borderId="0" xfId="1" applyFont="1" applyFill="1" applyBorder="1"/>
    <xf numFmtId="0" fontId="11" fillId="7" borderId="0" xfId="1" applyFont="1" applyFill="1" applyBorder="1"/>
    <xf numFmtId="164" fontId="8" fillId="7" borderId="0" xfId="0" applyNumberFormat="1" applyFont="1" applyFill="1"/>
    <xf numFmtId="164" fontId="11" fillId="0" borderId="0" xfId="0" applyNumberFormat="1" applyFont="1" applyFill="1" applyBorder="1"/>
    <xf numFmtId="166" fontId="11" fillId="0" borderId="2" xfId="0" applyNumberFormat="1" applyFont="1" applyFill="1" applyBorder="1"/>
    <xf numFmtId="179" fontId="11" fillId="0" borderId="0" xfId="0" applyNumberFormat="1" applyFont="1" applyFill="1" applyBorder="1"/>
    <xf numFmtId="0" fontId="13" fillId="8" borderId="15" xfId="1" applyFont="1" applyFill="1" applyBorder="1"/>
    <xf numFmtId="0" fontId="11" fillId="8" borderId="1" xfId="1" applyFont="1" applyFill="1" applyBorder="1"/>
    <xf numFmtId="44" fontId="13" fillId="8" borderId="16" xfId="1" applyNumberFormat="1" applyFont="1" applyFill="1" applyBorder="1"/>
    <xf numFmtId="0" fontId="13" fillId="8" borderId="19" xfId="1" applyFont="1" applyFill="1" applyBorder="1"/>
    <xf numFmtId="0" fontId="11" fillId="8" borderId="2" xfId="1" applyFont="1" applyFill="1" applyBorder="1"/>
    <xf numFmtId="165" fontId="13" fillId="8" borderId="20" xfId="1" applyNumberFormat="1" applyFont="1" applyFill="1" applyBorder="1"/>
    <xf numFmtId="0" fontId="8" fillId="11" borderId="0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180" fontId="9" fillId="0" borderId="0" xfId="1" applyNumberFormat="1" applyFont="1" applyAlignment="1">
      <alignment horizontal="center"/>
    </xf>
    <xf numFmtId="44" fontId="9" fillId="0" borderId="0" xfId="1" applyNumberFormat="1" applyFont="1" applyAlignment="1">
      <alignment horizontal="center"/>
    </xf>
    <xf numFmtId="180" fontId="11" fillId="0" borderId="0" xfId="1" applyNumberFormat="1" applyFont="1" applyAlignment="1">
      <alignment horizontal="center"/>
    </xf>
    <xf numFmtId="44" fontId="11" fillId="0" borderId="0" xfId="1" applyNumberFormat="1" applyFont="1" applyAlignment="1">
      <alignment horizontal="center"/>
    </xf>
    <xf numFmtId="0" fontId="13" fillId="0" borderId="1" xfId="1" applyFont="1" applyBorder="1"/>
    <xf numFmtId="0" fontId="9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79" fontId="13" fillId="0" borderId="1" xfId="1" applyNumberFormat="1" applyFont="1" applyBorder="1" applyAlignment="1">
      <alignment horizontal="center"/>
    </xf>
    <xf numFmtId="0" fontId="30" fillId="0" borderId="0" xfId="0" applyFont="1"/>
    <xf numFmtId="44" fontId="9" fillId="5" borderId="24" xfId="0" applyNumberFormat="1" applyFont="1" applyFill="1" applyBorder="1"/>
    <xf numFmtId="179" fontId="9" fillId="5" borderId="4" xfId="0" applyNumberFormat="1" applyFont="1" applyFill="1" applyBorder="1"/>
    <xf numFmtId="164" fontId="13" fillId="7" borderId="0" xfId="1" applyNumberFormat="1" applyFont="1" applyFill="1" applyBorder="1"/>
    <xf numFmtId="164" fontId="12" fillId="0" borderId="0" xfId="0" applyNumberFormat="1" applyFont="1" applyBorder="1"/>
    <xf numFmtId="164" fontId="33" fillId="0" borderId="0" xfId="0" applyNumberFormat="1" applyFont="1" applyBorder="1"/>
    <xf numFmtId="0" fontId="7" fillId="6" borderId="8" xfId="1" applyFont="1" applyFill="1" applyBorder="1" applyAlignment="1">
      <alignment horizontal="centerContinuous"/>
    </xf>
    <xf numFmtId="171" fontId="10" fillId="6" borderId="25" xfId="0" applyNumberFormat="1" applyFont="1" applyFill="1" applyBorder="1" applyAlignment="1">
      <alignment horizontal="center"/>
    </xf>
    <xf numFmtId="171" fontId="10" fillId="6" borderId="2" xfId="0" applyNumberFormat="1" applyFont="1" applyFill="1" applyBorder="1" applyAlignment="1">
      <alignment horizontal="center"/>
    </xf>
    <xf numFmtId="171" fontId="10" fillId="6" borderId="27" xfId="0" applyNumberFormat="1" applyFont="1" applyFill="1" applyBorder="1" applyAlignment="1">
      <alignment horizontal="center"/>
    </xf>
    <xf numFmtId="0" fontId="7" fillId="6" borderId="26" xfId="1" applyFont="1" applyFill="1" applyBorder="1" applyAlignment="1">
      <alignment horizontal="centerContinuous"/>
    </xf>
    <xf numFmtId="169" fontId="13" fillId="0" borderId="0" xfId="1" applyNumberFormat="1" applyFont="1"/>
    <xf numFmtId="0" fontId="1" fillId="0" borderId="0" xfId="0" applyFont="1"/>
    <xf numFmtId="0" fontId="11" fillId="12" borderId="15" xfId="1" applyFont="1" applyFill="1" applyBorder="1"/>
    <xf numFmtId="0" fontId="11" fillId="12" borderId="13" xfId="1" applyFont="1" applyFill="1" applyBorder="1"/>
    <xf numFmtId="0" fontId="7" fillId="12" borderId="13" xfId="1" applyFont="1" applyFill="1" applyBorder="1" applyAlignment="1">
      <alignment horizontal="centerContinuous"/>
    </xf>
    <xf numFmtId="0" fontId="13" fillId="12" borderId="13" xfId="1" applyFont="1" applyFill="1" applyBorder="1" applyAlignment="1">
      <alignment horizontal="centerContinuous"/>
    </xf>
    <xf numFmtId="0" fontId="13" fillId="12" borderId="14" xfId="1" applyFont="1" applyFill="1" applyBorder="1" applyAlignment="1">
      <alignment horizontal="centerContinuous"/>
    </xf>
    <xf numFmtId="0" fontId="11" fillId="12" borderId="29" xfId="1" applyFont="1" applyFill="1" applyBorder="1"/>
    <xf numFmtId="44" fontId="34" fillId="7" borderId="0" xfId="1" applyNumberFormat="1" applyFont="1" applyFill="1" applyBorder="1"/>
    <xf numFmtId="181" fontId="9" fillId="7" borderId="13" xfId="1" applyNumberFormat="1" applyFont="1" applyFill="1" applyBorder="1" applyAlignment="1">
      <alignment horizontal="center"/>
    </xf>
    <xf numFmtId="181" fontId="11" fillId="7" borderId="13" xfId="1" applyNumberFormat="1" applyFont="1" applyFill="1" applyBorder="1" applyAlignment="1">
      <alignment horizontal="center"/>
    </xf>
    <xf numFmtId="181" fontId="13" fillId="7" borderId="13" xfId="1" applyNumberFormat="1" applyFont="1" applyFill="1" applyBorder="1" applyAlignment="1">
      <alignment horizontal="center"/>
    </xf>
    <xf numFmtId="181" fontId="11" fillId="7" borderId="14" xfId="1" applyNumberFormat="1" applyFont="1" applyFill="1" applyBorder="1" applyAlignment="1">
      <alignment horizontal="center"/>
    </xf>
    <xf numFmtId="44" fontId="13" fillId="0" borderId="0" xfId="0" applyNumberFormat="1" applyFont="1" applyFill="1" applyBorder="1" applyAlignment="1"/>
    <xf numFmtId="182" fontId="11" fillId="7" borderId="18" xfId="1" applyNumberFormat="1" applyFont="1" applyFill="1" applyBorder="1" applyAlignment="1">
      <alignment horizontal="center"/>
    </xf>
    <xf numFmtId="43" fontId="11" fillId="0" borderId="0" xfId="0" applyNumberFormat="1" applyFont="1" applyFill="1" applyBorder="1" applyAlignment="1"/>
    <xf numFmtId="43" fontId="13" fillId="0" borderId="0" xfId="0" applyNumberFormat="1" applyFont="1" applyFill="1" applyBorder="1" applyAlignment="1"/>
    <xf numFmtId="182" fontId="13" fillId="7" borderId="18" xfId="1" applyNumberFormat="1" applyFont="1" applyFill="1" applyBorder="1" applyAlignment="1">
      <alignment horizontal="center"/>
    </xf>
    <xf numFmtId="182" fontId="11" fillId="7" borderId="20" xfId="1" applyNumberFormat="1" applyFont="1" applyFill="1" applyBorder="1" applyAlignment="1">
      <alignment horizontal="center"/>
    </xf>
    <xf numFmtId="181" fontId="11" fillId="7" borderId="18" xfId="1" applyNumberFormat="1" applyFont="1" applyFill="1" applyBorder="1" applyAlignment="1">
      <alignment horizontal="center"/>
    </xf>
    <xf numFmtId="181" fontId="13" fillId="7" borderId="18" xfId="1" applyNumberFormat="1" applyFont="1" applyFill="1" applyBorder="1" applyAlignment="1">
      <alignment horizontal="center"/>
    </xf>
    <xf numFmtId="181" fontId="11" fillId="7" borderId="30" xfId="1" applyNumberFormat="1" applyFont="1" applyFill="1" applyBorder="1" applyAlignment="1">
      <alignment horizontal="center"/>
    </xf>
    <xf numFmtId="182" fontId="19" fillId="7" borderId="18" xfId="1" applyNumberFormat="1" applyFont="1" applyFill="1" applyBorder="1" applyAlignment="1">
      <alignment horizontal="center"/>
    </xf>
    <xf numFmtId="165" fontId="34" fillId="7" borderId="0" xfId="1" applyNumberFormat="1" applyFont="1" applyFill="1" applyBorder="1"/>
    <xf numFmtId="0" fontId="1" fillId="7" borderId="2" xfId="0" applyFont="1" applyFill="1" applyBorder="1" applyAlignment="1"/>
    <xf numFmtId="167" fontId="9" fillId="5" borderId="4" xfId="0" applyNumberFormat="1" applyFont="1" applyFill="1" applyBorder="1" applyAlignment="1">
      <alignment horizontal="center"/>
    </xf>
    <xf numFmtId="168" fontId="9" fillId="5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167" fontId="9" fillId="5" borderId="4" xfId="0" applyNumberFormat="1" applyFont="1" applyFill="1" applyBorder="1" applyAlignment="1"/>
    <xf numFmtId="168" fontId="9" fillId="5" borderId="4" xfId="0" applyNumberFormat="1" applyFont="1" applyFill="1" applyBorder="1" applyAlignment="1"/>
    <xf numFmtId="166" fontId="1" fillId="0" borderId="0" xfId="0" applyNumberFormat="1" applyFont="1" applyFill="1" applyBorder="1"/>
    <xf numFmtId="167" fontId="9" fillId="5" borderId="28" xfId="0" applyNumberFormat="1" applyFont="1" applyFill="1" applyBorder="1" applyAlignment="1"/>
    <xf numFmtId="168" fontId="9" fillId="5" borderId="28" xfId="0" applyNumberFormat="1" applyFont="1" applyFill="1" applyBorder="1" applyAlignment="1"/>
    <xf numFmtId="44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left" indent="1"/>
    </xf>
    <xf numFmtId="166" fontId="1" fillId="0" borderId="0" xfId="0" applyNumberFormat="1" applyFont="1" applyBorder="1"/>
    <xf numFmtId="166" fontId="1" fillId="0" borderId="2" xfId="0" applyNumberFormat="1" applyFont="1" applyBorder="1"/>
    <xf numFmtId="0" fontId="1" fillId="11" borderId="0" xfId="0" applyFont="1" applyFill="1" applyBorder="1"/>
    <xf numFmtId="0" fontId="1" fillId="11" borderId="0" xfId="0" applyFont="1" applyFill="1" applyBorder="1" applyAlignment="1">
      <alignment horizontal="center"/>
    </xf>
    <xf numFmtId="0" fontId="28" fillId="12" borderId="2" xfId="1" applyFont="1" applyFill="1" applyBorder="1"/>
    <xf numFmtId="0" fontId="28" fillId="0" borderId="0" xfId="1" applyFont="1" applyFill="1" applyBorder="1"/>
    <xf numFmtId="44" fontId="11" fillId="0" borderId="0" xfId="1" applyNumberFormat="1" applyFont="1" applyBorder="1"/>
    <xf numFmtId="181" fontId="19" fillId="7" borderId="18" xfId="1" applyNumberFormat="1" applyFont="1" applyFill="1" applyBorder="1" applyAlignment="1">
      <alignment horizontal="center"/>
    </xf>
    <xf numFmtId="8" fontId="11" fillId="0" borderId="0" xfId="1" applyNumberFormat="1" applyFont="1"/>
    <xf numFmtId="0" fontId="7" fillId="12" borderId="29" xfId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te" xfId="2" builtinId="10"/>
  </cellStyles>
  <dxfs count="0"/>
  <tableStyles count="0" defaultTableStyle="TableStyleMedium9" defaultPivotStyle="PivotStyleLight16"/>
  <colors>
    <mruColors>
      <color rgb="FF0000FF"/>
      <color rgb="FFB2B2B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AB133"/>
  <sheetViews>
    <sheetView showGridLines="0" tabSelected="1" zoomScaleNormal="100" workbookViewId="0">
      <selection activeCell="B2" sqref="B2"/>
    </sheetView>
  </sheetViews>
  <sheetFormatPr defaultColWidth="9.140625" defaultRowHeight="15.75" x14ac:dyDescent="0.25"/>
  <cols>
    <col min="1" max="2" width="2.7109375" style="5" customWidth="1"/>
    <col min="3" max="10" width="12.7109375" style="5" customWidth="1"/>
    <col min="11" max="11" width="14.85546875" style="5" customWidth="1"/>
    <col min="12" max="15" width="12.7109375" style="5" customWidth="1"/>
    <col min="16" max="16" width="14.85546875" style="5" customWidth="1"/>
    <col min="17" max="28" width="12.7109375" style="5" customWidth="1"/>
    <col min="29" max="29" width="2.7109375" style="5" customWidth="1"/>
    <col min="30" max="16384" width="9.140625" style="5"/>
  </cols>
  <sheetData>
    <row r="2" spans="2:18" ht="18.75" x14ac:dyDescent="0.3">
      <c r="B2" s="164" t="str">
        <f>"Discounted Cash Flow Analysis - "&amp;Company_Name&amp;" (Unlevered DCF)"</f>
        <v>Discounted Cash Flow Analysis - Snap Inc. (Unlevered DCF)</v>
      </c>
    </row>
    <row r="3" spans="2:18" x14ac:dyDescent="0.25">
      <c r="B3" s="176" t="s">
        <v>1</v>
      </c>
    </row>
    <row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2:18" x14ac:dyDescent="0.25">
      <c r="B6" s="8" t="str">
        <f>Company_Name&amp;" - DCF Assumptions &amp; Output:"</f>
        <v>Snap Inc. - DCF Assumptions &amp; Output:</v>
      </c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2:18" x14ac:dyDescent="0.25"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</row>
    <row r="8" spans="2:18" x14ac:dyDescent="0.25">
      <c r="C8" s="176" t="s">
        <v>15</v>
      </c>
      <c r="D8" s="176"/>
      <c r="F8" s="62" t="s">
        <v>129</v>
      </c>
      <c r="H8" s="12" t="s">
        <v>19</v>
      </c>
      <c r="I8" s="199"/>
      <c r="J8" s="199"/>
      <c r="K8" s="199"/>
      <c r="M8" s="12"/>
      <c r="N8" s="199"/>
      <c r="O8" s="199"/>
      <c r="P8" s="199"/>
      <c r="Q8" s="105"/>
      <c r="R8" s="105"/>
    </row>
    <row r="9" spans="2:18" x14ac:dyDescent="0.25">
      <c r="C9" s="5" t="s">
        <v>82</v>
      </c>
      <c r="F9" s="62" t="s">
        <v>83</v>
      </c>
      <c r="Q9" s="105"/>
      <c r="R9" s="105"/>
    </row>
    <row r="10" spans="2:18" x14ac:dyDescent="0.25">
      <c r="C10" s="5" t="s">
        <v>114</v>
      </c>
      <c r="F10" s="165">
        <v>21.09</v>
      </c>
      <c r="H10" s="5" t="s">
        <v>118</v>
      </c>
      <c r="K10" s="200">
        <v>15.8</v>
      </c>
      <c r="M10" s="5" t="s">
        <v>98</v>
      </c>
      <c r="P10" s="201">
        <v>2.5000000000000001E-2</v>
      </c>
      <c r="Q10" s="202"/>
      <c r="R10" s="202"/>
    </row>
    <row r="11" spans="2:18" x14ac:dyDescent="0.25">
      <c r="C11" s="5" t="s">
        <v>89</v>
      </c>
      <c r="F11" s="166">
        <v>1157.2132320000001</v>
      </c>
      <c r="H11" s="5" t="s">
        <v>119</v>
      </c>
      <c r="K11" s="200">
        <v>15</v>
      </c>
      <c r="Q11" s="105"/>
      <c r="R11" s="105"/>
    </row>
    <row r="12" spans="2:18" x14ac:dyDescent="0.25">
      <c r="C12" s="5" t="s">
        <v>90</v>
      </c>
      <c r="F12" s="125">
        <f>Basic_Shares+IF(J43&lt;Share_Price,I43-((I43*J43)/Share_Price),0)+I44</f>
        <v>1352.5292353191087</v>
      </c>
      <c r="H12" s="5" t="s">
        <v>122</v>
      </c>
      <c r="K12" s="200">
        <v>11.8</v>
      </c>
      <c r="Q12" s="136"/>
      <c r="R12" s="138"/>
    </row>
    <row r="13" spans="2:18" x14ac:dyDescent="0.25">
      <c r="Q13" s="105"/>
      <c r="R13" s="203"/>
    </row>
    <row r="14" spans="2:18" x14ac:dyDescent="0.25">
      <c r="C14" s="176" t="s">
        <v>30</v>
      </c>
      <c r="F14" s="1">
        <v>42735</v>
      </c>
      <c r="H14" s="20" t="s">
        <v>9</v>
      </c>
      <c r="M14" s="20" t="s">
        <v>11</v>
      </c>
      <c r="Q14" s="105"/>
      <c r="R14" s="139"/>
    </row>
    <row r="15" spans="2:18" x14ac:dyDescent="0.25">
      <c r="C15" s="11" t="s">
        <v>2</v>
      </c>
      <c r="D15" s="11"/>
      <c r="E15" s="11"/>
      <c r="F15" s="65">
        <v>0.4</v>
      </c>
      <c r="H15" s="17" t="s">
        <v>33</v>
      </c>
      <c r="K15" s="204">
        <v>10</v>
      </c>
      <c r="M15" s="17" t="s">
        <v>33</v>
      </c>
      <c r="P15" s="205">
        <v>2.1999999999999999E-2</v>
      </c>
      <c r="Q15" s="105"/>
      <c r="R15" s="105"/>
    </row>
    <row r="16" spans="2:18" x14ac:dyDescent="0.25">
      <c r="C16" s="11" t="s">
        <v>86</v>
      </c>
      <c r="D16" s="11"/>
      <c r="E16" s="11"/>
      <c r="F16" s="121">
        <v>0.12</v>
      </c>
      <c r="H16" s="17" t="s">
        <v>34</v>
      </c>
      <c r="K16" s="204">
        <v>8</v>
      </c>
      <c r="M16" s="17" t="s">
        <v>34</v>
      </c>
      <c r="P16" s="205">
        <v>1.4999999999999999E-2</v>
      </c>
      <c r="Q16" s="105"/>
      <c r="R16" s="206"/>
    </row>
    <row r="17" spans="3:18" x14ac:dyDescent="0.25">
      <c r="C17" s="5" t="s">
        <v>87</v>
      </c>
      <c r="F17" s="122">
        <f>+WACC!$L$33</f>
        <v>7.4589858647037738E-2</v>
      </c>
      <c r="H17" s="18" t="s">
        <v>35</v>
      </c>
      <c r="I17" s="19"/>
      <c r="J17" s="19"/>
      <c r="K17" s="207">
        <v>5</v>
      </c>
      <c r="M17" s="18" t="s">
        <v>35</v>
      </c>
      <c r="N17" s="19"/>
      <c r="O17" s="19"/>
      <c r="P17" s="208">
        <v>1.0999999999999999E-2</v>
      </c>
      <c r="Q17" s="105"/>
      <c r="R17" s="206"/>
    </row>
    <row r="18" spans="3:18" x14ac:dyDescent="0.25">
      <c r="H18" s="126" t="s">
        <v>125</v>
      </c>
      <c r="K18" s="175">
        <f>INDEX(K15:K17,MATCH(Scenario,$H15:$H17,0))</f>
        <v>10</v>
      </c>
      <c r="M18" s="126" t="s">
        <v>124</v>
      </c>
      <c r="P18" s="57">
        <f>INDEX(P15:P17,MATCH(Scenario,$M15:$M17,0))</f>
        <v>2.1999999999999999E-2</v>
      </c>
      <c r="Q18" s="105"/>
      <c r="R18" s="140"/>
    </row>
    <row r="19" spans="3:18" x14ac:dyDescent="0.25">
      <c r="C19" s="5" t="s">
        <v>91</v>
      </c>
      <c r="E19" s="10"/>
      <c r="F19" s="63" t="s">
        <v>33</v>
      </c>
      <c r="Q19" s="105"/>
      <c r="R19" s="22"/>
    </row>
    <row r="20" spans="3:18" x14ac:dyDescent="0.25">
      <c r="H20" s="11" t="s">
        <v>10</v>
      </c>
      <c r="K20" s="209">
        <f>+Terminal_Multiple*AB106</f>
        <v>149521.16641404576</v>
      </c>
      <c r="M20" s="11" t="s">
        <v>10</v>
      </c>
      <c r="N20" s="11"/>
      <c r="O20" s="11"/>
      <c r="P20" s="210">
        <f>+AB97*(1+Terminal_Growth_Rate)/(Discount_Rate_Terminal-Terminal_Growth_Rate)</f>
        <v>149258.27129531617</v>
      </c>
      <c r="Q20" s="105"/>
      <c r="R20" s="141"/>
    </row>
    <row r="21" spans="3:18" x14ac:dyDescent="0.25">
      <c r="C21" s="127" t="s">
        <v>92</v>
      </c>
      <c r="D21" s="128"/>
      <c r="E21" s="128"/>
      <c r="F21" s="129">
        <f>+Share_Price*DIluted_Shares</f>
        <v>28524.841572880003</v>
      </c>
      <c r="H21" s="11" t="s">
        <v>12</v>
      </c>
      <c r="I21" s="11"/>
      <c r="J21" s="13"/>
      <c r="K21" s="14">
        <f>(K20*Discount_Rate_Terminal-AB97)/(AB97+K20)</f>
        <v>2.2087948285885648E-2</v>
      </c>
      <c r="M21" s="11" t="s">
        <v>13</v>
      </c>
      <c r="P21" s="15">
        <f>+P20/AB106</f>
        <v>9.9824175315753241</v>
      </c>
      <c r="Q21" s="105"/>
      <c r="R21" s="105"/>
    </row>
    <row r="22" spans="3:18" x14ac:dyDescent="0.25">
      <c r="C22" s="21" t="s">
        <v>93</v>
      </c>
      <c r="F22" s="130">
        <f>-987.37-2403.375</f>
        <v>-3390.7449999999999</v>
      </c>
      <c r="Q22" s="105"/>
      <c r="R22" s="137"/>
    </row>
    <row r="23" spans="3:18" x14ac:dyDescent="0.25">
      <c r="C23" s="211" t="s">
        <v>94</v>
      </c>
      <c r="D23" s="176"/>
      <c r="E23" s="176"/>
      <c r="F23" s="131">
        <v>0</v>
      </c>
      <c r="H23" s="17" t="s">
        <v>20</v>
      </c>
      <c r="I23" s="11"/>
      <c r="J23" s="11"/>
      <c r="K23" s="212">
        <f>+K20*AB102</f>
        <v>28327.05738305259</v>
      </c>
      <c r="M23" s="17" t="str">
        <f>+$H$23</f>
        <v>(+) PV of Terminal Value:</v>
      </c>
      <c r="N23" s="11"/>
      <c r="O23" s="11"/>
      <c r="P23" s="212">
        <f>+P20*AB102</f>
        <v>28277.251423852435</v>
      </c>
      <c r="Q23" s="105"/>
      <c r="R23" s="105"/>
    </row>
    <row r="24" spans="3:18" x14ac:dyDescent="0.25">
      <c r="C24" s="211" t="s">
        <v>95</v>
      </c>
      <c r="D24" s="176"/>
      <c r="E24" s="176"/>
      <c r="F24" s="131">
        <v>15.14</v>
      </c>
      <c r="H24" s="17" t="s">
        <v>123</v>
      </c>
      <c r="K24" s="31">
        <f>+$AB$80*AB102</f>
        <v>0</v>
      </c>
      <c r="M24" s="17" t="str">
        <f>+$H$24</f>
        <v>(+) PV of Year 20 NOL Balance:</v>
      </c>
      <c r="P24" s="212">
        <f>+$AB$80*AB102</f>
        <v>0</v>
      </c>
      <c r="Q24" s="105"/>
      <c r="R24" s="105"/>
    </row>
    <row r="25" spans="3:18" x14ac:dyDescent="0.25">
      <c r="C25" s="211" t="s">
        <v>96</v>
      </c>
      <c r="D25" s="176"/>
      <c r="E25" s="176"/>
      <c r="F25" s="132">
        <v>0</v>
      </c>
      <c r="H25" s="18" t="s">
        <v>21</v>
      </c>
      <c r="I25" s="19"/>
      <c r="J25" s="19"/>
      <c r="K25" s="213">
        <f>SUM($I$104:$AB$104)</f>
        <v>20640.811863195428</v>
      </c>
      <c r="M25" s="18" t="str">
        <f>+$H$25</f>
        <v>(+) Sum of PV of Free Cash Flows:</v>
      </c>
      <c r="N25" s="19"/>
      <c r="O25" s="19"/>
      <c r="P25" s="213">
        <f>SUM($I$104:$AB$104)</f>
        <v>20640.811863195428</v>
      </c>
      <c r="Q25" s="105"/>
      <c r="R25" s="105"/>
    </row>
    <row r="26" spans="3:18" x14ac:dyDescent="0.25">
      <c r="C26" s="133" t="s">
        <v>97</v>
      </c>
      <c r="D26" s="134"/>
      <c r="E26" s="134"/>
      <c r="F26" s="167">
        <f>SUM(F21:F25)</f>
        <v>25149.236572880003</v>
      </c>
      <c r="G26" s="16"/>
      <c r="H26" s="142" t="s">
        <v>16</v>
      </c>
      <c r="I26" s="143"/>
      <c r="J26" s="143"/>
      <c r="K26" s="144">
        <f>SUM(K23:K25)</f>
        <v>48967.869246248018</v>
      </c>
      <c r="M26" s="142" t="str">
        <f>+$H$26</f>
        <v>Implied Enterprise Value:</v>
      </c>
      <c r="N26" s="143"/>
      <c r="O26" s="143"/>
      <c r="P26" s="144">
        <f>SUM(P23:P25)</f>
        <v>48918.063287047858</v>
      </c>
      <c r="Q26" s="105"/>
      <c r="R26" s="105"/>
    </row>
    <row r="27" spans="3:18" x14ac:dyDescent="0.25">
      <c r="G27" s="16"/>
      <c r="Q27" s="105"/>
      <c r="R27" s="105"/>
    </row>
    <row r="28" spans="3:18" x14ac:dyDescent="0.25">
      <c r="G28" s="16"/>
      <c r="H28" s="55" t="s">
        <v>99</v>
      </c>
      <c r="K28" s="34">
        <f>+K23/K26</f>
        <v>0.57848254006320776</v>
      </c>
      <c r="M28" s="55" t="str">
        <f>+$H$28</f>
        <v>% of Implied EV from Terminal Value:</v>
      </c>
      <c r="P28" s="34">
        <f>+P23/P26</f>
        <v>0.57805337177646332</v>
      </c>
      <c r="Q28" s="105"/>
      <c r="R28" s="105"/>
    </row>
    <row r="29" spans="3:18" x14ac:dyDescent="0.25">
      <c r="G29" s="16"/>
      <c r="Q29" s="105"/>
      <c r="R29" s="105"/>
    </row>
    <row r="30" spans="3:18" x14ac:dyDescent="0.25">
      <c r="D30" s="68"/>
      <c r="E30" s="68"/>
      <c r="G30" s="16"/>
      <c r="H30" s="21" t="s">
        <v>100</v>
      </c>
      <c r="K30" s="145">
        <f>-F22</f>
        <v>3390.7449999999999</v>
      </c>
      <c r="M30" s="21" t="str">
        <f>+$H$30</f>
        <v>(+) Cash &amp; Cash-Equivalents:</v>
      </c>
      <c r="P30" s="145">
        <f>+K30</f>
        <v>3390.7449999999999</v>
      </c>
      <c r="Q30" s="105"/>
      <c r="R30" s="105"/>
    </row>
    <row r="31" spans="3:18" x14ac:dyDescent="0.25">
      <c r="D31" s="68"/>
      <c r="E31" s="68"/>
      <c r="G31" s="16"/>
      <c r="H31" s="211" t="s">
        <v>101</v>
      </c>
      <c r="I31" s="176"/>
      <c r="J31" s="176"/>
      <c r="K31" s="22">
        <f>-F23</f>
        <v>0</v>
      </c>
      <c r="M31" s="211" t="str">
        <f>+$H$31</f>
        <v>(+) Other Non-Core-Business Assets:</v>
      </c>
      <c r="N31" s="176"/>
      <c r="O31" s="176"/>
      <c r="P31" s="22">
        <f>+K31</f>
        <v>0</v>
      </c>
      <c r="Q31" s="105"/>
      <c r="R31" s="105"/>
    </row>
    <row r="32" spans="3:18" x14ac:dyDescent="0.25">
      <c r="D32" s="68"/>
      <c r="E32" s="68"/>
      <c r="G32" s="16"/>
      <c r="H32" s="211" t="s">
        <v>102</v>
      </c>
      <c r="I32" s="176"/>
      <c r="J32" s="176"/>
      <c r="K32" s="22">
        <f>-F24</f>
        <v>-15.14</v>
      </c>
      <c r="M32" s="211" t="str">
        <f>+$H$32</f>
        <v>(-) Total Debt:</v>
      </c>
      <c r="N32" s="176"/>
      <c r="O32" s="176"/>
      <c r="P32" s="22">
        <f>+K32</f>
        <v>-15.14</v>
      </c>
      <c r="Q32" s="105"/>
      <c r="R32" s="105"/>
    </row>
    <row r="33" spans="2:28" x14ac:dyDescent="0.25">
      <c r="G33" s="16"/>
      <c r="H33" s="211" t="s">
        <v>103</v>
      </c>
      <c r="I33" s="176"/>
      <c r="J33" s="176"/>
      <c r="K33" s="146">
        <f>-F25</f>
        <v>0</v>
      </c>
      <c r="M33" s="211" t="str">
        <f>+$H$33</f>
        <v>(-) Other Funding Sources:</v>
      </c>
      <c r="N33" s="176"/>
      <c r="O33" s="176"/>
      <c r="P33" s="146">
        <f>+K33</f>
        <v>0</v>
      </c>
      <c r="Q33" s="105"/>
      <c r="R33" s="105"/>
    </row>
    <row r="34" spans="2:28" x14ac:dyDescent="0.25">
      <c r="G34" s="16"/>
      <c r="H34" s="133" t="s">
        <v>17</v>
      </c>
      <c r="I34" s="134"/>
      <c r="J34" s="134"/>
      <c r="K34" s="135">
        <f>+K26+SUM(K30:K33)</f>
        <v>52343.474246248021</v>
      </c>
      <c r="M34" s="133" t="str">
        <f>+$H$34</f>
        <v>Implied Equity Value:</v>
      </c>
      <c r="N34" s="134"/>
      <c r="O34" s="134"/>
      <c r="P34" s="135">
        <f>+P26+SUM(P30:P33)</f>
        <v>52293.668287047862</v>
      </c>
      <c r="Q34" s="105"/>
      <c r="R34" s="105"/>
      <c r="S34" s="220"/>
    </row>
    <row r="35" spans="2:28" x14ac:dyDescent="0.25">
      <c r="G35" s="16"/>
      <c r="Q35" s="105"/>
      <c r="R35" s="105"/>
    </row>
    <row r="36" spans="2:28" x14ac:dyDescent="0.25">
      <c r="G36" s="16"/>
      <c r="H36" s="5" t="s">
        <v>104</v>
      </c>
      <c r="K36" s="147">
        <f ca="1">+Basic_Shares+K45</f>
        <v>1353.1309375127407</v>
      </c>
      <c r="M36" s="5" t="s">
        <v>104</v>
      </c>
      <c r="P36" s="147">
        <f ca="1">+Basic_Shares+P45</f>
        <v>1353.1302508979795</v>
      </c>
      <c r="Q36" s="105"/>
      <c r="R36" s="105"/>
    </row>
    <row r="37" spans="2:28" x14ac:dyDescent="0.25">
      <c r="G37" s="16"/>
      <c r="Q37" s="105"/>
      <c r="R37" s="105"/>
    </row>
    <row r="38" spans="2:28" x14ac:dyDescent="0.25">
      <c r="G38" s="16"/>
      <c r="H38" s="148" t="s">
        <v>105</v>
      </c>
      <c r="I38" s="149"/>
      <c r="J38" s="149"/>
      <c r="K38" s="150">
        <f ca="1">+K34/K36</f>
        <v>38.68322923904411</v>
      </c>
      <c r="M38" s="148" t="s">
        <v>105</v>
      </c>
      <c r="N38" s="149"/>
      <c r="O38" s="149"/>
      <c r="P38" s="150">
        <f ca="1">+P34/P36</f>
        <v>38.646440911615237</v>
      </c>
    </row>
    <row r="39" spans="2:28" x14ac:dyDescent="0.25">
      <c r="G39" s="16"/>
      <c r="H39" s="151" t="s">
        <v>106</v>
      </c>
      <c r="I39" s="152"/>
      <c r="J39" s="152"/>
      <c r="K39" s="153">
        <f ca="1">+K38/Share_Price-1</f>
        <v>0.83419768795846894</v>
      </c>
      <c r="M39" s="151" t="s">
        <v>106</v>
      </c>
      <c r="N39" s="152"/>
      <c r="O39" s="152"/>
      <c r="P39" s="153">
        <f ca="1">+P38/Share_Price-1</f>
        <v>0.83245333862566318</v>
      </c>
    </row>
    <row r="40" spans="2:28" x14ac:dyDescent="0.25">
      <c r="G40" s="16"/>
      <c r="I40" s="25"/>
      <c r="J40" s="16"/>
      <c r="K40" s="16"/>
      <c r="M40" s="16"/>
      <c r="N40" s="16"/>
      <c r="O40" s="16"/>
      <c r="P40" s="16"/>
    </row>
    <row r="41" spans="2:28" x14ac:dyDescent="0.25">
      <c r="G41" s="16"/>
      <c r="H41" s="214"/>
      <c r="I41" s="214"/>
      <c r="J41" s="154" t="s">
        <v>107</v>
      </c>
      <c r="K41" s="214"/>
      <c r="L41" s="16"/>
      <c r="M41" s="215"/>
      <c r="N41" s="215"/>
      <c r="O41" s="154" t="str">
        <f>+$J$41</f>
        <v>Exercise</v>
      </c>
      <c r="P41" s="215"/>
    </row>
    <row r="42" spans="2:28" x14ac:dyDescent="0.25">
      <c r="G42" s="16"/>
      <c r="H42" s="155" t="s">
        <v>108</v>
      </c>
      <c r="I42" s="155" t="s">
        <v>109</v>
      </c>
      <c r="J42" s="155" t="s">
        <v>110</v>
      </c>
      <c r="K42" s="155" t="s">
        <v>111</v>
      </c>
      <c r="L42" s="16"/>
      <c r="M42" s="155" t="str">
        <f>+$H$42</f>
        <v>Type:</v>
      </c>
      <c r="N42" s="155" t="str">
        <f>+$I$42</f>
        <v>Number:</v>
      </c>
      <c r="O42" s="155" t="str">
        <f>+$J$42</f>
        <v>Price:</v>
      </c>
      <c r="P42" s="155" t="str">
        <f>+$K$42</f>
        <v>Dilution:</v>
      </c>
    </row>
    <row r="43" spans="2:28" x14ac:dyDescent="0.25">
      <c r="G43" s="16"/>
      <c r="H43" s="21" t="s">
        <v>112</v>
      </c>
      <c r="I43" s="156">
        <v>15.944000000000001</v>
      </c>
      <c r="J43" s="157">
        <v>1.75</v>
      </c>
      <c r="K43" s="147">
        <f ca="1">IF(J43&lt;K$38,I43-((I43*J43)/K$38),0)</f>
        <v>15.222705512728041</v>
      </c>
      <c r="L43" s="16"/>
      <c r="M43" s="21" t="str">
        <f>+$H$43</f>
        <v>Options:</v>
      </c>
      <c r="N43" s="158">
        <f>+I43</f>
        <v>15.944000000000001</v>
      </c>
      <c r="O43" s="159">
        <f>+J43</f>
        <v>1.75</v>
      </c>
      <c r="P43" s="147">
        <f ca="1">IF(O43&lt;P$38,N43-((N43*O43)/P$38),0)</f>
        <v>15.222018897941673</v>
      </c>
    </row>
    <row r="44" spans="2:28" x14ac:dyDescent="0.25">
      <c r="G44" s="16"/>
      <c r="H44" s="21" t="s">
        <v>115</v>
      </c>
      <c r="I44" s="156">
        <f>152.114+28.581</f>
        <v>180.69499999999999</v>
      </c>
      <c r="J44" s="157" t="s">
        <v>116</v>
      </c>
      <c r="K44" s="147">
        <f>+I44</f>
        <v>180.69499999999999</v>
      </c>
      <c r="L44" s="16"/>
      <c r="M44" s="21" t="str">
        <f>+$H$44</f>
        <v>RSUs:</v>
      </c>
      <c r="N44" s="158">
        <f>+I44</f>
        <v>180.69499999999999</v>
      </c>
      <c r="O44" s="159" t="str">
        <f>+J44</f>
        <v>N/A</v>
      </c>
      <c r="P44" s="147">
        <f>+N44</f>
        <v>180.69499999999999</v>
      </c>
    </row>
    <row r="45" spans="2:28" x14ac:dyDescent="0.25">
      <c r="G45" s="16"/>
      <c r="H45" s="160" t="s">
        <v>113</v>
      </c>
      <c r="I45" s="161"/>
      <c r="J45" s="162"/>
      <c r="K45" s="163">
        <f ca="1">SUM(K43:K44)</f>
        <v>195.91770551272805</v>
      </c>
      <c r="L45" s="16"/>
      <c r="M45" s="160" t="str">
        <f>+H45</f>
        <v>Total:</v>
      </c>
      <c r="N45" s="161"/>
      <c r="O45" s="162"/>
      <c r="P45" s="163">
        <f ca="1">SUM(P43:P44)</f>
        <v>195.91701889794166</v>
      </c>
    </row>
    <row r="46" spans="2:28" x14ac:dyDescent="0.25">
      <c r="G46" s="16"/>
      <c r="H46" s="16"/>
      <c r="I46" s="16"/>
      <c r="J46" s="16"/>
      <c r="K46" s="16"/>
      <c r="L46" s="16"/>
      <c r="M46" s="16"/>
      <c r="N46" s="16"/>
      <c r="O46" s="16"/>
    </row>
    <row r="47" spans="2:28" x14ac:dyDescent="0.25">
      <c r="B47" s="7"/>
      <c r="C47" s="7"/>
      <c r="D47" s="7"/>
      <c r="E47" s="7"/>
      <c r="F47" s="7"/>
      <c r="G47" s="26" t="s">
        <v>31</v>
      </c>
      <c r="H47" s="27"/>
      <c r="I47" s="26" t="s">
        <v>120</v>
      </c>
      <c r="J47" s="28"/>
      <c r="K47" s="28"/>
      <c r="L47" s="28"/>
      <c r="M47" s="28"/>
      <c r="N47" s="28"/>
      <c r="O47" s="28"/>
      <c r="P47" s="28"/>
      <c r="Q47" s="28"/>
      <c r="R47" s="28"/>
      <c r="S47" s="174" t="s">
        <v>121</v>
      </c>
      <c r="T47" s="27"/>
      <c r="U47" s="27"/>
      <c r="V47" s="27"/>
      <c r="W47" s="170"/>
      <c r="X47" s="170"/>
      <c r="Y47" s="27"/>
      <c r="Z47" s="27"/>
      <c r="AA47" s="27"/>
      <c r="AB47" s="27"/>
    </row>
    <row r="48" spans="2:28" x14ac:dyDescent="0.25">
      <c r="B48" s="8" t="str">
        <f>Company_Name&amp;" - FCF Projections:"</f>
        <v>Snap Inc. - FCF Projections:</v>
      </c>
      <c r="C48" s="8"/>
      <c r="D48" s="8"/>
      <c r="E48" s="8"/>
      <c r="F48" s="29" t="s">
        <v>22</v>
      </c>
      <c r="G48" s="2">
        <f>EOMONTH(H48,-12)</f>
        <v>42369</v>
      </c>
      <c r="H48" s="3">
        <f>Hist_Year</f>
        <v>42735</v>
      </c>
      <c r="I48" s="2">
        <f>EOMONTH(H48,12)</f>
        <v>43100</v>
      </c>
      <c r="J48" s="4">
        <f t="shared" ref="J48:R48" si="0">EOMONTH(I48,12)</f>
        <v>43465</v>
      </c>
      <c r="K48" s="4">
        <f t="shared" si="0"/>
        <v>43830</v>
      </c>
      <c r="L48" s="4">
        <f t="shared" si="0"/>
        <v>44196</v>
      </c>
      <c r="M48" s="4">
        <f t="shared" si="0"/>
        <v>44561</v>
      </c>
      <c r="N48" s="4">
        <f t="shared" si="0"/>
        <v>44926</v>
      </c>
      <c r="O48" s="4">
        <f t="shared" si="0"/>
        <v>45291</v>
      </c>
      <c r="P48" s="4">
        <f t="shared" si="0"/>
        <v>45657</v>
      </c>
      <c r="Q48" s="4">
        <f t="shared" si="0"/>
        <v>46022</v>
      </c>
      <c r="R48" s="4">
        <f t="shared" si="0"/>
        <v>46387</v>
      </c>
      <c r="S48" s="171">
        <f t="shared" ref="S48" si="1">EOMONTH(R48,12)</f>
        <v>46752</v>
      </c>
      <c r="T48" s="172">
        <f t="shared" ref="T48" si="2">EOMONTH(S48,12)</f>
        <v>47118</v>
      </c>
      <c r="U48" s="172">
        <f t="shared" ref="U48" si="3">EOMONTH(T48,12)</f>
        <v>47483</v>
      </c>
      <c r="V48" s="172">
        <f t="shared" ref="V48" si="4">EOMONTH(U48,12)</f>
        <v>47848</v>
      </c>
      <c r="W48" s="172">
        <f t="shared" ref="W48" si="5">EOMONTH(V48,12)</f>
        <v>48213</v>
      </c>
      <c r="X48" s="172">
        <f t="shared" ref="X48" si="6">EOMONTH(W48,12)</f>
        <v>48579</v>
      </c>
      <c r="Y48" s="172">
        <f t="shared" ref="Y48" si="7">EOMONTH(X48,12)</f>
        <v>48944</v>
      </c>
      <c r="Z48" s="172">
        <f t="shared" ref="Z48" si="8">EOMONTH(Y48,12)</f>
        <v>49309</v>
      </c>
      <c r="AA48" s="172">
        <f t="shared" ref="AA48" si="9">EOMONTH(Z48,12)</f>
        <v>49674</v>
      </c>
      <c r="AB48" s="173">
        <f t="shared" ref="AB48" si="10">EOMONTH(AA48,12)</f>
        <v>50040</v>
      </c>
    </row>
    <row r="49" spans="3:28" x14ac:dyDescent="0.25">
      <c r="C49" s="11"/>
      <c r="D49" s="11"/>
      <c r="E49" s="11"/>
      <c r="F49" s="11"/>
      <c r="I49" s="20"/>
      <c r="J49" s="20"/>
      <c r="K49" s="20"/>
      <c r="L49" s="20"/>
      <c r="M49" s="20"/>
    </row>
    <row r="50" spans="3:28" x14ac:dyDescent="0.25">
      <c r="C50" s="11" t="s">
        <v>135</v>
      </c>
      <c r="D50" s="11"/>
      <c r="E50" s="11"/>
      <c r="F50" s="30" t="s">
        <v>24</v>
      </c>
      <c r="G50" s="53">
        <f>(80+86+94+107)/4</f>
        <v>91.75</v>
      </c>
      <c r="H50" s="53">
        <f>(122+143+153+158)/4</f>
        <v>144</v>
      </c>
      <c r="I50" s="53">
        <f>+H50*(1+I56)</f>
        <v>187.20000000000002</v>
      </c>
      <c r="J50" s="53">
        <f t="shared" ref="J50:R50" si="11">+I50*(1+J56)</f>
        <v>234.00000000000003</v>
      </c>
      <c r="K50" s="53">
        <f t="shared" si="11"/>
        <v>280.8</v>
      </c>
      <c r="L50" s="53">
        <f t="shared" si="11"/>
        <v>336.96</v>
      </c>
      <c r="M50" s="53">
        <f t="shared" si="11"/>
        <v>387.50399999999996</v>
      </c>
      <c r="N50" s="53">
        <f t="shared" si="11"/>
        <v>445.62959999999993</v>
      </c>
      <c r="O50" s="53">
        <f t="shared" si="11"/>
        <v>490.19255999999996</v>
      </c>
      <c r="P50" s="53">
        <f t="shared" si="11"/>
        <v>539.211816</v>
      </c>
      <c r="Q50" s="53">
        <f t="shared" si="11"/>
        <v>566.17240679999998</v>
      </c>
      <c r="R50" s="53">
        <f t="shared" si="11"/>
        <v>594.48102714000004</v>
      </c>
      <c r="S50" s="53">
        <f t="shared" ref="S50" si="12">+R50*(1+S56)</f>
        <v>618.26026822560004</v>
      </c>
      <c r="T50" s="53">
        <f t="shared" ref="T50" si="13">+S50*(1+T56)</f>
        <v>636.80807627236811</v>
      </c>
      <c r="U50" s="53">
        <f t="shared" ref="U50" si="14">+T50*(1+U56)</f>
        <v>649.54423779781553</v>
      </c>
      <c r="V50" s="53">
        <f t="shared" ref="V50" si="15">+U50*(1+V56)</f>
        <v>656.03968017579371</v>
      </c>
      <c r="W50" s="53">
        <f t="shared" ref="W50" si="16">+V50*(1+W56)</f>
        <v>662.60007697755168</v>
      </c>
      <c r="X50" s="53">
        <f t="shared" ref="X50" si="17">+W50*(1+X56)</f>
        <v>669.22607774732717</v>
      </c>
      <c r="Y50" s="53">
        <f t="shared" ref="Y50" si="18">+X50*(1+Y56)</f>
        <v>675.91833852480045</v>
      </c>
      <c r="Z50" s="53">
        <f t="shared" ref="Z50" si="19">+Y50*(1+Z56)</f>
        <v>682.67752191004843</v>
      </c>
      <c r="AA50" s="53">
        <f t="shared" ref="AA50" si="20">+Z50*(1+AA56)</f>
        <v>689.50429712914888</v>
      </c>
      <c r="AB50" s="53">
        <f t="shared" ref="AB50" si="21">+AA50*(1+AB56)</f>
        <v>696.39934010044033</v>
      </c>
    </row>
    <row r="51" spans="3:28" x14ac:dyDescent="0.25">
      <c r="C51" s="11"/>
      <c r="D51" s="11"/>
      <c r="E51" s="11"/>
      <c r="F51" s="30"/>
      <c r="G51" s="54"/>
      <c r="H51" s="54"/>
      <c r="I51" s="20"/>
      <c r="J51" s="20"/>
      <c r="K51" s="20"/>
      <c r="L51" s="20"/>
      <c r="M51" s="20"/>
    </row>
    <row r="52" spans="3:28" x14ac:dyDescent="0.25">
      <c r="C52" s="56" t="s">
        <v>37</v>
      </c>
      <c r="D52" s="11"/>
      <c r="E52" s="11"/>
      <c r="F52" s="30" t="s">
        <v>23</v>
      </c>
      <c r="J52" s="20"/>
      <c r="K52" s="20"/>
      <c r="L52" s="20"/>
      <c r="M52" s="20"/>
    </row>
    <row r="53" spans="3:28" x14ac:dyDescent="0.25">
      <c r="C53" s="17" t="s">
        <v>33</v>
      </c>
      <c r="D53" s="11"/>
      <c r="E53" s="11"/>
      <c r="F53" s="30" t="s">
        <v>23</v>
      </c>
      <c r="I53" s="59">
        <v>0.3</v>
      </c>
      <c r="J53" s="59">
        <v>0.25</v>
      </c>
      <c r="K53" s="59">
        <v>0.2</v>
      </c>
      <c r="L53" s="59">
        <v>0.2</v>
      </c>
      <c r="M53" s="59">
        <v>0.15</v>
      </c>
      <c r="N53" s="59">
        <v>0.15</v>
      </c>
      <c r="O53" s="59">
        <v>0.1</v>
      </c>
      <c r="P53" s="59">
        <v>0.1</v>
      </c>
      <c r="Q53" s="59">
        <v>0.05</v>
      </c>
      <c r="R53" s="59">
        <v>0.05</v>
      </c>
      <c r="S53" s="59">
        <v>0.04</v>
      </c>
      <c r="T53" s="59">
        <v>0.03</v>
      </c>
      <c r="U53" s="59">
        <v>0.02</v>
      </c>
      <c r="V53" s="59">
        <v>0.01</v>
      </c>
      <c r="W53" s="59">
        <v>0.01</v>
      </c>
      <c r="X53" s="59">
        <v>0.01</v>
      </c>
      <c r="Y53" s="59">
        <v>0.01</v>
      </c>
      <c r="Z53" s="59">
        <v>0.01</v>
      </c>
      <c r="AA53" s="59">
        <v>0.01</v>
      </c>
      <c r="AB53" s="59">
        <v>0.01</v>
      </c>
    </row>
    <row r="54" spans="3:28" x14ac:dyDescent="0.25">
      <c r="C54" s="17" t="s">
        <v>34</v>
      </c>
      <c r="D54" s="11"/>
      <c r="E54" s="11"/>
      <c r="F54" s="30" t="s">
        <v>23</v>
      </c>
      <c r="I54" s="59">
        <v>0.2</v>
      </c>
      <c r="J54" s="59">
        <v>0.15</v>
      </c>
      <c r="K54" s="59">
        <v>0.15</v>
      </c>
      <c r="L54" s="59">
        <v>0.1</v>
      </c>
      <c r="M54" s="59">
        <v>0.1</v>
      </c>
      <c r="N54" s="59">
        <v>0.09</v>
      </c>
      <c r="O54" s="59">
        <v>0.08</v>
      </c>
      <c r="P54" s="59">
        <v>7.0000000000000007E-2</v>
      </c>
      <c r="Q54" s="59">
        <v>0.06</v>
      </c>
      <c r="R54" s="59">
        <v>0.05</v>
      </c>
      <c r="S54" s="59">
        <v>0.04</v>
      </c>
      <c r="T54" s="59">
        <v>0.03</v>
      </c>
      <c r="U54" s="59">
        <v>0.02</v>
      </c>
      <c r="V54" s="59">
        <v>0.01</v>
      </c>
      <c r="W54" s="59">
        <v>0.01</v>
      </c>
      <c r="X54" s="59">
        <v>0.01</v>
      </c>
      <c r="Y54" s="59">
        <v>0.01</v>
      </c>
      <c r="Z54" s="59">
        <v>0.01</v>
      </c>
      <c r="AA54" s="59">
        <v>0.01</v>
      </c>
      <c r="AB54" s="59">
        <v>0.01</v>
      </c>
    </row>
    <row r="55" spans="3:28" x14ac:dyDescent="0.25">
      <c r="C55" s="18" t="s">
        <v>35</v>
      </c>
      <c r="D55" s="19"/>
      <c r="E55" s="19"/>
      <c r="F55" s="58" t="s">
        <v>23</v>
      </c>
      <c r="G55" s="19"/>
      <c r="H55" s="19"/>
      <c r="I55" s="60">
        <v>0.1</v>
      </c>
      <c r="J55" s="60">
        <v>0.1</v>
      </c>
      <c r="K55" s="60">
        <v>0.05</v>
      </c>
      <c r="L55" s="60">
        <v>0.05</v>
      </c>
      <c r="M55" s="60">
        <v>0.05</v>
      </c>
      <c r="N55" s="60">
        <v>0.04</v>
      </c>
      <c r="O55" s="60">
        <v>0.03</v>
      </c>
      <c r="P55" s="60">
        <v>0.02</v>
      </c>
      <c r="Q55" s="60">
        <v>0.01</v>
      </c>
      <c r="R55" s="60">
        <v>0.01</v>
      </c>
      <c r="S55" s="60">
        <v>0.01</v>
      </c>
      <c r="T55" s="60">
        <v>0.01</v>
      </c>
      <c r="U55" s="60">
        <v>0.01</v>
      </c>
      <c r="V55" s="60">
        <v>0.01</v>
      </c>
      <c r="W55" s="60">
        <v>0.01</v>
      </c>
      <c r="X55" s="60">
        <v>0.01</v>
      </c>
      <c r="Y55" s="60">
        <v>0.01</v>
      </c>
      <c r="Z55" s="60">
        <v>0.01</v>
      </c>
      <c r="AA55" s="60">
        <v>0.01</v>
      </c>
      <c r="AB55" s="60">
        <v>0.01</v>
      </c>
    </row>
    <row r="56" spans="3:28" x14ac:dyDescent="0.25">
      <c r="C56" s="20" t="s">
        <v>38</v>
      </c>
      <c r="D56" s="11"/>
      <c r="E56" s="11"/>
      <c r="F56" s="30" t="s">
        <v>23</v>
      </c>
      <c r="H56" s="57">
        <f>+H50/G50-1</f>
        <v>0.56948228882833796</v>
      </c>
      <c r="I56" s="61">
        <f t="shared" ref="I56:R56" si="22">INDEX(I53:I55,MATCH(Scenario,$C53:$C55,0))</f>
        <v>0.3</v>
      </c>
      <c r="J56" s="61">
        <f t="shared" si="22"/>
        <v>0.25</v>
      </c>
      <c r="K56" s="61">
        <f t="shared" si="22"/>
        <v>0.2</v>
      </c>
      <c r="L56" s="61">
        <f t="shared" si="22"/>
        <v>0.2</v>
      </c>
      <c r="M56" s="61">
        <f t="shared" si="22"/>
        <v>0.15</v>
      </c>
      <c r="N56" s="61">
        <f t="shared" si="22"/>
        <v>0.15</v>
      </c>
      <c r="O56" s="61">
        <f t="shared" si="22"/>
        <v>0.1</v>
      </c>
      <c r="P56" s="61">
        <f t="shared" si="22"/>
        <v>0.1</v>
      </c>
      <c r="Q56" s="61">
        <f t="shared" si="22"/>
        <v>0.05</v>
      </c>
      <c r="R56" s="61">
        <f t="shared" si="22"/>
        <v>0.05</v>
      </c>
      <c r="S56" s="61">
        <f t="shared" ref="S56:AB56" si="23">INDEX(S53:S55,MATCH(Scenario,$C53:$C55,0))</f>
        <v>0.04</v>
      </c>
      <c r="T56" s="61">
        <f t="shared" si="23"/>
        <v>0.03</v>
      </c>
      <c r="U56" s="61">
        <f t="shared" si="23"/>
        <v>0.02</v>
      </c>
      <c r="V56" s="61">
        <f t="shared" si="23"/>
        <v>0.01</v>
      </c>
      <c r="W56" s="61">
        <f t="shared" si="23"/>
        <v>0.01</v>
      </c>
      <c r="X56" s="61">
        <f t="shared" si="23"/>
        <v>0.01</v>
      </c>
      <c r="Y56" s="61">
        <f t="shared" si="23"/>
        <v>0.01</v>
      </c>
      <c r="Z56" s="61">
        <f t="shared" si="23"/>
        <v>0.01</v>
      </c>
      <c r="AA56" s="61">
        <f t="shared" si="23"/>
        <v>0.01</v>
      </c>
      <c r="AB56" s="61">
        <f t="shared" si="23"/>
        <v>0.01</v>
      </c>
    </row>
    <row r="57" spans="3:28" x14ac:dyDescent="0.25">
      <c r="C57" s="11"/>
      <c r="D57" s="11"/>
      <c r="E57" s="11"/>
      <c r="F57" s="11"/>
      <c r="I57" s="20"/>
      <c r="J57" s="20"/>
      <c r="K57" s="20"/>
      <c r="L57" s="20"/>
      <c r="M57" s="20"/>
    </row>
    <row r="58" spans="3:28" x14ac:dyDescent="0.25">
      <c r="C58" s="11" t="s">
        <v>36</v>
      </c>
      <c r="D58" s="11"/>
      <c r="E58" s="11"/>
      <c r="F58" s="32" t="s">
        <v>26</v>
      </c>
      <c r="G58" s="64">
        <f>+G66/G50</f>
        <v>0.6393787465940054</v>
      </c>
      <c r="H58" s="64">
        <f>+H66/H50</f>
        <v>2.808902777777778</v>
      </c>
      <c r="I58" s="64">
        <f>+H58*(1+I64)</f>
        <v>4.213354166666667</v>
      </c>
      <c r="J58" s="64">
        <f t="shared" ref="J58:R58" si="24">+I58*(1+J64)</f>
        <v>6.1093635416666672</v>
      </c>
      <c r="K58" s="64">
        <f t="shared" si="24"/>
        <v>8.5531089583333326</v>
      </c>
      <c r="L58" s="64">
        <f t="shared" si="24"/>
        <v>11.54669709375</v>
      </c>
      <c r="M58" s="64">
        <f t="shared" si="24"/>
        <v>15.010706221875001</v>
      </c>
      <c r="N58" s="64">
        <f t="shared" si="24"/>
        <v>18.76338277734375</v>
      </c>
      <c r="O58" s="64">
        <f t="shared" si="24"/>
        <v>22.5160593328125</v>
      </c>
      <c r="P58" s="64">
        <f t="shared" si="24"/>
        <v>25.893468232734371</v>
      </c>
      <c r="Q58" s="64">
        <f t="shared" si="24"/>
        <v>28.482815056007809</v>
      </c>
      <c r="R58" s="64">
        <f t="shared" si="24"/>
        <v>31.331096561608593</v>
      </c>
      <c r="S58" s="64">
        <f t="shared" ref="S58" si="25">+R58*(1+S64)</f>
        <v>34.150895252153369</v>
      </c>
      <c r="T58" s="64">
        <f t="shared" ref="T58" si="26">+S58*(1+T64)</f>
        <v>36.882966872325639</v>
      </c>
      <c r="U58" s="64">
        <f t="shared" ref="U58" si="27">+T58*(1+U64)</f>
        <v>39.464774553388438</v>
      </c>
      <c r="V58" s="64">
        <f t="shared" ref="V58" si="28">+U58*(1+V64)</f>
        <v>41.832661026591744</v>
      </c>
      <c r="W58" s="64">
        <f t="shared" ref="W58" si="29">+V58*(1+W64)</f>
        <v>43.924294077921331</v>
      </c>
      <c r="X58" s="64">
        <f t="shared" ref="X58" si="30">+W58*(1+X64)</f>
        <v>45.681265841038183</v>
      </c>
      <c r="Y58" s="64">
        <f t="shared" ref="Y58" si="31">+X58*(1+Y64)</f>
        <v>47.051703816269331</v>
      </c>
      <c r="Z58" s="64">
        <f t="shared" ref="Z58" si="32">+Y58*(1+Z64)</f>
        <v>47.992737892594718</v>
      </c>
      <c r="AA58" s="64">
        <f t="shared" ref="AA58" si="33">+Z58*(1+AA64)</f>
        <v>48.952592650446611</v>
      </c>
      <c r="AB58" s="64">
        <f t="shared" ref="AB58" si="34">+AA58*(1+AB64)</f>
        <v>49.931644503455544</v>
      </c>
    </row>
    <row r="59" spans="3:28" x14ac:dyDescent="0.25">
      <c r="C59" s="11"/>
      <c r="D59" s="11"/>
      <c r="E59" s="11"/>
      <c r="F59" s="11"/>
      <c r="I59" s="20"/>
      <c r="J59" s="20"/>
      <c r="K59" s="20"/>
      <c r="L59" s="20"/>
      <c r="M59" s="20"/>
    </row>
    <row r="60" spans="3:28" x14ac:dyDescent="0.25">
      <c r="C60" s="56" t="s">
        <v>39</v>
      </c>
      <c r="D60" s="11"/>
      <c r="E60" s="11"/>
      <c r="F60" s="30" t="s">
        <v>23</v>
      </c>
      <c r="J60" s="20"/>
      <c r="K60" s="20"/>
      <c r="L60" s="20"/>
      <c r="M60" s="20"/>
    </row>
    <row r="61" spans="3:28" x14ac:dyDescent="0.25">
      <c r="C61" s="17" t="str">
        <f>+$C$53</f>
        <v>Facebook-Like</v>
      </c>
      <c r="D61" s="11"/>
      <c r="E61" s="11"/>
      <c r="F61" s="30" t="s">
        <v>23</v>
      </c>
      <c r="I61" s="59">
        <v>0.5</v>
      </c>
      <c r="J61" s="59">
        <v>0.45</v>
      </c>
      <c r="K61" s="59">
        <v>0.4</v>
      </c>
      <c r="L61" s="59">
        <v>0.35</v>
      </c>
      <c r="M61" s="59">
        <v>0.3</v>
      </c>
      <c r="N61" s="59">
        <v>0.25</v>
      </c>
      <c r="O61" s="59">
        <v>0.2</v>
      </c>
      <c r="P61" s="59">
        <v>0.15</v>
      </c>
      <c r="Q61" s="59">
        <v>0.1</v>
      </c>
      <c r="R61" s="59">
        <v>0.1</v>
      </c>
      <c r="S61" s="59">
        <v>0.09</v>
      </c>
      <c r="T61" s="59">
        <v>0.08</v>
      </c>
      <c r="U61" s="59">
        <v>7.0000000000000007E-2</v>
      </c>
      <c r="V61" s="59">
        <v>0.06</v>
      </c>
      <c r="W61" s="59">
        <v>0.05</v>
      </c>
      <c r="X61" s="59">
        <v>0.04</v>
      </c>
      <c r="Y61" s="59">
        <v>0.03</v>
      </c>
      <c r="Z61" s="59">
        <v>0.02</v>
      </c>
      <c r="AA61" s="59">
        <v>0.02</v>
      </c>
      <c r="AB61" s="59">
        <v>0.02</v>
      </c>
    </row>
    <row r="62" spans="3:28" x14ac:dyDescent="0.25">
      <c r="C62" s="17" t="str">
        <f>+$C$54</f>
        <v>Twitter-Like</v>
      </c>
      <c r="D62" s="11"/>
      <c r="E62" s="11"/>
      <c r="F62" s="30" t="s">
        <v>23</v>
      </c>
      <c r="I62" s="59">
        <v>0.25</v>
      </c>
      <c r="J62" s="59">
        <v>0.2</v>
      </c>
      <c r="K62" s="59">
        <v>0.15</v>
      </c>
      <c r="L62" s="59">
        <v>0.125</v>
      </c>
      <c r="M62" s="59">
        <v>0.1</v>
      </c>
      <c r="N62" s="59">
        <v>0.09</v>
      </c>
      <c r="O62" s="59">
        <v>0.08</v>
      </c>
      <c r="P62" s="59">
        <v>7.0000000000000007E-2</v>
      </c>
      <c r="Q62" s="59">
        <v>0.06</v>
      </c>
      <c r="R62" s="59">
        <v>0.05</v>
      </c>
      <c r="S62" s="59">
        <v>0.04</v>
      </c>
      <c r="T62" s="59">
        <v>0.03</v>
      </c>
      <c r="U62" s="59">
        <v>0.02</v>
      </c>
      <c r="V62" s="59">
        <v>0.01</v>
      </c>
      <c r="W62" s="59">
        <v>0.01</v>
      </c>
      <c r="X62" s="59">
        <v>0.01</v>
      </c>
      <c r="Y62" s="59">
        <v>0.01</v>
      </c>
      <c r="Z62" s="59">
        <v>0.01</v>
      </c>
      <c r="AA62" s="59">
        <v>0.01</v>
      </c>
      <c r="AB62" s="59">
        <v>0.01</v>
      </c>
    </row>
    <row r="63" spans="3:28" x14ac:dyDescent="0.25">
      <c r="C63" s="18" t="str">
        <f>+$C$55</f>
        <v>Crash and Burn</v>
      </c>
      <c r="D63" s="19"/>
      <c r="E63" s="19"/>
      <c r="F63" s="58" t="s">
        <v>23</v>
      </c>
      <c r="G63" s="19"/>
      <c r="H63" s="19"/>
      <c r="I63" s="60">
        <v>0.1</v>
      </c>
      <c r="J63" s="60">
        <v>0.1</v>
      </c>
      <c r="K63" s="60">
        <v>0.05</v>
      </c>
      <c r="L63" s="60">
        <v>0.05</v>
      </c>
      <c r="M63" s="60">
        <v>0.05</v>
      </c>
      <c r="N63" s="60">
        <v>0.05</v>
      </c>
      <c r="O63" s="60">
        <v>0.05</v>
      </c>
      <c r="P63" s="60">
        <v>0.05</v>
      </c>
      <c r="Q63" s="60">
        <v>0.05</v>
      </c>
      <c r="R63" s="60">
        <v>0.05</v>
      </c>
      <c r="S63" s="60">
        <v>0.04</v>
      </c>
      <c r="T63" s="60">
        <v>0.03</v>
      </c>
      <c r="U63" s="60">
        <v>0.02</v>
      </c>
      <c r="V63" s="60">
        <v>0.01</v>
      </c>
      <c r="W63" s="60">
        <v>0.01</v>
      </c>
      <c r="X63" s="60">
        <v>0.01</v>
      </c>
      <c r="Y63" s="60">
        <v>0.01</v>
      </c>
      <c r="Z63" s="60">
        <v>0.01</v>
      </c>
      <c r="AA63" s="60">
        <v>0.01</v>
      </c>
      <c r="AB63" s="60">
        <v>0.01</v>
      </c>
    </row>
    <row r="64" spans="3:28" x14ac:dyDescent="0.25">
      <c r="C64" s="20" t="s">
        <v>40</v>
      </c>
      <c r="D64" s="11"/>
      <c r="E64" s="11"/>
      <c r="F64" s="30" t="s">
        <v>23</v>
      </c>
      <c r="H64" s="57">
        <f>+H58/G58-1</f>
        <v>3.3931750824388649</v>
      </c>
      <c r="I64" s="61">
        <f t="shared" ref="I64:R64" si="35">INDEX(I61:I63,MATCH(Scenario,$C61:$C63,0))</f>
        <v>0.5</v>
      </c>
      <c r="J64" s="61">
        <f t="shared" si="35"/>
        <v>0.45</v>
      </c>
      <c r="K64" s="61">
        <f t="shared" si="35"/>
        <v>0.4</v>
      </c>
      <c r="L64" s="61">
        <f t="shared" si="35"/>
        <v>0.35</v>
      </c>
      <c r="M64" s="61">
        <f t="shared" si="35"/>
        <v>0.3</v>
      </c>
      <c r="N64" s="61">
        <f t="shared" si="35"/>
        <v>0.25</v>
      </c>
      <c r="O64" s="61">
        <f t="shared" si="35"/>
        <v>0.2</v>
      </c>
      <c r="P64" s="61">
        <f t="shared" si="35"/>
        <v>0.15</v>
      </c>
      <c r="Q64" s="61">
        <f t="shared" si="35"/>
        <v>0.1</v>
      </c>
      <c r="R64" s="61">
        <f t="shared" si="35"/>
        <v>0.1</v>
      </c>
      <c r="S64" s="61">
        <f t="shared" ref="S64:AB64" si="36">INDEX(S61:S63,MATCH(Scenario,$C61:$C63,0))</f>
        <v>0.09</v>
      </c>
      <c r="T64" s="61">
        <f t="shared" si="36"/>
        <v>0.08</v>
      </c>
      <c r="U64" s="61">
        <f t="shared" si="36"/>
        <v>7.0000000000000007E-2</v>
      </c>
      <c r="V64" s="61">
        <f t="shared" si="36"/>
        <v>0.06</v>
      </c>
      <c r="W64" s="61">
        <f t="shared" si="36"/>
        <v>0.05</v>
      </c>
      <c r="X64" s="61">
        <f t="shared" si="36"/>
        <v>0.04</v>
      </c>
      <c r="Y64" s="61">
        <f t="shared" si="36"/>
        <v>0.03</v>
      </c>
      <c r="Z64" s="61">
        <f t="shared" si="36"/>
        <v>0.02</v>
      </c>
      <c r="AA64" s="61">
        <f t="shared" si="36"/>
        <v>0.02</v>
      </c>
      <c r="AB64" s="61">
        <f t="shared" si="36"/>
        <v>0.02</v>
      </c>
    </row>
    <row r="65" spans="3:28" x14ac:dyDescent="0.25">
      <c r="C65" s="11"/>
      <c r="D65" s="11"/>
      <c r="E65" s="11"/>
      <c r="F65" s="11"/>
      <c r="I65" s="20"/>
      <c r="J65" s="20"/>
      <c r="K65" s="20"/>
      <c r="L65" s="20"/>
      <c r="M65" s="20"/>
    </row>
    <row r="66" spans="3:28" x14ac:dyDescent="0.25">
      <c r="C66" s="20" t="s">
        <v>0</v>
      </c>
      <c r="D66" s="11"/>
      <c r="E66" s="11"/>
      <c r="F66" s="32" t="s">
        <v>25</v>
      </c>
      <c r="G66" s="52">
        <v>58.662999999999997</v>
      </c>
      <c r="H66" s="52">
        <v>404.48200000000003</v>
      </c>
      <c r="I66" s="13">
        <f>+I58*I50</f>
        <v>788.73990000000015</v>
      </c>
      <c r="J66" s="13">
        <f t="shared" ref="J66:R66" si="37">+J58*J50</f>
        <v>1429.5910687500002</v>
      </c>
      <c r="K66" s="13">
        <f t="shared" si="37"/>
        <v>2401.7129955</v>
      </c>
      <c r="L66" s="13">
        <f t="shared" si="37"/>
        <v>3890.7750527099997</v>
      </c>
      <c r="M66" s="13">
        <f t="shared" si="37"/>
        <v>5816.7087038014497</v>
      </c>
      <c r="N66" s="13">
        <f t="shared" si="37"/>
        <v>8361.5187617145839</v>
      </c>
      <c r="O66" s="13">
        <f t="shared" si="37"/>
        <v>11037.20476546325</v>
      </c>
      <c r="P66" s="13">
        <f t="shared" si="37"/>
        <v>13962.064028311011</v>
      </c>
      <c r="Q66" s="13">
        <f t="shared" si="37"/>
        <v>16126.183952699217</v>
      </c>
      <c r="R66" s="13">
        <f t="shared" si="37"/>
        <v>18625.742465367599</v>
      </c>
      <c r="S66" s="13">
        <f t="shared" ref="S66:AB66" si="38">+S58*S50</f>
        <v>21114.141658740711</v>
      </c>
      <c r="T66" s="13">
        <f t="shared" si="38"/>
        <v>23487.371181183171</v>
      </c>
      <c r="U66" s="13">
        <f t="shared" si="38"/>
        <v>25634.116907143318</v>
      </c>
      <c r="V66" s="13">
        <f t="shared" si="38"/>
        <v>27443.885560787636</v>
      </c>
      <c r="W66" s="13">
        <f t="shared" si="38"/>
        <v>29104.240637215291</v>
      </c>
      <c r="X66" s="13">
        <f t="shared" si="38"/>
        <v>30571.09436533094</v>
      </c>
      <c r="Y66" s="13">
        <f t="shared" si="38"/>
        <v>31803.109468253781</v>
      </c>
      <c r="Z66" s="13">
        <f t="shared" si="38"/>
        <v>32763.563374195041</v>
      </c>
      <c r="AA66" s="13">
        <f t="shared" si="38"/>
        <v>33753.022988095727</v>
      </c>
      <c r="AB66" s="13">
        <f t="shared" si="38"/>
        <v>34772.364282336217</v>
      </c>
    </row>
    <row r="67" spans="3:28" x14ac:dyDescent="0.25">
      <c r="C67" s="33" t="s">
        <v>29</v>
      </c>
      <c r="D67" s="11"/>
      <c r="E67" s="11"/>
      <c r="F67" s="30" t="s">
        <v>23</v>
      </c>
      <c r="G67" s="34"/>
      <c r="H67" s="34">
        <f>+H66/G66-1</f>
        <v>5.8950104836097719</v>
      </c>
      <c r="I67" s="34">
        <f t="shared" ref="I67:R67" si="39">+I66/H66-1</f>
        <v>0.95000000000000018</v>
      </c>
      <c r="J67" s="34">
        <f t="shared" si="39"/>
        <v>0.8125</v>
      </c>
      <c r="K67" s="34">
        <f t="shared" si="39"/>
        <v>0.67999999999999972</v>
      </c>
      <c r="L67" s="34">
        <f t="shared" si="39"/>
        <v>0.61999999999999988</v>
      </c>
      <c r="M67" s="34">
        <f t="shared" si="39"/>
        <v>0.49500000000000011</v>
      </c>
      <c r="N67" s="34">
        <f t="shared" si="39"/>
        <v>0.4375</v>
      </c>
      <c r="O67" s="34">
        <f t="shared" si="39"/>
        <v>0.31999999999999984</v>
      </c>
      <c r="P67" s="34">
        <f t="shared" si="39"/>
        <v>0.26500000000000012</v>
      </c>
      <c r="Q67" s="34">
        <f t="shared" si="39"/>
        <v>0.15500000000000003</v>
      </c>
      <c r="R67" s="34">
        <f t="shared" si="39"/>
        <v>0.15500000000000025</v>
      </c>
      <c r="S67" s="34">
        <f t="shared" ref="S67" si="40">+S66/R66-1</f>
        <v>0.13360000000000016</v>
      </c>
      <c r="T67" s="34">
        <f t="shared" ref="T67" si="41">+T66/S66-1</f>
        <v>0.11240000000000028</v>
      </c>
      <c r="U67" s="34">
        <f t="shared" ref="U67" si="42">+U66/T66-1</f>
        <v>9.1400000000000148E-2</v>
      </c>
      <c r="V67" s="34">
        <f t="shared" ref="V67" si="43">+V66/U66-1</f>
        <v>7.0599999999999996E-2</v>
      </c>
      <c r="W67" s="34">
        <f t="shared" ref="W67" si="44">+W66/V66-1</f>
        <v>6.050000000000022E-2</v>
      </c>
      <c r="X67" s="34">
        <f t="shared" ref="X67" si="45">+X66/W66-1</f>
        <v>5.04E-2</v>
      </c>
      <c r="Y67" s="34">
        <f t="shared" ref="Y67" si="46">+Y66/X66-1</f>
        <v>4.0300000000000002E-2</v>
      </c>
      <c r="Z67" s="34">
        <f t="shared" ref="Z67" si="47">+Z66/Y66-1</f>
        <v>3.0199999999999783E-2</v>
      </c>
      <c r="AA67" s="34">
        <f t="shared" ref="AA67" si="48">+AA66/Z66-1</f>
        <v>3.0199999999999783E-2</v>
      </c>
      <c r="AB67" s="34">
        <f t="shared" ref="AB67" si="49">+AB66/AA66-1</f>
        <v>3.0200000000000005E-2</v>
      </c>
    </row>
    <row r="68" spans="3:28" x14ac:dyDescent="0.25">
      <c r="C68" s="17"/>
      <c r="D68" s="11"/>
      <c r="E68" s="11"/>
      <c r="F68" s="11"/>
      <c r="I68" s="35"/>
      <c r="J68" s="34"/>
      <c r="K68" s="34"/>
      <c r="L68" s="34"/>
      <c r="M68" s="34"/>
      <c r="N68" s="34"/>
      <c r="O68" s="34"/>
      <c r="P68" s="34"/>
      <c r="Q68" s="34"/>
      <c r="R68" s="34"/>
    </row>
    <row r="69" spans="3:28" x14ac:dyDescent="0.25">
      <c r="C69" s="20" t="s">
        <v>43</v>
      </c>
      <c r="D69" s="11"/>
      <c r="E69" s="11"/>
      <c r="F69" s="32" t="s">
        <v>25</v>
      </c>
      <c r="G69" s="36">
        <v>-365.33</v>
      </c>
      <c r="H69" s="36">
        <v>-520.39</v>
      </c>
      <c r="I69" s="37">
        <f>+I66*I75</f>
        <v>-354.93295500000005</v>
      </c>
      <c r="J69" s="37">
        <f t="shared" ref="J69:AB69" si="50">+J66*J75</f>
        <v>-428.87732062500004</v>
      </c>
      <c r="K69" s="37">
        <f t="shared" si="50"/>
        <v>-360.25694932499999</v>
      </c>
      <c r="L69" s="37">
        <f t="shared" si="50"/>
        <v>-194.5387526355</v>
      </c>
      <c r="M69" s="37">
        <f t="shared" si="50"/>
        <v>0</v>
      </c>
      <c r="N69" s="37">
        <f t="shared" si="50"/>
        <v>836.15187617145841</v>
      </c>
      <c r="O69" s="37">
        <f t="shared" si="50"/>
        <v>2207.44095309265</v>
      </c>
      <c r="P69" s="37">
        <f t="shared" si="50"/>
        <v>4188.6192084933036</v>
      </c>
      <c r="Q69" s="37">
        <f t="shared" si="50"/>
        <v>6450.4735810796874</v>
      </c>
      <c r="R69" s="37">
        <f t="shared" si="50"/>
        <v>7450.2969861470401</v>
      </c>
      <c r="S69" s="37">
        <f t="shared" si="50"/>
        <v>8445.6566634962855</v>
      </c>
      <c r="T69" s="37">
        <f t="shared" si="50"/>
        <v>9394.9484724732683</v>
      </c>
      <c r="U69" s="37">
        <f t="shared" si="50"/>
        <v>10253.646762857328</v>
      </c>
      <c r="V69" s="37">
        <f t="shared" si="50"/>
        <v>10977.554224315056</v>
      </c>
      <c r="W69" s="37">
        <f t="shared" si="50"/>
        <v>11641.696254886117</v>
      </c>
      <c r="X69" s="37">
        <f t="shared" si="50"/>
        <v>12228.437746132377</v>
      </c>
      <c r="Y69" s="37">
        <f t="shared" si="50"/>
        <v>12721.243787301513</v>
      </c>
      <c r="Z69" s="37">
        <f t="shared" si="50"/>
        <v>13105.425349678017</v>
      </c>
      <c r="AA69" s="37">
        <f t="shared" si="50"/>
        <v>13501.209195238291</v>
      </c>
      <c r="AB69" s="37">
        <f t="shared" si="50"/>
        <v>13908.945712934488</v>
      </c>
    </row>
    <row r="70" spans="3:28" x14ac:dyDescent="0.25">
      <c r="C70" s="17"/>
      <c r="D70" s="11"/>
      <c r="E70" s="11"/>
      <c r="F70" s="11"/>
      <c r="I70" s="35"/>
      <c r="J70" s="34"/>
      <c r="K70" s="34"/>
      <c r="L70" s="34"/>
      <c r="M70" s="34"/>
      <c r="N70" s="34"/>
      <c r="O70" s="34"/>
      <c r="P70" s="34"/>
      <c r="Q70" s="34"/>
      <c r="R70" s="34"/>
    </row>
    <row r="71" spans="3:28" x14ac:dyDescent="0.25">
      <c r="C71" s="56" t="s">
        <v>4</v>
      </c>
      <c r="D71" s="11"/>
      <c r="E71" s="11"/>
      <c r="F71" s="30" t="s">
        <v>23</v>
      </c>
      <c r="J71" s="20"/>
      <c r="K71" s="20"/>
      <c r="L71" s="20"/>
      <c r="M71" s="20"/>
    </row>
    <row r="72" spans="3:28" x14ac:dyDescent="0.25">
      <c r="C72" s="17" t="str">
        <f>+$C$53</f>
        <v>Facebook-Like</v>
      </c>
      <c r="D72" s="11"/>
      <c r="E72" s="11"/>
      <c r="F72" s="30" t="s">
        <v>23</v>
      </c>
      <c r="I72" s="59">
        <v>-0.45</v>
      </c>
      <c r="J72" s="59">
        <v>-0.3</v>
      </c>
      <c r="K72" s="59">
        <v>-0.15</v>
      </c>
      <c r="L72" s="59">
        <v>-0.05</v>
      </c>
      <c r="M72" s="59">
        <v>0</v>
      </c>
      <c r="N72" s="59">
        <v>0.1</v>
      </c>
      <c r="O72" s="59">
        <v>0.2</v>
      </c>
      <c r="P72" s="59">
        <v>0.3</v>
      </c>
      <c r="Q72" s="59">
        <v>0.4</v>
      </c>
      <c r="R72" s="59">
        <v>0.4</v>
      </c>
      <c r="S72" s="59">
        <v>0.4</v>
      </c>
      <c r="T72" s="59">
        <v>0.4</v>
      </c>
      <c r="U72" s="59">
        <v>0.4</v>
      </c>
      <c r="V72" s="59">
        <v>0.4</v>
      </c>
      <c r="W72" s="59">
        <v>0.4</v>
      </c>
      <c r="X72" s="59">
        <v>0.4</v>
      </c>
      <c r="Y72" s="59">
        <v>0.4</v>
      </c>
      <c r="Z72" s="59">
        <v>0.4</v>
      </c>
      <c r="AA72" s="59">
        <v>0.4</v>
      </c>
      <c r="AB72" s="59">
        <v>0.4</v>
      </c>
    </row>
    <row r="73" spans="3:28" x14ac:dyDescent="0.25">
      <c r="C73" s="17" t="str">
        <f>+$C$54</f>
        <v>Twitter-Like</v>
      </c>
      <c r="D73" s="11"/>
      <c r="E73" s="11"/>
      <c r="F73" s="30" t="s">
        <v>23</v>
      </c>
      <c r="I73" s="59">
        <v>-0.5</v>
      </c>
      <c r="J73" s="59">
        <v>-0.4</v>
      </c>
      <c r="K73" s="59">
        <v>-0.3</v>
      </c>
      <c r="L73" s="59">
        <v>-0.2</v>
      </c>
      <c r="M73" s="59">
        <v>-0.1</v>
      </c>
      <c r="N73" s="59">
        <v>0</v>
      </c>
      <c r="O73" s="59">
        <v>0.1</v>
      </c>
      <c r="P73" s="59">
        <v>0.15</v>
      </c>
      <c r="Q73" s="59">
        <v>0.2</v>
      </c>
      <c r="R73" s="59">
        <v>0.25</v>
      </c>
      <c r="S73" s="59">
        <v>0.25</v>
      </c>
      <c r="T73" s="59">
        <v>0.25</v>
      </c>
      <c r="U73" s="59">
        <v>0.25</v>
      </c>
      <c r="V73" s="59">
        <v>0.25</v>
      </c>
      <c r="W73" s="59">
        <v>0.25</v>
      </c>
      <c r="X73" s="59">
        <v>0.25</v>
      </c>
      <c r="Y73" s="59">
        <v>0.25</v>
      </c>
      <c r="Z73" s="59">
        <v>0.25</v>
      </c>
      <c r="AA73" s="59">
        <v>0.25</v>
      </c>
      <c r="AB73" s="59">
        <v>0.25</v>
      </c>
    </row>
    <row r="74" spans="3:28" x14ac:dyDescent="0.25">
      <c r="C74" s="18" t="str">
        <f>+$C$55</f>
        <v>Crash and Burn</v>
      </c>
      <c r="D74" s="19"/>
      <c r="E74" s="19"/>
      <c r="F74" s="58" t="s">
        <v>23</v>
      </c>
      <c r="G74" s="19"/>
      <c r="H74" s="19"/>
      <c r="I74" s="60">
        <v>-0.5</v>
      </c>
      <c r="J74" s="60">
        <v>-0.4</v>
      </c>
      <c r="K74" s="60">
        <v>-0.3</v>
      </c>
      <c r="L74" s="60">
        <v>-0.2</v>
      </c>
      <c r="M74" s="60">
        <v>-0.1</v>
      </c>
      <c r="N74" s="60">
        <v>0</v>
      </c>
      <c r="O74" s="60">
        <v>0.1</v>
      </c>
      <c r="P74" s="60">
        <v>0.1</v>
      </c>
      <c r="Q74" s="60">
        <v>0.1</v>
      </c>
      <c r="R74" s="60">
        <v>0.1</v>
      </c>
      <c r="S74" s="60">
        <v>0.1</v>
      </c>
      <c r="T74" s="60">
        <v>0.1</v>
      </c>
      <c r="U74" s="60">
        <v>0.1</v>
      </c>
      <c r="V74" s="60">
        <v>0.1</v>
      </c>
      <c r="W74" s="60">
        <v>0.1</v>
      </c>
      <c r="X74" s="60">
        <v>0.1</v>
      </c>
      <c r="Y74" s="60">
        <v>0.1</v>
      </c>
      <c r="Z74" s="60">
        <v>0.1</v>
      </c>
      <c r="AA74" s="60">
        <v>0.1</v>
      </c>
      <c r="AB74" s="60">
        <v>0.1</v>
      </c>
    </row>
    <row r="75" spans="3:28" x14ac:dyDescent="0.25">
      <c r="C75" s="20" t="s">
        <v>42</v>
      </c>
      <c r="D75" s="11"/>
      <c r="E75" s="11"/>
      <c r="F75" s="30" t="s">
        <v>23</v>
      </c>
      <c r="G75" s="61">
        <f>+G69/G66</f>
        <v>-6.2276051344118102</v>
      </c>
      <c r="H75" s="61">
        <f>+H69/H66</f>
        <v>-1.2865591052259431</v>
      </c>
      <c r="I75" s="61">
        <f t="shared" ref="I75:R75" si="51">INDEX(I72:I74,MATCH(Scenario,$C72:$C74,0))</f>
        <v>-0.45</v>
      </c>
      <c r="J75" s="61">
        <f t="shared" si="51"/>
        <v>-0.3</v>
      </c>
      <c r="K75" s="61">
        <f t="shared" si="51"/>
        <v>-0.15</v>
      </c>
      <c r="L75" s="61">
        <f t="shared" si="51"/>
        <v>-0.05</v>
      </c>
      <c r="M75" s="61">
        <f t="shared" si="51"/>
        <v>0</v>
      </c>
      <c r="N75" s="61">
        <f t="shared" si="51"/>
        <v>0.1</v>
      </c>
      <c r="O75" s="61">
        <f t="shared" si="51"/>
        <v>0.2</v>
      </c>
      <c r="P75" s="61">
        <f t="shared" si="51"/>
        <v>0.3</v>
      </c>
      <c r="Q75" s="61">
        <f t="shared" si="51"/>
        <v>0.4</v>
      </c>
      <c r="R75" s="61">
        <f t="shared" si="51"/>
        <v>0.4</v>
      </c>
      <c r="S75" s="61">
        <f t="shared" ref="S75:AB75" si="52">INDEX(S72:S74,MATCH(Scenario,$C72:$C74,0))</f>
        <v>0.4</v>
      </c>
      <c r="T75" s="61">
        <f t="shared" si="52"/>
        <v>0.4</v>
      </c>
      <c r="U75" s="61">
        <f t="shared" si="52"/>
        <v>0.4</v>
      </c>
      <c r="V75" s="61">
        <f t="shared" si="52"/>
        <v>0.4</v>
      </c>
      <c r="W75" s="61">
        <f t="shared" si="52"/>
        <v>0.4</v>
      </c>
      <c r="X75" s="61">
        <f t="shared" si="52"/>
        <v>0.4</v>
      </c>
      <c r="Y75" s="61">
        <f t="shared" si="52"/>
        <v>0.4</v>
      </c>
      <c r="Z75" s="61">
        <f t="shared" si="52"/>
        <v>0.4</v>
      </c>
      <c r="AA75" s="61">
        <f t="shared" si="52"/>
        <v>0.4</v>
      </c>
      <c r="AB75" s="61">
        <f t="shared" si="52"/>
        <v>0.4</v>
      </c>
    </row>
    <row r="76" spans="3:28" x14ac:dyDescent="0.25">
      <c r="C76" s="17"/>
      <c r="D76" s="11"/>
      <c r="E76" s="11"/>
      <c r="F76" s="11"/>
      <c r="I76" s="35"/>
      <c r="J76" s="34"/>
      <c r="K76" s="34"/>
      <c r="L76" s="34"/>
      <c r="M76" s="34"/>
      <c r="N76" s="34"/>
      <c r="O76" s="34"/>
      <c r="P76" s="34"/>
      <c r="Q76" s="34"/>
      <c r="R76" s="34"/>
    </row>
    <row r="77" spans="3:28" x14ac:dyDescent="0.25">
      <c r="C77" s="42" t="s">
        <v>47</v>
      </c>
      <c r="D77" s="11"/>
      <c r="E77" s="11"/>
      <c r="F77" s="32" t="s">
        <v>25</v>
      </c>
      <c r="I77" s="40">
        <f>73.7+146.3</f>
        <v>220</v>
      </c>
      <c r="J77" s="39">
        <f>+I80</f>
        <v>574.93295499999999</v>
      </c>
      <c r="K77" s="39">
        <f t="shared" ref="K77:R77" si="53">+J80</f>
        <v>1003.810275625</v>
      </c>
      <c r="L77" s="39">
        <f t="shared" si="53"/>
        <v>1364.0672249500001</v>
      </c>
      <c r="M77" s="39">
        <f t="shared" si="53"/>
        <v>1558.6059775855001</v>
      </c>
      <c r="N77" s="39">
        <f t="shared" si="53"/>
        <v>1558.6059775855001</v>
      </c>
      <c r="O77" s="39">
        <f t="shared" si="53"/>
        <v>722.4541014140417</v>
      </c>
      <c r="P77" s="39">
        <f t="shared" si="53"/>
        <v>0</v>
      </c>
      <c r="Q77" s="39">
        <f t="shared" si="53"/>
        <v>0</v>
      </c>
      <c r="R77" s="39">
        <f t="shared" si="53"/>
        <v>0</v>
      </c>
      <c r="S77" s="39">
        <f t="shared" ref="S77" si="54">+R80</f>
        <v>0</v>
      </c>
      <c r="T77" s="39">
        <f t="shared" ref="T77" si="55">+S80</f>
        <v>0</v>
      </c>
      <c r="U77" s="39">
        <f t="shared" ref="U77" si="56">+T80</f>
        <v>0</v>
      </c>
      <c r="V77" s="39">
        <f t="shared" ref="V77" si="57">+U80</f>
        <v>0</v>
      </c>
      <c r="W77" s="39">
        <f t="shared" ref="W77" si="58">+V80</f>
        <v>0</v>
      </c>
      <c r="X77" s="39">
        <f t="shared" ref="X77" si="59">+W80</f>
        <v>0</v>
      </c>
      <c r="Y77" s="39">
        <f t="shared" ref="Y77" si="60">+X80</f>
        <v>0</v>
      </c>
      <c r="Z77" s="39">
        <f t="shared" ref="Z77" si="61">+Y80</f>
        <v>0</v>
      </c>
      <c r="AA77" s="39">
        <f t="shared" ref="AA77" si="62">+Z80</f>
        <v>0</v>
      </c>
      <c r="AB77" s="39">
        <f t="shared" ref="AB77" si="63">+AA80</f>
        <v>0</v>
      </c>
    </row>
    <row r="78" spans="3:28" x14ac:dyDescent="0.25">
      <c r="C78" s="17" t="s">
        <v>48</v>
      </c>
      <c r="D78" s="11"/>
      <c r="E78" s="11"/>
      <c r="F78" s="32" t="s">
        <v>25</v>
      </c>
      <c r="I78" s="39">
        <f>MAX(0,-I69)</f>
        <v>354.93295500000005</v>
      </c>
      <c r="J78" s="39">
        <f>MAX(0,-J69)</f>
        <v>428.87732062500004</v>
      </c>
      <c r="K78" s="39">
        <f t="shared" ref="K78:R78" si="64">MAX(0,-K69)</f>
        <v>360.25694932499999</v>
      </c>
      <c r="L78" s="39">
        <f t="shared" si="64"/>
        <v>194.5387526355</v>
      </c>
      <c r="M78" s="39">
        <f t="shared" si="64"/>
        <v>0</v>
      </c>
      <c r="N78" s="39">
        <f t="shared" si="64"/>
        <v>0</v>
      </c>
      <c r="O78" s="39">
        <f t="shared" si="64"/>
        <v>0</v>
      </c>
      <c r="P78" s="39">
        <f t="shared" si="64"/>
        <v>0</v>
      </c>
      <c r="Q78" s="39">
        <f t="shared" si="64"/>
        <v>0</v>
      </c>
      <c r="R78" s="39">
        <f t="shared" si="64"/>
        <v>0</v>
      </c>
      <c r="S78" s="39">
        <f t="shared" ref="S78:AB78" si="65">MAX(0,-S69)</f>
        <v>0</v>
      </c>
      <c r="T78" s="39">
        <f t="shared" si="65"/>
        <v>0</v>
      </c>
      <c r="U78" s="39">
        <f t="shared" si="65"/>
        <v>0</v>
      </c>
      <c r="V78" s="39">
        <f t="shared" si="65"/>
        <v>0</v>
      </c>
      <c r="W78" s="39">
        <f t="shared" si="65"/>
        <v>0</v>
      </c>
      <c r="X78" s="39">
        <f t="shared" si="65"/>
        <v>0</v>
      </c>
      <c r="Y78" s="39">
        <f t="shared" si="65"/>
        <v>0</v>
      </c>
      <c r="Z78" s="39">
        <f t="shared" si="65"/>
        <v>0</v>
      </c>
      <c r="AA78" s="39">
        <f t="shared" si="65"/>
        <v>0</v>
      </c>
      <c r="AB78" s="39">
        <f t="shared" si="65"/>
        <v>0</v>
      </c>
    </row>
    <row r="79" spans="3:28" x14ac:dyDescent="0.25">
      <c r="C79" s="17" t="s">
        <v>49</v>
      </c>
      <c r="D79" s="11"/>
      <c r="E79" s="11"/>
      <c r="F79" s="69" t="s">
        <v>25</v>
      </c>
      <c r="G79" s="19"/>
      <c r="H79" s="19"/>
      <c r="I79" s="70">
        <f>-MIN(+I77+I78,MAX(I69,0))</f>
        <v>0</v>
      </c>
      <c r="J79" s="70">
        <f>-MIN(+J77+J78,MAX(J69,0))</f>
        <v>0</v>
      </c>
      <c r="K79" s="70">
        <f t="shared" ref="K79:R79" si="66">-MIN(+K77+K78,MAX(K69,0))</f>
        <v>0</v>
      </c>
      <c r="L79" s="70">
        <f t="shared" si="66"/>
        <v>0</v>
      </c>
      <c r="M79" s="70">
        <f t="shared" si="66"/>
        <v>0</v>
      </c>
      <c r="N79" s="70">
        <f t="shared" si="66"/>
        <v>-836.15187617145841</v>
      </c>
      <c r="O79" s="70">
        <f t="shared" si="66"/>
        <v>-722.4541014140417</v>
      </c>
      <c r="P79" s="70">
        <f t="shared" si="66"/>
        <v>0</v>
      </c>
      <c r="Q79" s="70">
        <f t="shared" si="66"/>
        <v>0</v>
      </c>
      <c r="R79" s="70">
        <f t="shared" si="66"/>
        <v>0</v>
      </c>
      <c r="S79" s="70">
        <f t="shared" ref="S79:AB79" si="67">-MIN(+S77+S78,MAX(S69,0))</f>
        <v>0</v>
      </c>
      <c r="T79" s="70">
        <f t="shared" si="67"/>
        <v>0</v>
      </c>
      <c r="U79" s="70">
        <f t="shared" si="67"/>
        <v>0</v>
      </c>
      <c r="V79" s="70">
        <f t="shared" si="67"/>
        <v>0</v>
      </c>
      <c r="W79" s="70">
        <f t="shared" si="67"/>
        <v>0</v>
      </c>
      <c r="X79" s="70">
        <f t="shared" si="67"/>
        <v>0</v>
      </c>
      <c r="Y79" s="70">
        <f t="shared" si="67"/>
        <v>0</v>
      </c>
      <c r="Z79" s="70">
        <f t="shared" si="67"/>
        <v>0</v>
      </c>
      <c r="AA79" s="70">
        <f t="shared" si="67"/>
        <v>0</v>
      </c>
      <c r="AB79" s="70">
        <f t="shared" si="67"/>
        <v>0</v>
      </c>
    </row>
    <row r="80" spans="3:28" x14ac:dyDescent="0.25">
      <c r="C80" s="23" t="s">
        <v>50</v>
      </c>
      <c r="D80" s="24"/>
      <c r="E80" s="24"/>
      <c r="F80" s="32" t="s">
        <v>25</v>
      </c>
      <c r="I80" s="37">
        <f>SUM(I77:I79)</f>
        <v>574.93295499999999</v>
      </c>
      <c r="J80" s="37">
        <f>SUM(J77:J79)</f>
        <v>1003.810275625</v>
      </c>
      <c r="K80" s="37">
        <f t="shared" ref="K80:R80" si="68">SUM(K77:K79)</f>
        <v>1364.0672249500001</v>
      </c>
      <c r="L80" s="37">
        <f t="shared" si="68"/>
        <v>1558.6059775855001</v>
      </c>
      <c r="M80" s="37">
        <f t="shared" si="68"/>
        <v>1558.6059775855001</v>
      </c>
      <c r="N80" s="37">
        <f t="shared" si="68"/>
        <v>722.4541014140417</v>
      </c>
      <c r="O80" s="37">
        <f t="shared" si="68"/>
        <v>0</v>
      </c>
      <c r="P80" s="37">
        <f t="shared" si="68"/>
        <v>0</v>
      </c>
      <c r="Q80" s="37">
        <f t="shared" si="68"/>
        <v>0</v>
      </c>
      <c r="R80" s="37">
        <f t="shared" si="68"/>
        <v>0</v>
      </c>
      <c r="S80" s="37">
        <f t="shared" ref="S80:AB80" si="69">SUM(S77:S79)</f>
        <v>0</v>
      </c>
      <c r="T80" s="37">
        <f t="shared" si="69"/>
        <v>0</v>
      </c>
      <c r="U80" s="37">
        <f t="shared" si="69"/>
        <v>0</v>
      </c>
      <c r="V80" s="37">
        <f t="shared" si="69"/>
        <v>0</v>
      </c>
      <c r="W80" s="37">
        <f t="shared" si="69"/>
        <v>0</v>
      </c>
      <c r="X80" s="37">
        <f t="shared" si="69"/>
        <v>0</v>
      </c>
      <c r="Y80" s="37">
        <f t="shared" si="69"/>
        <v>0</v>
      </c>
      <c r="Z80" s="37">
        <f t="shared" si="69"/>
        <v>0</v>
      </c>
      <c r="AA80" s="37">
        <f t="shared" si="69"/>
        <v>0</v>
      </c>
      <c r="AB80" s="37">
        <f t="shared" si="69"/>
        <v>0</v>
      </c>
    </row>
    <row r="81" spans="3:28" x14ac:dyDescent="0.25">
      <c r="C81" s="20"/>
      <c r="D81" s="11"/>
      <c r="E81" s="11"/>
      <c r="F81" s="11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3:28" x14ac:dyDescent="0.25">
      <c r="C82" s="20" t="s">
        <v>51</v>
      </c>
      <c r="D82" s="11"/>
      <c r="E82" s="11"/>
      <c r="F82" s="32" t="s">
        <v>25</v>
      </c>
      <c r="I82" s="37">
        <f>+I69+I79</f>
        <v>-354.93295500000005</v>
      </c>
      <c r="J82" s="37">
        <f>+J69+J79</f>
        <v>-428.87732062500004</v>
      </c>
      <c r="K82" s="37">
        <f t="shared" ref="K82:R82" si="70">+K69+K79</f>
        <v>-360.25694932499999</v>
      </c>
      <c r="L82" s="37">
        <f t="shared" si="70"/>
        <v>-194.5387526355</v>
      </c>
      <c r="M82" s="37">
        <f t="shared" si="70"/>
        <v>0</v>
      </c>
      <c r="N82" s="37">
        <f t="shared" si="70"/>
        <v>0</v>
      </c>
      <c r="O82" s="37">
        <f t="shared" si="70"/>
        <v>1484.9868516786082</v>
      </c>
      <c r="P82" s="37">
        <f t="shared" si="70"/>
        <v>4188.6192084933036</v>
      </c>
      <c r="Q82" s="37">
        <f t="shared" si="70"/>
        <v>6450.4735810796874</v>
      </c>
      <c r="R82" s="37">
        <f t="shared" si="70"/>
        <v>7450.2969861470401</v>
      </c>
      <c r="S82" s="37">
        <f t="shared" ref="S82:AB82" si="71">+S69+S79</f>
        <v>8445.6566634962855</v>
      </c>
      <c r="T82" s="37">
        <f t="shared" si="71"/>
        <v>9394.9484724732683</v>
      </c>
      <c r="U82" s="37">
        <f t="shared" si="71"/>
        <v>10253.646762857328</v>
      </c>
      <c r="V82" s="37">
        <f t="shared" si="71"/>
        <v>10977.554224315056</v>
      </c>
      <c r="W82" s="37">
        <f t="shared" si="71"/>
        <v>11641.696254886117</v>
      </c>
      <c r="X82" s="37">
        <f t="shared" si="71"/>
        <v>12228.437746132377</v>
      </c>
      <c r="Y82" s="37">
        <f t="shared" si="71"/>
        <v>12721.243787301513</v>
      </c>
      <c r="Z82" s="37">
        <f t="shared" si="71"/>
        <v>13105.425349678017</v>
      </c>
      <c r="AA82" s="37">
        <f t="shared" si="71"/>
        <v>13501.209195238291</v>
      </c>
      <c r="AB82" s="37">
        <f t="shared" si="71"/>
        <v>13908.945712934488</v>
      </c>
    </row>
    <row r="83" spans="3:28" x14ac:dyDescent="0.25">
      <c r="C83" s="20"/>
      <c r="D83" s="11"/>
      <c r="E83" s="11"/>
      <c r="F83" s="11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spans="3:28" x14ac:dyDescent="0.25">
      <c r="C84" s="11" t="s">
        <v>27</v>
      </c>
      <c r="D84" s="11"/>
      <c r="E84" s="11"/>
      <c r="F84" s="32" t="s">
        <v>25</v>
      </c>
      <c r="I84" s="39">
        <f t="shared" ref="I84:R84" si="72">-MAX(I82,0)*Tax_Rate</f>
        <v>0</v>
      </c>
      <c r="J84" s="39">
        <f t="shared" si="72"/>
        <v>0</v>
      </c>
      <c r="K84" s="39">
        <f t="shared" si="72"/>
        <v>0</v>
      </c>
      <c r="L84" s="39">
        <f t="shared" si="72"/>
        <v>0</v>
      </c>
      <c r="M84" s="39">
        <f t="shared" si="72"/>
        <v>0</v>
      </c>
      <c r="N84" s="39">
        <f t="shared" si="72"/>
        <v>0</v>
      </c>
      <c r="O84" s="39">
        <f t="shared" si="72"/>
        <v>-593.99474067144331</v>
      </c>
      <c r="P84" s="39">
        <f t="shared" si="72"/>
        <v>-1675.4476833973215</v>
      </c>
      <c r="Q84" s="39">
        <f t="shared" si="72"/>
        <v>-2580.189432431875</v>
      </c>
      <c r="R84" s="39">
        <f t="shared" si="72"/>
        <v>-2980.1187944588164</v>
      </c>
      <c r="S84" s="39">
        <f t="shared" ref="S84:AB84" si="73">-MAX(S82,0)*Tax_Rate</f>
        <v>-3378.2626653985144</v>
      </c>
      <c r="T84" s="39">
        <f t="shared" si="73"/>
        <v>-3757.9793889893076</v>
      </c>
      <c r="U84" s="39">
        <f t="shared" si="73"/>
        <v>-4101.4587051429316</v>
      </c>
      <c r="V84" s="39">
        <f t="shared" si="73"/>
        <v>-4391.0216897260225</v>
      </c>
      <c r="W84" s="39">
        <f t="shared" si="73"/>
        <v>-4656.6785019544468</v>
      </c>
      <c r="X84" s="39">
        <f t="shared" si="73"/>
        <v>-4891.3750984529506</v>
      </c>
      <c r="Y84" s="39">
        <f t="shared" si="73"/>
        <v>-5088.4975149206057</v>
      </c>
      <c r="Z84" s="39">
        <f t="shared" si="73"/>
        <v>-5242.1701398712066</v>
      </c>
      <c r="AA84" s="39">
        <f t="shared" si="73"/>
        <v>-5400.4836780953165</v>
      </c>
      <c r="AB84" s="39">
        <f t="shared" si="73"/>
        <v>-5563.5782851737958</v>
      </c>
    </row>
    <row r="85" spans="3:28" x14ac:dyDescent="0.25">
      <c r="C85" s="20"/>
      <c r="D85" s="11"/>
      <c r="E85" s="11"/>
      <c r="F85" s="11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spans="3:28" x14ac:dyDescent="0.25">
      <c r="C86" s="20" t="s">
        <v>6</v>
      </c>
      <c r="D86" s="11"/>
      <c r="E86" s="11"/>
      <c r="F86" s="32" t="s">
        <v>25</v>
      </c>
      <c r="I86" s="37">
        <f t="shared" ref="I86:R86" si="74">+I69+I84</f>
        <v>-354.93295500000005</v>
      </c>
      <c r="J86" s="37">
        <f t="shared" si="74"/>
        <v>-428.87732062500004</v>
      </c>
      <c r="K86" s="37">
        <f t="shared" si="74"/>
        <v>-360.25694932499999</v>
      </c>
      <c r="L86" s="37">
        <f t="shared" si="74"/>
        <v>-194.5387526355</v>
      </c>
      <c r="M86" s="37">
        <f t="shared" si="74"/>
        <v>0</v>
      </c>
      <c r="N86" s="37">
        <f t="shared" si="74"/>
        <v>836.15187617145841</v>
      </c>
      <c r="O86" s="37">
        <f t="shared" si="74"/>
        <v>1613.4462124212068</v>
      </c>
      <c r="P86" s="37">
        <f t="shared" si="74"/>
        <v>2513.1715250959824</v>
      </c>
      <c r="Q86" s="37">
        <f t="shared" si="74"/>
        <v>3870.2841486478123</v>
      </c>
      <c r="R86" s="37">
        <f t="shared" si="74"/>
        <v>4470.1781916882237</v>
      </c>
      <c r="S86" s="37">
        <f t="shared" ref="S86:AB86" si="75">+S69+S84</f>
        <v>5067.3939980977711</v>
      </c>
      <c r="T86" s="37">
        <f t="shared" si="75"/>
        <v>5636.9690834839603</v>
      </c>
      <c r="U86" s="37">
        <f t="shared" si="75"/>
        <v>6152.1880577143966</v>
      </c>
      <c r="V86" s="37">
        <f t="shared" si="75"/>
        <v>6586.5325345890333</v>
      </c>
      <c r="W86" s="37">
        <f t="shared" si="75"/>
        <v>6985.0177529316707</v>
      </c>
      <c r="X86" s="37">
        <f t="shared" si="75"/>
        <v>7337.0626476794259</v>
      </c>
      <c r="Y86" s="37">
        <f t="shared" si="75"/>
        <v>7632.7462723809076</v>
      </c>
      <c r="Z86" s="37">
        <f t="shared" si="75"/>
        <v>7863.2552098068099</v>
      </c>
      <c r="AA86" s="37">
        <f t="shared" si="75"/>
        <v>8100.7255171429742</v>
      </c>
      <c r="AB86" s="37">
        <f t="shared" si="75"/>
        <v>8345.3674277606915</v>
      </c>
    </row>
    <row r="87" spans="3:28" x14ac:dyDescent="0.25">
      <c r="C87" s="20"/>
      <c r="D87" s="11"/>
      <c r="E87" s="11"/>
      <c r="F87" s="11"/>
      <c r="I87" s="38"/>
      <c r="J87" s="38"/>
      <c r="K87" s="38"/>
      <c r="L87" s="38"/>
      <c r="M87" s="38"/>
      <c r="N87" s="38"/>
      <c r="O87" s="38"/>
      <c r="P87" s="38"/>
    </row>
    <row r="88" spans="3:28" x14ac:dyDescent="0.25">
      <c r="C88" s="42" t="s">
        <v>41</v>
      </c>
      <c r="D88" s="11"/>
      <c r="E88" s="11"/>
      <c r="F88" s="32" t="s">
        <v>25</v>
      </c>
      <c r="G88" s="40">
        <v>15.3</v>
      </c>
      <c r="H88" s="40">
        <v>29.1</v>
      </c>
      <c r="I88" s="39">
        <f t="shared" ref="I88:R88" si="76">+I89*I66</f>
        <v>102.53618700000003</v>
      </c>
      <c r="J88" s="39">
        <f t="shared" si="76"/>
        <v>157.25501756250003</v>
      </c>
      <c r="K88" s="39">
        <f t="shared" si="76"/>
        <v>216.15416959499998</v>
      </c>
      <c r="L88" s="39">
        <f t="shared" si="76"/>
        <v>272.35425368969999</v>
      </c>
      <c r="M88" s="39">
        <f t="shared" si="76"/>
        <v>290.83543519007247</v>
      </c>
      <c r="N88" s="39">
        <f t="shared" si="76"/>
        <v>250.84556285143751</v>
      </c>
      <c r="O88" s="39">
        <f t="shared" si="76"/>
        <v>331.11614296389746</v>
      </c>
      <c r="P88" s="39">
        <f t="shared" si="76"/>
        <v>418.86192084933032</v>
      </c>
      <c r="Q88" s="39">
        <f t="shared" si="76"/>
        <v>483.78551858097649</v>
      </c>
      <c r="R88" s="39">
        <f t="shared" si="76"/>
        <v>558.77227396102796</v>
      </c>
      <c r="S88" s="39">
        <f t="shared" ref="S88:AB88" si="77">+S89*S66</f>
        <v>633.42424976222128</v>
      </c>
      <c r="T88" s="39">
        <f t="shared" si="77"/>
        <v>704.62113543549515</v>
      </c>
      <c r="U88" s="39">
        <f t="shared" si="77"/>
        <v>769.02350721429946</v>
      </c>
      <c r="V88" s="39">
        <f t="shared" si="77"/>
        <v>823.31656682362905</v>
      </c>
      <c r="W88" s="39">
        <f t="shared" si="77"/>
        <v>873.12721911645872</v>
      </c>
      <c r="X88" s="39">
        <f t="shared" si="77"/>
        <v>917.13283095992813</v>
      </c>
      <c r="Y88" s="39">
        <f t="shared" si="77"/>
        <v>954.09328404761334</v>
      </c>
      <c r="Z88" s="39">
        <f t="shared" si="77"/>
        <v>982.90690122585113</v>
      </c>
      <c r="AA88" s="39">
        <f t="shared" si="77"/>
        <v>1012.5906896428718</v>
      </c>
      <c r="AB88" s="39">
        <f t="shared" si="77"/>
        <v>1043.1709284700864</v>
      </c>
    </row>
    <row r="89" spans="3:28" x14ac:dyDescent="0.25">
      <c r="C89" s="41" t="s">
        <v>3</v>
      </c>
      <c r="D89" s="11"/>
      <c r="E89" s="11"/>
      <c r="F89" s="30" t="s">
        <v>23</v>
      </c>
      <c r="G89" s="14">
        <f>+G88/G66</f>
        <v>0.2608117552801596</v>
      </c>
      <c r="H89" s="14">
        <f>+H88/H66</f>
        <v>7.1943868948432813E-2</v>
      </c>
      <c r="I89" s="66">
        <v>0.13</v>
      </c>
      <c r="J89" s="66">
        <v>0.11</v>
      </c>
      <c r="K89" s="66">
        <v>0.09</v>
      </c>
      <c r="L89" s="66">
        <v>7.0000000000000007E-2</v>
      </c>
      <c r="M89" s="66">
        <v>0.05</v>
      </c>
      <c r="N89" s="66">
        <v>0.03</v>
      </c>
      <c r="O89" s="66">
        <v>0.03</v>
      </c>
      <c r="P89" s="66">
        <v>0.03</v>
      </c>
      <c r="Q89" s="66">
        <v>0.03</v>
      </c>
      <c r="R89" s="66">
        <v>0.03</v>
      </c>
      <c r="S89" s="66">
        <v>0.03</v>
      </c>
      <c r="T89" s="66">
        <v>0.03</v>
      </c>
      <c r="U89" s="66">
        <v>0.03</v>
      </c>
      <c r="V89" s="66">
        <v>0.03</v>
      </c>
      <c r="W89" s="66">
        <v>0.03</v>
      </c>
      <c r="X89" s="66">
        <v>0.03</v>
      </c>
      <c r="Y89" s="66">
        <v>0.03</v>
      </c>
      <c r="Z89" s="66">
        <v>0.03</v>
      </c>
      <c r="AA89" s="66">
        <v>0.03</v>
      </c>
      <c r="AB89" s="66">
        <v>0.03</v>
      </c>
    </row>
    <row r="90" spans="3:28" x14ac:dyDescent="0.25">
      <c r="C90" s="17"/>
      <c r="D90" s="17"/>
      <c r="E90" s="17"/>
      <c r="F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3:28" x14ac:dyDescent="0.25">
      <c r="C91" s="42" t="s">
        <v>46</v>
      </c>
      <c r="D91" s="11"/>
      <c r="E91" s="11"/>
      <c r="F91" s="32" t="s">
        <v>25</v>
      </c>
      <c r="G91" s="39">
        <f>-41.9-6.7+33.1</f>
        <v>-15.5</v>
      </c>
      <c r="H91" s="39">
        <f>-118.4+6.5-38.5</f>
        <v>-150.4</v>
      </c>
      <c r="I91" s="39">
        <f t="shared" ref="I91:R91" si="78">+I92*(I66-H66)</f>
        <v>-76.851580000000027</v>
      </c>
      <c r="J91" s="39">
        <f t="shared" si="78"/>
        <v>-64.085116875000011</v>
      </c>
      <c r="K91" s="39">
        <f t="shared" si="78"/>
        <v>-48.606096337499991</v>
      </c>
      <c r="L91" s="39">
        <f t="shared" si="78"/>
        <v>0</v>
      </c>
      <c r="M91" s="39">
        <f t="shared" si="78"/>
        <v>19.259336510914501</v>
      </c>
      <c r="N91" s="39">
        <f t="shared" si="78"/>
        <v>76.344301737394019</v>
      </c>
      <c r="O91" s="39">
        <f t="shared" si="78"/>
        <v>80.270580112459967</v>
      </c>
      <c r="P91" s="39">
        <f t="shared" si="78"/>
        <v>87.745777885432844</v>
      </c>
      <c r="Q91" s="39">
        <f t="shared" si="78"/>
        <v>64.923597731646169</v>
      </c>
      <c r="R91" s="39">
        <f t="shared" si="78"/>
        <v>74.986755380051449</v>
      </c>
      <c r="S91" s="39">
        <f t="shared" ref="S91:AB91" si="79">+S92*(S66-R66)</f>
        <v>74.651975801193359</v>
      </c>
      <c r="T91" s="39">
        <f t="shared" si="79"/>
        <v>71.196885673273783</v>
      </c>
      <c r="U91" s="39">
        <f t="shared" si="79"/>
        <v>64.402371778804408</v>
      </c>
      <c r="V91" s="39">
        <f t="shared" si="79"/>
        <v>54.293059609329539</v>
      </c>
      <c r="W91" s="39">
        <f t="shared" si="79"/>
        <v>49.810652292829651</v>
      </c>
      <c r="X91" s="39">
        <f t="shared" si="79"/>
        <v>44.005611843469488</v>
      </c>
      <c r="Y91" s="39">
        <f t="shared" si="79"/>
        <v>36.960453087685202</v>
      </c>
      <c r="Z91" s="39">
        <f t="shared" si="79"/>
        <v>28.813617178237799</v>
      </c>
      <c r="AA91" s="39">
        <f t="shared" si="79"/>
        <v>29.683788417020587</v>
      </c>
      <c r="AB91" s="39">
        <f t="shared" si="79"/>
        <v>30.580238827214707</v>
      </c>
    </row>
    <row r="92" spans="3:28" x14ac:dyDescent="0.25">
      <c r="C92" s="17" t="s">
        <v>8</v>
      </c>
      <c r="D92" s="11"/>
      <c r="E92" s="11"/>
      <c r="F92" s="30" t="s">
        <v>23</v>
      </c>
      <c r="H92" s="14">
        <f>+H91/(H66-G66)</f>
        <v>-0.43490959143366903</v>
      </c>
      <c r="I92" s="66">
        <v>-0.2</v>
      </c>
      <c r="J92" s="66">
        <v>-0.1</v>
      </c>
      <c r="K92" s="66">
        <v>-0.05</v>
      </c>
      <c r="L92" s="66">
        <v>0</v>
      </c>
      <c r="M92" s="66">
        <v>0.01</v>
      </c>
      <c r="N92" s="66">
        <v>0.03</v>
      </c>
      <c r="O92" s="66">
        <v>0.03</v>
      </c>
      <c r="P92" s="66">
        <v>0.03</v>
      </c>
      <c r="Q92" s="66">
        <v>0.03</v>
      </c>
      <c r="R92" s="66">
        <v>0.03</v>
      </c>
      <c r="S92" s="66">
        <v>0.03</v>
      </c>
      <c r="T92" s="66">
        <v>0.03</v>
      </c>
      <c r="U92" s="66">
        <v>0.03</v>
      </c>
      <c r="V92" s="66">
        <v>0.03</v>
      </c>
      <c r="W92" s="66">
        <v>0.03</v>
      </c>
      <c r="X92" s="66">
        <v>0.03</v>
      </c>
      <c r="Y92" s="66">
        <v>0.03</v>
      </c>
      <c r="Z92" s="66">
        <v>0.03</v>
      </c>
      <c r="AA92" s="66">
        <v>0.03</v>
      </c>
      <c r="AB92" s="66">
        <v>0.03</v>
      </c>
    </row>
    <row r="93" spans="3:28" x14ac:dyDescent="0.25">
      <c r="C93" s="17"/>
      <c r="D93" s="11"/>
      <c r="E93" s="11"/>
      <c r="F93" s="11"/>
      <c r="I93" s="11"/>
      <c r="J93" s="11"/>
      <c r="K93" s="11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</row>
    <row r="94" spans="3:28" x14ac:dyDescent="0.25">
      <c r="C94" s="11" t="s">
        <v>28</v>
      </c>
      <c r="D94" s="11"/>
      <c r="E94" s="11"/>
      <c r="F94" s="32" t="s">
        <v>25</v>
      </c>
      <c r="G94" s="40">
        <v>-19.2</v>
      </c>
      <c r="H94" s="40">
        <v>-66.400000000000006</v>
      </c>
      <c r="I94" s="39">
        <f t="shared" ref="I94:R94" si="80">-I95*I66</f>
        <v>-118.31098500000002</v>
      </c>
      <c r="J94" s="39">
        <f t="shared" si="80"/>
        <v>-185.84683893750002</v>
      </c>
      <c r="K94" s="39">
        <f t="shared" si="80"/>
        <v>-264.18842950499999</v>
      </c>
      <c r="L94" s="39">
        <f t="shared" si="80"/>
        <v>-350.16975474389994</v>
      </c>
      <c r="M94" s="39">
        <f t="shared" si="80"/>
        <v>-407.16960926610153</v>
      </c>
      <c r="N94" s="39">
        <f t="shared" si="80"/>
        <v>-418.07593808572921</v>
      </c>
      <c r="O94" s="39">
        <f t="shared" si="80"/>
        <v>-551.86023827316251</v>
      </c>
      <c r="P94" s="39">
        <f t="shared" si="80"/>
        <v>-698.10320141555064</v>
      </c>
      <c r="Q94" s="39">
        <f t="shared" si="80"/>
        <v>-806.30919763496092</v>
      </c>
      <c r="R94" s="39">
        <f t="shared" si="80"/>
        <v>-931.28712326838001</v>
      </c>
      <c r="S94" s="39">
        <f t="shared" ref="S94:AB94" si="81">-S95*S66</f>
        <v>-1055.7070829370357</v>
      </c>
      <c r="T94" s="39">
        <f t="shared" si="81"/>
        <v>-1174.3685590591585</v>
      </c>
      <c r="U94" s="39">
        <f t="shared" si="81"/>
        <v>-1281.705845357166</v>
      </c>
      <c r="V94" s="39">
        <f t="shared" si="81"/>
        <v>-1372.194278039382</v>
      </c>
      <c r="W94" s="39">
        <f t="shared" si="81"/>
        <v>-1455.2120318607647</v>
      </c>
      <c r="X94" s="39">
        <f t="shared" si="81"/>
        <v>-1528.5547182665471</v>
      </c>
      <c r="Y94" s="39">
        <f t="shared" si="81"/>
        <v>-1590.1554734126892</v>
      </c>
      <c r="Z94" s="39">
        <f t="shared" si="81"/>
        <v>-1638.1781687097521</v>
      </c>
      <c r="AA94" s="39">
        <f t="shared" si="81"/>
        <v>-1687.6511494047863</v>
      </c>
      <c r="AB94" s="39">
        <f t="shared" si="81"/>
        <v>-1738.618214116811</v>
      </c>
    </row>
    <row r="95" spans="3:28" x14ac:dyDescent="0.25">
      <c r="C95" s="17" t="s">
        <v>3</v>
      </c>
      <c r="D95" s="11"/>
      <c r="E95" s="11"/>
      <c r="F95" s="30" t="s">
        <v>23</v>
      </c>
      <c r="G95" s="14">
        <f>-G94/G66</f>
        <v>0.32729318309667083</v>
      </c>
      <c r="H95" s="14">
        <f>-H94/H66</f>
        <v>0.16416058069333123</v>
      </c>
      <c r="I95" s="66">
        <v>0.15</v>
      </c>
      <c r="J95" s="66">
        <v>0.13</v>
      </c>
      <c r="K95" s="66">
        <v>0.11</v>
      </c>
      <c r="L95" s="66">
        <v>0.09</v>
      </c>
      <c r="M95" s="66">
        <v>7.0000000000000007E-2</v>
      </c>
      <c r="N95" s="66">
        <v>0.05</v>
      </c>
      <c r="O95" s="66">
        <v>0.05</v>
      </c>
      <c r="P95" s="66">
        <v>0.05</v>
      </c>
      <c r="Q95" s="66">
        <v>0.05</v>
      </c>
      <c r="R95" s="66">
        <v>0.05</v>
      </c>
      <c r="S95" s="66">
        <v>0.05</v>
      </c>
      <c r="T95" s="66">
        <v>0.05</v>
      </c>
      <c r="U95" s="66">
        <v>0.05</v>
      </c>
      <c r="V95" s="66">
        <v>0.05</v>
      </c>
      <c r="W95" s="66">
        <v>0.05</v>
      </c>
      <c r="X95" s="66">
        <v>0.05</v>
      </c>
      <c r="Y95" s="66">
        <v>0.05</v>
      </c>
      <c r="Z95" s="66">
        <v>0.05</v>
      </c>
      <c r="AA95" s="66">
        <v>0.05</v>
      </c>
      <c r="AB95" s="66">
        <v>0.05</v>
      </c>
    </row>
    <row r="96" spans="3:28" x14ac:dyDescent="0.25">
      <c r="C96" s="20"/>
      <c r="D96" s="11"/>
      <c r="E96" s="11"/>
      <c r="F96" s="11"/>
      <c r="I96" s="43"/>
      <c r="J96" s="43"/>
      <c r="K96" s="43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</row>
    <row r="97" spans="2:28" x14ac:dyDescent="0.25">
      <c r="C97" s="44" t="s">
        <v>7</v>
      </c>
      <c r="D97" s="44"/>
      <c r="E97" s="44"/>
      <c r="F97" s="45" t="s">
        <v>25</v>
      </c>
      <c r="G97" s="45"/>
      <c r="H97" s="45"/>
      <c r="I97" s="46">
        <f t="shared" ref="I97:R97" si="82">+I86+I88+I91+I94</f>
        <v>-447.55933300000004</v>
      </c>
      <c r="J97" s="46">
        <f t="shared" si="82"/>
        <v>-521.55425887500007</v>
      </c>
      <c r="K97" s="46">
        <f t="shared" si="82"/>
        <v>-456.89730557249999</v>
      </c>
      <c r="L97" s="46">
        <f t="shared" si="82"/>
        <v>-272.35425368969993</v>
      </c>
      <c r="M97" s="46">
        <f t="shared" si="82"/>
        <v>-97.074837565114535</v>
      </c>
      <c r="N97" s="46">
        <f t="shared" si="82"/>
        <v>745.26580267456075</v>
      </c>
      <c r="O97" s="46">
        <f t="shared" si="82"/>
        <v>1472.9726972244016</v>
      </c>
      <c r="P97" s="46">
        <f t="shared" si="82"/>
        <v>2321.6760224151944</v>
      </c>
      <c r="Q97" s="46">
        <f t="shared" si="82"/>
        <v>3612.6840673254733</v>
      </c>
      <c r="R97" s="46">
        <f t="shared" si="82"/>
        <v>4172.650097760923</v>
      </c>
      <c r="S97" s="46">
        <f t="shared" ref="S97:AB97" si="83">+S86+S88+S91+S94</f>
        <v>4719.7631407241497</v>
      </c>
      <c r="T97" s="46">
        <f t="shared" si="83"/>
        <v>5238.418545533571</v>
      </c>
      <c r="U97" s="46">
        <f t="shared" si="83"/>
        <v>5703.908091350334</v>
      </c>
      <c r="V97" s="46">
        <f t="shared" si="83"/>
        <v>6091.9478829826094</v>
      </c>
      <c r="W97" s="46">
        <f t="shared" si="83"/>
        <v>6452.7435924801939</v>
      </c>
      <c r="X97" s="46">
        <f t="shared" si="83"/>
        <v>6769.6463722162771</v>
      </c>
      <c r="Y97" s="46">
        <f t="shared" si="83"/>
        <v>7033.6445361035167</v>
      </c>
      <c r="Z97" s="46">
        <f t="shared" si="83"/>
        <v>7236.7975595011467</v>
      </c>
      <c r="AA97" s="46">
        <f t="shared" si="83"/>
        <v>7455.3488457980802</v>
      </c>
      <c r="AB97" s="46">
        <f t="shared" si="83"/>
        <v>7680.5003809411819</v>
      </c>
    </row>
    <row r="98" spans="2:28" x14ac:dyDescent="0.25">
      <c r="C98" s="47" t="s">
        <v>18</v>
      </c>
      <c r="F98" s="30" t="s">
        <v>23</v>
      </c>
      <c r="I98" s="34" t="str">
        <f t="shared" ref="I98" si="84">IFERROR(+I97/H97-1,"N/A")</f>
        <v>N/A</v>
      </c>
      <c r="J98" s="34">
        <f t="shared" ref="J98" si="85">IFERROR(+J97/I97-1,"N/A")</f>
        <v>0.16532986895616819</v>
      </c>
      <c r="K98" s="34">
        <f t="shared" ref="K98" si="86">IFERROR(+K97/J97-1,"N/A")</f>
        <v>-0.12396975425330825</v>
      </c>
      <c r="L98" s="34">
        <f t="shared" ref="L98" si="87">IFERROR(+L97/K97-1,"N/A")</f>
        <v>-0.4039048811013769</v>
      </c>
      <c r="M98" s="34">
        <f t="shared" ref="M98" si="88">IFERROR(+M97/L97-1,"N/A")</f>
        <v>-0.64357142857142835</v>
      </c>
      <c r="N98" s="34">
        <f t="shared" ref="N98" si="89">IFERROR(+N97/M97-1,"N/A")</f>
        <v>-8.6772294589178323</v>
      </c>
      <c r="O98" s="34">
        <f t="shared" ref="O98" si="90">IFERROR(+O97/N97-1,"N/A")</f>
        <v>0.97643940180576427</v>
      </c>
      <c r="P98" s="34">
        <f t="shared" ref="P98" si="91">IFERROR(+P97/O97-1,"N/A")</f>
        <v>0.57618401670991481</v>
      </c>
      <c r="Q98" s="34">
        <f t="shared" ref="Q98" si="92">IFERROR(+Q97/P97-1,"N/A")</f>
        <v>0.55606726883765134</v>
      </c>
      <c r="R98" s="34">
        <f t="shared" ref="R98" si="93">IFERROR(+R97/Q97-1,"N/A")</f>
        <v>0.15500000000000047</v>
      </c>
      <c r="S98" s="34">
        <f t="shared" ref="S98" si="94">IFERROR(+S97/R97-1,"N/A")</f>
        <v>0.13111884057971013</v>
      </c>
      <c r="T98" s="34">
        <f t="shared" ref="T98" si="95">IFERROR(+T97/S97-1,"N/A")</f>
        <v>0.1098901341752172</v>
      </c>
      <c r="U98" s="34">
        <f t="shared" ref="U98" si="96">IFERROR(+U97/T97-1,"N/A")</f>
        <v>8.8860701330109038E-2</v>
      </c>
      <c r="V98" s="34">
        <f t="shared" ref="V98" si="97">IFERROR(+V97/U97-1,"N/A")</f>
        <v>6.8030512662137221E-2</v>
      </c>
      <c r="W98" s="34">
        <f t="shared" ref="W98" si="98">IFERROR(+W97/V97-1,"N/A")</f>
        <v>5.9225015779507784E-2</v>
      </c>
      <c r="X98" s="34">
        <f t="shared" ref="X98" si="99">IFERROR(+X97/W97-1,"N/A")</f>
        <v>4.9111323763955328E-2</v>
      </c>
      <c r="Y98" s="34">
        <f t="shared" ref="Y98" si="100">IFERROR(+Y97/X97-1,"N/A")</f>
        <v>3.8997334479793588E-2</v>
      </c>
      <c r="Z98" s="34">
        <f t="shared" ref="Z98" si="101">IFERROR(+Z97/Y97-1,"N/A")</f>
        <v>2.8883038139736916E-2</v>
      </c>
      <c r="AA98" s="34">
        <f t="shared" ref="AA98" si="102">IFERROR(+AA97/Z97-1,"N/A")</f>
        <v>3.0199999999999783E-2</v>
      </c>
      <c r="AB98" s="34">
        <f t="shared" ref="AB98" si="103">IFERROR(+AB97/AA97-1,"N/A")</f>
        <v>3.0200000000000005E-2</v>
      </c>
    </row>
    <row r="99" spans="2:28" x14ac:dyDescent="0.25">
      <c r="L99" s="48"/>
      <c r="M99" s="48"/>
      <c r="N99" s="48"/>
      <c r="O99" s="48"/>
      <c r="P99" s="48"/>
      <c r="Q99" s="48"/>
      <c r="R99" s="48"/>
    </row>
    <row r="100" spans="2:28" x14ac:dyDescent="0.25">
      <c r="C100" s="5" t="s">
        <v>84</v>
      </c>
      <c r="F100" s="67" t="s">
        <v>117</v>
      </c>
      <c r="I100" s="120">
        <v>1</v>
      </c>
      <c r="J100" s="16">
        <f>+I100+1</f>
        <v>2</v>
      </c>
      <c r="K100" s="16">
        <f t="shared" ref="K100:M100" si="104">+J100+1</f>
        <v>3</v>
      </c>
      <c r="L100" s="16">
        <f>+K100+1</f>
        <v>4</v>
      </c>
      <c r="M100" s="16">
        <f t="shared" si="104"/>
        <v>5</v>
      </c>
      <c r="N100" s="16">
        <f t="shared" ref="N100" si="105">+M100+1</f>
        <v>6</v>
      </c>
      <c r="O100" s="16">
        <f t="shared" ref="O100" si="106">+N100+1</f>
        <v>7</v>
      </c>
      <c r="P100" s="16">
        <f t="shared" ref="P100" si="107">+O100+1</f>
        <v>8</v>
      </c>
      <c r="Q100" s="16">
        <f t="shared" ref="Q100" si="108">+P100+1</f>
        <v>9</v>
      </c>
      <c r="R100" s="16">
        <f t="shared" ref="R100" si="109">+Q100+1</f>
        <v>10</v>
      </c>
      <c r="S100" s="16">
        <f t="shared" ref="S100" si="110">+R100+1</f>
        <v>11</v>
      </c>
      <c r="T100" s="16">
        <f t="shared" ref="T100" si="111">+S100+1</f>
        <v>12</v>
      </c>
      <c r="U100" s="16">
        <f t="shared" ref="U100" si="112">+T100+1</f>
        <v>13</v>
      </c>
      <c r="V100" s="16">
        <f t="shared" ref="V100" si="113">+U100+1</f>
        <v>14</v>
      </c>
      <c r="W100" s="16">
        <f t="shared" ref="W100" si="114">+V100+1</f>
        <v>15</v>
      </c>
      <c r="X100" s="16">
        <f t="shared" ref="X100" si="115">+W100+1</f>
        <v>16</v>
      </c>
      <c r="Y100" s="16">
        <f t="shared" ref="Y100" si="116">+X100+1</f>
        <v>17</v>
      </c>
      <c r="Z100" s="16">
        <f t="shared" ref="Z100" si="117">+Y100+1</f>
        <v>18</v>
      </c>
      <c r="AA100" s="16">
        <f t="shared" ref="AA100" si="118">+Z100+1</f>
        <v>19</v>
      </c>
      <c r="AB100" s="16">
        <f t="shared" ref="AB100" si="119">+AA100+1</f>
        <v>20</v>
      </c>
    </row>
    <row r="101" spans="2:28" x14ac:dyDescent="0.25">
      <c r="C101" s="5" t="s">
        <v>5</v>
      </c>
      <c r="F101" s="67" t="s">
        <v>23</v>
      </c>
      <c r="I101" s="123">
        <f>Discount_Rate_Initial</f>
        <v>0.12</v>
      </c>
      <c r="J101" s="124">
        <f>+I101-($I101-$R101)/$R$100</f>
        <v>0.11545898586470377</v>
      </c>
      <c r="K101" s="124">
        <f t="shared" ref="K101:Q101" si="120">+J101-($I101-$R101)/$R$100</f>
        <v>0.11091797172940754</v>
      </c>
      <c r="L101" s="124">
        <f t="shared" si="120"/>
        <v>0.10637695759411131</v>
      </c>
      <c r="M101" s="124">
        <f t="shared" si="120"/>
        <v>0.10183594345881508</v>
      </c>
      <c r="N101" s="124">
        <f t="shared" si="120"/>
        <v>9.7294929323518853E-2</v>
      </c>
      <c r="O101" s="124">
        <f t="shared" si="120"/>
        <v>9.2753915188222624E-2</v>
      </c>
      <c r="P101" s="124">
        <f t="shared" si="120"/>
        <v>8.8212901052926396E-2</v>
      </c>
      <c r="Q101" s="124">
        <f t="shared" si="120"/>
        <v>8.3671886917630167E-2</v>
      </c>
      <c r="R101" s="124">
        <f t="shared" ref="R101:AB101" si="121">Discount_Rate_Terminal</f>
        <v>7.4589858647037738E-2</v>
      </c>
      <c r="S101" s="124">
        <f t="shared" si="121"/>
        <v>7.4589858647037738E-2</v>
      </c>
      <c r="T101" s="124">
        <f t="shared" si="121"/>
        <v>7.4589858647037738E-2</v>
      </c>
      <c r="U101" s="124">
        <f t="shared" si="121"/>
        <v>7.4589858647037738E-2</v>
      </c>
      <c r="V101" s="124">
        <f t="shared" si="121"/>
        <v>7.4589858647037738E-2</v>
      </c>
      <c r="W101" s="124">
        <f t="shared" si="121"/>
        <v>7.4589858647037738E-2</v>
      </c>
      <c r="X101" s="124">
        <f t="shared" si="121"/>
        <v>7.4589858647037738E-2</v>
      </c>
      <c r="Y101" s="124">
        <f t="shared" si="121"/>
        <v>7.4589858647037738E-2</v>
      </c>
      <c r="Z101" s="124">
        <f t="shared" si="121"/>
        <v>7.4589858647037738E-2</v>
      </c>
      <c r="AA101" s="124">
        <f t="shared" si="121"/>
        <v>7.4589858647037738E-2</v>
      </c>
      <c r="AB101" s="124">
        <f t="shared" si="121"/>
        <v>7.4589858647037738E-2</v>
      </c>
    </row>
    <row r="102" spans="2:28" x14ac:dyDescent="0.25">
      <c r="C102" s="5" t="s">
        <v>85</v>
      </c>
      <c r="F102" s="67" t="s">
        <v>117</v>
      </c>
      <c r="I102" s="125">
        <f>1/((1+I101)^I100)</f>
        <v>0.89285714285714279</v>
      </c>
      <c r="J102" s="125">
        <f>+I102*(1/(1+J101))</f>
        <v>0.8004392399645246</v>
      </c>
      <c r="K102" s="125">
        <f t="shared" ref="K102:R102" si="122">+J102*(1/(1+K101))</f>
        <v>0.72052056077412341</v>
      </c>
      <c r="L102" s="125">
        <f t="shared" si="122"/>
        <v>0.65124328180238156</v>
      </c>
      <c r="M102" s="125">
        <f t="shared" si="122"/>
        <v>0.59105285652421091</v>
      </c>
      <c r="N102" s="125">
        <f t="shared" si="122"/>
        <v>0.53864539125191657</v>
      </c>
      <c r="O102" s="125">
        <f t="shared" si="122"/>
        <v>0.492924695821508</v>
      </c>
      <c r="P102" s="125">
        <f t="shared" si="122"/>
        <v>0.45296714948386196</v>
      </c>
      <c r="Q102" s="125">
        <f t="shared" si="122"/>
        <v>0.41799289522243732</v>
      </c>
      <c r="R102" s="125">
        <f t="shared" si="122"/>
        <v>0.38897900613794295</v>
      </c>
      <c r="S102" s="125">
        <f t="shared" ref="S102" si="123">+R102*(1/(1+S101))</f>
        <v>0.36197904066178971</v>
      </c>
      <c r="T102" s="125">
        <f t="shared" ref="T102" si="124">+S102*(1/(1+T101))</f>
        <v>0.33685320752751136</v>
      </c>
      <c r="U102" s="125">
        <f t="shared" ref="U102" si="125">+T102*(1/(1+U101))</f>
        <v>0.31347141871562639</v>
      </c>
      <c r="V102" s="125">
        <f t="shared" ref="V102" si="126">+U102*(1/(1+V101))</f>
        <v>0.2917126159279993</v>
      </c>
      <c r="W102" s="125">
        <f t="shared" ref="W102" si="127">+V102*(1/(1+W101))</f>
        <v>0.27146414381323125</v>
      </c>
      <c r="X102" s="125">
        <f t="shared" ref="X102" si="128">+W102*(1/(1+X101))</f>
        <v>0.25262116669797924</v>
      </c>
      <c r="Y102" s="125">
        <f t="shared" ref="Y102" si="129">+X102*(1/(1+Y101))</f>
        <v>0.23508612580435284</v>
      </c>
      <c r="Z102" s="125">
        <f t="shared" ref="Z102" si="130">+Y102*(1/(1+Z101))</f>
        <v>0.218768234143153</v>
      </c>
      <c r="AA102" s="125">
        <f t="shared" ref="AA102" si="131">+Z102*(1/(1+AA101))</f>
        <v>0.20358300646778216</v>
      </c>
      <c r="AB102" s="125">
        <f t="shared" ref="AB102" si="132">+AA102*(1/(1+AB101))</f>
        <v>0.18945182185518047</v>
      </c>
    </row>
    <row r="103" spans="2:28" x14ac:dyDescent="0.25">
      <c r="I103" s="25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</row>
    <row r="104" spans="2:28" x14ac:dyDescent="0.25">
      <c r="C104" s="126" t="s">
        <v>88</v>
      </c>
      <c r="F104" s="32" t="s">
        <v>25</v>
      </c>
      <c r="I104" s="37">
        <f>+I97*I102</f>
        <v>-399.60654732142859</v>
      </c>
      <c r="J104" s="37">
        <f t="shared" ref="J104:R104" si="133">+J97*J102</f>
        <v>-417.47249457416598</v>
      </c>
      <c r="K104" s="37">
        <f t="shared" si="133"/>
        <v>-329.20390282728368</v>
      </c>
      <c r="L104" s="37">
        <f t="shared" si="133"/>
        <v>-177.36887798571857</v>
      </c>
      <c r="M104" s="37">
        <f t="shared" si="133"/>
        <v>-57.376360039484723</v>
      </c>
      <c r="N104" s="37">
        <f t="shared" si="133"/>
        <v>401.43398986831244</v>
      </c>
      <c r="O104" s="37">
        <f t="shared" si="133"/>
        <v>726.0646187327244</v>
      </c>
      <c r="P104" s="37">
        <f t="shared" si="133"/>
        <v>1051.6429698984414</v>
      </c>
      <c r="Q104" s="37">
        <f t="shared" si="133"/>
        <v>1510.0762728253453</v>
      </c>
      <c r="R104" s="37">
        <f t="shared" si="133"/>
        <v>1623.0732879884342</v>
      </c>
      <c r="S104" s="37">
        <f t="shared" ref="S104:AB104" si="134">+S97*S102</f>
        <v>1708.4553338302032</v>
      </c>
      <c r="T104" s="37">
        <f t="shared" si="134"/>
        <v>1764.5780894345842</v>
      </c>
      <c r="U104" s="37">
        <f t="shared" si="134"/>
        <v>1788.01216161913</v>
      </c>
      <c r="V104" s="37">
        <f t="shared" si="134"/>
        <v>1777.0980530418944</v>
      </c>
      <c r="W104" s="37">
        <f t="shared" si="134"/>
        <v>1751.6885145789499</v>
      </c>
      <c r="X104" s="37">
        <f t="shared" si="134"/>
        <v>1710.1559646820185</v>
      </c>
      <c r="Y104" s="37">
        <f t="shared" si="134"/>
        <v>1653.5122442775303</v>
      </c>
      <c r="Z104" s="37">
        <f t="shared" si="134"/>
        <v>1583.1814229435449</v>
      </c>
      <c r="AA104" s="37">
        <f t="shared" si="134"/>
        <v>1517.7823322936829</v>
      </c>
      <c r="AB104" s="37">
        <f t="shared" si="134"/>
        <v>1455.0847899287146</v>
      </c>
    </row>
    <row r="105" spans="2:28" x14ac:dyDescent="0.25"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</row>
    <row r="106" spans="2:28" x14ac:dyDescent="0.25">
      <c r="C106" s="49" t="s">
        <v>14</v>
      </c>
      <c r="D106" s="49"/>
      <c r="E106" s="49"/>
      <c r="F106" s="50" t="s">
        <v>25</v>
      </c>
      <c r="G106" s="51"/>
      <c r="H106" s="51"/>
      <c r="I106" s="51">
        <f t="shared" ref="I106:R106" si="135">+I69+I88</f>
        <v>-252.39676800000001</v>
      </c>
      <c r="J106" s="51">
        <f t="shared" si="135"/>
        <v>-271.62230306250001</v>
      </c>
      <c r="K106" s="51">
        <f t="shared" si="135"/>
        <v>-144.10277973000001</v>
      </c>
      <c r="L106" s="51">
        <f t="shared" si="135"/>
        <v>77.815501054199984</v>
      </c>
      <c r="M106" s="51">
        <f t="shared" si="135"/>
        <v>290.83543519007247</v>
      </c>
      <c r="N106" s="51">
        <f t="shared" si="135"/>
        <v>1086.9974390228958</v>
      </c>
      <c r="O106" s="51">
        <f t="shared" si="135"/>
        <v>2538.5570960565474</v>
      </c>
      <c r="P106" s="51">
        <f t="shared" si="135"/>
        <v>4607.4811293426337</v>
      </c>
      <c r="Q106" s="51">
        <f t="shared" si="135"/>
        <v>6934.2590996606641</v>
      </c>
      <c r="R106" s="51">
        <f t="shared" si="135"/>
        <v>8009.0692601080682</v>
      </c>
      <c r="S106" s="51">
        <f t="shared" ref="S106:AB106" si="136">+S69+S88</f>
        <v>9079.0809132585073</v>
      </c>
      <c r="T106" s="51">
        <f t="shared" si="136"/>
        <v>10099.569607908763</v>
      </c>
      <c r="U106" s="51">
        <f t="shared" si="136"/>
        <v>11022.670270071627</v>
      </c>
      <c r="V106" s="51">
        <f t="shared" si="136"/>
        <v>11800.870791138685</v>
      </c>
      <c r="W106" s="51">
        <f t="shared" si="136"/>
        <v>12514.823474002576</v>
      </c>
      <c r="X106" s="51">
        <f t="shared" si="136"/>
        <v>13145.570577092305</v>
      </c>
      <c r="Y106" s="51">
        <f t="shared" si="136"/>
        <v>13675.337071349126</v>
      </c>
      <c r="Z106" s="51">
        <f t="shared" si="136"/>
        <v>14088.332250903868</v>
      </c>
      <c r="AA106" s="51">
        <f t="shared" si="136"/>
        <v>14513.799884881162</v>
      </c>
      <c r="AB106" s="51">
        <f t="shared" si="136"/>
        <v>14952.116641404575</v>
      </c>
    </row>
    <row r="107" spans="2:28" x14ac:dyDescent="0.25">
      <c r="C107" s="47" t="s">
        <v>18</v>
      </c>
      <c r="F107" s="67" t="s">
        <v>23</v>
      </c>
      <c r="I107" s="34" t="str">
        <f>IFERROR(+I106/H106-1,"N/A")</f>
        <v>N/A</v>
      </c>
      <c r="J107" s="34">
        <f t="shared" ref="J107:AB107" si="137">IFERROR(+J106/I106-1,"N/A")</f>
        <v>7.6171875E-2</v>
      </c>
      <c r="K107" s="34">
        <f t="shared" si="137"/>
        <v>-0.46947368421052627</v>
      </c>
      <c r="L107" s="34">
        <f t="shared" si="137"/>
        <v>-1.5399999999999998</v>
      </c>
      <c r="M107" s="34">
        <f t="shared" si="137"/>
        <v>2.7375000000000003</v>
      </c>
      <c r="N107" s="34">
        <f t="shared" si="137"/>
        <v>2.7374999999999998</v>
      </c>
      <c r="O107" s="34">
        <f t="shared" si="137"/>
        <v>1.3353846153846152</v>
      </c>
      <c r="P107" s="34">
        <f t="shared" si="137"/>
        <v>0.81500000000000017</v>
      </c>
      <c r="Q107" s="34">
        <f t="shared" si="137"/>
        <v>0.50500000000000012</v>
      </c>
      <c r="R107" s="34">
        <f t="shared" si="137"/>
        <v>0.15500000000000025</v>
      </c>
      <c r="S107" s="34">
        <f t="shared" si="137"/>
        <v>0.13360000000000016</v>
      </c>
      <c r="T107" s="34">
        <f t="shared" si="137"/>
        <v>0.11239999999999983</v>
      </c>
      <c r="U107" s="34">
        <f t="shared" si="137"/>
        <v>9.140000000000037E-2</v>
      </c>
      <c r="V107" s="34">
        <f t="shared" si="137"/>
        <v>7.0599999999999996E-2</v>
      </c>
      <c r="W107" s="34">
        <f t="shared" si="137"/>
        <v>6.050000000000022E-2</v>
      </c>
      <c r="X107" s="34">
        <f t="shared" si="137"/>
        <v>5.04E-2</v>
      </c>
      <c r="Y107" s="34">
        <f t="shared" si="137"/>
        <v>4.0300000000000002E-2</v>
      </c>
      <c r="Z107" s="34">
        <f t="shared" si="137"/>
        <v>3.0200000000000005E-2</v>
      </c>
      <c r="AA107" s="34">
        <f t="shared" si="137"/>
        <v>3.0199999999999783E-2</v>
      </c>
      <c r="AB107" s="34">
        <f t="shared" si="137"/>
        <v>3.0200000000000005E-2</v>
      </c>
    </row>
    <row r="109" spans="2:28" x14ac:dyDescent="0.25">
      <c r="B109" s="216" t="s">
        <v>126</v>
      </c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7"/>
    </row>
    <row r="110" spans="2:28" x14ac:dyDescent="0.25">
      <c r="B110" s="176"/>
      <c r="C110" s="176"/>
      <c r="D110" s="176"/>
      <c r="E110" s="176"/>
      <c r="F110" s="176"/>
      <c r="G110" s="176"/>
      <c r="H110" s="176"/>
      <c r="I110" s="176"/>
      <c r="J110" s="176"/>
      <c r="K110" s="218"/>
      <c r="L110" s="218"/>
      <c r="M110" s="218"/>
      <c r="N110" s="218"/>
      <c r="O110" s="218"/>
    </row>
    <row r="111" spans="2:28" x14ac:dyDescent="0.25">
      <c r="B111" s="176"/>
      <c r="C111" s="177"/>
      <c r="D111" s="178"/>
      <c r="E111" s="179" t="s">
        <v>130</v>
      </c>
      <c r="F111" s="180"/>
      <c r="G111" s="180"/>
      <c r="H111" s="180"/>
      <c r="I111" s="180"/>
      <c r="J111" s="180"/>
      <c r="K111" s="180"/>
      <c r="L111" s="180"/>
      <c r="M111" s="180"/>
      <c r="N111" s="180"/>
      <c r="O111" s="181"/>
    </row>
    <row r="112" spans="2:28" x14ac:dyDescent="0.25">
      <c r="B112" s="176"/>
      <c r="C112" s="182"/>
      <c r="D112" s="198">
        <f ca="1">+$K$38</f>
        <v>38.68322923904411</v>
      </c>
      <c r="E112" s="184">
        <v>6.5000000000000002E-2</v>
      </c>
      <c r="F112" s="185">
        <f>+E112+0.2%</f>
        <v>6.7000000000000004E-2</v>
      </c>
      <c r="G112" s="185">
        <f t="shared" ref="G112:O112" si="138">+F112+0.2%</f>
        <v>6.9000000000000006E-2</v>
      </c>
      <c r="H112" s="185">
        <f t="shared" si="138"/>
        <v>7.1000000000000008E-2</v>
      </c>
      <c r="I112" s="185">
        <f t="shared" si="138"/>
        <v>7.3000000000000009E-2</v>
      </c>
      <c r="J112" s="186">
        <f t="shared" si="138"/>
        <v>7.5000000000000011E-2</v>
      </c>
      <c r="K112" s="185">
        <f t="shared" si="138"/>
        <v>7.7000000000000013E-2</v>
      </c>
      <c r="L112" s="185">
        <f t="shared" si="138"/>
        <v>7.9000000000000015E-2</v>
      </c>
      <c r="M112" s="185">
        <f t="shared" si="138"/>
        <v>8.1000000000000016E-2</v>
      </c>
      <c r="N112" s="185">
        <f t="shared" si="138"/>
        <v>8.3000000000000018E-2</v>
      </c>
      <c r="O112" s="187">
        <f t="shared" si="138"/>
        <v>8.500000000000002E-2</v>
      </c>
    </row>
    <row r="113" spans="2:16" x14ac:dyDescent="0.25">
      <c r="B113" s="176"/>
      <c r="C113" s="221" t="s">
        <v>127</v>
      </c>
      <c r="D113" s="197">
        <v>10</v>
      </c>
      <c r="E113" s="188">
        <f t="dataTable" ref="E113:O121" dt2D="1" dtr="1" r1="F17" r2="K18" ca="1"/>
        <v>42.85588516985738</v>
      </c>
      <c r="F113" s="188">
        <v>41.94172339936835</v>
      </c>
      <c r="G113" s="188">
        <v>41.051343532978137</v>
      </c>
      <c r="H113" s="188">
        <v>40.184065243251794</v>
      </c>
      <c r="I113" s="188">
        <v>39.339229098153723</v>
      </c>
      <c r="J113" s="188">
        <v>38.516195879108651</v>
      </c>
      <c r="K113" s="188">
        <v>37.714345923115836</v>
      </c>
      <c r="L113" s="188">
        <v>36.933078487453514</v>
      </c>
      <c r="M113" s="188">
        <v>36.171811136158048</v>
      </c>
      <c r="N113" s="188">
        <v>35.429979147494294</v>
      </c>
      <c r="O113" s="188">
        <v>34.707034941661888</v>
      </c>
      <c r="P113" s="5" t="s">
        <v>131</v>
      </c>
    </row>
    <row r="114" spans="2:16" x14ac:dyDescent="0.25">
      <c r="B114" s="176"/>
      <c r="C114" s="222"/>
      <c r="D114" s="189">
        <f>+D113-0.5</f>
        <v>9.5</v>
      </c>
      <c r="E114" s="190">
        <v>41.664199750698714</v>
      </c>
      <c r="F114" s="190">
        <v>40.782070253806118</v>
      </c>
      <c r="G114" s="190">
        <v>39.922810221208366</v>
      </c>
      <c r="H114" s="190">
        <v>39.085766785135085</v>
      </c>
      <c r="I114" s="190">
        <v>38.27030710296301</v>
      </c>
      <c r="J114" s="191">
        <v>37.475817703794476</v>
      </c>
      <c r="K114" s="190">
        <v>36.701703858577574</v>
      </c>
      <c r="L114" s="190">
        <v>35.947388971839409</v>
      </c>
      <c r="M114" s="190">
        <v>35.212313994252668</v>
      </c>
      <c r="N114" s="190">
        <v>34.495936855286246</v>
      </c>
      <c r="O114" s="190">
        <v>33.797731915217724</v>
      </c>
    </row>
    <row r="115" spans="2:16" x14ac:dyDescent="0.25">
      <c r="B115" s="176"/>
      <c r="C115" s="222"/>
      <c r="D115" s="189">
        <f t="shared" ref="D115:D121" si="139">+D114-0.5</f>
        <v>9</v>
      </c>
      <c r="E115" s="190">
        <v>40.472514331087254</v>
      </c>
      <c r="F115" s="190">
        <v>39.622417108243482</v>
      </c>
      <c r="G115" s="190">
        <v>38.794276909438182</v>
      </c>
      <c r="H115" s="190">
        <v>37.987468327017957</v>
      </c>
      <c r="I115" s="190">
        <v>37.20138510777187</v>
      </c>
      <c r="J115" s="191">
        <v>36.435439528479876</v>
      </c>
      <c r="K115" s="190">
        <v>35.689061794038878</v>
      </c>
      <c r="L115" s="190">
        <v>34.961699456224856</v>
      </c>
      <c r="M115" s="190">
        <v>34.252816852346825</v>
      </c>
      <c r="N115" s="190">
        <v>33.561894563077736</v>
      </c>
      <c r="O115" s="190">
        <v>32.888428888773099</v>
      </c>
    </row>
    <row r="116" spans="2:16" x14ac:dyDescent="0.25">
      <c r="B116" s="176"/>
      <c r="C116" s="222"/>
      <c r="D116" s="189">
        <f t="shared" si="139"/>
        <v>8.5</v>
      </c>
      <c r="E116" s="190">
        <v>39.280828911478508</v>
      </c>
      <c r="F116" s="190">
        <v>38.46276396268042</v>
      </c>
      <c r="G116" s="190">
        <v>37.665743597667557</v>
      </c>
      <c r="H116" s="190">
        <v>36.889169868900382</v>
      </c>
      <c r="I116" s="190">
        <v>36.132463112580275</v>
      </c>
      <c r="J116" s="191">
        <v>35.395061353164813</v>
      </c>
      <c r="K116" s="190">
        <v>34.676419729499706</v>
      </c>
      <c r="L116" s="190">
        <v>33.976009940609821</v>
      </c>
      <c r="M116" s="190">
        <v>33.2933197104405</v>
      </c>
      <c r="N116" s="190">
        <v>32.627852270868722</v>
      </c>
      <c r="O116" s="190">
        <v>31.979125862327965</v>
      </c>
    </row>
    <row r="117" spans="2:16" x14ac:dyDescent="0.25">
      <c r="B117" s="176"/>
      <c r="C117" s="222"/>
      <c r="D117" s="192">
        <f t="shared" si="139"/>
        <v>8</v>
      </c>
      <c r="E117" s="191">
        <v>38.089143491872633</v>
      </c>
      <c r="F117" s="191">
        <v>37.303110817116867</v>
      </c>
      <c r="G117" s="191">
        <v>36.53721028589645</v>
      </c>
      <c r="H117" s="191">
        <v>35.790871410782309</v>
      </c>
      <c r="I117" s="191">
        <v>35.063541117388183</v>
      </c>
      <c r="J117" s="191">
        <v>34.354683177849232</v>
      </c>
      <c r="K117" s="191">
        <v>33.663777664960023</v>
      </c>
      <c r="L117" s="191">
        <v>32.990320424994259</v>
      </c>
      <c r="M117" s="191">
        <v>32.333822568533634</v>
      </c>
      <c r="N117" s="191">
        <v>31.693809978659164</v>
      </c>
      <c r="O117" s="191">
        <v>31.069822835882288</v>
      </c>
      <c r="P117" s="5" t="s">
        <v>132</v>
      </c>
    </row>
    <row r="118" spans="2:16" x14ac:dyDescent="0.25">
      <c r="B118" s="176"/>
      <c r="C118" s="222"/>
      <c r="D118" s="189">
        <f t="shared" si="139"/>
        <v>7.5</v>
      </c>
      <c r="E118" s="190">
        <v>36.897458072269821</v>
      </c>
      <c r="F118" s="190">
        <v>36.14345767155281</v>
      </c>
      <c r="G118" s="190">
        <v>35.408676974124809</v>
      </c>
      <c r="H118" s="190">
        <v>34.692572952663696</v>
      </c>
      <c r="I118" s="190">
        <v>33.994619122195537</v>
      </c>
      <c r="J118" s="191">
        <v>33.314305002533096</v>
      </c>
      <c r="K118" s="190">
        <v>32.651135600419757</v>
      </c>
      <c r="L118" s="190">
        <v>32.004630909378122</v>
      </c>
      <c r="M118" s="190">
        <v>31.374325426626186</v>
      </c>
      <c r="N118" s="190">
        <v>30.759767686449031</v>
      </c>
      <c r="O118" s="190">
        <v>30.160519809436</v>
      </c>
    </row>
    <row r="119" spans="2:16" x14ac:dyDescent="0.25">
      <c r="B119" s="176"/>
      <c r="C119" s="222"/>
      <c r="D119" s="189">
        <f t="shared" si="139"/>
        <v>7</v>
      </c>
      <c r="E119" s="190">
        <v>35.705772652670234</v>
      </c>
      <c r="F119" s="190">
        <v>34.983804525988162</v>
      </c>
      <c r="G119" s="190">
        <v>34.280143662352579</v>
      </c>
      <c r="H119" s="190">
        <v>33.594274494544486</v>
      </c>
      <c r="I119" s="190">
        <v>32.92569712700228</v>
      </c>
      <c r="J119" s="191">
        <v>32.273926827216336</v>
      </c>
      <c r="K119" s="190">
        <v>31.638493535878869</v>
      </c>
      <c r="L119" s="190">
        <v>31.018941393761352</v>
      </c>
      <c r="M119" s="190">
        <v>30.414828284718094</v>
      </c>
      <c r="N119" s="190">
        <v>29.82572539423823</v>
      </c>
      <c r="O119" s="190">
        <v>29.251216782989061</v>
      </c>
    </row>
    <row r="120" spans="2:16" x14ac:dyDescent="0.25">
      <c r="B120" s="176"/>
      <c r="C120" s="222"/>
      <c r="D120" s="189">
        <f t="shared" si="139"/>
        <v>6.5</v>
      </c>
      <c r="E120" s="190">
        <v>34.514087233074015</v>
      </c>
      <c r="F120" s="190">
        <v>33.824151380422869</v>
      </c>
      <c r="G120" s="190">
        <v>33.151610350579695</v>
      </c>
      <c r="H120" s="190">
        <v>32.495976036424615</v>
      </c>
      <c r="I120" s="190">
        <v>31.856775131808355</v>
      </c>
      <c r="J120" s="191">
        <v>31.233548651898914</v>
      </c>
      <c r="K120" s="190">
        <v>30.625851471337302</v>
      </c>
      <c r="L120" s="190">
        <v>30.033251878143886</v>
      </c>
      <c r="M120" s="190">
        <v>29.455331142809307</v>
      </c>
      <c r="N120" s="190">
        <v>28.891683102026732</v>
      </c>
      <c r="O120" s="190">
        <v>28.341913756541405</v>
      </c>
    </row>
    <row r="121" spans="2:16" x14ac:dyDescent="0.25">
      <c r="B121" s="176"/>
      <c r="C121" s="223"/>
      <c r="D121" s="193">
        <f t="shared" si="139"/>
        <v>6</v>
      </c>
      <c r="E121" s="190">
        <v>33.322401813481285</v>
      </c>
      <c r="F121" s="190">
        <v>32.664498234856872</v>
      </c>
      <c r="G121" s="190">
        <v>32.0230770388061</v>
      </c>
      <c r="H121" s="190">
        <v>31.397677578304016</v>
      </c>
      <c r="I121" s="190">
        <v>30.787853136613698</v>
      </c>
      <c r="J121" s="191">
        <v>30.19317047658074</v>
      </c>
      <c r="K121" s="190">
        <v>29.613209406794986</v>
      </c>
      <c r="L121" s="190">
        <v>29.047562362525667</v>
      </c>
      <c r="M121" s="190">
        <v>28.495834000899748</v>
      </c>
      <c r="N121" s="190">
        <v>27.95764080981446</v>
      </c>
      <c r="O121" s="190">
        <v>27.432610730092978</v>
      </c>
    </row>
    <row r="122" spans="2:16" x14ac:dyDescent="0.25">
      <c r="B122" s="176"/>
      <c r="C122" s="176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</row>
    <row r="123" spans="2:16" x14ac:dyDescent="0.25">
      <c r="B123" s="176"/>
      <c r="C123" s="177"/>
      <c r="D123" s="178"/>
      <c r="E123" s="179" t="str">
        <f>+E111</f>
        <v>Terminal Weighted Average Cost of Capital (WACC):</v>
      </c>
      <c r="F123" s="180"/>
      <c r="G123" s="180"/>
      <c r="H123" s="180"/>
      <c r="I123" s="180"/>
      <c r="J123" s="180"/>
      <c r="K123" s="180"/>
      <c r="L123" s="180"/>
      <c r="M123" s="180"/>
      <c r="N123" s="180"/>
      <c r="O123" s="181"/>
    </row>
    <row r="124" spans="2:16" x14ac:dyDescent="0.25">
      <c r="B124" s="176"/>
      <c r="C124" s="182"/>
      <c r="D124" s="183">
        <f ca="1">+$P$38</f>
        <v>38.646440911615237</v>
      </c>
      <c r="E124" s="185">
        <f>+E112</f>
        <v>6.5000000000000002E-2</v>
      </c>
      <c r="F124" s="185">
        <f t="shared" ref="F124:O124" si="140">+F112</f>
        <v>6.7000000000000004E-2</v>
      </c>
      <c r="G124" s="185">
        <f t="shared" si="140"/>
        <v>6.9000000000000006E-2</v>
      </c>
      <c r="H124" s="185">
        <f t="shared" si="140"/>
        <v>7.1000000000000008E-2</v>
      </c>
      <c r="I124" s="185">
        <f t="shared" si="140"/>
        <v>7.3000000000000009E-2</v>
      </c>
      <c r="J124" s="186">
        <f t="shared" si="140"/>
        <v>7.5000000000000011E-2</v>
      </c>
      <c r="K124" s="185">
        <f t="shared" si="140"/>
        <v>7.7000000000000013E-2</v>
      </c>
      <c r="L124" s="185">
        <f t="shared" si="140"/>
        <v>7.9000000000000015E-2</v>
      </c>
      <c r="M124" s="185">
        <f t="shared" si="140"/>
        <v>8.1000000000000016E-2</v>
      </c>
      <c r="N124" s="185">
        <f t="shared" si="140"/>
        <v>8.3000000000000018E-2</v>
      </c>
      <c r="O124" s="187">
        <f t="shared" si="140"/>
        <v>8.500000000000002E-2</v>
      </c>
    </row>
    <row r="125" spans="2:16" x14ac:dyDescent="0.25">
      <c r="B125" s="176"/>
      <c r="C125" s="221" t="s">
        <v>128</v>
      </c>
      <c r="D125" s="219">
        <v>2.1999999999999999E-2</v>
      </c>
      <c r="E125" s="188">
        <f t="dataTable" ref="E125:O133" dt2D="1" dtr="1" r1="F17" r2="P18" ca="1"/>
        <v>48.120026750892968</v>
      </c>
      <c r="F125" s="188">
        <v>45.805890075370868</v>
      </c>
      <c r="G125" s="188">
        <v>43.691339610821558</v>
      </c>
      <c r="H125" s="188">
        <v>41.751894224109513</v>
      </c>
      <c r="I125" s="188">
        <v>39.966913798501011</v>
      </c>
      <c r="J125" s="188">
        <v>38.318874493407939</v>
      </c>
      <c r="K125" s="188">
        <v>36.792802130646677</v>
      </c>
      <c r="L125" s="188">
        <v>35.375824868264417</v>
      </c>
      <c r="M125" s="188">
        <v>34.05681685639486</v>
      </c>
      <c r="N125" s="188">
        <v>32.826111994009977</v>
      </c>
      <c r="O125" s="188">
        <v>31.675272208578839</v>
      </c>
      <c r="P125" s="5" t="s">
        <v>133</v>
      </c>
    </row>
    <row r="126" spans="2:16" x14ac:dyDescent="0.25">
      <c r="B126" s="176"/>
      <c r="C126" s="222"/>
      <c r="D126" s="194">
        <f>+D125-0.175%</f>
        <v>2.0249999999999997E-2</v>
      </c>
      <c r="E126" s="190">
        <v>46.934245385767333</v>
      </c>
      <c r="F126" s="190">
        <v>44.748456042345396</v>
      </c>
      <c r="G126" s="190">
        <v>42.744722188519994</v>
      </c>
      <c r="H126" s="190">
        <v>40.901475916145557</v>
      </c>
      <c r="I126" s="190">
        <v>39.200421176922546</v>
      </c>
      <c r="J126" s="191">
        <v>37.625936159770902</v>
      </c>
      <c r="K126" s="190">
        <v>36.164602039953515</v>
      </c>
      <c r="L126" s="190">
        <v>34.804827984209076</v>
      </c>
      <c r="M126" s="190">
        <v>33.536550229424208</v>
      </c>
      <c r="N126" s="190">
        <v>32.350988708464492</v>
      </c>
      <c r="O126" s="190">
        <v>31.240448780521962</v>
      </c>
    </row>
    <row r="127" spans="2:16" x14ac:dyDescent="0.25">
      <c r="B127" s="176"/>
      <c r="C127" s="222"/>
      <c r="D127" s="194">
        <f t="shared" ref="D127:D133" si="141">+D126-0.175%</f>
        <v>1.8499999999999996E-2</v>
      </c>
      <c r="E127" s="190">
        <v>45.83771638057555</v>
      </c>
      <c r="F127" s="190">
        <v>43.767331681806212</v>
      </c>
      <c r="G127" s="190">
        <v>41.863711914298669</v>
      </c>
      <c r="H127" s="190">
        <v>40.107752162045806</v>
      </c>
      <c r="I127" s="190">
        <v>38.483152852142638</v>
      </c>
      <c r="J127" s="191">
        <v>36.975923209633429</v>
      </c>
      <c r="K127" s="190">
        <v>35.573986570071007</v>
      </c>
      <c r="L127" s="190">
        <v>34.266863977743675</v>
      </c>
      <c r="M127" s="190">
        <v>33.045418533563875</v>
      </c>
      <c r="N127" s="190">
        <v>31.901647306630739</v>
      </c>
      <c r="O127" s="190">
        <v>30.828510796046999</v>
      </c>
    </row>
    <row r="128" spans="2:16" x14ac:dyDescent="0.25">
      <c r="B128" s="176"/>
      <c r="C128" s="222"/>
      <c r="D128" s="194">
        <f t="shared" si="141"/>
        <v>1.6749999999999994E-2</v>
      </c>
      <c r="E128" s="190">
        <v>44.820728339491957</v>
      </c>
      <c r="F128" s="190">
        <v>42.854544341404029</v>
      </c>
      <c r="G128" s="190">
        <v>41.041716682369618</v>
      </c>
      <c r="H128" s="190">
        <v>39.365236392081471</v>
      </c>
      <c r="I128" s="190">
        <v>37.810514556460099</v>
      </c>
      <c r="J128" s="191">
        <v>36.364966831607198</v>
      </c>
      <c r="K128" s="190">
        <v>35.017680712546785</v>
      </c>
      <c r="L128" s="190">
        <v>33.759146943529316</v>
      </c>
      <c r="M128" s="190">
        <v>32.58104109350915</v>
      </c>
      <c r="N128" s="190">
        <v>31.476044695837242</v>
      </c>
      <c r="O128" s="190">
        <v>30.437697836416884</v>
      </c>
    </row>
    <row r="129" spans="2:16" x14ac:dyDescent="0.25">
      <c r="B129" s="176"/>
      <c r="C129" s="222"/>
      <c r="D129" s="195">
        <f t="shared" si="141"/>
        <v>1.4999999999999994E-2</v>
      </c>
      <c r="E129" s="191">
        <v>43.874929461285134</v>
      </c>
      <c r="F129" s="191">
        <v>42.003194610451914</v>
      </c>
      <c r="G129" s="191">
        <v>40.272998919176665</v>
      </c>
      <c r="H129" s="191">
        <v>38.669127857739838</v>
      </c>
      <c r="I129" s="191">
        <v>37.178466502758354</v>
      </c>
      <c r="J129" s="191">
        <v>35.789649575632453</v>
      </c>
      <c r="K129" s="191">
        <v>34.492779217947273</v>
      </c>
      <c r="L129" s="191">
        <v>33.27919568462351</v>
      </c>
      <c r="M129" s="191">
        <v>32.141289729820926</v>
      </c>
      <c r="N129" s="191">
        <v>31.072348101775738</v>
      </c>
      <c r="O129" s="191">
        <v>30.066425524768249</v>
      </c>
      <c r="P129" s="5" t="s">
        <v>134</v>
      </c>
    </row>
    <row r="130" spans="2:16" x14ac:dyDescent="0.25">
      <c r="B130" s="176"/>
      <c r="C130" s="222"/>
      <c r="D130" s="194">
        <f t="shared" si="141"/>
        <v>1.3249999999999994E-2</v>
      </c>
      <c r="E130" s="190">
        <v>42.993097656967549</v>
      </c>
      <c r="F130" s="190">
        <v>41.207281606166397</v>
      </c>
      <c r="G130" s="190">
        <v>39.552541463986785</v>
      </c>
      <c r="H130" s="190">
        <v>38.015207719418875</v>
      </c>
      <c r="I130" s="190">
        <v>36.583442184419852</v>
      </c>
      <c r="J130" s="191">
        <v>35.246941394895089</v>
      </c>
      <c r="K130" s="190">
        <v>33.996695844619865</v>
      </c>
      <c r="L130" s="190">
        <v>32.824793161933201</v>
      </c>
      <c r="M130" s="190">
        <v>31.724256148758631</v>
      </c>
      <c r="N130" s="190">
        <v>30.688908684477152</v>
      </c>
      <c r="O130" s="190">
        <v>29.713264057590258</v>
      </c>
    </row>
    <row r="131" spans="2:16" x14ac:dyDescent="0.25">
      <c r="B131" s="176"/>
      <c r="C131" s="222"/>
      <c r="D131" s="194">
        <f t="shared" si="141"/>
        <v>1.1499999999999995E-2</v>
      </c>
      <c r="E131" s="190">
        <v>42.168955783774308</v>
      </c>
      <c r="F131" s="190">
        <v>40.461561313862795</v>
      </c>
      <c r="G131" s="190">
        <v>38.875937940851905</v>
      </c>
      <c r="H131" s="190">
        <v>37.399753471587346</v>
      </c>
      <c r="I131" s="190">
        <v>36.022281038669682</v>
      </c>
      <c r="J131" s="191">
        <v>34.734146263489698</v>
      </c>
      <c r="K131" s="190">
        <v>33.527120743149617</v>
      </c>
      <c r="L131" s="190">
        <v>32.393952251530507</v>
      </c>
      <c r="M131" s="190">
        <v>31.32822425882895</v>
      </c>
      <c r="N131" s="190">
        <v>30.324239028864483</v>
      </c>
      <c r="O131" s="190">
        <v>29.376919803135017</v>
      </c>
    </row>
    <row r="132" spans="2:16" x14ac:dyDescent="0.25">
      <c r="B132" s="176"/>
      <c r="C132" s="222"/>
      <c r="D132" s="194">
        <f t="shared" si="141"/>
        <v>9.7499999999999948E-3</v>
      </c>
      <c r="E132" s="190">
        <v>41.397021993046501</v>
      </c>
      <c r="F132" s="190">
        <v>39.761430908424849</v>
      </c>
      <c r="G132" s="190">
        <v>38.239302558324098</v>
      </c>
      <c r="H132" s="190">
        <v>36.819468037917559</v>
      </c>
      <c r="I132" s="190">
        <v>35.492172288336484</v>
      </c>
      <c r="J132" s="191">
        <v>34.248857384343552</v>
      </c>
      <c r="K132" s="190">
        <v>33.08198449454396</v>
      </c>
      <c r="L132" s="190">
        <v>31.984886694000128</v>
      </c>
      <c r="M132" s="190">
        <v>30.951646567001045</v>
      </c>
      <c r="N132" s="190">
        <v>29.976993861915886</v>
      </c>
      <c r="O132" s="190">
        <v>29.056219467491616</v>
      </c>
    </row>
    <row r="133" spans="2:16" x14ac:dyDescent="0.25">
      <c r="B133" s="176"/>
      <c r="C133" s="223"/>
      <c r="D133" s="196">
        <f t="shared" si="141"/>
        <v>7.999999999999995E-3</v>
      </c>
      <c r="E133" s="190">
        <v>40.672487645609664</v>
      </c>
      <c r="F133" s="190">
        <v>39.102833662631511</v>
      </c>
      <c r="G133" s="190">
        <v>37.639195435449487</v>
      </c>
      <c r="H133" s="190">
        <v>36.271420683896068</v>
      </c>
      <c r="I133" s="190">
        <v>34.990607855328882</v>
      </c>
      <c r="J133" s="191">
        <v>33.788919416794563</v>
      </c>
      <c r="K133" s="190">
        <v>32.659427620867547</v>
      </c>
      <c r="L133" s="190">
        <v>31.595986340009951</v>
      </c>
      <c r="M133" s="190">
        <v>30.593123969986795</v>
      </c>
      <c r="N133" s="190">
        <v>29.645953469424867</v>
      </c>
      <c r="O133" s="190">
        <v>28.750096419831994</v>
      </c>
    </row>
  </sheetData>
  <mergeCells count="2">
    <mergeCell ref="C113:C121"/>
    <mergeCell ref="C125:C133"/>
  </mergeCells>
  <dataValidations count="1">
    <dataValidation type="list" allowBlank="1" showInputMessage="1" showErrorMessage="1" sqref="F19">
      <formula1>$C$53:$C$55</formula1>
    </dataValidation>
  </dataValidations>
  <pageMargins left="0.75" right="0.75" top="1" bottom="1" header="0.5" footer="0.5"/>
  <pageSetup scale="40" orientation="portrait" horizontalDpi="200" verticalDpi="200" r:id="rId1"/>
  <headerFooter alignWithMargins="0"/>
  <rowBreaks count="2" manualBreakCount="2">
    <brk id="46" max="28" man="1"/>
    <brk id="108" max="28" man="1"/>
  </rowBreaks>
  <colBreaks count="1" manualBreakCount="1">
    <brk id="18" max="13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O33"/>
  <sheetViews>
    <sheetView showGridLines="0" zoomScaleNormal="100" workbookViewId="0">
      <selection activeCell="B2" sqref="B2"/>
    </sheetView>
  </sheetViews>
  <sheetFormatPr defaultColWidth="9.140625" defaultRowHeight="15" x14ac:dyDescent="0.25"/>
  <cols>
    <col min="1" max="1" width="2.5703125" customWidth="1"/>
    <col min="2" max="2" width="27.28515625" customWidth="1"/>
    <col min="3" max="12" width="12.7109375" customWidth="1"/>
    <col min="13" max="13" width="2.5703125" customWidth="1"/>
    <col min="14" max="14" width="2.5703125" style="73" customWidth="1"/>
  </cols>
  <sheetData>
    <row r="2" spans="2:15" ht="18.75" x14ac:dyDescent="0.3">
      <c r="B2" s="71" t="str">
        <f>"WACC Analysis - "&amp;Company_Name</f>
        <v>WACC Analysis - Snap Inc.</v>
      </c>
      <c r="C2" s="72"/>
    </row>
    <row r="3" spans="2:15" ht="15.75" x14ac:dyDescent="0.25">
      <c r="B3" s="5" t="str">
        <f>+'SNAP-DCF'!$B$3</f>
        <v>($ in Millions Except Per Share Data)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2:15" ht="15.75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O4" s="74"/>
    </row>
    <row r="5" spans="2:15" ht="15.75" x14ac:dyDescent="0.25">
      <c r="B5" s="75" t="s">
        <v>52</v>
      </c>
      <c r="C5" s="75"/>
      <c r="D5" s="76"/>
      <c r="E5" s="76"/>
      <c r="F5" s="76"/>
      <c r="G5" s="77"/>
      <c r="H5" s="77"/>
      <c r="I5" s="6"/>
      <c r="J5" s="6"/>
      <c r="K5" s="6"/>
      <c r="L5" s="6"/>
    </row>
    <row r="6" spans="2:15" ht="15.75" x14ac:dyDescent="0.25">
      <c r="B6" s="11" t="s">
        <v>53</v>
      </c>
      <c r="C6" s="11"/>
      <c r="D6" s="78"/>
      <c r="E6" s="78"/>
      <c r="F6" s="79">
        <v>2.5999999999999999E-2</v>
      </c>
      <c r="G6" s="80"/>
      <c r="H6" s="80"/>
      <c r="I6" s="6"/>
      <c r="J6" s="6"/>
      <c r="K6" s="6"/>
      <c r="L6" s="6"/>
    </row>
    <row r="7" spans="2:15" ht="15.75" x14ac:dyDescent="0.25">
      <c r="B7" s="11" t="s">
        <v>54</v>
      </c>
      <c r="C7" s="11"/>
      <c r="D7" s="78"/>
      <c r="E7" s="78"/>
      <c r="F7" s="79">
        <v>0.06</v>
      </c>
      <c r="G7" s="80"/>
      <c r="H7" s="80"/>
      <c r="I7" s="6"/>
      <c r="J7" s="6"/>
      <c r="K7" s="6"/>
      <c r="L7" s="6"/>
    </row>
    <row r="8" spans="2:15" ht="15.75" x14ac:dyDescent="0.25">
      <c r="B8" s="11" t="s">
        <v>55</v>
      </c>
      <c r="C8" s="11"/>
      <c r="D8" s="78"/>
      <c r="E8" s="78"/>
      <c r="F8" s="79">
        <v>5.9299999999999999E-2</v>
      </c>
      <c r="G8" s="80"/>
      <c r="H8" s="80"/>
      <c r="I8" s="81"/>
      <c r="J8" s="81"/>
      <c r="K8" s="6"/>
      <c r="L8" s="6"/>
    </row>
    <row r="9" spans="2:15" ht="15.75" x14ac:dyDescent="0.25">
      <c r="B9" s="11" t="s">
        <v>56</v>
      </c>
      <c r="C9" s="11"/>
      <c r="D9" s="78"/>
      <c r="E9" s="78"/>
      <c r="F9" s="79">
        <v>0.1</v>
      </c>
      <c r="G9" s="80"/>
      <c r="H9" s="80"/>
      <c r="I9" s="81"/>
      <c r="J9" s="81"/>
      <c r="K9" s="6"/>
      <c r="L9" s="6"/>
    </row>
    <row r="10" spans="2:15" ht="15.75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5" ht="15.75" x14ac:dyDescent="0.25">
      <c r="B11" s="82" t="s">
        <v>57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</row>
    <row r="12" spans="2:15" ht="15.75" x14ac:dyDescent="0.25">
      <c r="B12" s="82"/>
      <c r="C12" s="82"/>
      <c r="D12" s="83" t="s">
        <v>58</v>
      </c>
      <c r="E12" s="83"/>
      <c r="F12" s="83"/>
      <c r="G12" s="83" t="s">
        <v>59</v>
      </c>
      <c r="H12" s="83"/>
      <c r="I12" s="83" t="s">
        <v>60</v>
      </c>
      <c r="J12" s="83"/>
      <c r="K12" s="83"/>
      <c r="L12" s="83" t="s">
        <v>61</v>
      </c>
    </row>
    <row r="13" spans="2:15" ht="15.75" x14ac:dyDescent="0.25">
      <c r="B13" s="84" t="s">
        <v>62</v>
      </c>
      <c r="C13" s="84" t="s">
        <v>63</v>
      </c>
      <c r="D13" s="85" t="s">
        <v>64</v>
      </c>
      <c r="E13" s="85" t="s">
        <v>65</v>
      </c>
      <c r="F13" s="85" t="s">
        <v>66</v>
      </c>
      <c r="G13" s="85" t="s">
        <v>67</v>
      </c>
      <c r="H13" s="85" t="s">
        <v>68</v>
      </c>
      <c r="I13" s="85" t="s">
        <v>69</v>
      </c>
      <c r="J13" s="85" t="s">
        <v>70</v>
      </c>
      <c r="K13" s="85" t="s">
        <v>71</v>
      </c>
      <c r="L13" s="85" t="s">
        <v>64</v>
      </c>
    </row>
    <row r="14" spans="2:15" ht="14.45" customHeight="1" x14ac:dyDescent="0.25">
      <c r="B14" s="5" t="s">
        <v>32</v>
      </c>
      <c r="C14" s="5" t="s">
        <v>44</v>
      </c>
      <c r="D14" s="86">
        <v>0.67</v>
      </c>
      <c r="E14" s="87">
        <v>0</v>
      </c>
      <c r="F14" s="88">
        <f>E14/($E14+$G14+$I14)</f>
        <v>0</v>
      </c>
      <c r="G14" s="87">
        <v>0</v>
      </c>
      <c r="H14" s="88">
        <f>G14/($E14+$G14+$I14)</f>
        <v>0</v>
      </c>
      <c r="I14" s="87">
        <v>403441.4</v>
      </c>
      <c r="J14" s="88">
        <f>I14/($I14+$G14+$E14)</f>
        <v>1</v>
      </c>
      <c r="K14" s="89">
        <v>0.4</v>
      </c>
      <c r="L14" s="90">
        <f>D14/(1+(E14/I14)*(1-K14)+G14/I14)</f>
        <v>0.67</v>
      </c>
    </row>
    <row r="15" spans="2:15" ht="14.45" customHeight="1" x14ac:dyDescent="0.25">
      <c r="B15" s="5" t="s">
        <v>81</v>
      </c>
      <c r="C15" s="5" t="s">
        <v>45</v>
      </c>
      <c r="D15" s="86">
        <v>1.05</v>
      </c>
      <c r="E15" s="91">
        <v>1686.7</v>
      </c>
      <c r="F15" s="88">
        <f t="shared" ref="F15" si="0">E15/($E15+$G15+$I15)</f>
        <v>0.13386295455627689</v>
      </c>
      <c r="G15" s="91">
        <v>0</v>
      </c>
      <c r="H15" s="88">
        <f t="shared" ref="H15" si="1">G15/($E15+$G15+$I15)</f>
        <v>0</v>
      </c>
      <c r="I15" s="31">
        <v>10913.5</v>
      </c>
      <c r="J15" s="88">
        <f t="shared" ref="J15" si="2">I15/($I15+$G15+$E15)</f>
        <v>0.86613704544372305</v>
      </c>
      <c r="K15" s="89">
        <v>0.4</v>
      </c>
      <c r="L15" s="90">
        <f t="shared" ref="L15" si="3">D15/(1+(E15/I15)*(1-K15)+G15/I15)</f>
        <v>0.9608952062467716</v>
      </c>
    </row>
    <row r="16" spans="2:15" ht="15.75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ht="15.75" x14ac:dyDescent="0.25">
      <c r="B17" s="92" t="s">
        <v>72</v>
      </c>
      <c r="C17" s="93"/>
      <c r="D17" s="94">
        <f t="shared" ref="D17:L17" si="4">MEDIAN(D14:D15)</f>
        <v>0.8600000000000001</v>
      </c>
      <c r="E17" s="95">
        <f t="shared" si="4"/>
        <v>843.35</v>
      </c>
      <c r="F17" s="96">
        <f t="shared" si="4"/>
        <v>6.6931477278138446E-2</v>
      </c>
      <c r="G17" s="95">
        <f t="shared" si="4"/>
        <v>0</v>
      </c>
      <c r="H17" s="96">
        <f t="shared" si="4"/>
        <v>0</v>
      </c>
      <c r="I17" s="95">
        <f t="shared" si="4"/>
        <v>207177.45</v>
      </c>
      <c r="J17" s="96">
        <f t="shared" si="4"/>
        <v>0.93306852272186158</v>
      </c>
      <c r="K17" s="96">
        <f t="shared" si="4"/>
        <v>0.4</v>
      </c>
      <c r="L17" s="97">
        <f t="shared" si="4"/>
        <v>0.81544760312338582</v>
      </c>
    </row>
    <row r="18" spans="2:12" ht="15.75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15.75" x14ac:dyDescent="0.25">
      <c r="B19" s="82" t="str">
        <f>TEXT(Company_Name,"")&amp; " - Levered Beta &amp; WACC Calculation"</f>
        <v>Snap Inc. - Levered Beta &amp; WACC Calculation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2:12" ht="15.75" x14ac:dyDescent="0.25">
      <c r="B20" s="82"/>
      <c r="C20" s="82"/>
      <c r="D20" s="83" t="s">
        <v>61</v>
      </c>
      <c r="E20" s="83"/>
      <c r="F20" s="83"/>
      <c r="G20" s="83" t="s">
        <v>59</v>
      </c>
      <c r="H20" s="83"/>
      <c r="I20" s="83" t="s">
        <v>60</v>
      </c>
      <c r="J20" s="83"/>
      <c r="K20" s="83"/>
      <c r="L20" s="83" t="s">
        <v>58</v>
      </c>
    </row>
    <row r="21" spans="2:12" ht="15.75" x14ac:dyDescent="0.25">
      <c r="B21" s="84"/>
      <c r="C21" s="84" t="s">
        <v>63</v>
      </c>
      <c r="D21" s="85" t="s">
        <v>64</v>
      </c>
      <c r="E21" s="85" t="s">
        <v>65</v>
      </c>
      <c r="F21" s="85" t="s">
        <v>66</v>
      </c>
      <c r="G21" s="85" t="s">
        <v>67</v>
      </c>
      <c r="H21" s="85" t="s">
        <v>68</v>
      </c>
      <c r="I21" s="85" t="s">
        <v>69</v>
      </c>
      <c r="J21" s="85" t="s">
        <v>70</v>
      </c>
      <c r="K21" s="85" t="s">
        <v>71</v>
      </c>
      <c r="L21" s="85" t="s">
        <v>64</v>
      </c>
    </row>
    <row r="22" spans="2:12" ht="15.75" x14ac:dyDescent="0.25">
      <c r="B22" s="100" t="s">
        <v>73</v>
      </c>
      <c r="C22" s="100" t="str">
        <f>Ticker</f>
        <v>SNAP</v>
      </c>
      <c r="D22" s="101">
        <f>L17</f>
        <v>0.81544760312338582</v>
      </c>
      <c r="E22" s="169">
        <f>+'SNAP-DCF'!F24</f>
        <v>15.14</v>
      </c>
      <c r="F22" s="102">
        <f>E22/(E22+G22+I22)</f>
        <v>5.304838743969871E-4</v>
      </c>
      <c r="G22" s="168">
        <v>0</v>
      </c>
      <c r="H22" s="102">
        <f>G22/(E22+G22+I22)</f>
        <v>0</v>
      </c>
      <c r="I22" s="169">
        <f>+'SNAP-DCF'!F21</f>
        <v>28524.841572880003</v>
      </c>
      <c r="J22" s="102">
        <f>I22/(E22+G22+I22)</f>
        <v>0.99946951612560309</v>
      </c>
      <c r="K22" s="103">
        <f>Tax_Rate</f>
        <v>0.4</v>
      </c>
      <c r="L22" s="104">
        <f>D22*(1+(E22/I22)*(1-K22)+(G22/I22))</f>
        <v>0.81570728996539155</v>
      </c>
    </row>
    <row r="23" spans="2:12" ht="15.75" x14ac:dyDescent="0.25">
      <c r="B23" s="105" t="s">
        <v>74</v>
      </c>
      <c r="C23" s="105" t="str">
        <f>Ticker</f>
        <v>SNAP</v>
      </c>
      <c r="D23" s="106">
        <f>+L17</f>
        <v>0.81544760312338582</v>
      </c>
      <c r="E23" s="107">
        <f>+F23*($E22+$G22+$I22)</f>
        <v>1910.2231281637078</v>
      </c>
      <c r="F23" s="108">
        <f>+F17</f>
        <v>6.6931477278138446E-2</v>
      </c>
      <c r="G23" s="107">
        <f>+H23*($E22+$G22+$I22)</f>
        <v>0</v>
      </c>
      <c r="H23" s="108">
        <f>+H17</f>
        <v>0</v>
      </c>
      <c r="I23" s="107">
        <f>+J23*($E22+$G22+$I22)</f>
        <v>26629.758444716295</v>
      </c>
      <c r="J23" s="108">
        <f>+J17</f>
        <v>0.93306852272186158</v>
      </c>
      <c r="K23" s="109">
        <f>Tax_Rate</f>
        <v>0.4</v>
      </c>
      <c r="L23" s="110">
        <f>D23*(1+(E23/I23)*(1-K23)+(G23/I23))</f>
        <v>0.85054413337225887</v>
      </c>
    </row>
    <row r="24" spans="2:12" ht="15.7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ht="15.75" x14ac:dyDescent="0.25">
      <c r="B25" s="111" t="s">
        <v>75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>
        <f>+Risk_Free_Rate+Equity_Risk_Premium*L22</f>
        <v>7.4942437397923486E-2</v>
      </c>
    </row>
    <row r="26" spans="2:12" ht="15.75" x14ac:dyDescent="0.25">
      <c r="B26" s="114" t="s">
        <v>76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6">
        <f>+Risk_Free_Rate+Equity_Risk_Premium*L23</f>
        <v>7.703264800233553E-2</v>
      </c>
    </row>
    <row r="27" spans="2:12" ht="15.75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2:12" ht="15.75" x14ac:dyDescent="0.25">
      <c r="B28" s="11" t="s">
        <v>77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2" ht="15.75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2:12" ht="15.75" x14ac:dyDescent="0.25">
      <c r="B30" s="111" t="s">
        <v>78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7">
        <f>+L25*J22+Cost_of_Debt*(1-Tax_Rate)*F22+Cost_of_Preferred*H22</f>
        <v>7.4921556259626931E-2</v>
      </c>
    </row>
    <row r="31" spans="2:12" ht="15.75" x14ac:dyDescent="0.25">
      <c r="B31" s="114" t="s">
        <v>79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8">
        <f>+L26*J23+Cost_of_Debt*(1-Tax_Rate)*F23+Cost_of_Preferred*H23</f>
        <v>7.425816103444853E-2</v>
      </c>
    </row>
    <row r="32" spans="2:12" ht="15.7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 ht="15.75" x14ac:dyDescent="0.25">
      <c r="B33" s="98" t="s">
        <v>80</v>
      </c>
      <c r="C33" s="99"/>
      <c r="D33" s="99"/>
      <c r="E33" s="99"/>
      <c r="F33" s="99"/>
      <c r="G33" s="99"/>
      <c r="H33" s="99"/>
      <c r="I33" s="99"/>
      <c r="J33" s="99"/>
      <c r="K33" s="99"/>
      <c r="L33" s="119">
        <f>AVERAGE(L30:L31)</f>
        <v>7.4589858647037738E-2</v>
      </c>
    </row>
  </sheetData>
  <pageMargins left="0.7" right="0.7" top="0.75" bottom="0.75" header="0.3" footer="0.3"/>
  <pageSetup scale="57" orientation="portrait" horizontalDpi="1200" verticalDpi="1200" r:id="rId1"/>
  <ignoredErrors>
    <ignoredError sqref="F23:G23 H23:I2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SNAP-DCF</vt:lpstr>
      <vt:lpstr>WACC</vt:lpstr>
      <vt:lpstr>Basic_Shares</vt:lpstr>
      <vt:lpstr>Company_Name</vt:lpstr>
      <vt:lpstr>Cost_of_Debt</vt:lpstr>
      <vt:lpstr>Cost_of_Preferred</vt:lpstr>
      <vt:lpstr>DIluted_Shares</vt:lpstr>
      <vt:lpstr>Discount_Rate_Initial</vt:lpstr>
      <vt:lpstr>Discount_Rate_Terminal</vt:lpstr>
      <vt:lpstr>Equity_Risk_Premium</vt:lpstr>
      <vt:lpstr>Hist_Year</vt:lpstr>
      <vt:lpstr>'SNAP-DCF'!Print_Area</vt:lpstr>
      <vt:lpstr>WACC!Print_Area</vt:lpstr>
      <vt:lpstr>Risk_Free_Rate</vt:lpstr>
      <vt:lpstr>Scenario</vt:lpstr>
      <vt:lpstr>Share_Price</vt:lpstr>
      <vt:lpstr>Tax_Rate</vt:lpstr>
      <vt:lpstr>Terminal_Growth_Rate</vt:lpstr>
      <vt:lpstr>Terminal_Multiple</vt:lpstr>
      <vt:lpstr>Ticker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2012-04-17T02:32:08Z</cp:lastPrinted>
  <dcterms:created xsi:type="dcterms:W3CDTF">2009-06-26T05:31:17Z</dcterms:created>
  <dcterms:modified xsi:type="dcterms:W3CDTF">2017-05-09T08:54:35Z</dcterms:modified>
</cp:coreProperties>
</file>