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ropbox (BIWS)\BIWS-All-Courses\100-Bonus-Case-Studies\107-Valuation-Discounted-Cash-Flow\107-25-DCF-Model\"/>
    </mc:Choice>
  </mc:AlternateContent>
  <xr:revisionPtr revIDLastSave="0" documentId="13_ncr:1_{F5D2905C-D794-4A1A-AB9B-D58CB9A5148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CF" sheetId="11" r:id="rId1"/>
    <sheet name="WACC" sheetId="6" r:id="rId2"/>
  </sheets>
  <definedNames>
    <definedName name="Company_Name">DCF!$D$8</definedName>
    <definedName name="Cost_of_Debt">WACC!$F$8</definedName>
    <definedName name="Cost_of_Preferred">WACC!$F$9</definedName>
    <definedName name="Discount_Rate">DCF!$D$12</definedName>
    <definedName name="Equity_Risk_Premium">WACC!$F$7</definedName>
    <definedName name="Hist_Year">DCF!$D$14</definedName>
    <definedName name="_xlnm.Print_Area" localSheetId="0">DCF!$A$1:$S$134</definedName>
    <definedName name="_xlnm.Print_Area" localSheetId="1">WACC!$A$1:$M$41</definedName>
    <definedName name="Risk_Free_Rate">WACC!$F$6</definedName>
    <definedName name="Share_Price">DCF!$D$10</definedName>
    <definedName name="Tax_Rate">DCF!$D$13</definedName>
    <definedName name="Terminal_Growth_Rate">DCF!#REF!</definedName>
    <definedName name="Terminal_Multiple">DCF!#REF!</definedName>
    <definedName name="Ticker">DCF!$D$9</definedName>
    <definedName name="WACC">WACC!$L$40</definedName>
  </definedNames>
  <calcPr calcId="191029" iterate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1" l="1"/>
  <c r="H62" i="11"/>
  <c r="I62" i="11" s="1"/>
  <c r="J62" i="11" s="1"/>
  <c r="K62" i="11" l="1"/>
  <c r="L62" i="11" l="1"/>
  <c r="M62" i="11" l="1"/>
  <c r="N62" i="11" l="1"/>
  <c r="O62" i="11" l="1"/>
  <c r="P62" i="11" l="1"/>
  <c r="Q62" i="11" l="1"/>
  <c r="F123" i="11" l="1"/>
  <c r="G123" i="11" s="1"/>
  <c r="H123" i="11" s="1"/>
  <c r="I123" i="11" s="1"/>
  <c r="J123" i="11" s="1"/>
  <c r="K123" i="11" s="1"/>
  <c r="L123" i="11" s="1"/>
  <c r="M123" i="11" s="1"/>
  <c r="N123" i="11" s="1"/>
  <c r="O123" i="11" s="1"/>
  <c r="B22" i="6"/>
  <c r="L32" i="6"/>
  <c r="B3" i="6"/>
  <c r="F109" i="11"/>
  <c r="G109" i="11" s="1"/>
  <c r="H109" i="11" s="1"/>
  <c r="I109" i="11" s="1"/>
  <c r="J109" i="11" s="1"/>
  <c r="K109" i="11" s="1"/>
  <c r="L109" i="11" s="1"/>
  <c r="M109" i="11" s="1"/>
  <c r="N109" i="11" s="1"/>
  <c r="O109" i="11" s="1"/>
  <c r="F8" i="6"/>
  <c r="K20" i="11"/>
  <c r="D21" i="11" l="1"/>
  <c r="N32" i="11"/>
  <c r="I98" i="11" l="1"/>
  <c r="J98" i="11" s="1"/>
  <c r="K98" i="11" s="1"/>
  <c r="L98" i="11" s="1"/>
  <c r="M98" i="11" s="1"/>
  <c r="N98" i="11" s="1"/>
  <c r="O98" i="11" s="1"/>
  <c r="P98" i="11" s="1"/>
  <c r="Q98" i="11" s="1"/>
  <c r="G49" i="11"/>
  <c r="H49" i="11" s="1"/>
  <c r="F49" i="11"/>
  <c r="E49" i="11"/>
  <c r="E50" i="11" s="1"/>
  <c r="I55" i="11"/>
  <c r="J55" i="11" s="1"/>
  <c r="F52" i="11"/>
  <c r="G52" i="11"/>
  <c r="E52" i="11"/>
  <c r="E53" i="11" s="1"/>
  <c r="H40" i="11"/>
  <c r="G78" i="11"/>
  <c r="F78" i="11"/>
  <c r="E78" i="11"/>
  <c r="D13" i="11"/>
  <c r="E58" i="11"/>
  <c r="F58" i="11"/>
  <c r="G58" i="11"/>
  <c r="G41" i="11"/>
  <c r="F41" i="11"/>
  <c r="E41" i="11"/>
  <c r="G38" i="11"/>
  <c r="B2" i="11"/>
  <c r="E63" i="11"/>
  <c r="E64" i="11" s="1"/>
  <c r="F63" i="11"/>
  <c r="F67" i="11" s="1"/>
  <c r="G63" i="11"/>
  <c r="F43" i="11"/>
  <c r="G43" i="11"/>
  <c r="H43" i="11" s="1"/>
  <c r="I43" i="11" s="1"/>
  <c r="J43" i="11" s="1"/>
  <c r="K43" i="11" s="1"/>
  <c r="L43" i="11" s="1"/>
  <c r="M43" i="11" s="1"/>
  <c r="N43" i="11" s="1"/>
  <c r="O43" i="11" s="1"/>
  <c r="P43" i="11" s="1"/>
  <c r="Q43" i="11" s="1"/>
  <c r="G53" i="11" l="1"/>
  <c r="I49" i="11"/>
  <c r="H92" i="11"/>
  <c r="G93" i="11"/>
  <c r="G81" i="11"/>
  <c r="K28" i="6"/>
  <c r="K27" i="6"/>
  <c r="F38" i="11"/>
  <c r="E38" i="11" s="1"/>
  <c r="H38" i="11"/>
  <c r="I38" i="11" s="1"/>
  <c r="J38" i="11" s="1"/>
  <c r="K38" i="11" s="1"/>
  <c r="L38" i="11" s="1"/>
  <c r="M38" i="11" s="1"/>
  <c r="N38" i="11" s="1"/>
  <c r="O38" i="11" s="1"/>
  <c r="P38" i="11" s="1"/>
  <c r="Q38" i="11" s="1"/>
  <c r="I40" i="11"/>
  <c r="H61" i="11"/>
  <c r="H52" i="11"/>
  <c r="F53" i="11"/>
  <c r="K55" i="11"/>
  <c r="F50" i="11"/>
  <c r="G50" i="11"/>
  <c r="F81" i="11"/>
  <c r="G75" i="11"/>
  <c r="E75" i="11"/>
  <c r="F75" i="11"/>
  <c r="E93" i="11"/>
  <c r="E81" i="11"/>
  <c r="F93" i="11"/>
  <c r="G44" i="11"/>
  <c r="G64" i="11"/>
  <c r="G67" i="11"/>
  <c r="E67" i="11"/>
  <c r="F64" i="11"/>
  <c r="E43" i="11"/>
  <c r="E44" i="11" s="1"/>
  <c r="I52" i="11" l="1"/>
  <c r="I74" i="11" s="1"/>
  <c r="H74" i="11"/>
  <c r="H63" i="11"/>
  <c r="J40" i="11"/>
  <c r="I61" i="11"/>
  <c r="J49" i="11"/>
  <c r="I92" i="11"/>
  <c r="J52" i="11"/>
  <c r="H81" i="11"/>
  <c r="H80" i="11" s="1"/>
  <c r="L55" i="11"/>
  <c r="F44" i="11"/>
  <c r="K49" i="11" l="1"/>
  <c r="J92" i="11"/>
  <c r="I63" i="11"/>
  <c r="H64" i="11"/>
  <c r="H89" i="11"/>
  <c r="K40" i="11"/>
  <c r="J61" i="11"/>
  <c r="J74" i="11"/>
  <c r="H75" i="11"/>
  <c r="H93" i="11"/>
  <c r="I93" i="11"/>
  <c r="I75" i="11"/>
  <c r="I81" i="11"/>
  <c r="I80" i="11" s="1"/>
  <c r="K52" i="11"/>
  <c r="K74" i="11" s="1"/>
  <c r="M55" i="11"/>
  <c r="L40" i="11" l="1"/>
  <c r="K61" i="11"/>
  <c r="J63" i="11"/>
  <c r="I64" i="11"/>
  <c r="I89" i="11"/>
  <c r="L49" i="11"/>
  <c r="K92" i="11"/>
  <c r="J81" i="11"/>
  <c r="J80" i="11" s="1"/>
  <c r="L52" i="11"/>
  <c r="L74" i="11" s="1"/>
  <c r="N55" i="11"/>
  <c r="M49" i="11" l="1"/>
  <c r="L92" i="11"/>
  <c r="J64" i="11"/>
  <c r="J89" i="11"/>
  <c r="K63" i="11"/>
  <c r="K93" i="11" s="1"/>
  <c r="M40" i="11"/>
  <c r="L61" i="11"/>
  <c r="J75" i="11"/>
  <c r="J93" i="11"/>
  <c r="M52" i="11"/>
  <c r="M74" i="11" s="1"/>
  <c r="K81" i="11"/>
  <c r="K80" i="11" s="1"/>
  <c r="O55" i="11"/>
  <c r="N49" i="11" l="1"/>
  <c r="M92" i="11"/>
  <c r="N40" i="11"/>
  <c r="M61" i="11"/>
  <c r="L93" i="11"/>
  <c r="L63" i="11"/>
  <c r="K64" i="11"/>
  <c r="K89" i="11"/>
  <c r="K75" i="11"/>
  <c r="L81" i="11"/>
  <c r="L80" i="11" s="1"/>
  <c r="N52" i="11"/>
  <c r="N74" i="11" s="1"/>
  <c r="P55" i="11"/>
  <c r="M63" i="11" l="1"/>
  <c r="O40" i="11"/>
  <c r="N61" i="11"/>
  <c r="O49" i="11"/>
  <c r="N92" i="11"/>
  <c r="L64" i="11"/>
  <c r="L89" i="11"/>
  <c r="L75" i="11"/>
  <c r="O52" i="11"/>
  <c r="O74" i="11" s="1"/>
  <c r="M81" i="11"/>
  <c r="M80" i="11" s="1"/>
  <c r="Q55" i="11"/>
  <c r="P40" i="11" l="1"/>
  <c r="O61" i="11"/>
  <c r="M64" i="11"/>
  <c r="M89" i="11"/>
  <c r="M75" i="11"/>
  <c r="N93" i="11"/>
  <c r="P49" i="11"/>
  <c r="O92" i="11"/>
  <c r="N63" i="11"/>
  <c r="M93" i="11"/>
  <c r="N81" i="11"/>
  <c r="N80" i="11" s="1"/>
  <c r="P52" i="11"/>
  <c r="P74" i="11" s="1"/>
  <c r="N64" i="11" l="1"/>
  <c r="N89" i="11"/>
  <c r="N75" i="11"/>
  <c r="O63" i="11"/>
  <c r="Q40" i="11"/>
  <c r="Q61" i="11" s="1"/>
  <c r="P61" i="11"/>
  <c r="Q49" i="11"/>
  <c r="P92" i="11"/>
  <c r="Q52" i="11"/>
  <c r="O81" i="11"/>
  <c r="O64" i="11" l="1"/>
  <c r="O89" i="11"/>
  <c r="O75" i="11"/>
  <c r="O80" i="11"/>
  <c r="O93" i="11"/>
  <c r="Q63" i="11"/>
  <c r="Q74" i="11"/>
  <c r="Q92" i="11"/>
  <c r="P63" i="11"/>
  <c r="P81" i="11"/>
  <c r="P80" i="11" s="1"/>
  <c r="P64" i="11" l="1"/>
  <c r="P89" i="11"/>
  <c r="P75" i="11"/>
  <c r="Q89" i="11"/>
  <c r="Q64" i="11"/>
  <c r="P93" i="11"/>
  <c r="Q93" i="11"/>
  <c r="Q75" i="11"/>
  <c r="Q81" i="11"/>
  <c r="Q80" i="11" s="1"/>
  <c r="D124" i="11"/>
  <c r="D111" i="11"/>
  <c r="D112" i="11" s="1"/>
  <c r="D113" i="11" s="1"/>
  <c r="D114" i="11" s="1"/>
  <c r="D115" i="11" s="1"/>
  <c r="D116" i="11" s="1"/>
  <c r="D117" i="11" s="1"/>
  <c r="D118" i="11" s="1"/>
  <c r="D132" i="11" s="1"/>
  <c r="D130" i="11" l="1"/>
  <c r="D131" i="11"/>
  <c r="D125" i="11"/>
  <c r="D128" i="11"/>
  <c r="D126" i="11"/>
  <c r="D127" i="11"/>
  <c r="D129" i="11"/>
  <c r="I29" i="11" l="1"/>
  <c r="N29" i="11" s="1"/>
  <c r="I28" i="11"/>
  <c r="N28" i="11" s="1"/>
  <c r="I27" i="11"/>
  <c r="N27" i="11" s="1"/>
  <c r="I24" i="11"/>
  <c r="N24" i="11" s="1"/>
  <c r="I23" i="11"/>
  <c r="N23" i="11" s="1"/>
  <c r="I22" i="11"/>
  <c r="N22" i="11" s="1"/>
  <c r="G20" i="6" l="1"/>
  <c r="D20" i="6"/>
  <c r="C124" i="11" l="1"/>
  <c r="I26" i="11" l="1"/>
  <c r="N26" i="11" s="1"/>
  <c r="E20" i="6" l="1"/>
  <c r="K20" i="6"/>
  <c r="I25" i="11" l="1"/>
  <c r="N25" i="11" s="1"/>
  <c r="K18" i="11" l="1"/>
  <c r="K17" i="11"/>
  <c r="K16" i="11"/>
  <c r="G89" i="11" l="1"/>
  <c r="G90" i="11" s="1"/>
  <c r="F89" i="11"/>
  <c r="F90" i="11" s="1"/>
  <c r="E89" i="11"/>
  <c r="E90" i="11" s="1"/>
  <c r="G46" i="11" l="1"/>
  <c r="H46" i="11" s="1"/>
  <c r="H66" i="11" s="1"/>
  <c r="H69" i="11" l="1"/>
  <c r="H77" i="11" s="1"/>
  <c r="H67" i="11"/>
  <c r="H71" i="11"/>
  <c r="H95" i="11" s="1"/>
  <c r="I46" i="11"/>
  <c r="I66" i="11" s="1"/>
  <c r="F69" i="11"/>
  <c r="F77" i="11" s="1"/>
  <c r="F46" i="11"/>
  <c r="E101" i="11"/>
  <c r="E46" i="11"/>
  <c r="E47" i="11" s="1"/>
  <c r="F101" i="11"/>
  <c r="E69" i="11"/>
  <c r="E77" i="11" s="1"/>
  <c r="G101" i="11"/>
  <c r="G69" i="11"/>
  <c r="G77" i="11" s="1"/>
  <c r="I67" i="11" l="1"/>
  <c r="I69" i="11"/>
  <c r="I77" i="11" s="1"/>
  <c r="J46" i="11"/>
  <c r="J66" i="11" s="1"/>
  <c r="F102" i="11"/>
  <c r="F47" i="11"/>
  <c r="G47" i="11"/>
  <c r="F71" i="11"/>
  <c r="F95" i="11" s="1"/>
  <c r="E102" i="11"/>
  <c r="G102" i="11"/>
  <c r="E71" i="11"/>
  <c r="E95" i="11" s="1"/>
  <c r="G71" i="11"/>
  <c r="G95" i="11" s="1"/>
  <c r="H96" i="11" s="1"/>
  <c r="J67" i="11" l="1"/>
  <c r="J69" i="11"/>
  <c r="I71" i="11"/>
  <c r="I95" i="11" s="1"/>
  <c r="I96" i="11" s="1"/>
  <c r="K46" i="11"/>
  <c r="K66" i="11" s="1"/>
  <c r="G96" i="11"/>
  <c r="E96" i="11"/>
  <c r="F96" i="11"/>
  <c r="K67" i="11" l="1"/>
  <c r="K69" i="11"/>
  <c r="J71" i="11"/>
  <c r="J77" i="11"/>
  <c r="L46" i="11"/>
  <c r="L66" i="11" s="1"/>
  <c r="L67" i="11" l="1"/>
  <c r="L69" i="11"/>
  <c r="J95" i="11"/>
  <c r="J96" i="11" s="1"/>
  <c r="K71" i="11"/>
  <c r="K77" i="11"/>
  <c r="M46" i="11"/>
  <c r="M66" i="11" s="1"/>
  <c r="H101" i="11"/>
  <c r="H102" i="11" s="1"/>
  <c r="M67" i="11" l="1"/>
  <c r="M69" i="11"/>
  <c r="K95" i="11"/>
  <c r="K96" i="11" s="1"/>
  <c r="L71" i="11"/>
  <c r="L77" i="11"/>
  <c r="N46" i="11"/>
  <c r="N66" i="11" s="1"/>
  <c r="I101" i="11"/>
  <c r="I102" i="11" s="1"/>
  <c r="N67" i="11" l="1"/>
  <c r="N69" i="11"/>
  <c r="L95" i="11"/>
  <c r="L96" i="11" s="1"/>
  <c r="M71" i="11"/>
  <c r="M95" i="11" s="1"/>
  <c r="M96" i="11" s="1"/>
  <c r="M77" i="11"/>
  <c r="O46" i="11"/>
  <c r="O66" i="11" s="1"/>
  <c r="J101" i="11"/>
  <c r="J102" i="11" s="1"/>
  <c r="O67" i="11" l="1"/>
  <c r="O69" i="11"/>
  <c r="N71" i="11"/>
  <c r="N77" i="11"/>
  <c r="P46" i="11"/>
  <c r="P66" i="11" s="1"/>
  <c r="L101" i="11"/>
  <c r="K101" i="11"/>
  <c r="K102" i="11" s="1"/>
  <c r="O71" i="11" l="1"/>
  <c r="O77" i="11"/>
  <c r="P67" i="11"/>
  <c r="P69" i="11"/>
  <c r="N95" i="11"/>
  <c r="N96" i="11" s="1"/>
  <c r="Q46" i="11"/>
  <c r="Q66" i="11" s="1"/>
  <c r="L102" i="11"/>
  <c r="Q67" i="11" l="1"/>
  <c r="Q69" i="11"/>
  <c r="P71" i="11"/>
  <c r="P77" i="11"/>
  <c r="O95" i="11"/>
  <c r="O96" i="11" s="1"/>
  <c r="M101" i="11"/>
  <c r="M102" i="11" s="1"/>
  <c r="Q71" i="11" l="1"/>
  <c r="Q77" i="11"/>
  <c r="P95" i="11"/>
  <c r="P96" i="11" s="1"/>
  <c r="N101" i="11"/>
  <c r="N102" i="11" s="1"/>
  <c r="O101" i="11"/>
  <c r="Q95" i="11" l="1"/>
  <c r="O102" i="11"/>
  <c r="Q101" i="11"/>
  <c r="I13" i="11" s="1"/>
  <c r="P101" i="11"/>
  <c r="P102" i="11" s="1"/>
  <c r="Q96" i="11" l="1"/>
  <c r="Q102" i="11"/>
  <c r="J16" i="6" l="1"/>
  <c r="F16" i="6"/>
  <c r="H16" i="6"/>
  <c r="L16" i="6"/>
  <c r="J17" i="6"/>
  <c r="F17" i="6"/>
  <c r="L17" i="6"/>
  <c r="H17" i="6"/>
  <c r="I20" i="6"/>
  <c r="J14" i="6"/>
  <c r="L14" i="6"/>
  <c r="F14" i="6"/>
  <c r="H14" i="6"/>
  <c r="J15" i="6"/>
  <c r="H15" i="6"/>
  <c r="L15" i="6"/>
  <c r="F15" i="6"/>
  <c r="J18" i="6"/>
  <c r="F18" i="6"/>
  <c r="H18" i="6"/>
  <c r="L18" i="6"/>
  <c r="D16" i="11" l="1"/>
  <c r="D25" i="11" s="1"/>
  <c r="F20" i="6"/>
  <c r="F28" i="6" s="1"/>
  <c r="J20" i="6"/>
  <c r="J28" i="6" s="1"/>
  <c r="L20" i="6"/>
  <c r="H20" i="6"/>
  <c r="H28" i="6" s="1"/>
  <c r="D28" i="6" l="1"/>
  <c r="D27" i="6"/>
  <c r="B24" i="6" l="1"/>
  <c r="C28" i="6" l="1"/>
  <c r="C27" i="6"/>
  <c r="C22" i="6" l="1"/>
  <c r="J27" i="6" l="1"/>
  <c r="F27" i="6"/>
  <c r="E28" i="6"/>
  <c r="I28" i="6"/>
  <c r="G28" i="6"/>
  <c r="L27" i="6"/>
  <c r="L30" i="6" s="1"/>
  <c r="H27" i="6"/>
  <c r="B2" i="6"/>
  <c r="L36" i="6" l="1"/>
  <c r="L28" i="6"/>
  <c r="L31" i="6" s="1"/>
  <c r="L38" i="6" s="1"/>
  <c r="L37" i="6"/>
  <c r="L40" i="6" l="1"/>
  <c r="N13" i="11" l="1"/>
  <c r="I16" i="11"/>
  <c r="P99" i="11"/>
  <c r="I99" i="11"/>
  <c r="Q99" i="11"/>
  <c r="J99" i="11"/>
  <c r="H99" i="11"/>
  <c r="M99" i="11"/>
  <c r="N99" i="11"/>
  <c r="O99" i="11"/>
  <c r="K99" i="11"/>
  <c r="L99" i="11"/>
  <c r="I14" i="11"/>
  <c r="N14" i="11" l="1"/>
  <c r="N16" i="11"/>
  <c r="N17" i="11"/>
  <c r="I17" i="11"/>
  <c r="I18" i="11" s="1"/>
  <c r="I30" i="11" s="1"/>
  <c r="N18" i="11" l="1"/>
  <c r="N30" i="11" s="1"/>
  <c r="N34" i="11" s="1"/>
  <c r="D109" i="11" s="1"/>
  <c r="N20" i="11"/>
  <c r="I34" i="11"/>
  <c r="I20" i="11"/>
  <c r="I35" i="11" l="1"/>
  <c r="D123" i="11"/>
  <c r="N35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BIWS</author>
  </authors>
  <commentList>
    <comment ref="D12" authorId="0" shapeId="0" xr:uid="{2455A6C2-6EE3-460E-B452-B1A5745B0ECE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Could easily simplify this by using the company's historical Beta for Cost of Equity and Cost of Debt based on average interest rate.</t>
        </r>
      </text>
    </comment>
    <comment ref="D13" authorId="0" shapeId="0" xr:uid="{6BB302F4-43DB-4385-9936-0E053C6BD82A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Taking the average effective tax rate from the 3 most recent years of IS data.</t>
        </r>
      </text>
    </comment>
    <comment ref="H90" authorId="0" shapeId="0" xr:uid="{47C03EB5-859F-49B4-AB1A-1E128CC126A6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Historically, Change in WC as a % of Change in Revenue was around 10%; recent years are odd.</t>
        </r>
      </text>
    </comment>
    <comment ref="H92" authorId="0" shapeId="0" xr:uid="{9684142B-29F6-4EC1-81F6-043A2D9E3071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$14 billion CapEx estimate in filings.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BIWS</author>
  </authors>
  <commentList>
    <comment ref="F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10-Year US Treasury yield as of valuation date.</t>
        </r>
      </text>
    </comment>
    <comment ref="F7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U.S. Equity Risk Premium for 2021 per Damodaran's data.</t>
        </r>
      </text>
    </comment>
    <comment ref="F8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Average coupon rates on existing Debt issuances.
</t>
        </r>
      </text>
    </comment>
    <comment ref="F9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No outstanding Preferred Stock.</t>
        </r>
      </text>
    </comment>
  </commentList>
</comments>
</file>

<file path=xl/sharedStrings.xml><?xml version="1.0" encoding="utf-8"?>
<sst xmlns="http://schemas.openxmlformats.org/spreadsheetml/2006/main" count="211" uniqueCount="137">
  <si>
    <t>Company Name:</t>
  </si>
  <si>
    <t>($ in Millions Except Per Share and Per Unit Data)</t>
  </si>
  <si>
    <t>Revenue:</t>
  </si>
  <si>
    <t>%</t>
  </si>
  <si>
    <t>Revenue Growth:</t>
  </si>
  <si>
    <t>Operating Income (EBIT):</t>
  </si>
  <si>
    <t>Effective Tax Rate:</t>
  </si>
  <si>
    <t>Accounts Receivable:</t>
  </si>
  <si>
    <t>Inventories:</t>
  </si>
  <si>
    <t>Accounts Payable:</t>
  </si>
  <si>
    <t>Adjustments for Non-Cash Charges:</t>
  </si>
  <si>
    <t>Ticker:</t>
  </si>
  <si>
    <t>EBITDA:</t>
  </si>
  <si>
    <t>Last Fiscal Year:</t>
  </si>
  <si>
    <t>Accrued Liabilities:</t>
  </si>
  <si>
    <t>Debt</t>
  </si>
  <si>
    <t>Tax Rate</t>
  </si>
  <si>
    <t>Equity</t>
  </si>
  <si>
    <t>Ticker</t>
  </si>
  <si>
    <t>Value</t>
  </si>
  <si>
    <t>Implied Enterprise Value:</t>
  </si>
  <si>
    <t>Implied Equity Value:</t>
  </si>
  <si>
    <t>Diluted Shares Outstanding:</t>
  </si>
  <si>
    <t>Premium / (Discount) to Current:</t>
  </si>
  <si>
    <t>Risk-Free Rate:</t>
  </si>
  <si>
    <t>Equity Risk Premium:</t>
  </si>
  <si>
    <t>Levered</t>
  </si>
  <si>
    <t>Unlevered</t>
  </si>
  <si>
    <t>Name</t>
  </si>
  <si>
    <t>Beta</t>
  </si>
  <si>
    <t>Cost of Equity Based on Historical Beta:</t>
  </si>
  <si>
    <t>WACC = Cost of Equity * % Equity + Cost of Debt * % Debt * (1 - Tax Rate) + Cost of Preferred Stock * % Preferred Stock</t>
  </si>
  <si>
    <t>Net Operating Profit After Tax (NOPAT):</t>
  </si>
  <si>
    <t>Cost of Preferred Stock:</t>
  </si>
  <si>
    <t>Preferred</t>
  </si>
  <si>
    <t>% Debt</t>
  </si>
  <si>
    <t>Stock</t>
  </si>
  <si>
    <t>% Preferred</t>
  </si>
  <si>
    <t>% Equity</t>
  </si>
  <si>
    <t>Median:</t>
  </si>
  <si>
    <t>Current Capital Structure:</t>
  </si>
  <si>
    <t>"Optimal" Capital Structure:</t>
  </si>
  <si>
    <t>Cost of Equity Based on Comparables, Current Capital Structure:</t>
  </si>
  <si>
    <t>Cost of Equity Based on Comparables, "Optimal" Capital Structure:</t>
  </si>
  <si>
    <t>WACC, Current Capital Structure:</t>
  </si>
  <si>
    <t>WACC, Current Capital Structure and Historical Cost of Equity:</t>
  </si>
  <si>
    <t>WACC, "Optimal" Capital Structure:</t>
  </si>
  <si>
    <t>Average WACC Produced by All Methods:</t>
  </si>
  <si>
    <t>Pre-Tax Cost of Debt:</t>
  </si>
  <si>
    <t>$ M</t>
  </si>
  <si>
    <t>Units:</t>
  </si>
  <si>
    <t>Current Share Price:</t>
  </si>
  <si>
    <t>Discount Rate Calculations - Assumptions:</t>
  </si>
  <si>
    <t>Comparable Companies - Unlevered Beta Calculation:</t>
  </si>
  <si>
    <t>(-) Cash &amp; Cash-Equivalents:</t>
  </si>
  <si>
    <t>(-) Equity Investments:</t>
  </si>
  <si>
    <t>(-) Other Non-Core Assets, Net:</t>
  </si>
  <si>
    <t>(-) Net Operating Losses:</t>
  </si>
  <si>
    <t>(+) Preferred Stock:</t>
  </si>
  <si>
    <t>(+) Noncontrolling Interests:</t>
  </si>
  <si>
    <t>(+) Unfunded Pension Obligations:</t>
  </si>
  <si>
    <t>(-) Taxes, Excluding Effect of Interest:</t>
  </si>
  <si>
    <t>(+) Cash &amp; Cash-Equivalents:</t>
  </si>
  <si>
    <t>(+) Equity Investments:</t>
  </si>
  <si>
    <t>(+) Other Non-Core Assets, Net:</t>
  </si>
  <si>
    <t>(+) Net Operating Losses:</t>
  </si>
  <si>
    <t>(-) Preferred Stock:</t>
  </si>
  <si>
    <t>(-) Noncontrolling Interests:</t>
  </si>
  <si>
    <t>(-) Unfunded Pension Obligations:</t>
  </si>
  <si>
    <t>(+) Depreciation &amp; Amortization:</t>
  </si>
  <si>
    <t>Walmart Inc.</t>
  </si>
  <si>
    <t>WMT</t>
  </si>
  <si>
    <t>Historical:</t>
  </si>
  <si>
    <t>Projected:</t>
  </si>
  <si>
    <t>M Sq. Ft.</t>
  </si>
  <si>
    <t>Sales per Square Foot:</t>
  </si>
  <si>
    <t>$ / Sq. Ft.</t>
  </si>
  <si>
    <t>Total Revenue:</t>
  </si>
  <si>
    <t>(+/-) Other Operating Activities:</t>
  </si>
  <si>
    <t>Membership &amp; Other Income Growth Rate:</t>
  </si>
  <si>
    <t>% Revenue:</t>
  </si>
  <si>
    <t>(+) Membership &amp; Other Income:</t>
  </si>
  <si>
    <t>Unlevered Free Cash Flow Projections:</t>
  </si>
  <si>
    <t>Growth Rate:</t>
  </si>
  <si>
    <t>Operating (EBIT) Margin:</t>
  </si>
  <si>
    <t>% Change in Revenue:</t>
  </si>
  <si>
    <t>Annual Unlevered Free Cash Flow:</t>
  </si>
  <si>
    <t>#</t>
  </si>
  <si>
    <t>Discount Rate (WACC):</t>
  </si>
  <si>
    <t>PV of Unlevered FCF:</t>
  </si>
  <si>
    <t>DCF Assumptions &amp; Output:</t>
  </si>
  <si>
    <t>Current Equity Value:</t>
  </si>
  <si>
    <t>Current Enterprise Value:</t>
  </si>
  <si>
    <t>Terminal Value - Multiples Method:</t>
  </si>
  <si>
    <t>Terminal Value - Perpetuity Growth Method:</t>
  </si>
  <si>
    <t>Expected Long-Term GDP Growth:</t>
  </si>
  <si>
    <t>Baseline Terminal EBITDA Multiple:</t>
  </si>
  <si>
    <t>Baseline Terminal FCF Growth Rate:</t>
  </si>
  <si>
    <t>Baseline Terminal Value:</t>
  </si>
  <si>
    <t>Implied Terminal FCF Growth Rate:</t>
  </si>
  <si>
    <t>Implied Terminal EBITDA Multiple:</t>
  </si>
  <si>
    <t>(+) PV of Terminal Value:</t>
  </si>
  <si>
    <t>(+) Sum of PV of Free Cash Flows:</t>
  </si>
  <si>
    <t>(-) Total Debt:</t>
  </si>
  <si>
    <t>Implied Share Price from DCF:</t>
  </si>
  <si>
    <t>% Book Taxes:</t>
  </si>
  <si>
    <t xml:space="preserve">Costco Wholesale Corporation </t>
  </si>
  <si>
    <t>COST</t>
  </si>
  <si>
    <t>The Kroger Co.</t>
  </si>
  <si>
    <t>KR</t>
  </si>
  <si>
    <t xml:space="preserve">Walgreens Boots Alliance, Inc. </t>
  </si>
  <si>
    <t>WBA</t>
  </si>
  <si>
    <t>Target Corporation</t>
  </si>
  <si>
    <t>TGT</t>
  </si>
  <si>
    <t>BBY</t>
  </si>
  <si>
    <t>Best Buy Co., Inc.</t>
  </si>
  <si>
    <t>(-) Total Debt &amp; Capital Leases:</t>
  </si>
  <si>
    <t>Sensitivity Tables:</t>
  </si>
  <si>
    <t>Sensitivity - Terminal FCF Growth Rate vs. Discount Rate and Implied Share Price from DCF Analysis:</t>
  </si>
  <si>
    <t>Terminal FCF Growth Rate:</t>
  </si>
  <si>
    <t>Sensitivity - Terminal EBITDA Multiple vs. Discount Rate and Implied Share Price from DCF Analysis:</t>
  </si>
  <si>
    <t>Terminal EBITDA Multiple:</t>
  </si>
  <si>
    <t>(+) Net Sales:</t>
  </si>
  <si>
    <t>(-) Capital Expenditures:</t>
  </si>
  <si>
    <t>Accrued Income Taxes:</t>
  </si>
  <si>
    <t>Maintenance CapEx per Square Foot:</t>
  </si>
  <si>
    <t>D&amp;A per Square Foot:</t>
  </si>
  <si>
    <t>Retail Square Feet:</t>
  </si>
  <si>
    <t>Period:</t>
  </si>
  <si>
    <t>(+) Total Debt &amp; Finance Leases:</t>
  </si>
  <si>
    <t>Median TEV / EBITDA of Comps:</t>
  </si>
  <si>
    <t>% of Implied TEV from Terminal Value:</t>
  </si>
  <si>
    <t>(+/-) Deferred Taxes:</t>
  </si>
  <si>
    <t>(+/-) Change in Working Capital:</t>
  </si>
  <si>
    <t>Change in Working Capital:</t>
  </si>
  <si>
    <t>COGS and OpEx per Square Foot:</t>
  </si>
  <si>
    <t>Growth CapEx per New Square Foot: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</si>
</sst>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Y&quot;yy"/>
    <numFmt numFmtId="165" formatCode="0.0%"/>
    <numFmt numFmtId="166" formatCode="0.0%;\(0.0%\)"/>
    <numFmt numFmtId="167" formatCode="_(&quot;$&quot;* #,##0.0_);_(&quot;$&quot;* \(#,##0.0\);_(&quot;$&quot;* &quot;-&quot;?_);_(@_)"/>
    <numFmt numFmtId="168" formatCode="_(* #,##0.0_);_(* \(#,##0.0\);_(* &quot;-&quot;?_);_(@_)"/>
    <numFmt numFmtId="169" formatCode="0.00%;\(0.00%\)"/>
    <numFmt numFmtId="170" formatCode="0.0\ \x"/>
    <numFmt numFmtId="171" formatCode="_(0.0%_);\(0.0%\);_(&quot;–&quot;_)_%;_(@_)_%"/>
    <numFmt numFmtId="172" formatCode="yyyy\-mm\-dd"/>
    <numFmt numFmtId="173" formatCode="_(0.00%_);\(0.00%\);_(&quot;–&quot;_)_%;_(@_)_%"/>
    <numFmt numFmtId="174" formatCode="_(#,##0.00_)_%;\(#,##0.00\)_%;_(&quot;–&quot;_)_%;_(@_)_%"/>
    <numFmt numFmtId="175" formatCode="_(#,##0.00_);\(#,##0.00\);_(&quot;–&quot;_);_(@_)"/>
    <numFmt numFmtId="176" formatCode="_(&quot;$&quot;* #,##0.0_);_(&quot;$&quot;* \(#,##0.0\);_(&quot;$&quot;* &quot;-&quot;_);_(@_)"/>
    <numFmt numFmtId="177" formatCode="_(&quot;$&quot;* #,##0_);_(&quot;$&quot;* \(#,##0\);_(&quot;$&quot;* &quot;-&quot;?_);_(@_)"/>
    <numFmt numFmtId="178" formatCode="_(* #,##0_);_(* \(#,##0\);_(* &quot;-&quot;?_);_(@_)"/>
    <numFmt numFmtId="179" formatCode="_(0.0\ \x_);\(0.0\ \x\);_(&quot;–&quot;_);_(@_)"/>
    <numFmt numFmtId="180" formatCode="_(&quot;$&quot;* #,##0_);_(&quot;$&quot;* \(#,##0\);_(&quot;$&quot;* &quot;-&quot;??_);_(@_)"/>
    <numFmt numFmtId="181" formatCode="0.0000%"/>
    <numFmt numFmtId="182" formatCode="_(* #,##0.0_);_(* \(#,##0.0\);_(* &quot;-&quot;???_);_(@_)"/>
  </numFmts>
  <fonts count="46" x14ac:knownFonts="1"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FF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u/>
      <sz val="12"/>
      <color indexed="9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rgb="FF0000FF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4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  <scheme val="minor"/>
    </font>
    <font>
      <sz val="12"/>
      <color theme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0000"/>
      <name val="Calibri"/>
      <family val="2"/>
    </font>
    <font>
      <i/>
      <sz val="12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Dashed">
        <color rgb="FFFF0000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rgb="FFB2B2B2"/>
      </left>
      <right/>
      <top/>
      <bottom/>
      <diagonal/>
    </border>
  </borders>
  <cellStyleXfs count="17">
    <xf numFmtId="0" fontId="0" fillId="0" borderId="0"/>
    <xf numFmtId="0" fontId="11" fillId="2" borderId="3" applyNumberFormat="0" applyAlignment="0" applyProtection="0"/>
    <xf numFmtId="0" fontId="14" fillId="0" borderId="0"/>
    <xf numFmtId="0" fontId="9" fillId="0" borderId="0"/>
    <xf numFmtId="0" fontId="8" fillId="0" borderId="0"/>
    <xf numFmtId="0" fontId="15" fillId="0" borderId="0" applyAlignment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</cellStyleXfs>
  <cellXfs count="271">
    <xf numFmtId="0" fontId="0" fillId="0" borderId="0" xfId="0"/>
    <xf numFmtId="0" fontId="10" fillId="0" borderId="0" xfId="0" applyFont="1"/>
    <xf numFmtId="0" fontId="3" fillId="0" borderId="0" xfId="0" applyFont="1"/>
    <xf numFmtId="0" fontId="20" fillId="0" borderId="0" xfId="0" applyFont="1"/>
    <xf numFmtId="0" fontId="3" fillId="0" borderId="0" xfId="0" applyFont="1" applyAlignment="1"/>
    <xf numFmtId="0" fontId="3" fillId="0" borderId="0" xfId="0" applyFont="1" applyBorder="1"/>
    <xf numFmtId="166" fontId="20" fillId="0" borderId="0" xfId="0" applyNumberFormat="1" applyFont="1"/>
    <xf numFmtId="0" fontId="19" fillId="8" borderId="0" xfId="0" applyFont="1" applyFill="1" applyBorder="1"/>
    <xf numFmtId="0" fontId="27" fillId="8" borderId="0" xfId="0" applyFont="1" applyFill="1" applyBorder="1"/>
    <xf numFmtId="0" fontId="16" fillId="8" borderId="16" xfId="0" applyFont="1" applyFill="1" applyBorder="1" applyAlignment="1">
      <alignment horizontal="centerContinuous"/>
    </xf>
    <xf numFmtId="0" fontId="16" fillId="8" borderId="18" xfId="0" applyFont="1" applyFill="1" applyBorder="1" applyAlignment="1">
      <alignment horizontal="centerContinuous"/>
    </xf>
    <xf numFmtId="0" fontId="3" fillId="0" borderId="4" xfId="0" applyFont="1" applyBorder="1"/>
    <xf numFmtId="164" fontId="16" fillId="8" borderId="2" xfId="0" applyNumberFormat="1" applyFont="1" applyFill="1" applyBorder="1" applyAlignment="1">
      <alignment horizontal="center"/>
    </xf>
    <xf numFmtId="164" fontId="16" fillId="8" borderId="17" xfId="0" applyNumberFormat="1" applyFont="1" applyFill="1" applyBorder="1" applyAlignment="1">
      <alignment horizontal="center"/>
    </xf>
    <xf numFmtId="0" fontId="26" fillId="0" borderId="0" xfId="2" applyFont="1" applyBorder="1"/>
    <xf numFmtId="0" fontId="26" fillId="0" borderId="0" xfId="2" applyFont="1"/>
    <xf numFmtId="0" fontId="26" fillId="0" borderId="2" xfId="2" applyFont="1" applyBorder="1"/>
    <xf numFmtId="0" fontId="26" fillId="0" borderId="0" xfId="2" applyFont="1" applyAlignment="1">
      <alignment horizontal="left" indent="1"/>
    </xf>
    <xf numFmtId="0" fontId="26" fillId="0" borderId="1" xfId="2" applyFont="1" applyBorder="1"/>
    <xf numFmtId="0" fontId="34" fillId="0" borderId="0" xfId="0" applyFont="1"/>
    <xf numFmtId="0" fontId="35" fillId="0" borderId="0" xfId="0" applyFont="1"/>
    <xf numFmtId="0" fontId="37" fillId="3" borderId="2" xfId="0" applyFont="1" applyFill="1" applyBorder="1"/>
    <xf numFmtId="0" fontId="38" fillId="3" borderId="2" xfId="0" applyFont="1" applyFill="1" applyBorder="1"/>
    <xf numFmtId="0" fontId="38" fillId="0" borderId="0" xfId="0" applyFont="1" applyFill="1" applyBorder="1"/>
    <xf numFmtId="0" fontId="35" fillId="0" borderId="0" xfId="0" applyFont="1" applyBorder="1"/>
    <xf numFmtId="173" fontId="23" fillId="2" borderId="7" xfId="0" applyNumberFormat="1" applyFont="1" applyFill="1" applyBorder="1" applyAlignment="1">
      <alignment horizontal="center"/>
    </xf>
    <xf numFmtId="173" fontId="24" fillId="0" borderId="0" xfId="0" applyNumberFormat="1" applyFont="1" applyBorder="1"/>
    <xf numFmtId="0" fontId="39" fillId="0" borderId="0" xfId="0" applyFont="1"/>
    <xf numFmtId="0" fontId="21" fillId="3" borderId="0" xfId="2" applyFont="1" applyFill="1" applyBorder="1"/>
    <xf numFmtId="0" fontId="21" fillId="3" borderId="0" xfId="2" applyFont="1" applyFill="1" applyBorder="1" applyAlignment="1">
      <alignment horizontal="center"/>
    </xf>
    <xf numFmtId="0" fontId="21" fillId="3" borderId="2" xfId="2" applyFont="1" applyFill="1" applyBorder="1"/>
    <xf numFmtId="0" fontId="21" fillId="3" borderId="2" xfId="2" applyFont="1" applyFill="1" applyBorder="1" applyAlignment="1">
      <alignment horizontal="center"/>
    </xf>
    <xf numFmtId="171" fontId="25" fillId="0" borderId="0" xfId="0" applyNumberFormat="1" applyFont="1" applyBorder="1"/>
    <xf numFmtId="0" fontId="29" fillId="4" borderId="13" xfId="2" applyFont="1" applyFill="1" applyBorder="1" applyAlignment="1">
      <alignment horizontal="left"/>
    </xf>
    <xf numFmtId="0" fontId="29" fillId="4" borderId="5" xfId="2" applyFont="1" applyFill="1" applyBorder="1" applyAlignment="1"/>
    <xf numFmtId="174" fontId="29" fillId="4" borderId="5" xfId="2" applyNumberFormat="1" applyFont="1" applyFill="1" applyBorder="1" applyAlignment="1"/>
    <xf numFmtId="171" fontId="29" fillId="4" borderId="5" xfId="2" applyNumberFormat="1" applyFont="1" applyFill="1" applyBorder="1"/>
    <xf numFmtId="43" fontId="29" fillId="4" borderId="14" xfId="2" applyNumberFormat="1" applyFont="1" applyFill="1" applyBorder="1"/>
    <xf numFmtId="0" fontId="16" fillId="5" borderId="13" xfId="2" applyFont="1" applyFill="1" applyBorder="1"/>
    <xf numFmtId="0" fontId="16" fillId="5" borderId="5" xfId="2" applyFont="1" applyFill="1" applyBorder="1"/>
    <xf numFmtId="174" fontId="16" fillId="5" borderId="5" xfId="2" applyNumberFormat="1" applyFont="1" applyFill="1" applyBorder="1" applyAlignment="1"/>
    <xf numFmtId="42" fontId="16" fillId="5" borderId="5" xfId="2" applyNumberFormat="1" applyFont="1" applyFill="1" applyBorder="1"/>
    <xf numFmtId="9" fontId="16" fillId="5" borderId="5" xfId="2" applyNumberFormat="1" applyFont="1" applyFill="1" applyBorder="1"/>
    <xf numFmtId="43" fontId="16" fillId="5" borderId="14" xfId="2" applyNumberFormat="1" applyFont="1" applyFill="1" applyBorder="1"/>
    <xf numFmtId="0" fontId="26" fillId="0" borderId="0" xfId="2" applyFont="1" applyFill="1" applyBorder="1"/>
    <xf numFmtId="0" fontId="16" fillId="5" borderId="8" xfId="2" applyFont="1" applyFill="1" applyBorder="1"/>
    <xf numFmtId="0" fontId="16" fillId="5" borderId="1" xfId="2" applyFont="1" applyFill="1" applyBorder="1"/>
    <xf numFmtId="169" fontId="16" fillId="5" borderId="1" xfId="2" applyNumberFormat="1" applyFont="1" applyFill="1" applyBorder="1"/>
    <xf numFmtId="0" fontId="16" fillId="5" borderId="10" xfId="2" applyFont="1" applyFill="1" applyBorder="1"/>
    <xf numFmtId="0" fontId="16" fillId="5" borderId="0" xfId="2" applyFont="1" applyFill="1" applyBorder="1"/>
    <xf numFmtId="169" fontId="16" fillId="5" borderId="0" xfId="2" applyNumberFormat="1" applyFont="1" applyFill="1" applyBorder="1"/>
    <xf numFmtId="0" fontId="16" fillId="5" borderId="6" xfId="2" applyFont="1" applyFill="1" applyBorder="1"/>
    <xf numFmtId="0" fontId="16" fillId="5" borderId="2" xfId="2" applyFont="1" applyFill="1" applyBorder="1"/>
    <xf numFmtId="169" fontId="16" fillId="5" borderId="2" xfId="2" applyNumberFormat="1" applyFont="1" applyFill="1" applyBorder="1"/>
    <xf numFmtId="173" fontId="16" fillId="5" borderId="9" xfId="2" applyNumberFormat="1" applyFont="1" applyFill="1" applyBorder="1"/>
    <xf numFmtId="173" fontId="16" fillId="5" borderId="11" xfId="2" applyNumberFormat="1" applyFont="1" applyFill="1" applyBorder="1"/>
    <xf numFmtId="173" fontId="16" fillId="5" borderId="12" xfId="2" applyNumberFormat="1" applyFont="1" applyFill="1" applyBorder="1"/>
    <xf numFmtId="173" fontId="16" fillId="5" borderId="14" xfId="2" applyNumberFormat="1" applyFont="1" applyFill="1" applyBorder="1"/>
    <xf numFmtId="0" fontId="16" fillId="8" borderId="2" xfId="0" applyNumberFormat="1" applyFont="1" applyFill="1" applyBorder="1"/>
    <xf numFmtId="0" fontId="28" fillId="8" borderId="2" xfId="0" applyNumberFormat="1" applyFont="1" applyFill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0" fillId="0" borderId="0" xfId="0" applyNumberFormat="1" applyFont="1"/>
    <xf numFmtId="0" fontId="35" fillId="0" borderId="0" xfId="0" applyNumberFormat="1" applyFont="1"/>
    <xf numFmtId="0" fontId="34" fillId="0" borderId="0" xfId="0" applyNumberFormat="1" applyFont="1"/>
    <xf numFmtId="0" fontId="35" fillId="0" borderId="0" xfId="0" applyNumberFormat="1" applyFont="1" applyAlignment="1">
      <alignment horizontal="left" indent="1"/>
    </xf>
    <xf numFmtId="0" fontId="35" fillId="0" borderId="2" xfId="0" applyNumberFormat="1" applyFont="1" applyBorder="1" applyAlignment="1">
      <alignment horizontal="left" indent="1"/>
    </xf>
    <xf numFmtId="176" fontId="16" fillId="5" borderId="5" xfId="2" applyNumberFormat="1" applyFont="1" applyFill="1" applyBorder="1"/>
    <xf numFmtId="42" fontId="23" fillId="0" borderId="0" xfId="0" applyNumberFormat="1" applyFont="1" applyBorder="1" applyAlignment="1"/>
    <xf numFmtId="166" fontId="20" fillId="0" borderId="0" xfId="0" applyNumberFormat="1" applyFont="1" applyFill="1" applyBorder="1"/>
    <xf numFmtId="42" fontId="26" fillId="0" borderId="0" xfId="0" applyNumberFormat="1" applyFont="1" applyBorder="1" applyAlignment="1"/>
    <xf numFmtId="0" fontId="18" fillId="0" borderId="0" xfId="0" applyFont="1"/>
    <xf numFmtId="41" fontId="18" fillId="0" borderId="0" xfId="0" applyNumberFormat="1" applyFont="1"/>
    <xf numFmtId="0" fontId="20" fillId="0" borderId="2" xfId="0" applyNumberFormat="1" applyFont="1" applyBorder="1" applyAlignment="1">
      <alignment horizontal="center"/>
    </xf>
    <xf numFmtId="0" fontId="18" fillId="6" borderId="2" xfId="0" applyFont="1" applyFill="1" applyBorder="1"/>
    <xf numFmtId="41" fontId="26" fillId="0" borderId="0" xfId="0" applyNumberFormat="1" applyFont="1"/>
    <xf numFmtId="0" fontId="2" fillId="0" borderId="0" xfId="0" applyFont="1" applyAlignment="1">
      <alignment horizontal="left" indent="1"/>
    </xf>
    <xf numFmtId="0" fontId="2" fillId="0" borderId="0" xfId="0" applyFont="1" applyAlignment="1"/>
    <xf numFmtId="0" fontId="28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71" fontId="2" fillId="0" borderId="0" xfId="0" applyNumberFormat="1" applyFont="1" applyBorder="1" applyAlignment="1"/>
    <xf numFmtId="0" fontId="2" fillId="0" borderId="0" xfId="0" applyFont="1"/>
    <xf numFmtId="41" fontId="33" fillId="0" borderId="0" xfId="0" applyNumberFormat="1" applyFont="1"/>
    <xf numFmtId="0" fontId="34" fillId="9" borderId="0" xfId="0" applyNumberFormat="1" applyFont="1" applyFill="1"/>
    <xf numFmtId="0" fontId="20" fillId="9" borderId="0" xfId="0" applyNumberFormat="1" applyFont="1" applyFill="1" applyBorder="1" applyAlignment="1">
      <alignment horizontal="center"/>
    </xf>
    <xf numFmtId="0" fontId="31" fillId="0" borderId="0" xfId="2" applyFont="1" applyAlignment="1">
      <alignment horizontal="center"/>
    </xf>
    <xf numFmtId="0" fontId="29" fillId="7" borderId="0" xfId="2" applyFont="1" applyFill="1" applyBorder="1"/>
    <xf numFmtId="0" fontId="31" fillId="0" borderId="0" xfId="2" applyFont="1" applyAlignment="1">
      <alignment horizontal="left" indent="1"/>
    </xf>
    <xf numFmtId="0" fontId="31" fillId="7" borderId="0" xfId="2" applyFont="1" applyFill="1" applyBorder="1" applyAlignment="1">
      <alignment horizontal="center"/>
    </xf>
    <xf numFmtId="177" fontId="29" fillId="7" borderId="0" xfId="2" applyNumberFormat="1" applyFont="1" applyFill="1" applyBorder="1"/>
    <xf numFmtId="166" fontId="31" fillId="0" borderId="0" xfId="2" applyNumberFormat="1" applyFont="1" applyBorder="1"/>
    <xf numFmtId="41" fontId="33" fillId="0" borderId="2" xfId="0" applyNumberFormat="1" applyFont="1" applyBorder="1"/>
    <xf numFmtId="0" fontId="3" fillId="8" borderId="0" xfId="0" applyFont="1" applyFill="1"/>
    <xf numFmtId="0" fontId="20" fillId="8" borderId="0" xfId="0" applyFont="1" applyFill="1"/>
    <xf numFmtId="0" fontId="3" fillId="8" borderId="0" xfId="0" applyFont="1" applyFill="1" applyAlignment="1"/>
    <xf numFmtId="0" fontId="21" fillId="8" borderId="2" xfId="0" applyFont="1" applyFill="1" applyBorder="1" applyAlignment="1">
      <alignment horizontal="left"/>
    </xf>
    <xf numFmtId="0" fontId="22" fillId="8" borderId="2" xfId="0" applyFont="1" applyFill="1" applyBorder="1" applyAlignment="1">
      <alignment horizontal="left"/>
    </xf>
    <xf numFmtId="169" fontId="23" fillId="0" borderId="0" xfId="1" applyNumberFormat="1" applyFont="1" applyFill="1" applyBorder="1" applyAlignment="1">
      <alignment horizontal="center"/>
    </xf>
    <xf numFmtId="0" fontId="29" fillId="6" borderId="1" xfId="2" applyFont="1" applyFill="1" applyBorder="1" applyAlignment="1">
      <alignment horizontal="left"/>
    </xf>
    <xf numFmtId="0" fontId="26" fillId="6" borderId="1" xfId="2" applyFont="1" applyFill="1" applyBorder="1"/>
    <xf numFmtId="0" fontId="2" fillId="0" borderId="0" xfId="0" applyFont="1" applyFill="1" applyBorder="1"/>
    <xf numFmtId="0" fontId="2" fillId="6" borderId="2" xfId="0" applyFont="1" applyFill="1" applyBorder="1" applyAlignment="1"/>
    <xf numFmtId="179" fontId="23" fillId="2" borderId="7" xfId="0" applyNumberFormat="1" applyFont="1" applyFill="1" applyBorder="1" applyAlignment="1">
      <alignment horizontal="center"/>
    </xf>
    <xf numFmtId="167" fontId="29" fillId="0" borderId="0" xfId="2" applyNumberFormat="1" applyFont="1" applyBorder="1"/>
    <xf numFmtId="0" fontId="29" fillId="6" borderId="0" xfId="2" applyFont="1" applyFill="1" applyBorder="1"/>
    <xf numFmtId="0" fontId="26" fillId="6" borderId="0" xfId="2" applyFont="1" applyFill="1" applyBorder="1"/>
    <xf numFmtId="0" fontId="31" fillId="0" borderId="0" xfId="2" applyFont="1" applyBorder="1"/>
    <xf numFmtId="0" fontId="29" fillId="10" borderId="8" xfId="2" applyFont="1" applyFill="1" applyBorder="1"/>
    <xf numFmtId="0" fontId="26" fillId="10" borderId="1" xfId="2" applyFont="1" applyFill="1" applyBorder="1"/>
    <xf numFmtId="44" fontId="29" fillId="10" borderId="9" xfId="2" applyNumberFormat="1" applyFont="1" applyFill="1" applyBorder="1"/>
    <xf numFmtId="0" fontId="29" fillId="10" borderId="6" xfId="2" applyFont="1" applyFill="1" applyBorder="1"/>
    <xf numFmtId="0" fontId="26" fillId="10" borderId="2" xfId="2" applyFont="1" applyFill="1" applyBorder="1"/>
    <xf numFmtId="166" fontId="29" fillId="10" borderId="12" xfId="2" applyNumberFormat="1" applyFont="1" applyFill="1" applyBorder="1"/>
    <xf numFmtId="178" fontId="26" fillId="0" borderId="0" xfId="0" applyNumberFormat="1" applyFont="1" applyFill="1" applyBorder="1"/>
    <xf numFmtId="178" fontId="26" fillId="0" borderId="2" xfId="0" applyNumberFormat="1" applyFont="1" applyFill="1" applyBorder="1"/>
    <xf numFmtId="0" fontId="2" fillId="0" borderId="0" xfId="0" applyNumberFormat="1" applyFont="1" applyBorder="1" applyAlignment="1">
      <alignment horizontal="center"/>
    </xf>
    <xf numFmtId="0" fontId="35" fillId="0" borderId="0" xfId="0" applyNumberFormat="1" applyFont="1" applyBorder="1" applyAlignment="1">
      <alignment horizontal="left" indent="1"/>
    </xf>
    <xf numFmtId="41" fontId="33" fillId="0" borderId="0" xfId="0" applyNumberFormat="1" applyFont="1" applyBorder="1"/>
    <xf numFmtId="0" fontId="35" fillId="0" borderId="0" xfId="0" applyNumberFormat="1" applyFont="1" applyAlignment="1">
      <alignment horizontal="left" indent="2"/>
    </xf>
    <xf numFmtId="0" fontId="16" fillId="0" borderId="0" xfId="0" applyNumberFormat="1" applyFont="1" applyFill="1" applyBorder="1"/>
    <xf numFmtId="0" fontId="2" fillId="0" borderId="0" xfId="0" applyNumberFormat="1" applyFont="1" applyAlignment="1">
      <alignment horizontal="center"/>
    </xf>
    <xf numFmtId="0" fontId="35" fillId="0" borderId="0" xfId="0" applyNumberFormat="1" applyFont="1" applyBorder="1"/>
    <xf numFmtId="41" fontId="2" fillId="0" borderId="0" xfId="0" applyNumberFormat="1" applyFont="1" applyBorder="1"/>
    <xf numFmtId="41" fontId="18" fillId="6" borderId="0" xfId="0" applyNumberFormat="1" applyFont="1" applyFill="1"/>
    <xf numFmtId="41" fontId="26" fillId="0" borderId="0" xfId="2" applyNumberFormat="1" applyFont="1"/>
    <xf numFmtId="41" fontId="32" fillId="9" borderId="0" xfId="0" applyNumberFormat="1" applyFont="1" applyFill="1" applyBorder="1"/>
    <xf numFmtId="177" fontId="29" fillId="4" borderId="5" xfId="2" applyNumberFormat="1" applyFont="1" applyFill="1" applyBorder="1"/>
    <xf numFmtId="169" fontId="33" fillId="2" borderId="3" xfId="1" applyNumberFormat="1" applyFont="1" applyFill="1" applyBorder="1" applyAlignment="1">
      <alignment horizontal="center"/>
    </xf>
    <xf numFmtId="0" fontId="16" fillId="8" borderId="2" xfId="0" applyFont="1" applyFill="1" applyBorder="1"/>
    <xf numFmtId="0" fontId="28" fillId="8" borderId="2" xfId="0" applyFont="1" applyFill="1" applyBorder="1"/>
    <xf numFmtId="0" fontId="27" fillId="8" borderId="2" xfId="0" applyFont="1" applyFill="1" applyBorder="1"/>
    <xf numFmtId="0" fontId="19" fillId="8" borderId="2" xfId="0" applyFont="1" applyFill="1" applyBorder="1" applyAlignment="1"/>
    <xf numFmtId="0" fontId="19" fillId="8" borderId="2" xfId="0" applyFont="1" applyFill="1" applyBorder="1"/>
    <xf numFmtId="0" fontId="19" fillId="3" borderId="8" xfId="0" applyFont="1" applyFill="1" applyBorder="1"/>
    <xf numFmtId="0" fontId="19" fillId="3" borderId="5" xfId="0" applyFont="1" applyFill="1" applyBorder="1"/>
    <xf numFmtId="0" fontId="16" fillId="3" borderId="5" xfId="0" applyFont="1" applyFill="1" applyBorder="1" applyAlignment="1">
      <alignment horizontal="centerContinuous"/>
    </xf>
    <xf numFmtId="0" fontId="16" fillId="3" borderId="14" xfId="0" applyFont="1" applyFill="1" applyBorder="1" applyAlignment="1">
      <alignment horizontal="centerContinuous"/>
    </xf>
    <xf numFmtId="0" fontId="19" fillId="3" borderId="10" xfId="0" applyFont="1" applyFill="1" applyBorder="1"/>
    <xf numFmtId="166" fontId="36" fillId="11" borderId="10" xfId="0" applyNumberFormat="1" applyFont="1" applyFill="1" applyBorder="1"/>
    <xf numFmtId="169" fontId="16" fillId="11" borderId="0" xfId="0" applyNumberFormat="1" applyFont="1" applyFill="1" applyBorder="1" applyAlignment="1">
      <alignment horizontal="center"/>
    </xf>
    <xf numFmtId="44" fontId="35" fillId="0" borderId="8" xfId="0" applyNumberFormat="1" applyFont="1" applyBorder="1" applyAlignment="1"/>
    <xf numFmtId="44" fontId="35" fillId="0" borderId="1" xfId="0" applyNumberFormat="1" applyFont="1" applyBorder="1" applyAlignment="1"/>
    <xf numFmtId="44" fontId="2" fillId="0" borderId="1" xfId="0" applyNumberFormat="1" applyFont="1" applyBorder="1" applyAlignment="1"/>
    <xf numFmtId="44" fontId="2" fillId="0" borderId="0" xfId="0" applyNumberFormat="1" applyFont="1" applyAlignment="1"/>
    <xf numFmtId="43" fontId="35" fillId="0" borderId="10" xfId="0" applyNumberFormat="1" applyFont="1" applyBorder="1" applyAlignment="1"/>
    <xf numFmtId="43" fontId="35" fillId="0" borderId="0" xfId="0" applyNumberFormat="1" applyFont="1" applyBorder="1" applyAlignment="1"/>
    <xf numFmtId="43" fontId="2" fillId="0" borderId="0" xfId="0" applyNumberFormat="1" applyFont="1" applyBorder="1" applyAlignment="1"/>
    <xf numFmtId="43" fontId="2" fillId="0" borderId="0" xfId="0" applyNumberFormat="1" applyFont="1" applyAlignment="1"/>
    <xf numFmtId="179" fontId="16" fillId="11" borderId="0" xfId="0" applyNumberFormat="1" applyFont="1" applyFill="1" applyBorder="1" applyAlignment="1">
      <alignment horizontal="center"/>
    </xf>
    <xf numFmtId="179" fontId="16" fillId="11" borderId="14" xfId="0" applyNumberFormat="1" applyFont="1" applyFill="1" applyBorder="1" applyAlignment="1">
      <alignment horizontal="center"/>
    </xf>
    <xf numFmtId="179" fontId="16" fillId="11" borderId="5" xfId="0" applyNumberFormat="1" applyFont="1" applyFill="1" applyBorder="1" applyAlignment="1">
      <alignment horizontal="center"/>
    </xf>
    <xf numFmtId="178" fontId="30" fillId="0" borderId="0" xfId="0" applyNumberFormat="1" applyFont="1" applyBorder="1"/>
    <xf numFmtId="181" fontId="2" fillId="0" borderId="0" xfId="0" applyNumberFormat="1" applyFont="1"/>
    <xf numFmtId="169" fontId="16" fillId="11" borderId="12" xfId="0" applyNumberFormat="1" applyFont="1" applyFill="1" applyBorder="1" applyAlignment="1">
      <alignment horizontal="center"/>
    </xf>
    <xf numFmtId="169" fontId="16" fillId="11" borderId="11" xfId="0" applyNumberFormat="1" applyFont="1" applyFill="1" applyBorder="1" applyAlignment="1">
      <alignment horizontal="center"/>
    </xf>
    <xf numFmtId="37" fontId="23" fillId="0" borderId="0" xfId="0" applyNumberFormat="1" applyFont="1" applyBorder="1" applyAlignment="1"/>
    <xf numFmtId="41" fontId="23" fillId="0" borderId="0" xfId="0" applyNumberFormat="1" applyFont="1" applyBorder="1" applyAlignment="1"/>
    <xf numFmtId="41" fontId="23" fillId="0" borderId="0" xfId="0" applyNumberFormat="1" applyFont="1"/>
    <xf numFmtId="0" fontId="1" fillId="0" borderId="0" xfId="0" applyFont="1"/>
    <xf numFmtId="171" fontId="25" fillId="2" borderId="3" xfId="1" applyNumberFormat="1" applyFont="1" applyAlignment="1">
      <alignment horizontal="center"/>
    </xf>
    <xf numFmtId="0" fontId="1" fillId="0" borderId="2" xfId="0" applyFont="1" applyBorder="1"/>
    <xf numFmtId="41" fontId="32" fillId="9" borderId="0" xfId="0" applyNumberFormat="1" applyFont="1" applyFill="1"/>
    <xf numFmtId="166" fontId="31" fillId="0" borderId="0" xfId="2" applyNumberFormat="1" applyFont="1"/>
    <xf numFmtId="177" fontId="29" fillId="7" borderId="0" xfId="2" applyNumberFormat="1" applyFont="1" applyFill="1"/>
    <xf numFmtId="49" fontId="23" fillId="2" borderId="3" xfId="1" applyNumberFormat="1" applyFont="1" applyFill="1" applyBorder="1" applyAlignment="1">
      <alignment horizontal="center"/>
    </xf>
    <xf numFmtId="3" fontId="23" fillId="2" borderId="3" xfId="1" applyNumberFormat="1" applyFont="1" applyFill="1" applyBorder="1" applyAlignment="1">
      <alignment horizontal="center"/>
    </xf>
    <xf numFmtId="44" fontId="23" fillId="2" borderId="3" xfId="1" applyNumberFormat="1" applyFont="1" applyFill="1" applyBorder="1" applyAlignment="1">
      <alignment horizontal="center"/>
    </xf>
    <xf numFmtId="172" fontId="23" fillId="2" borderId="3" xfId="0" applyNumberFormat="1" applyFont="1" applyFill="1" applyBorder="1" applyAlignment="1">
      <alignment horizontal="center"/>
    </xf>
    <xf numFmtId="0" fontId="30" fillId="0" borderId="0" xfId="0" applyNumberFormat="1" applyFont="1" applyBorder="1" applyAlignment="1">
      <alignment horizontal="left"/>
    </xf>
    <xf numFmtId="0" fontId="30" fillId="0" borderId="0" xfId="0" applyFont="1"/>
    <xf numFmtId="0" fontId="41" fillId="0" borderId="0" xfId="0" applyNumberFormat="1" applyFont="1" applyBorder="1" applyAlignment="1">
      <alignment horizontal="center"/>
    </xf>
    <xf numFmtId="0" fontId="41" fillId="0" borderId="0" xfId="0" applyNumberFormat="1" applyFont="1" applyBorder="1" applyAlignment="1">
      <alignment horizontal="left" indent="1"/>
    </xf>
    <xf numFmtId="0" fontId="30" fillId="0" borderId="0" xfId="0" applyNumberFormat="1" applyFont="1" applyBorder="1" applyAlignment="1">
      <alignment horizontal="left" indent="1"/>
    </xf>
    <xf numFmtId="171" fontId="41" fillId="0" borderId="0" xfId="0" applyNumberFormat="1" applyFont="1" applyBorder="1" applyAlignment="1"/>
    <xf numFmtId="171" fontId="30" fillId="0" borderId="0" xfId="0" applyNumberFormat="1" applyFont="1" applyBorder="1" applyAlignment="1"/>
    <xf numFmtId="43" fontId="30" fillId="0" borderId="0" xfId="0" applyNumberFormat="1" applyFont="1" applyBorder="1" applyAlignment="1"/>
    <xf numFmtId="0" fontId="32" fillId="0" borderId="0" xfId="0" applyNumberFormat="1" applyFont="1" applyBorder="1" applyAlignment="1">
      <alignment horizontal="left"/>
    </xf>
    <xf numFmtId="0" fontId="17" fillId="0" borderId="0" xfId="2" applyFont="1"/>
    <xf numFmtId="0" fontId="17" fillId="0" borderId="0" xfId="2" applyFont="1" applyBorder="1"/>
    <xf numFmtId="167" fontId="43" fillId="0" borderId="0" xfId="2" applyNumberFormat="1" applyFont="1" applyBorder="1"/>
    <xf numFmtId="0" fontId="17" fillId="0" borderId="2" xfId="2" applyFont="1" applyBorder="1"/>
    <xf numFmtId="0" fontId="17" fillId="6" borderId="0" xfId="2" applyFont="1" applyFill="1" applyBorder="1"/>
    <xf numFmtId="0" fontId="17" fillId="0" borderId="0" xfId="0" applyFont="1"/>
    <xf numFmtId="0" fontId="17" fillId="6" borderId="1" xfId="2" applyFont="1" applyFill="1" applyBorder="1"/>
    <xf numFmtId="44" fontId="17" fillId="0" borderId="0" xfId="2" applyNumberFormat="1" applyFont="1"/>
    <xf numFmtId="0" fontId="17" fillId="10" borderId="1" xfId="2" applyFont="1" applyFill="1" applyBorder="1"/>
    <xf numFmtId="0" fontId="17" fillId="10" borderId="2" xfId="2" applyFont="1" applyFill="1" applyBorder="1"/>
    <xf numFmtId="0" fontId="30" fillId="0" borderId="0" xfId="2" applyFont="1"/>
    <xf numFmtId="0" fontId="30" fillId="0" borderId="0" xfId="2" applyFont="1" applyBorder="1"/>
    <xf numFmtId="0" fontId="30" fillId="0" borderId="0" xfId="2" applyFont="1" applyBorder="1" applyAlignment="1">
      <alignment horizontal="left" indent="1"/>
    </xf>
    <xf numFmtId="0" fontId="30" fillId="0" borderId="2" xfId="2" applyFont="1" applyBorder="1" applyAlignment="1">
      <alignment horizontal="left" indent="1"/>
    </xf>
    <xf numFmtId="0" fontId="41" fillId="0" borderId="0" xfId="2" applyFont="1" applyBorder="1"/>
    <xf numFmtId="0" fontId="30" fillId="0" borderId="0" xfId="2" applyFont="1" applyAlignment="1">
      <alignment horizontal="left" indent="1"/>
    </xf>
    <xf numFmtId="0" fontId="30" fillId="0" borderId="0" xfId="0" applyFont="1" applyAlignment="1">
      <alignment horizontal="left" indent="1"/>
    </xf>
    <xf numFmtId="180" fontId="30" fillId="0" borderId="0" xfId="0" applyNumberFormat="1" applyFont="1"/>
    <xf numFmtId="169" fontId="30" fillId="0" borderId="0" xfId="2" applyNumberFormat="1" applyFont="1" applyBorder="1" applyAlignment="1">
      <alignment horizontal="center"/>
    </xf>
    <xf numFmtId="178" fontId="30" fillId="0" borderId="2" xfId="0" applyNumberFormat="1" applyFont="1" applyBorder="1"/>
    <xf numFmtId="41" fontId="32" fillId="6" borderId="0" xfId="0" applyNumberFormat="1" applyFont="1" applyFill="1"/>
    <xf numFmtId="166" fontId="41" fillId="0" borderId="0" xfId="2" applyNumberFormat="1" applyFont="1" applyBorder="1"/>
    <xf numFmtId="41" fontId="30" fillId="0" borderId="0" xfId="0" applyNumberFormat="1" applyFont="1" applyFill="1" applyBorder="1"/>
    <xf numFmtId="178" fontId="30" fillId="0" borderId="0" xfId="0" applyNumberFormat="1" applyFont="1" applyFill="1" applyBorder="1"/>
    <xf numFmtId="178" fontId="32" fillId="6" borderId="0" xfId="2" applyNumberFormat="1" applyFont="1" applyFill="1" applyBorder="1"/>
    <xf numFmtId="44" fontId="32" fillId="10" borderId="9" xfId="2" applyNumberFormat="1" applyFont="1" applyFill="1" applyBorder="1"/>
    <xf numFmtId="166" fontId="32" fillId="10" borderId="12" xfId="2" applyNumberFormat="1" applyFont="1" applyFill="1" applyBorder="1"/>
    <xf numFmtId="0" fontId="30" fillId="0" borderId="1" xfId="2" applyFont="1" applyFill="1" applyBorder="1"/>
    <xf numFmtId="0" fontId="30" fillId="0" borderId="0" xfId="2" applyFont="1" applyFill="1" applyBorder="1"/>
    <xf numFmtId="174" fontId="30" fillId="0" borderId="1" xfId="2" applyNumberFormat="1" applyFont="1" applyFill="1" applyBorder="1" applyAlignment="1"/>
    <xf numFmtId="177" fontId="30" fillId="0" borderId="1" xfId="2" applyNumberFormat="1" applyFont="1" applyFill="1" applyBorder="1"/>
    <xf numFmtId="171" fontId="30" fillId="0" borderId="1" xfId="2" applyNumberFormat="1" applyFont="1" applyFill="1" applyBorder="1"/>
    <xf numFmtId="165" fontId="30" fillId="0" borderId="1" xfId="2" applyNumberFormat="1" applyFont="1" applyFill="1" applyBorder="1"/>
    <xf numFmtId="43" fontId="30" fillId="0" borderId="1" xfId="2" applyNumberFormat="1" applyFont="1" applyFill="1" applyBorder="1"/>
    <xf numFmtId="174" fontId="30" fillId="0" borderId="0" xfId="2" applyNumberFormat="1" applyFont="1" applyFill="1" applyBorder="1" applyAlignment="1"/>
    <xf numFmtId="178" fontId="30" fillId="0" borderId="0" xfId="2" applyNumberFormat="1" applyFont="1" applyFill="1" applyBorder="1"/>
    <xf numFmtId="171" fontId="30" fillId="0" borderId="0" xfId="2" applyNumberFormat="1" applyFont="1" applyFill="1" applyBorder="1"/>
    <xf numFmtId="165" fontId="30" fillId="0" borderId="0" xfId="2" applyNumberFormat="1" applyFont="1" applyFill="1" applyBorder="1"/>
    <xf numFmtId="43" fontId="30" fillId="0" borderId="0" xfId="2" applyNumberFormat="1" applyFont="1" applyFill="1" applyBorder="1"/>
    <xf numFmtId="0" fontId="42" fillId="0" borderId="0" xfId="0" applyFont="1" applyAlignment="1"/>
    <xf numFmtId="168" fontId="42" fillId="0" borderId="0" xfId="0" applyNumberFormat="1" applyFont="1" applyFill="1" applyBorder="1" applyAlignment="1"/>
    <xf numFmtId="172" fontId="42" fillId="0" borderId="0" xfId="0" applyNumberFormat="1" applyFont="1" applyFill="1" applyBorder="1" applyAlignment="1"/>
    <xf numFmtId="0" fontId="29" fillId="6" borderId="2" xfId="2" applyFont="1" applyFill="1" applyBorder="1" applyAlignment="1">
      <alignment horizontal="left"/>
    </xf>
    <xf numFmtId="177" fontId="29" fillId="6" borderId="2" xfId="0" applyNumberFormat="1" applyFont="1" applyFill="1" applyBorder="1"/>
    <xf numFmtId="171" fontId="40" fillId="2" borderId="3" xfId="1" applyNumberFormat="1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41" fillId="0" borderId="2" xfId="0" applyNumberFormat="1" applyFont="1" applyBorder="1" applyAlignment="1">
      <alignment horizontal="center"/>
    </xf>
    <xf numFmtId="0" fontId="32" fillId="0" borderId="1" xfId="0" applyFont="1" applyBorder="1"/>
    <xf numFmtId="0" fontId="41" fillId="0" borderId="0" xfId="0" applyFont="1" applyBorder="1" applyAlignment="1">
      <alignment horizontal="left" indent="1"/>
    </xf>
    <xf numFmtId="41" fontId="32" fillId="0" borderId="1" xfId="0" applyNumberFormat="1" applyFont="1" applyBorder="1"/>
    <xf numFmtId="177" fontId="30" fillId="0" borderId="0" xfId="0" applyNumberFormat="1" applyFont="1"/>
    <xf numFmtId="170" fontId="30" fillId="0" borderId="0" xfId="2" applyNumberFormat="1" applyFont="1" applyAlignment="1">
      <alignment horizontal="center"/>
    </xf>
    <xf numFmtId="173" fontId="30" fillId="2" borderId="7" xfId="0" applyNumberFormat="1" applyFont="1" applyFill="1" applyBorder="1" applyAlignment="1">
      <alignment horizontal="center"/>
    </xf>
    <xf numFmtId="0" fontId="44" fillId="0" borderId="0" xfId="0" applyFont="1" applyFill="1"/>
    <xf numFmtId="0" fontId="3" fillId="0" borderId="20" xfId="0" applyFont="1" applyBorder="1" applyAlignment="1"/>
    <xf numFmtId="0" fontId="3" fillId="0" borderId="20" xfId="0" applyFont="1" applyBorder="1"/>
    <xf numFmtId="42" fontId="29" fillId="6" borderId="1" xfId="2" applyNumberFormat="1" applyFont="1" applyFill="1" applyBorder="1"/>
    <xf numFmtId="41" fontId="23" fillId="0" borderId="2" xfId="0" applyNumberFormat="1" applyFont="1" applyBorder="1"/>
    <xf numFmtId="171" fontId="24" fillId="2" borderId="3" xfId="1" applyNumberFormat="1" applyFont="1" applyAlignment="1">
      <alignment horizontal="center"/>
    </xf>
    <xf numFmtId="37" fontId="26" fillId="0" borderId="0" xfId="0" applyNumberFormat="1" applyFont="1" applyBorder="1" applyAlignment="1"/>
    <xf numFmtId="43" fontId="24" fillId="2" borderId="3" xfId="1" applyNumberFormat="1" applyFont="1" applyAlignment="1">
      <alignment horizontal="center"/>
    </xf>
    <xf numFmtId="41" fontId="26" fillId="0" borderId="0" xfId="0" applyNumberFormat="1" applyFont="1" applyBorder="1" applyAlignment="1"/>
    <xf numFmtId="0" fontId="26" fillId="0" borderId="0" xfId="2" applyFont="1" applyAlignment="1">
      <alignment horizontal="left"/>
    </xf>
    <xf numFmtId="3" fontId="26" fillId="0" borderId="21" xfId="1" applyNumberFormat="1" applyFont="1" applyFill="1" applyBorder="1" applyAlignment="1">
      <alignment horizontal="center"/>
    </xf>
    <xf numFmtId="3" fontId="26" fillId="0" borderId="0" xfId="1" applyNumberFormat="1" applyFont="1" applyFill="1" applyBorder="1" applyAlignment="1">
      <alignment horizontal="center"/>
    </xf>
    <xf numFmtId="178" fontId="30" fillId="0" borderId="2" xfId="0" applyNumberFormat="1" applyFont="1" applyFill="1" applyBorder="1"/>
    <xf numFmtId="182" fontId="23" fillId="0" borderId="0" xfId="0" applyNumberFormat="1" applyFont="1" applyFill="1" applyBorder="1"/>
    <xf numFmtId="182" fontId="26" fillId="0" borderId="0" xfId="0" applyNumberFormat="1" applyFont="1" applyFill="1" applyBorder="1"/>
    <xf numFmtId="178" fontId="23" fillId="0" borderId="0" xfId="0" applyNumberFormat="1" applyFont="1" applyFill="1" applyBorder="1"/>
    <xf numFmtId="44" fontId="34" fillId="0" borderId="1" xfId="0" applyNumberFormat="1" applyFont="1" applyBorder="1" applyAlignment="1"/>
    <xf numFmtId="43" fontId="34" fillId="0" borderId="0" xfId="0" applyNumberFormat="1" applyFont="1" applyBorder="1" applyAlignment="1"/>
    <xf numFmtId="43" fontId="34" fillId="0" borderId="10" xfId="0" applyNumberFormat="1" applyFont="1" applyBorder="1" applyAlignment="1"/>
    <xf numFmtId="43" fontId="18" fillId="0" borderId="0" xfId="0" applyNumberFormat="1" applyFont="1" applyBorder="1" applyAlignment="1"/>
    <xf numFmtId="43" fontId="18" fillId="0" borderId="0" xfId="0" applyNumberFormat="1" applyFont="1" applyAlignment="1"/>
    <xf numFmtId="0" fontId="30" fillId="0" borderId="0" xfId="2" applyNumberFormat="1" applyFont="1" applyFill="1"/>
    <xf numFmtId="0" fontId="30" fillId="0" borderId="0" xfId="2" applyFont="1" applyFill="1"/>
    <xf numFmtId="174" fontId="40" fillId="0" borderId="0" xfId="0" applyNumberFormat="1" applyFont="1" applyFill="1" applyBorder="1"/>
    <xf numFmtId="177" fontId="40" fillId="0" borderId="0" xfId="0" applyNumberFormat="1" applyFont="1" applyFill="1" applyBorder="1"/>
    <xf numFmtId="171" fontId="40" fillId="0" borderId="0" xfId="0" applyNumberFormat="1" applyFont="1" applyFill="1" applyBorder="1"/>
    <xf numFmtId="175" fontId="40" fillId="0" borderId="0" xfId="0" applyNumberFormat="1" applyFont="1" applyFill="1" applyBorder="1"/>
    <xf numFmtId="178" fontId="40" fillId="0" borderId="0" xfId="0" applyNumberFormat="1" applyFont="1" applyFill="1" applyBorder="1"/>
    <xf numFmtId="169" fontId="23" fillId="2" borderId="7" xfId="0" applyNumberFormat="1" applyFont="1" applyFill="1" applyBorder="1" applyAlignment="1">
      <alignment horizontal="center"/>
    </xf>
    <xf numFmtId="44" fontId="18" fillId="0" borderId="1" xfId="0" applyNumberFormat="1" applyFont="1" applyBorder="1" applyAlignment="1"/>
    <xf numFmtId="169" fontId="16" fillId="11" borderId="2" xfId="0" applyNumberFormat="1" applyFont="1" applyFill="1" applyBorder="1" applyAlignment="1">
      <alignment horizontal="center"/>
    </xf>
    <xf numFmtId="169" fontId="16" fillId="11" borderId="5" xfId="0" applyNumberFormat="1" applyFont="1" applyFill="1" applyBorder="1" applyAlignment="1">
      <alignment horizontal="center"/>
    </xf>
    <xf numFmtId="169" fontId="16" fillId="11" borderId="14" xfId="0" applyNumberFormat="1" applyFont="1" applyFill="1" applyBorder="1" applyAlignment="1">
      <alignment horizontal="center"/>
    </xf>
    <xf numFmtId="0" fontId="45" fillId="0" borderId="0" xfId="0" applyNumberFormat="1" applyFont="1" applyAlignment="1">
      <alignment horizontal="left" indent="2"/>
    </xf>
    <xf numFmtId="171" fontId="20" fillId="0" borderId="0" xfId="0" applyNumberFormat="1" applyFont="1" applyBorder="1" applyAlignment="1"/>
    <xf numFmtId="0" fontId="20" fillId="0" borderId="0" xfId="0" applyNumberFormat="1" applyFont="1" applyBorder="1" applyAlignment="1">
      <alignment horizontal="left" indent="1"/>
    </xf>
    <xf numFmtId="0" fontId="45" fillId="0" borderId="0" xfId="0" applyNumberFormat="1" applyFont="1" applyAlignment="1">
      <alignment horizontal="left" indent="1"/>
    </xf>
    <xf numFmtId="0" fontId="20" fillId="0" borderId="0" xfId="0" applyNumberFormat="1" applyFont="1" applyAlignment="1">
      <alignment horizontal="center"/>
    </xf>
    <xf numFmtId="10" fontId="35" fillId="0" borderId="0" xfId="0" applyNumberFormat="1" applyFont="1"/>
    <xf numFmtId="0" fontId="16" fillId="8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7">
    <cellStyle name="Normal" xfId="0" builtinId="0" customBuiltin="1"/>
    <cellStyle name="Normal 2" xfId="2" xr:uid="{00000000-0005-0000-0000-000002000000}"/>
    <cellStyle name="Normal 2 2 2" xfId="16" xr:uid="{00000000-0005-0000-0000-000003000000}"/>
    <cellStyle name="Normal 3" xfId="3" xr:uid="{00000000-0005-0000-0000-000004000000}"/>
    <cellStyle name="Normal 3 2" xfId="7" xr:uid="{00000000-0005-0000-0000-000005000000}"/>
    <cellStyle name="Normal 3 2 2" xfId="13" xr:uid="{00000000-0005-0000-0000-000006000000}"/>
    <cellStyle name="Normal 3 3" xfId="9" xr:uid="{00000000-0005-0000-0000-000007000000}"/>
    <cellStyle name="Normal 3 3 2" xfId="15" xr:uid="{00000000-0005-0000-0000-000008000000}"/>
    <cellStyle name="Normal 3 4" xfId="10" xr:uid="{00000000-0005-0000-0000-000009000000}"/>
    <cellStyle name="Normal 4" xfId="4" xr:uid="{00000000-0005-0000-0000-00000A000000}"/>
    <cellStyle name="Normal 4 2" xfId="8" xr:uid="{00000000-0005-0000-0000-00000B000000}"/>
    <cellStyle name="Normal 4 2 2" xfId="14" xr:uid="{00000000-0005-0000-0000-00000C000000}"/>
    <cellStyle name="Normal 4 3" xfId="12" xr:uid="{00000000-0005-0000-0000-00000D000000}"/>
    <cellStyle name="Normal 5" xfId="6" xr:uid="{00000000-0005-0000-0000-00000E000000}"/>
    <cellStyle name="Normal 5 2" xfId="11" xr:uid="{00000000-0005-0000-0000-00000F000000}"/>
    <cellStyle name="Note" xfId="1" builtinId="10" customBuiltin="1"/>
    <cellStyle name="TextNormal" xfId="5" xr:uid="{00000000-0005-0000-0000-000011000000}"/>
  </cellStyles>
  <dxfs count="0"/>
  <tableStyles count="0" defaultTableStyle="TableStyleMedium2" defaultPivotStyle="PivotStyleLight16"/>
  <colors>
    <mruColors>
      <color rgb="FFFFFF99"/>
      <color rgb="FF0000FF"/>
      <color rgb="FFD9D9D9"/>
      <color rgb="FFB2B2B2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DB534-97D7-4BAD-8614-1BF30EE07CAB}">
  <sheetPr codeName="Sheet4">
    <pageSetUpPr autoPageBreaks="0"/>
  </sheetPr>
  <dimension ref="A1:R133"/>
  <sheetViews>
    <sheetView showGridLines="0" tabSelected="1" zoomScaleNormal="100" workbookViewId="0">
      <selection activeCell="B2" sqref="B2"/>
    </sheetView>
  </sheetViews>
  <sheetFormatPr defaultColWidth="8.85546875" defaultRowHeight="15.75" outlineLevelRow="2" outlineLevelCol="1" x14ac:dyDescent="0.25"/>
  <cols>
    <col min="1" max="2" width="2.7109375" style="2" customWidth="1"/>
    <col min="3" max="3" width="47.7109375" style="2" bestFit="1" customWidth="1"/>
    <col min="4" max="4" width="12.7109375" style="3" customWidth="1"/>
    <col min="5" max="6" width="12.7109375" style="3" customWidth="1" outlineLevel="1"/>
    <col min="7" max="7" width="12.7109375" style="4" customWidth="1" outlineLevel="1"/>
    <col min="8" max="13" width="12.7109375" style="4" customWidth="1"/>
    <col min="14" max="19" width="12.7109375" style="2" customWidth="1"/>
    <col min="20" max="21" width="2.7109375" style="2" customWidth="1"/>
    <col min="22" max="16384" width="8.85546875" style="2"/>
  </cols>
  <sheetData>
    <row r="1" spans="2:18" ht="15.75" customHeight="1" x14ac:dyDescent="0.25"/>
    <row r="2" spans="2:18" ht="15.75" customHeight="1" x14ac:dyDescent="0.3">
      <c r="B2" s="1" t="str">
        <f>Company_Name&amp;" - Discounted Cash Flow Analysis"</f>
        <v>Walmart Inc. - Discounted Cash Flow Analysis</v>
      </c>
    </row>
    <row r="3" spans="2:18" ht="15.75" customHeight="1" x14ac:dyDescent="0.25">
      <c r="B3" s="2" t="s">
        <v>1</v>
      </c>
      <c r="G3" s="215"/>
      <c r="H3" s="216"/>
      <c r="I3" s="217"/>
    </row>
    <row r="4" spans="2:18" ht="15.75" customHeight="1" x14ac:dyDescent="0.25"/>
    <row r="5" spans="2:18" ht="15.75" customHeight="1" x14ac:dyDescent="0.25">
      <c r="B5" s="91"/>
      <c r="C5" s="91"/>
      <c r="D5" s="92"/>
      <c r="E5" s="92"/>
      <c r="F5" s="92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2:18" ht="15.75" customHeight="1" x14ac:dyDescent="0.25">
      <c r="B6" s="94" t="s">
        <v>90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2:18" ht="15.75" customHeight="1" outlineLevel="1" x14ac:dyDescent="0.25">
      <c r="D7" s="6"/>
      <c r="E7" s="68"/>
    </row>
    <row r="8" spans="2:18" ht="15.75" customHeight="1" outlineLevel="1" x14ac:dyDescent="0.25">
      <c r="C8" s="167" t="s">
        <v>0</v>
      </c>
      <c r="D8" s="163" t="s">
        <v>70</v>
      </c>
      <c r="E8" s="68"/>
      <c r="F8" s="73" t="s">
        <v>93</v>
      </c>
      <c r="G8" s="100"/>
      <c r="H8" s="100"/>
      <c r="I8" s="100"/>
      <c r="J8" s="15"/>
      <c r="K8" s="73" t="s">
        <v>94</v>
      </c>
      <c r="L8" s="100"/>
      <c r="M8" s="100"/>
      <c r="N8" s="100"/>
    </row>
    <row r="9" spans="2:18" ht="15.75" customHeight="1" outlineLevel="1" x14ac:dyDescent="0.25">
      <c r="C9" s="167" t="s">
        <v>11</v>
      </c>
      <c r="D9" s="163" t="s">
        <v>71</v>
      </c>
      <c r="E9" s="68"/>
      <c r="F9" s="15"/>
      <c r="G9" s="15"/>
      <c r="H9" s="15"/>
      <c r="I9" s="15"/>
      <c r="J9" s="15"/>
      <c r="K9" s="15"/>
      <c r="L9" s="15"/>
      <c r="M9" s="15"/>
      <c r="N9" s="15"/>
    </row>
    <row r="10" spans="2:18" ht="15.75" customHeight="1" outlineLevel="1" x14ac:dyDescent="0.25">
      <c r="C10" s="167" t="s">
        <v>51</v>
      </c>
      <c r="D10" s="165">
        <v>139.43</v>
      </c>
      <c r="E10" s="44"/>
      <c r="F10" s="186" t="s">
        <v>130</v>
      </c>
      <c r="G10" s="176"/>
      <c r="H10" s="176"/>
      <c r="I10" s="101">
        <v>13</v>
      </c>
      <c r="J10" s="15"/>
      <c r="K10" s="186" t="s">
        <v>95</v>
      </c>
      <c r="L10" s="15"/>
      <c r="M10" s="15"/>
      <c r="N10" s="257">
        <v>1.4999999999999999E-2</v>
      </c>
    </row>
    <row r="11" spans="2:18" ht="15.75" customHeight="1" outlineLevel="1" x14ac:dyDescent="0.25">
      <c r="E11" s="44"/>
      <c r="F11" s="187" t="s">
        <v>96</v>
      </c>
      <c r="G11" s="177"/>
      <c r="H11" s="178"/>
      <c r="I11" s="101">
        <v>12.330726169286628</v>
      </c>
      <c r="J11" s="15"/>
      <c r="K11" s="187" t="s">
        <v>97</v>
      </c>
      <c r="L11" s="14"/>
      <c r="M11" s="102"/>
      <c r="N11" s="257">
        <v>0</v>
      </c>
    </row>
    <row r="12" spans="2:18" ht="15.75" customHeight="1" outlineLevel="1" x14ac:dyDescent="0.25">
      <c r="C12" s="187" t="s">
        <v>88</v>
      </c>
      <c r="D12" s="126">
        <f>WACC</f>
        <v>4.3748865328535481E-2</v>
      </c>
      <c r="E12" s="99"/>
      <c r="I12" s="230"/>
      <c r="J12" s="15"/>
      <c r="N12" s="231"/>
    </row>
    <row r="13" spans="2:18" ht="15.75" customHeight="1" outlineLevel="1" x14ac:dyDescent="0.25">
      <c r="C13" s="167" t="s">
        <v>6</v>
      </c>
      <c r="D13" s="220">
        <f>AVERAGE(6858/20564,4915/20116,4281/11460)</f>
        <v>0.31712950256223044</v>
      </c>
      <c r="E13" s="99"/>
      <c r="F13" s="187" t="s">
        <v>98</v>
      </c>
      <c r="G13" s="176"/>
      <c r="H13" s="176"/>
      <c r="I13" s="193">
        <f>I11*Q101</f>
        <v>556978.80995429435</v>
      </c>
      <c r="J13" s="15"/>
      <c r="K13" s="187" t="s">
        <v>98</v>
      </c>
      <c r="L13" s="14"/>
      <c r="M13" s="14"/>
      <c r="N13" s="226">
        <f>Q95*(1+N11)/(Discount_Rate-N11)</f>
        <v>556978.80995429435</v>
      </c>
    </row>
    <row r="14" spans="2:18" ht="15.75" customHeight="1" outlineLevel="1" x14ac:dyDescent="0.25">
      <c r="C14" s="168" t="s">
        <v>13</v>
      </c>
      <c r="D14" s="166">
        <v>44227</v>
      </c>
      <c r="E14" s="99"/>
      <c r="F14" s="187" t="s">
        <v>99</v>
      </c>
      <c r="G14" s="177"/>
      <c r="H14" s="178"/>
      <c r="I14" s="194">
        <f>(I13*Discount_Rate-Q95)/(I13+Q95)</f>
        <v>0</v>
      </c>
      <c r="J14" s="15"/>
      <c r="K14" s="187" t="s">
        <v>100</v>
      </c>
      <c r="L14" s="15"/>
      <c r="M14" s="15"/>
      <c r="N14" s="227">
        <f>N13/Q101</f>
        <v>12.330726169286628</v>
      </c>
    </row>
    <row r="15" spans="2:18" ht="15.75" customHeight="1" outlineLevel="1" x14ac:dyDescent="0.25">
      <c r="E15" s="99"/>
      <c r="F15" s="176"/>
      <c r="G15" s="176"/>
      <c r="H15" s="176"/>
      <c r="I15" s="176"/>
      <c r="J15" s="15"/>
      <c r="K15" s="15"/>
      <c r="L15" s="15"/>
      <c r="M15" s="15"/>
      <c r="N15" s="15"/>
    </row>
    <row r="16" spans="2:18" ht="15.75" customHeight="1" outlineLevel="1" x14ac:dyDescent="0.25">
      <c r="C16" s="218" t="s">
        <v>91</v>
      </c>
      <c r="D16" s="219">
        <f>+I32*Share_Price</f>
        <v>396957.21</v>
      </c>
      <c r="E16" s="99"/>
      <c r="F16" s="188" t="s">
        <v>101</v>
      </c>
      <c r="G16" s="177"/>
      <c r="H16" s="177"/>
      <c r="I16" s="150">
        <f>I13/((1+Discount_Rate)^$Q$98)</f>
        <v>362976.50052154285</v>
      </c>
      <c r="J16" s="15"/>
      <c r="K16" s="188" t="str">
        <f>+F16</f>
        <v>(+) PV of Terminal Value:</v>
      </c>
      <c r="L16" s="14"/>
      <c r="M16" s="14"/>
      <c r="N16" s="150">
        <f>N13/((1+Discount_Rate)^$Q$98)</f>
        <v>362976.50052154285</v>
      </c>
    </row>
    <row r="17" spans="3:14" ht="15.75" customHeight="1" outlineLevel="1" x14ac:dyDescent="0.25">
      <c r="C17" s="191" t="s">
        <v>54</v>
      </c>
      <c r="D17" s="244">
        <v>-17741</v>
      </c>
      <c r="E17" s="99"/>
      <c r="F17" s="189" t="s">
        <v>102</v>
      </c>
      <c r="G17" s="179"/>
      <c r="H17" s="179"/>
      <c r="I17" s="195">
        <f>SUM($H$99:$Q$99)</f>
        <v>175597.21672976759</v>
      </c>
      <c r="J17" s="15"/>
      <c r="K17" s="189" t="str">
        <f t="shared" ref="K17:K18" si="0">+F17</f>
        <v>(+) Sum of PV of Free Cash Flows:</v>
      </c>
      <c r="L17" s="16"/>
      <c r="M17" s="16"/>
      <c r="N17" s="195">
        <f>SUM($H$99:$Q$99)</f>
        <v>175597.21672976759</v>
      </c>
    </row>
    <row r="18" spans="3:14" ht="15.75" customHeight="1" outlineLevel="1" x14ac:dyDescent="0.25">
      <c r="C18" s="192" t="s">
        <v>55</v>
      </c>
      <c r="D18" s="244">
        <v>-14400</v>
      </c>
      <c r="E18" s="99"/>
      <c r="F18" s="103" t="s">
        <v>20</v>
      </c>
      <c r="G18" s="180"/>
      <c r="H18" s="180"/>
      <c r="I18" s="196">
        <f>SUM(I16:I17)</f>
        <v>538573.71725131047</v>
      </c>
      <c r="J18" s="15"/>
      <c r="K18" s="103" t="str">
        <f t="shared" si="0"/>
        <v>Implied Enterprise Value:</v>
      </c>
      <c r="L18" s="104"/>
      <c r="M18" s="104"/>
      <c r="N18" s="122">
        <f>SUM(N16:N17)</f>
        <v>538573.71725131047</v>
      </c>
    </row>
    <row r="19" spans="3:14" ht="15.75" customHeight="1" outlineLevel="1" x14ac:dyDescent="0.25">
      <c r="C19" s="192" t="s">
        <v>56</v>
      </c>
      <c r="D19" s="244">
        <v>0</v>
      </c>
      <c r="E19" s="99"/>
      <c r="F19" s="176"/>
      <c r="G19" s="176"/>
      <c r="H19" s="176"/>
      <c r="I19" s="176"/>
      <c r="J19" s="15"/>
      <c r="K19" s="15"/>
      <c r="L19" s="15"/>
      <c r="M19" s="15"/>
      <c r="N19" s="15"/>
    </row>
    <row r="20" spans="3:14" ht="15.75" customHeight="1" outlineLevel="1" x14ac:dyDescent="0.25">
      <c r="C20" s="192" t="s">
        <v>57</v>
      </c>
      <c r="D20" s="244">
        <v>-9179</v>
      </c>
      <c r="E20" s="99"/>
      <c r="F20" s="190" t="s">
        <v>131</v>
      </c>
      <c r="G20" s="176"/>
      <c r="H20" s="176"/>
      <c r="I20" s="197">
        <f>+I16/I18</f>
        <v>0.67395880804218666</v>
      </c>
      <c r="J20" s="15"/>
      <c r="K20" s="105" t="str">
        <f>+F20</f>
        <v>% of Implied TEV from Terminal Value:</v>
      </c>
      <c r="L20" s="15"/>
      <c r="M20" s="15"/>
      <c r="N20" s="89">
        <f>+N16/N18</f>
        <v>0.67395880804218666</v>
      </c>
    </row>
    <row r="21" spans="3:14" ht="15.75" customHeight="1" outlineLevel="1" x14ac:dyDescent="0.25">
      <c r="C21" s="192" t="s">
        <v>129</v>
      </c>
      <c r="D21" s="244">
        <f>3115+491+41194+3847</f>
        <v>48647</v>
      </c>
      <c r="E21" s="99"/>
      <c r="F21" s="176"/>
      <c r="G21" s="176"/>
      <c r="H21" s="176"/>
      <c r="I21" s="176"/>
      <c r="J21" s="15"/>
      <c r="K21" s="15"/>
      <c r="L21" s="15"/>
      <c r="M21" s="15"/>
      <c r="N21" s="15"/>
    </row>
    <row r="22" spans="3:14" ht="15.75" customHeight="1" outlineLevel="1" x14ac:dyDescent="0.25">
      <c r="C22" s="192" t="s">
        <v>58</v>
      </c>
      <c r="D22" s="244">
        <v>0</v>
      </c>
      <c r="E22" s="99"/>
      <c r="F22" s="191" t="s">
        <v>62</v>
      </c>
      <c r="G22" s="176"/>
      <c r="H22" s="176"/>
      <c r="I22" s="198">
        <f t="shared" ref="I22:I29" si="1">-D17</f>
        <v>17741</v>
      </c>
      <c r="J22" s="15"/>
      <c r="K22" s="17" t="s">
        <v>62</v>
      </c>
      <c r="L22" s="15"/>
      <c r="M22" s="15"/>
      <c r="N22" s="112">
        <f>+I22</f>
        <v>17741</v>
      </c>
    </row>
    <row r="23" spans="3:14" ht="15.75" customHeight="1" outlineLevel="1" x14ac:dyDescent="0.25">
      <c r="C23" s="192" t="s">
        <v>59</v>
      </c>
      <c r="D23" s="244">
        <v>6606</v>
      </c>
      <c r="E23" s="99"/>
      <c r="F23" s="192" t="s">
        <v>63</v>
      </c>
      <c r="G23" s="181"/>
      <c r="H23" s="181"/>
      <c r="I23" s="199">
        <f t="shared" si="1"/>
        <v>14400</v>
      </c>
      <c r="J23" s="15"/>
      <c r="K23" s="75" t="s">
        <v>63</v>
      </c>
      <c r="L23" s="80"/>
      <c r="M23" s="80"/>
      <c r="N23" s="112">
        <f t="shared" ref="N23:N29" si="2">+I23</f>
        <v>14400</v>
      </c>
    </row>
    <row r="24" spans="3:14" ht="15.75" customHeight="1" outlineLevel="1" x14ac:dyDescent="0.25">
      <c r="C24" s="192" t="s">
        <v>60</v>
      </c>
      <c r="D24" s="244">
        <v>0</v>
      </c>
      <c r="E24" s="99"/>
      <c r="F24" s="192" t="s">
        <v>64</v>
      </c>
      <c r="G24" s="181"/>
      <c r="H24" s="181"/>
      <c r="I24" s="199">
        <f t="shared" si="1"/>
        <v>0</v>
      </c>
      <c r="J24" s="15"/>
      <c r="K24" s="75" t="s">
        <v>64</v>
      </c>
      <c r="L24" s="80"/>
      <c r="M24" s="80"/>
      <c r="N24" s="112">
        <f t="shared" si="2"/>
        <v>0</v>
      </c>
    </row>
    <row r="25" spans="3:14" ht="15.75" customHeight="1" outlineLevel="1" x14ac:dyDescent="0.25">
      <c r="C25" s="97" t="s">
        <v>92</v>
      </c>
      <c r="D25" s="232">
        <f>SUM(D16:D24)</f>
        <v>410890.21</v>
      </c>
      <c r="E25" s="44"/>
      <c r="F25" s="192" t="s">
        <v>65</v>
      </c>
      <c r="G25" s="181"/>
      <c r="H25" s="181"/>
      <c r="I25" s="199">
        <f t="shared" si="1"/>
        <v>9179</v>
      </c>
      <c r="J25" s="15"/>
      <c r="K25" s="75" t="s">
        <v>65</v>
      </c>
      <c r="L25" s="80"/>
      <c r="M25" s="80"/>
      <c r="N25" s="112">
        <f t="shared" si="2"/>
        <v>9179</v>
      </c>
    </row>
    <row r="26" spans="3:14" ht="15.75" customHeight="1" outlineLevel="1" x14ac:dyDescent="0.25">
      <c r="E26" s="68"/>
      <c r="F26" s="192" t="s">
        <v>116</v>
      </c>
      <c r="G26" s="181"/>
      <c r="H26" s="181"/>
      <c r="I26" s="199">
        <f t="shared" si="1"/>
        <v>-48647</v>
      </c>
      <c r="J26" s="15"/>
      <c r="K26" s="75" t="s">
        <v>103</v>
      </c>
      <c r="L26" s="80"/>
      <c r="M26" s="80"/>
      <c r="N26" s="112">
        <f t="shared" si="2"/>
        <v>-48647</v>
      </c>
    </row>
    <row r="27" spans="3:14" ht="15.75" customHeight="1" outlineLevel="1" x14ac:dyDescent="0.25">
      <c r="E27" s="68"/>
      <c r="F27" s="192" t="s">
        <v>66</v>
      </c>
      <c r="G27" s="181"/>
      <c r="H27" s="181"/>
      <c r="I27" s="199">
        <f t="shared" si="1"/>
        <v>0</v>
      </c>
      <c r="J27" s="15"/>
      <c r="K27" s="75" t="s">
        <v>66</v>
      </c>
      <c r="L27" s="80"/>
      <c r="M27" s="80"/>
      <c r="N27" s="112">
        <f t="shared" si="2"/>
        <v>0</v>
      </c>
    </row>
    <row r="28" spans="3:14" ht="15.75" customHeight="1" outlineLevel="1" x14ac:dyDescent="0.25">
      <c r="D28" s="2"/>
      <c r="E28" s="68"/>
      <c r="F28" s="192" t="s">
        <v>67</v>
      </c>
      <c r="G28" s="181"/>
      <c r="H28" s="181"/>
      <c r="I28" s="199">
        <f t="shared" si="1"/>
        <v>-6606</v>
      </c>
      <c r="J28" s="15"/>
      <c r="K28" s="75" t="s">
        <v>67</v>
      </c>
      <c r="L28" s="80"/>
      <c r="M28" s="80"/>
      <c r="N28" s="112">
        <f t="shared" si="2"/>
        <v>-6606</v>
      </c>
    </row>
    <row r="29" spans="3:14" ht="15.75" customHeight="1" outlineLevel="1" x14ac:dyDescent="0.25">
      <c r="D29" s="2"/>
      <c r="E29" s="68"/>
      <c r="F29" s="192" t="s">
        <v>68</v>
      </c>
      <c r="G29" s="181"/>
      <c r="H29" s="181"/>
      <c r="I29" s="241">
        <f t="shared" si="1"/>
        <v>0</v>
      </c>
      <c r="J29" s="15"/>
      <c r="K29" s="75" t="s">
        <v>68</v>
      </c>
      <c r="L29" s="80"/>
      <c r="M29" s="80"/>
      <c r="N29" s="113">
        <f t="shared" si="2"/>
        <v>0</v>
      </c>
    </row>
    <row r="30" spans="3:14" ht="15.75" customHeight="1" outlineLevel="1" x14ac:dyDescent="0.25">
      <c r="D30" s="2"/>
      <c r="E30" s="68"/>
      <c r="F30" s="97" t="s">
        <v>21</v>
      </c>
      <c r="G30" s="182"/>
      <c r="H30" s="182"/>
      <c r="I30" s="200">
        <f>I18+SUM(I22:I29)</f>
        <v>524640.71725131047</v>
      </c>
      <c r="J30" s="15"/>
      <c r="K30" s="97" t="s">
        <v>21</v>
      </c>
      <c r="L30" s="98"/>
      <c r="M30" s="98"/>
      <c r="N30" s="200">
        <f>N18+SUM(N22:N29)</f>
        <v>524640.71725131047</v>
      </c>
    </row>
    <row r="31" spans="3:14" ht="15.75" customHeight="1" outlineLevel="1" x14ac:dyDescent="0.25">
      <c r="D31" s="2"/>
      <c r="E31" s="68"/>
      <c r="F31" s="176"/>
      <c r="G31" s="176"/>
      <c r="H31" s="176"/>
      <c r="I31" s="176"/>
      <c r="J31" s="15"/>
      <c r="K31" s="15"/>
      <c r="L31" s="15"/>
      <c r="M31" s="15"/>
      <c r="N31" s="15"/>
    </row>
    <row r="32" spans="3:14" ht="15.75" customHeight="1" outlineLevel="1" x14ac:dyDescent="0.25">
      <c r="D32" s="2"/>
      <c r="E32" s="68"/>
      <c r="F32" s="186" t="s">
        <v>22</v>
      </c>
      <c r="G32" s="176"/>
      <c r="H32" s="176"/>
      <c r="I32" s="242">
        <v>2847</v>
      </c>
      <c r="J32" s="15"/>
      <c r="K32" s="15" t="s">
        <v>22</v>
      </c>
      <c r="L32" s="15"/>
      <c r="M32" s="15"/>
      <c r="N32" s="243">
        <f>I32</f>
        <v>2847</v>
      </c>
    </row>
    <row r="33" spans="1:17" ht="15.75" customHeight="1" outlineLevel="1" x14ac:dyDescent="0.25">
      <c r="D33" s="2"/>
      <c r="E33" s="68"/>
      <c r="F33" s="176"/>
      <c r="G33" s="176"/>
      <c r="H33" s="183"/>
      <c r="I33" s="183"/>
      <c r="J33" s="15"/>
      <c r="K33" s="15"/>
      <c r="L33" s="15"/>
      <c r="M33" s="15"/>
      <c r="N33" s="15"/>
    </row>
    <row r="34" spans="1:17" ht="15.75" customHeight="1" outlineLevel="1" x14ac:dyDescent="0.25">
      <c r="C34" s="14"/>
      <c r="D34" s="96"/>
      <c r="E34" s="68"/>
      <c r="F34" s="106" t="s">
        <v>104</v>
      </c>
      <c r="G34" s="184"/>
      <c r="H34" s="184"/>
      <c r="I34" s="201">
        <f>+I30/I32</f>
        <v>184.27843949817719</v>
      </c>
      <c r="J34" s="15"/>
      <c r="K34" s="106" t="s">
        <v>104</v>
      </c>
      <c r="L34" s="107"/>
      <c r="M34" s="107"/>
      <c r="N34" s="108">
        <f>+N30/N32</f>
        <v>184.27843949817719</v>
      </c>
    </row>
    <row r="35" spans="1:17" ht="15.75" customHeight="1" outlineLevel="1" x14ac:dyDescent="0.25">
      <c r="D35" s="6"/>
      <c r="E35" s="68"/>
      <c r="F35" s="109" t="s">
        <v>23</v>
      </c>
      <c r="G35" s="185"/>
      <c r="H35" s="185"/>
      <c r="I35" s="202">
        <f>+I34/Share_Price-1</f>
        <v>0.32165559419190415</v>
      </c>
      <c r="J35" s="15"/>
      <c r="K35" s="109" t="s">
        <v>23</v>
      </c>
      <c r="L35" s="110"/>
      <c r="M35" s="110"/>
      <c r="N35" s="111">
        <f>+N34/Share_Price-1</f>
        <v>0.32165559419190415</v>
      </c>
    </row>
    <row r="36" spans="1:17" ht="15.75" customHeight="1" x14ac:dyDescent="0.25">
      <c r="D36" s="6"/>
      <c r="E36" s="68"/>
    </row>
    <row r="37" spans="1:17" ht="15.75" customHeight="1" x14ac:dyDescent="0.25">
      <c r="A37" s="5"/>
      <c r="B37" s="7"/>
      <c r="C37" s="7"/>
      <c r="D37" s="8"/>
      <c r="E37" s="9" t="s">
        <v>72</v>
      </c>
      <c r="F37" s="9"/>
      <c r="G37" s="10"/>
      <c r="H37" s="9" t="s">
        <v>73</v>
      </c>
      <c r="I37" s="9"/>
      <c r="J37" s="9"/>
      <c r="K37" s="9"/>
      <c r="L37" s="9"/>
      <c r="M37" s="9"/>
      <c r="N37" s="9"/>
      <c r="O37" s="9"/>
      <c r="P37" s="9"/>
      <c r="Q37" s="9"/>
    </row>
    <row r="38" spans="1:17" ht="15.75" customHeight="1" x14ac:dyDescent="0.25">
      <c r="A38" s="11"/>
      <c r="B38" s="58" t="s">
        <v>82</v>
      </c>
      <c r="C38" s="58"/>
      <c r="D38" s="59" t="s">
        <v>50</v>
      </c>
      <c r="E38" s="12">
        <f>EOMONTH(F38,-12)</f>
        <v>43496</v>
      </c>
      <c r="F38" s="12">
        <f>EOMONTH(G38,-12)</f>
        <v>43861</v>
      </c>
      <c r="G38" s="13">
        <f>Hist_Year</f>
        <v>44227</v>
      </c>
      <c r="H38" s="12">
        <f>EOMONTH(G38,12)</f>
        <v>44592</v>
      </c>
      <c r="I38" s="12">
        <f t="shared" ref="I38:Q38" si="3">EOMONTH(H38,12)</f>
        <v>44957</v>
      </c>
      <c r="J38" s="12">
        <f t="shared" si="3"/>
        <v>45322</v>
      </c>
      <c r="K38" s="12">
        <f t="shared" si="3"/>
        <v>45688</v>
      </c>
      <c r="L38" s="12">
        <f t="shared" si="3"/>
        <v>46053</v>
      </c>
      <c r="M38" s="12">
        <f t="shared" si="3"/>
        <v>46418</v>
      </c>
      <c r="N38" s="12">
        <f t="shared" si="3"/>
        <v>46783</v>
      </c>
      <c r="O38" s="12">
        <f t="shared" si="3"/>
        <v>47149</v>
      </c>
      <c r="P38" s="12">
        <f t="shared" si="3"/>
        <v>47514</v>
      </c>
      <c r="Q38" s="12">
        <f t="shared" si="3"/>
        <v>47879</v>
      </c>
    </row>
    <row r="39" spans="1:17" ht="15.75" customHeight="1" outlineLevel="1" x14ac:dyDescent="0.25">
      <c r="A39" s="11"/>
      <c r="B39" s="118"/>
      <c r="C39" s="118"/>
      <c r="D39" s="77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1:17" ht="15.75" customHeight="1" outlineLevel="1" x14ac:dyDescent="0.25">
      <c r="A40" s="11"/>
      <c r="B40" s="118"/>
      <c r="C40" s="167" t="s">
        <v>127</v>
      </c>
      <c r="D40" s="170" t="s">
        <v>74</v>
      </c>
      <c r="E40" s="154">
        <v>1129</v>
      </c>
      <c r="F40" s="154">
        <v>1129</v>
      </c>
      <c r="G40" s="154">
        <v>1121</v>
      </c>
      <c r="H40" s="235">
        <f>G40*(1+H41)</f>
        <v>1143.42</v>
      </c>
      <c r="I40" s="235">
        <f t="shared" ref="I40:Q40" si="4">H40*(1+I41)</f>
        <v>1166.2884000000001</v>
      </c>
      <c r="J40" s="235">
        <f t="shared" si="4"/>
        <v>1183.7827260000001</v>
      </c>
      <c r="K40" s="235">
        <f t="shared" si="4"/>
        <v>1201.5394668900001</v>
      </c>
      <c r="L40" s="235">
        <f t="shared" si="4"/>
        <v>1213.5548615589</v>
      </c>
      <c r="M40" s="235">
        <f t="shared" si="4"/>
        <v>1225.690410174489</v>
      </c>
      <c r="N40" s="235">
        <f t="shared" si="4"/>
        <v>1231.8188622253613</v>
      </c>
      <c r="O40" s="235">
        <f t="shared" si="4"/>
        <v>1237.9779565364879</v>
      </c>
      <c r="P40" s="235">
        <f t="shared" si="4"/>
        <v>1244.1678463191702</v>
      </c>
      <c r="Q40" s="235">
        <f t="shared" si="4"/>
        <v>1250.3886855507658</v>
      </c>
    </row>
    <row r="41" spans="1:17" ht="15.75" customHeight="1" outlineLevel="1" x14ac:dyDescent="0.25">
      <c r="A41" s="11"/>
      <c r="B41" s="118"/>
      <c r="C41" s="171" t="s">
        <v>83</v>
      </c>
      <c r="D41" s="114" t="s">
        <v>3</v>
      </c>
      <c r="E41" s="173" t="str">
        <f>IFERROR(E40/D40-1,"N/A")</f>
        <v>N/A</v>
      </c>
      <c r="F41" s="173">
        <f t="shared" ref="F41" si="5">IFERROR(F40/E40-1,"N/A")</f>
        <v>0</v>
      </c>
      <c r="G41" s="173">
        <f t="shared" ref="G41" si="6">IFERROR(G40/F40-1,"N/A")</f>
        <v>-7.0859167404783152E-3</v>
      </c>
      <c r="H41" s="234">
        <v>0.02</v>
      </c>
      <c r="I41" s="234">
        <v>0.02</v>
      </c>
      <c r="J41" s="234">
        <v>1.4999999999999999E-2</v>
      </c>
      <c r="K41" s="234">
        <v>1.4999999999999999E-2</v>
      </c>
      <c r="L41" s="234">
        <v>0.01</v>
      </c>
      <c r="M41" s="234">
        <v>0.01</v>
      </c>
      <c r="N41" s="234">
        <v>5.0000000000000001E-3</v>
      </c>
      <c r="O41" s="234">
        <v>5.0000000000000001E-3</v>
      </c>
      <c r="P41" s="234">
        <v>5.0000000000000001E-3</v>
      </c>
      <c r="Q41" s="234">
        <v>5.0000000000000001E-3</v>
      </c>
    </row>
    <row r="42" spans="1:17" ht="15.75" customHeight="1" outlineLevel="1" x14ac:dyDescent="0.25">
      <c r="A42" s="11"/>
      <c r="B42" s="118"/>
      <c r="C42" s="167"/>
      <c r="D42" s="170"/>
      <c r="E42" s="154"/>
      <c r="F42" s="154"/>
      <c r="G42" s="154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1:17" ht="15.75" customHeight="1" outlineLevel="1" x14ac:dyDescent="0.25">
      <c r="A43" s="11"/>
      <c r="B43" s="118"/>
      <c r="C43" s="167" t="s">
        <v>75</v>
      </c>
      <c r="D43" s="170" t="s">
        <v>76</v>
      </c>
      <c r="E43" s="174">
        <f>E61/E40</f>
        <v>452.01860053144378</v>
      </c>
      <c r="F43" s="174">
        <f>F61/F40</f>
        <v>460.51904340124003</v>
      </c>
      <c r="G43" s="174">
        <f>G61/G40</f>
        <v>495.30151650312223</v>
      </c>
      <c r="H43" s="174">
        <f>G43*(1+H44)</f>
        <v>510.16056199821588</v>
      </c>
      <c r="I43" s="174">
        <f t="shared" ref="I43" si="7">H43*(1+I44)</f>
        <v>525.46537885816235</v>
      </c>
      <c r="J43" s="174">
        <f t="shared" ref="J43" si="8">I43*(1+J44)</f>
        <v>538.6020133296164</v>
      </c>
      <c r="K43" s="174">
        <f t="shared" ref="K43" si="9">J43*(1+K44)</f>
        <v>552.06706366285675</v>
      </c>
      <c r="L43" s="174">
        <f t="shared" ref="L43" si="10">K43*(1+L44)</f>
        <v>563.10840493611386</v>
      </c>
      <c r="M43" s="174">
        <f t="shared" ref="M43" si="11">L43*(1+M44)</f>
        <v>574.37057303483618</v>
      </c>
      <c r="N43" s="174">
        <f t="shared" ref="N43" si="12">M43*(1+N44)</f>
        <v>582.98613163035873</v>
      </c>
      <c r="O43" s="174">
        <f t="shared" ref="O43" si="13">N43*(1+O44)</f>
        <v>591.73092360481405</v>
      </c>
      <c r="P43" s="174">
        <f t="shared" ref="P43" si="14">O43*(1+P44)</f>
        <v>597.64823284086219</v>
      </c>
      <c r="Q43" s="174">
        <f t="shared" ref="Q43" si="15">P43*(1+Q44)</f>
        <v>603.62471516927087</v>
      </c>
    </row>
    <row r="44" spans="1:17" ht="15.75" customHeight="1" outlineLevel="1" x14ac:dyDescent="0.25">
      <c r="A44" s="11"/>
      <c r="B44" s="118"/>
      <c r="C44" s="171" t="s">
        <v>83</v>
      </c>
      <c r="D44" s="114" t="s">
        <v>3</v>
      </c>
      <c r="E44" s="173" t="str">
        <f>IFERROR(E43/D43-1,"N/A")</f>
        <v>N/A</v>
      </c>
      <c r="F44" s="173">
        <f t="shared" ref="F44" si="16">IFERROR(F43/E43-1,"N/A")</f>
        <v>1.8805515657546401E-2</v>
      </c>
      <c r="G44" s="173">
        <f t="shared" ref="G44" si="17">IFERROR(G43/F43-1,"N/A")</f>
        <v>7.5528848590039832E-2</v>
      </c>
      <c r="H44" s="234">
        <v>0.03</v>
      </c>
      <c r="I44" s="234">
        <v>0.03</v>
      </c>
      <c r="J44" s="234">
        <v>2.5000000000000001E-2</v>
      </c>
      <c r="K44" s="234">
        <v>2.5000000000000001E-2</v>
      </c>
      <c r="L44" s="234">
        <v>0.02</v>
      </c>
      <c r="M44" s="234">
        <v>0.02</v>
      </c>
      <c r="N44" s="234">
        <v>1.4999999999999999E-2</v>
      </c>
      <c r="O44" s="234">
        <v>1.4999999999999999E-2</v>
      </c>
      <c r="P44" s="234">
        <v>0.01</v>
      </c>
      <c r="Q44" s="234">
        <v>0.01</v>
      </c>
    </row>
    <row r="45" spans="1:17" ht="15.75" customHeight="1" outlineLevel="1" x14ac:dyDescent="0.25">
      <c r="A45" s="11"/>
      <c r="B45" s="118"/>
      <c r="C45" s="167"/>
      <c r="D45" s="170"/>
      <c r="E45" s="174"/>
      <c r="F45" s="174"/>
      <c r="G45" s="174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1:17" ht="15.75" customHeight="1" outlineLevel="1" x14ac:dyDescent="0.25">
      <c r="A46" s="11"/>
      <c r="B46" s="118"/>
      <c r="C46" s="167" t="s">
        <v>135</v>
      </c>
      <c r="D46" s="170" t="s">
        <v>76</v>
      </c>
      <c r="E46" s="174">
        <f>(E61-E66)/E40</f>
        <v>432.57041629760852</v>
      </c>
      <c r="F46" s="174">
        <f>(F61-F66)/F40</f>
        <v>442.30115146147034</v>
      </c>
      <c r="G46" s="174">
        <f>(G61-G66)/G40</f>
        <v>475.18733273862625</v>
      </c>
      <c r="H46" s="174">
        <f>G46*(1+H47)</f>
        <v>489.44295272078506</v>
      </c>
      <c r="I46" s="174">
        <f t="shared" ref="I46" si="18">H46*(1+I47)</f>
        <v>504.12624130240863</v>
      </c>
      <c r="J46" s="174">
        <f t="shared" ref="J46" si="19">I46*(1+J47)</f>
        <v>516.72939733496878</v>
      </c>
      <c r="K46" s="174">
        <f t="shared" ref="K46" si="20">J46*(1+K47)</f>
        <v>529.64763226834293</v>
      </c>
      <c r="L46" s="174">
        <f t="shared" ref="L46" si="21">K46*(1+L47)</f>
        <v>540.24058491370977</v>
      </c>
      <c r="M46" s="174">
        <f t="shared" ref="M46" si="22">L46*(1+M47)</f>
        <v>551.04539661198396</v>
      </c>
      <c r="N46" s="174">
        <f t="shared" ref="N46" si="23">M46*(1+N47)</f>
        <v>559.31107756116364</v>
      </c>
      <c r="O46" s="174">
        <f t="shared" ref="O46" si="24">N46*(1+O47)</f>
        <v>567.700743724581</v>
      </c>
      <c r="P46" s="174">
        <f t="shared" ref="P46" si="25">O46*(1+P47)</f>
        <v>573.37775116182684</v>
      </c>
      <c r="Q46" s="174">
        <f t="shared" ref="Q46" si="26">P46*(1+Q47)</f>
        <v>579.11152867344515</v>
      </c>
    </row>
    <row r="47" spans="1:17" ht="15.75" customHeight="1" outlineLevel="1" x14ac:dyDescent="0.25">
      <c r="A47" s="11"/>
      <c r="B47" s="118"/>
      <c r="C47" s="171" t="s">
        <v>83</v>
      </c>
      <c r="D47" s="114" t="s">
        <v>3</v>
      </c>
      <c r="E47" s="173" t="str">
        <f>IFERROR(E46/D46-1,"N/A")</f>
        <v>N/A</v>
      </c>
      <c r="F47" s="173">
        <f t="shared" ref="F47:G47" si="27">IFERROR(F46/E46-1,"N/A")</f>
        <v>2.2495147141932792E-2</v>
      </c>
      <c r="G47" s="173">
        <f t="shared" si="27"/>
        <v>7.4352465890020758E-2</v>
      </c>
      <c r="H47" s="234">
        <v>0.03</v>
      </c>
      <c r="I47" s="234">
        <v>0.03</v>
      </c>
      <c r="J47" s="234">
        <v>2.5000000000000001E-2</v>
      </c>
      <c r="K47" s="234">
        <v>2.5000000000000001E-2</v>
      </c>
      <c r="L47" s="234">
        <v>0.02</v>
      </c>
      <c r="M47" s="234">
        <v>0.02</v>
      </c>
      <c r="N47" s="234">
        <v>1.4999999999999999E-2</v>
      </c>
      <c r="O47" s="234">
        <v>1.4999999999999999E-2</v>
      </c>
      <c r="P47" s="234">
        <v>0.01</v>
      </c>
      <c r="Q47" s="234">
        <v>0.01</v>
      </c>
    </row>
    <row r="48" spans="1:17" ht="15.75" customHeight="1" outlineLevel="1" x14ac:dyDescent="0.25">
      <c r="A48" s="11"/>
      <c r="B48" s="118"/>
      <c r="C48" s="118"/>
      <c r="D48" s="77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1:17" ht="15.75" customHeight="1" outlineLevel="1" x14ac:dyDescent="0.25">
      <c r="A49" s="11"/>
      <c r="B49" s="118"/>
      <c r="C49" s="167" t="s">
        <v>125</v>
      </c>
      <c r="D49" s="170" t="s">
        <v>76</v>
      </c>
      <c r="E49" s="174">
        <f>-E92/1158</f>
        <v>8.9326424870466319</v>
      </c>
      <c r="F49" s="174">
        <f>-F92/E40</f>
        <v>9.481842338352525</v>
      </c>
      <c r="G49" s="174">
        <f>-G92/F40</f>
        <v>9.0912311780336577</v>
      </c>
      <c r="H49" s="174">
        <f>G49*(1+H50)</f>
        <v>9.3639681133746677</v>
      </c>
      <c r="I49" s="174">
        <f t="shared" ref="I49" si="28">H49*(1+I50)</f>
        <v>9.6448871567759085</v>
      </c>
      <c r="J49" s="174">
        <f t="shared" ref="J49" si="29">I49*(1+J50)</f>
        <v>9.8860093356953058</v>
      </c>
      <c r="K49" s="174">
        <f t="shared" ref="K49" si="30">J49*(1+K50)</f>
        <v>10.133159569087688</v>
      </c>
      <c r="L49" s="174">
        <f t="shared" ref="L49" si="31">K49*(1+L50)</f>
        <v>10.335822760469442</v>
      </c>
      <c r="M49" s="174">
        <f t="shared" ref="M49" si="32">L49*(1+M50)</f>
        <v>10.542539215678831</v>
      </c>
      <c r="N49" s="174">
        <f t="shared" ref="N49" si="33">M49*(1+N50)</f>
        <v>10.700677303914013</v>
      </c>
      <c r="O49" s="174">
        <f t="shared" ref="O49" si="34">N49*(1+O50)</f>
        <v>10.861187463472723</v>
      </c>
      <c r="P49" s="174">
        <f t="shared" ref="P49" si="35">O49*(1+P50)</f>
        <v>10.96979933810745</v>
      </c>
      <c r="Q49" s="174">
        <f t="shared" ref="Q49" si="36">P49*(1+Q50)</f>
        <v>11.079497331488524</v>
      </c>
    </row>
    <row r="50" spans="1:17" ht="15.75" customHeight="1" outlineLevel="1" x14ac:dyDescent="0.25">
      <c r="A50" s="11"/>
      <c r="B50" s="118"/>
      <c r="C50" s="171" t="s">
        <v>83</v>
      </c>
      <c r="D50" s="114" t="s">
        <v>3</v>
      </c>
      <c r="E50" s="173" t="str">
        <f>IFERROR(E49/D49-1,"N/A")</f>
        <v>N/A</v>
      </c>
      <c r="F50" s="173">
        <f t="shared" ref="F50" si="37">IFERROR(F49/E49-1,"N/A")</f>
        <v>6.1482349943177139E-2</v>
      </c>
      <c r="G50" s="173">
        <f t="shared" ref="G50" si="38">IFERROR(G49/F49-1,"N/A")</f>
        <v>-4.1195702942550372E-2</v>
      </c>
      <c r="H50" s="234">
        <v>0.03</v>
      </c>
      <c r="I50" s="234">
        <v>0.03</v>
      </c>
      <c r="J50" s="234">
        <v>2.5000000000000001E-2</v>
      </c>
      <c r="K50" s="234">
        <v>2.5000000000000001E-2</v>
      </c>
      <c r="L50" s="234">
        <v>0.02</v>
      </c>
      <c r="M50" s="234">
        <v>0.02</v>
      </c>
      <c r="N50" s="234">
        <v>1.4999999999999999E-2</v>
      </c>
      <c r="O50" s="234">
        <v>1.4999999999999999E-2</v>
      </c>
      <c r="P50" s="234">
        <v>0.01</v>
      </c>
      <c r="Q50" s="234">
        <v>0.01</v>
      </c>
    </row>
    <row r="51" spans="1:17" ht="15.75" customHeight="1" outlineLevel="1" x14ac:dyDescent="0.25">
      <c r="A51" s="11"/>
      <c r="B51" s="118"/>
      <c r="C51" s="118"/>
      <c r="D51" s="77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1:17" ht="15.75" customHeight="1" outlineLevel="1" x14ac:dyDescent="0.25">
      <c r="A52" s="11"/>
      <c r="B52" s="118"/>
      <c r="C52" s="167" t="s">
        <v>126</v>
      </c>
      <c r="D52" s="170" t="s">
        <v>76</v>
      </c>
      <c r="E52" s="174">
        <f>E74/E40</f>
        <v>9.4579273693534098</v>
      </c>
      <c r="F52" s="174">
        <f t="shared" ref="F52:G52" si="39">F74/F40</f>
        <v>9.7316209034543846</v>
      </c>
      <c r="G52" s="174">
        <f t="shared" si="39"/>
        <v>9.9482604817127562</v>
      </c>
      <c r="H52" s="174">
        <f>G52*(1+H53)</f>
        <v>10.196966993755574</v>
      </c>
      <c r="I52" s="174">
        <f t="shared" ref="I52" si="40">H52*(1+I53)</f>
        <v>10.451891168599461</v>
      </c>
      <c r="J52" s="174">
        <f t="shared" ref="J52" si="41">I52*(1+J53)</f>
        <v>10.660928991971451</v>
      </c>
      <c r="K52" s="174">
        <f t="shared" ref="K52" si="42">J52*(1+K53)</f>
        <v>10.87414757181088</v>
      </c>
      <c r="L52" s="174">
        <f t="shared" ref="L52" si="43">K52*(1+L53)</f>
        <v>11.037259785388043</v>
      </c>
      <c r="M52" s="174">
        <f t="shared" ref="M52" si="44">L52*(1+M53)</f>
        <v>11.202818682168862</v>
      </c>
      <c r="N52" s="174">
        <f t="shared" ref="N52" si="45">M52*(1+N53)</f>
        <v>11.314846868990552</v>
      </c>
      <c r="O52" s="174">
        <f t="shared" ref="O52" si="46">N52*(1+O53)</f>
        <v>11.427995337680457</v>
      </c>
      <c r="P52" s="174">
        <f t="shared" ref="P52" si="47">O52*(1+P53)</f>
        <v>11.519419300381902</v>
      </c>
      <c r="Q52" s="174">
        <f t="shared" ref="Q52" si="48">P52*(1+Q53)</f>
        <v>11.611574654784956</v>
      </c>
    </row>
    <row r="53" spans="1:17" ht="15.75" customHeight="1" outlineLevel="1" x14ac:dyDescent="0.25">
      <c r="A53" s="11"/>
      <c r="B53" s="118"/>
      <c r="C53" s="171" t="s">
        <v>83</v>
      </c>
      <c r="D53" s="114" t="s">
        <v>3</v>
      </c>
      <c r="E53" s="173" t="str">
        <f>IFERROR(E52/D52-1,"N/A")</f>
        <v>N/A</v>
      </c>
      <c r="F53" s="173">
        <f t="shared" ref="F53" si="49">IFERROR(F52/E52-1,"N/A")</f>
        <v>2.8938003371417942E-2</v>
      </c>
      <c r="G53" s="173">
        <f t="shared" ref="G53" si="50">IFERROR(G52/F52-1,"N/A")</f>
        <v>2.2261407468253447E-2</v>
      </c>
      <c r="H53" s="234">
        <v>2.5000000000000001E-2</v>
      </c>
      <c r="I53" s="234">
        <v>2.5000000000000001E-2</v>
      </c>
      <c r="J53" s="234">
        <v>0.02</v>
      </c>
      <c r="K53" s="234">
        <v>0.02</v>
      </c>
      <c r="L53" s="234">
        <v>1.4999999999999999E-2</v>
      </c>
      <c r="M53" s="234">
        <v>1.4999999999999999E-2</v>
      </c>
      <c r="N53" s="234">
        <v>0.01</v>
      </c>
      <c r="O53" s="234">
        <v>0.01</v>
      </c>
      <c r="P53" s="234">
        <v>8.0000000000000002E-3</v>
      </c>
      <c r="Q53" s="234">
        <v>8.0000000000000002E-3</v>
      </c>
    </row>
    <row r="54" spans="1:17" ht="15.75" customHeight="1" outlineLevel="1" x14ac:dyDescent="0.25">
      <c r="A54" s="11"/>
      <c r="B54" s="118"/>
      <c r="C54" s="118"/>
      <c r="D54" s="77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1:17" ht="15.75" customHeight="1" outlineLevel="1" x14ac:dyDescent="0.25">
      <c r="A55" s="11"/>
      <c r="B55" s="118"/>
      <c r="C55" s="167" t="s">
        <v>136</v>
      </c>
      <c r="D55" s="170" t="s">
        <v>76</v>
      </c>
      <c r="E55" s="174"/>
      <c r="F55" s="174"/>
      <c r="G55" s="174"/>
      <c r="H55" s="236">
        <v>150</v>
      </c>
      <c r="I55" s="174">
        <f>H55*(1+I56)</f>
        <v>154.5</v>
      </c>
      <c r="J55" s="174">
        <f t="shared" ref="J55:Q55" si="51">I55*(1+J56)</f>
        <v>159.13499999999999</v>
      </c>
      <c r="K55" s="174">
        <f t="shared" si="51"/>
        <v>163.11337499999999</v>
      </c>
      <c r="L55" s="174">
        <f t="shared" si="51"/>
        <v>167.19120937499997</v>
      </c>
      <c r="M55" s="174">
        <f t="shared" si="51"/>
        <v>170.53503356249996</v>
      </c>
      <c r="N55" s="174">
        <f t="shared" si="51"/>
        <v>173.94573423374996</v>
      </c>
      <c r="O55" s="174">
        <f t="shared" si="51"/>
        <v>176.55492024725621</v>
      </c>
      <c r="P55" s="174">
        <f t="shared" si="51"/>
        <v>179.20324405096503</v>
      </c>
      <c r="Q55" s="174">
        <f t="shared" si="51"/>
        <v>180.99527649147467</v>
      </c>
    </row>
    <row r="56" spans="1:17" ht="15.75" customHeight="1" outlineLevel="1" x14ac:dyDescent="0.25">
      <c r="A56" s="11"/>
      <c r="B56" s="118"/>
      <c r="C56" s="171" t="s">
        <v>83</v>
      </c>
      <c r="D56" s="114" t="s">
        <v>3</v>
      </c>
      <c r="E56" s="173"/>
      <c r="F56" s="173"/>
      <c r="G56" s="173"/>
      <c r="H56" s="78"/>
      <c r="I56" s="234">
        <v>0.03</v>
      </c>
      <c r="J56" s="234">
        <v>0.03</v>
      </c>
      <c r="K56" s="234">
        <v>2.5000000000000001E-2</v>
      </c>
      <c r="L56" s="234">
        <v>2.5000000000000001E-2</v>
      </c>
      <c r="M56" s="234">
        <v>0.02</v>
      </c>
      <c r="N56" s="234">
        <v>0.02</v>
      </c>
      <c r="O56" s="234">
        <v>1.4999999999999999E-2</v>
      </c>
      <c r="P56" s="234">
        <v>1.4999999999999999E-2</v>
      </c>
      <c r="Q56" s="234">
        <v>0.01</v>
      </c>
    </row>
    <row r="57" spans="1:17" ht="15.75" customHeight="1" outlineLevel="1" x14ac:dyDescent="0.25">
      <c r="A57" s="11"/>
      <c r="B57" s="118"/>
      <c r="C57" s="118"/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1:17" ht="15.75" customHeight="1" outlineLevel="1" x14ac:dyDescent="0.25">
      <c r="A58" s="11"/>
      <c r="B58" s="118"/>
      <c r="C58" s="221" t="s">
        <v>79</v>
      </c>
      <c r="D58" s="114" t="s">
        <v>3</v>
      </c>
      <c r="E58" s="173" t="str">
        <f>IFERROR(E62/D62-1,"N/A")</f>
        <v>N/A</v>
      </c>
      <c r="F58" s="173">
        <f>IFERROR(F62/E62-1,"N/A")</f>
        <v>-9.322865554465154E-3</v>
      </c>
      <c r="G58" s="173">
        <f>IFERROR(G62/F62-1,"N/A")</f>
        <v>-2.9717682020802383E-2</v>
      </c>
      <c r="H58" s="234">
        <v>0.03</v>
      </c>
      <c r="I58" s="234">
        <v>0.03</v>
      </c>
      <c r="J58" s="234">
        <v>2.5000000000000001E-2</v>
      </c>
      <c r="K58" s="234">
        <v>2.5000000000000001E-2</v>
      </c>
      <c r="L58" s="234">
        <v>0.02</v>
      </c>
      <c r="M58" s="234">
        <v>0.02</v>
      </c>
      <c r="N58" s="234">
        <v>1.4999999999999999E-2</v>
      </c>
      <c r="O58" s="234">
        <v>1.4999999999999999E-2</v>
      </c>
      <c r="P58" s="234">
        <v>0.01</v>
      </c>
      <c r="Q58" s="234">
        <v>0.01</v>
      </c>
    </row>
    <row r="59" spans="1:17" ht="15.75" customHeight="1" outlineLevel="1" x14ac:dyDescent="0.25">
      <c r="A59" s="11"/>
      <c r="B59" s="118"/>
      <c r="C59" s="118"/>
      <c r="D59" s="77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1:17" ht="15.75" customHeight="1" outlineLevel="1" x14ac:dyDescent="0.25">
      <c r="A60" s="11"/>
      <c r="B60" s="118"/>
      <c r="C60" s="175" t="s">
        <v>2</v>
      </c>
      <c r="D60" s="77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1:17" ht="15.75" customHeight="1" outlineLevel="1" x14ac:dyDescent="0.25">
      <c r="A61" s="11"/>
      <c r="B61" s="118"/>
      <c r="C61" s="171" t="s">
        <v>122</v>
      </c>
      <c r="D61" s="169" t="s">
        <v>49</v>
      </c>
      <c r="E61" s="67">
        <v>510329</v>
      </c>
      <c r="F61" s="67">
        <v>519926</v>
      </c>
      <c r="G61" s="67">
        <v>555233</v>
      </c>
      <c r="H61" s="69">
        <f>H40*H43</f>
        <v>583327.78980000003</v>
      </c>
      <c r="I61" s="69">
        <f t="shared" ref="I61:Q61" si="52">I40*I43</f>
        <v>612844.17596388003</v>
      </c>
      <c r="J61" s="69">
        <f t="shared" si="52"/>
        <v>637587.75956842175</v>
      </c>
      <c r="K61" s="69">
        <f t="shared" si="52"/>
        <v>663330.36536099669</v>
      </c>
      <c r="L61" s="69">
        <f t="shared" si="52"/>
        <v>683362.94239489862</v>
      </c>
      <c r="M61" s="69">
        <f t="shared" si="52"/>
        <v>704000.50325522467</v>
      </c>
      <c r="N61" s="69">
        <f t="shared" si="52"/>
        <v>718133.31335807324</v>
      </c>
      <c r="O61" s="69">
        <f t="shared" si="52"/>
        <v>732549.83962373633</v>
      </c>
      <c r="P61" s="69">
        <f t="shared" si="52"/>
        <v>743574.71471007343</v>
      </c>
      <c r="Q61" s="69">
        <f t="shared" si="52"/>
        <v>754765.51416646002</v>
      </c>
    </row>
    <row r="62" spans="1:17" ht="15.75" customHeight="1" outlineLevel="1" x14ac:dyDescent="0.25">
      <c r="A62" s="11"/>
      <c r="B62" s="118"/>
      <c r="C62" s="192" t="s">
        <v>81</v>
      </c>
      <c r="D62" s="222" t="s">
        <v>49</v>
      </c>
      <c r="E62" s="155">
        <v>4076</v>
      </c>
      <c r="F62" s="155">
        <v>4038</v>
      </c>
      <c r="G62" s="155">
        <v>3918</v>
      </c>
      <c r="H62" s="237">
        <f>G62*(1+H58)</f>
        <v>4035.54</v>
      </c>
      <c r="I62" s="237">
        <f t="shared" ref="I62:Q62" si="53">H62*(1+I58)</f>
        <v>4156.6062000000002</v>
      </c>
      <c r="J62" s="237">
        <f t="shared" si="53"/>
        <v>4260.5213549999999</v>
      </c>
      <c r="K62" s="237">
        <f t="shared" si="53"/>
        <v>4367.0343888749994</v>
      </c>
      <c r="L62" s="237">
        <f t="shared" si="53"/>
        <v>4454.375076652499</v>
      </c>
      <c r="M62" s="237">
        <f t="shared" si="53"/>
        <v>4543.4625781855493</v>
      </c>
      <c r="N62" s="237">
        <f t="shared" si="53"/>
        <v>4611.6145168583325</v>
      </c>
      <c r="O62" s="237">
        <f t="shared" si="53"/>
        <v>4680.7887346112075</v>
      </c>
      <c r="P62" s="237">
        <f t="shared" si="53"/>
        <v>4727.5966219573193</v>
      </c>
      <c r="Q62" s="237">
        <f t="shared" si="53"/>
        <v>4774.8725881768924</v>
      </c>
    </row>
    <row r="63" spans="1:17" ht="15.75" customHeight="1" outlineLevel="1" x14ac:dyDescent="0.25">
      <c r="A63" s="11"/>
      <c r="B63" s="118"/>
      <c r="C63" s="223" t="s">
        <v>77</v>
      </c>
      <c r="D63" s="169" t="s">
        <v>49</v>
      </c>
      <c r="E63" s="225">
        <f t="shared" ref="E63:G63" si="54">SUM(E61:E62)</f>
        <v>514405</v>
      </c>
      <c r="F63" s="225">
        <f t="shared" si="54"/>
        <v>523964</v>
      </c>
      <c r="G63" s="225">
        <f t="shared" si="54"/>
        <v>559151</v>
      </c>
      <c r="H63" s="225">
        <f>SUM(H61:H62)</f>
        <v>587363.32980000007</v>
      </c>
      <c r="I63" s="225">
        <f t="shared" ref="I63:Q63" si="55">SUM(I61:I62)</f>
        <v>617000.78216388007</v>
      </c>
      <c r="J63" s="225">
        <f t="shared" si="55"/>
        <v>641848.28092342173</v>
      </c>
      <c r="K63" s="225">
        <f t="shared" si="55"/>
        <v>667697.39974987169</v>
      </c>
      <c r="L63" s="225">
        <f t="shared" si="55"/>
        <v>687817.31747155113</v>
      </c>
      <c r="M63" s="225">
        <f t="shared" si="55"/>
        <v>708543.96583341027</v>
      </c>
      <c r="N63" s="225">
        <f t="shared" si="55"/>
        <v>722744.9278749316</v>
      </c>
      <c r="O63" s="225">
        <f t="shared" si="55"/>
        <v>737230.62835834757</v>
      </c>
      <c r="P63" s="225">
        <f t="shared" si="55"/>
        <v>748302.3113320308</v>
      </c>
      <c r="Q63" s="225">
        <f t="shared" si="55"/>
        <v>759540.38675463689</v>
      </c>
    </row>
    <row r="64" spans="1:17" ht="15.75" customHeight="1" outlineLevel="1" x14ac:dyDescent="0.25">
      <c r="A64" s="11"/>
      <c r="B64" s="118"/>
      <c r="C64" s="224" t="s">
        <v>4</v>
      </c>
      <c r="D64" s="114" t="s">
        <v>3</v>
      </c>
      <c r="E64" s="172" t="str">
        <f>IFERROR(E63/D63-1,"N/A")</f>
        <v>N/A</v>
      </c>
      <c r="F64" s="172">
        <f>IFERROR(F63/E63-1,"N/A")</f>
        <v>1.85826343056541E-2</v>
      </c>
      <c r="G64" s="172">
        <f>IFERROR(G63/F63-1,"N/A")</f>
        <v>6.7155377086975498E-2</v>
      </c>
      <c r="H64" s="172">
        <f>IFERROR(H63/G63-1,"N/A")</f>
        <v>5.045565473369451E-2</v>
      </c>
      <c r="I64" s="172">
        <f t="shared" ref="I64:Q64" si="56">IFERROR(I63/H63-1,"N/A")</f>
        <v>5.0458465587171819E-2</v>
      </c>
      <c r="J64" s="172">
        <f t="shared" si="56"/>
        <v>4.027142181635357E-2</v>
      </c>
      <c r="K64" s="172">
        <f t="shared" si="56"/>
        <v>4.0272942367721276E-2</v>
      </c>
      <c r="L64" s="172">
        <f t="shared" si="56"/>
        <v>3.0133287517993379E-2</v>
      </c>
      <c r="M64" s="172">
        <f t="shared" si="56"/>
        <v>3.0133943760025206E-2</v>
      </c>
      <c r="N64" s="172">
        <f t="shared" si="56"/>
        <v>2.0042457104010092E-2</v>
      </c>
      <c r="O64" s="172">
        <f t="shared" si="56"/>
        <v>2.0042617975899013E-2</v>
      </c>
      <c r="P64" s="172">
        <f t="shared" si="56"/>
        <v>1.50179367863994E-2</v>
      </c>
      <c r="Q64" s="172">
        <f t="shared" si="56"/>
        <v>1.5018095297075318E-2</v>
      </c>
    </row>
    <row r="65" spans="1:17" ht="15.75" customHeight="1" outlineLevel="1" x14ac:dyDescent="0.25">
      <c r="A65" s="11"/>
      <c r="B65" s="118"/>
      <c r="C65" s="118"/>
      <c r="D65" s="77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1:17" outlineLevel="1" x14ac:dyDescent="0.25">
      <c r="C66" s="80" t="s">
        <v>5</v>
      </c>
      <c r="D66" s="60" t="s">
        <v>49</v>
      </c>
      <c r="E66" s="156">
        <v>21957</v>
      </c>
      <c r="F66" s="156">
        <v>20568</v>
      </c>
      <c r="G66" s="156">
        <v>22548</v>
      </c>
      <c r="H66" s="74">
        <f>H61-H46*H40</f>
        <v>23688.928799999994</v>
      </c>
      <c r="I66" s="74">
        <f t="shared" ref="I66:Q66" si="57">I61-I46*I40</f>
        <v>24887.588597279857</v>
      </c>
      <c r="J66" s="74">
        <f t="shared" si="57"/>
        <v>25892.424986895174</v>
      </c>
      <c r="K66" s="74">
        <f t="shared" si="57"/>
        <v>26937.831645741127</v>
      </c>
      <c r="L66" s="74">
        <f t="shared" si="57"/>
        <v>27751.354161442374</v>
      </c>
      <c r="M66" s="74">
        <f t="shared" si="57"/>
        <v>28589.445057118079</v>
      </c>
      <c r="N66" s="74">
        <f t="shared" si="57"/>
        <v>29163.378166639828</v>
      </c>
      <c r="O66" s="74">
        <f t="shared" si="57"/>
        <v>29748.832983335131</v>
      </c>
      <c r="P66" s="74">
        <f t="shared" si="57"/>
        <v>30196.552919734269</v>
      </c>
      <c r="Q66" s="74">
        <f t="shared" si="57"/>
        <v>30651.011041176389</v>
      </c>
    </row>
    <row r="67" spans="1:17" outlineLevel="1" x14ac:dyDescent="0.25">
      <c r="C67" s="264" t="s">
        <v>84</v>
      </c>
      <c r="D67" s="114" t="s">
        <v>3</v>
      </c>
      <c r="E67" s="263">
        <f>E66/E63</f>
        <v>4.268426628823592E-2</v>
      </c>
      <c r="F67" s="263">
        <f>F66/F63</f>
        <v>3.9254605278225219E-2</v>
      </c>
      <c r="G67" s="263">
        <f>G66/G63</f>
        <v>4.032542193432543E-2</v>
      </c>
      <c r="H67" s="263">
        <f>H66/H63</f>
        <v>4.0330963133272522E-2</v>
      </c>
      <c r="I67" s="263">
        <f t="shared" ref="I67:Q67" si="58">I66/I63</f>
        <v>4.0336397159816767E-2</v>
      </c>
      <c r="J67" s="263">
        <f t="shared" si="58"/>
        <v>4.0340413391220679E-2</v>
      </c>
      <c r="K67" s="263">
        <f t="shared" si="58"/>
        <v>4.0344371051665613E-2</v>
      </c>
      <c r="L67" s="263">
        <f t="shared" si="58"/>
        <v>4.0346983794269181E-2</v>
      </c>
      <c r="M67" s="263">
        <f t="shared" si="58"/>
        <v>4.0349571001554341E-2</v>
      </c>
      <c r="N67" s="263">
        <f t="shared" si="58"/>
        <v>4.0350858292963969E-2</v>
      </c>
      <c r="O67" s="263">
        <f t="shared" si="58"/>
        <v>4.0352139261467364E-2</v>
      </c>
      <c r="P67" s="263">
        <f t="shared" si="58"/>
        <v>4.0353413937720274E-2</v>
      </c>
      <c r="Q67" s="263">
        <f t="shared" si="58"/>
        <v>4.0354682352234078E-2</v>
      </c>
    </row>
    <row r="68" spans="1:17" outlineLevel="1" x14ac:dyDescent="0.25">
      <c r="F68" s="4"/>
      <c r="M68" s="2"/>
    </row>
    <row r="69" spans="1:17" outlineLevel="1" x14ac:dyDescent="0.25">
      <c r="C69" s="62" t="s">
        <v>61</v>
      </c>
      <c r="D69" s="60" t="s">
        <v>49</v>
      </c>
      <c r="E69" s="74">
        <f t="shared" ref="E69:G69" si="59">-E66*Tax_Rate</f>
        <v>-6963.212487758894</v>
      </c>
      <c r="F69" s="74">
        <f t="shared" si="59"/>
        <v>-6522.7196086999556</v>
      </c>
      <c r="G69" s="74">
        <f t="shared" si="59"/>
        <v>-7150.6360237731715</v>
      </c>
      <c r="H69" s="74">
        <f t="shared" ref="H69:Q69" si="60">-H66*Tax_Rate</f>
        <v>-7512.4582065760924</v>
      </c>
      <c r="I69" s="74">
        <f t="shared" si="60"/>
        <v>-7892.5885918287995</v>
      </c>
      <c r="J69" s="74">
        <f t="shared" si="60"/>
        <v>-8211.2518562239329</v>
      </c>
      <c r="K69" s="74">
        <f t="shared" si="60"/>
        <v>-8542.7811499189938</v>
      </c>
      <c r="L69" s="74">
        <f t="shared" si="60"/>
        <v>-8800.7731406465027</v>
      </c>
      <c r="M69" s="74">
        <f t="shared" si="60"/>
        <v>-9066.5564894940744</v>
      </c>
      <c r="N69" s="74">
        <f t="shared" si="60"/>
        <v>-9248.5676110207005</v>
      </c>
      <c r="O69" s="74">
        <f t="shared" si="60"/>
        <v>-9434.2326058119434</v>
      </c>
      <c r="P69" s="74">
        <f t="shared" si="60"/>
        <v>-9576.2178065293956</v>
      </c>
      <c r="Q69" s="74">
        <f t="shared" si="60"/>
        <v>-9720.3398845177016</v>
      </c>
    </row>
    <row r="70" spans="1:17" outlineLevel="1" x14ac:dyDescent="0.25">
      <c r="C70" s="62"/>
      <c r="D70" s="61"/>
      <c r="F70" s="4"/>
      <c r="N70" s="4"/>
      <c r="O70" s="4"/>
      <c r="P70" s="4"/>
      <c r="Q70" s="4"/>
    </row>
    <row r="71" spans="1:17" outlineLevel="1" x14ac:dyDescent="0.25">
      <c r="C71" s="63" t="s">
        <v>32</v>
      </c>
      <c r="D71" s="60" t="s">
        <v>49</v>
      </c>
      <c r="E71" s="71">
        <f t="shared" ref="E71:G71" si="61">+E66+E69</f>
        <v>14993.787512241106</v>
      </c>
      <c r="F71" s="71">
        <f t="shared" si="61"/>
        <v>14045.280391300044</v>
      </c>
      <c r="G71" s="71">
        <f t="shared" si="61"/>
        <v>15397.363976226829</v>
      </c>
      <c r="H71" s="71">
        <f>H66+H69</f>
        <v>16176.470593423903</v>
      </c>
      <c r="I71" s="71">
        <f t="shared" ref="I71:Q71" si="62">I66+I69</f>
        <v>16995.000005451056</v>
      </c>
      <c r="J71" s="71">
        <f t="shared" si="62"/>
        <v>17681.173130671239</v>
      </c>
      <c r="K71" s="71">
        <f t="shared" si="62"/>
        <v>18395.050495822135</v>
      </c>
      <c r="L71" s="71">
        <f t="shared" si="62"/>
        <v>18950.581020795871</v>
      </c>
      <c r="M71" s="71">
        <f t="shared" si="62"/>
        <v>19522.888567624002</v>
      </c>
      <c r="N71" s="71">
        <f t="shared" si="62"/>
        <v>19914.810555619129</v>
      </c>
      <c r="O71" s="71">
        <f t="shared" si="62"/>
        <v>20314.600377523187</v>
      </c>
      <c r="P71" s="71">
        <f t="shared" si="62"/>
        <v>20620.335113204874</v>
      </c>
      <c r="Q71" s="71">
        <f t="shared" si="62"/>
        <v>20930.671156658689</v>
      </c>
    </row>
    <row r="72" spans="1:17" outlineLevel="1" x14ac:dyDescent="0.25">
      <c r="F72" s="4"/>
      <c r="M72" s="2"/>
    </row>
    <row r="73" spans="1:17" outlineLevel="1" x14ac:dyDescent="0.25">
      <c r="C73" s="63" t="s">
        <v>10</v>
      </c>
      <c r="D73" s="61"/>
      <c r="F73" s="4"/>
      <c r="M73" s="2"/>
    </row>
    <row r="74" spans="1:17" outlineLevel="1" x14ac:dyDescent="0.25">
      <c r="C74" s="64" t="s">
        <v>69</v>
      </c>
      <c r="D74" s="60" t="s">
        <v>49</v>
      </c>
      <c r="E74" s="156">
        <v>10678</v>
      </c>
      <c r="F74" s="156">
        <v>10987</v>
      </c>
      <c r="G74" s="156">
        <v>11152</v>
      </c>
      <c r="H74" s="74">
        <f>H52*H40</f>
        <v>11659.415999999999</v>
      </c>
      <c r="I74" s="74">
        <f t="shared" ref="I74:Q74" si="63">I52*I40</f>
        <v>12189.919427999997</v>
      </c>
      <c r="J74" s="74">
        <f t="shared" si="63"/>
        <v>12620.223583808398</v>
      </c>
      <c r="K74" s="74">
        <f t="shared" si="63"/>
        <v>13065.717476316833</v>
      </c>
      <c r="L74" s="74">
        <f t="shared" si="63"/>
        <v>13394.320270846201</v>
      </c>
      <c r="M74" s="74">
        <f t="shared" si="63"/>
        <v>13731.187425657981</v>
      </c>
      <c r="N74" s="74">
        <f t="shared" si="63"/>
        <v>13937.841796414134</v>
      </c>
      <c r="O74" s="74">
        <f t="shared" si="63"/>
        <v>14147.606315450163</v>
      </c>
      <c r="P74" s="74">
        <f t="shared" si="63"/>
        <v>14332.091101803633</v>
      </c>
      <c r="Q74" s="74">
        <f t="shared" si="63"/>
        <v>14518.981569771147</v>
      </c>
    </row>
    <row r="75" spans="1:17" outlineLevel="1" x14ac:dyDescent="0.25">
      <c r="C75" s="262" t="s">
        <v>80</v>
      </c>
      <c r="D75" s="114" t="s">
        <v>3</v>
      </c>
      <c r="E75" s="263">
        <f>E74/E63</f>
        <v>2.0757963083562564E-2</v>
      </c>
      <c r="F75" s="263">
        <f t="shared" ref="F75:H75" si="64">F74/F63</f>
        <v>2.0968997870082679E-2</v>
      </c>
      <c r="G75" s="263">
        <f t="shared" si="64"/>
        <v>1.99445230358168E-2</v>
      </c>
      <c r="H75" s="263">
        <f t="shared" si="64"/>
        <v>1.9850432276679725E-2</v>
      </c>
      <c r="I75" s="263">
        <f t="shared" ref="I75:Q75" si="65">I74/I63</f>
        <v>1.9756732536462592E-2</v>
      </c>
      <c r="J75" s="263">
        <f t="shared" si="65"/>
        <v>1.9662315782246528E-2</v>
      </c>
      <c r="K75" s="263">
        <f t="shared" si="65"/>
        <v>1.9568321639729949E-2</v>
      </c>
      <c r="L75" s="263">
        <f t="shared" si="65"/>
        <v>1.9473659546817394E-2</v>
      </c>
      <c r="M75" s="263">
        <f t="shared" si="65"/>
        <v>1.9379443037817638E-2</v>
      </c>
      <c r="N75" s="263">
        <f t="shared" si="65"/>
        <v>1.9284593027024365E-2</v>
      </c>
      <c r="O75" s="263">
        <f t="shared" si="65"/>
        <v>1.9190204220019734E-2</v>
      </c>
      <c r="P75" s="263">
        <f t="shared" si="65"/>
        <v>1.915280881104256E-2</v>
      </c>
      <c r="Q75" s="263">
        <f t="shared" si="65"/>
        <v>1.9115483288265726E-2</v>
      </c>
    </row>
    <row r="76" spans="1:17" outlineLevel="1" x14ac:dyDescent="0.25">
      <c r="C76" s="64"/>
      <c r="D76" s="60"/>
      <c r="E76" s="81"/>
      <c r="F76" s="81"/>
      <c r="G76" s="81"/>
      <c r="H76" s="81"/>
      <c r="I76" s="81"/>
      <c r="J76" s="81"/>
      <c r="K76" s="81"/>
      <c r="L76" s="81"/>
      <c r="M76" s="157"/>
      <c r="N76" s="157"/>
      <c r="O76" s="157"/>
      <c r="P76" s="157"/>
      <c r="Q76" s="157"/>
    </row>
    <row r="77" spans="1:17" outlineLevel="1" x14ac:dyDescent="0.25">
      <c r="C77" s="64" t="s">
        <v>132</v>
      </c>
      <c r="D77" s="60" t="s">
        <v>49</v>
      </c>
      <c r="E77" s="74">
        <f>-E78*E69</f>
        <v>-811.64284779063019</v>
      </c>
      <c r="F77" s="74">
        <f t="shared" ref="F77:G77" si="66">-F78*F69</f>
        <v>424.67350453387297</v>
      </c>
      <c r="G77" s="74">
        <f t="shared" si="66"/>
        <v>1992.5438088991732</v>
      </c>
      <c r="H77" s="74">
        <f>-H78*H69</f>
        <v>563.43436549320688</v>
      </c>
      <c r="I77" s="74">
        <f t="shared" ref="I77:Q77" si="67">-I78*I69</f>
        <v>552.48120142801599</v>
      </c>
      <c r="J77" s="74">
        <f t="shared" si="67"/>
        <v>533.73137065455569</v>
      </c>
      <c r="K77" s="74">
        <f t="shared" si="67"/>
        <v>512.56686899513966</v>
      </c>
      <c r="L77" s="74">
        <f t="shared" si="67"/>
        <v>484.04252273555767</v>
      </c>
      <c r="M77" s="74">
        <f t="shared" si="67"/>
        <v>453.32782447470373</v>
      </c>
      <c r="N77" s="74">
        <f t="shared" si="67"/>
        <v>462.42838055103505</v>
      </c>
      <c r="O77" s="74">
        <f t="shared" si="67"/>
        <v>471.71163029059721</v>
      </c>
      <c r="P77" s="74">
        <f t="shared" si="67"/>
        <v>478.8108903264698</v>
      </c>
      <c r="Q77" s="74">
        <f t="shared" si="67"/>
        <v>486.01699422588513</v>
      </c>
    </row>
    <row r="78" spans="1:17" outlineLevel="1" x14ac:dyDescent="0.25">
      <c r="C78" s="117" t="s">
        <v>105</v>
      </c>
      <c r="D78" s="114" t="s">
        <v>3</v>
      </c>
      <c r="E78" s="79">
        <f>-499/4281</f>
        <v>-0.11656155103947675</v>
      </c>
      <c r="F78" s="79">
        <f>320/4915</f>
        <v>6.5106815869786366E-2</v>
      </c>
      <c r="G78" s="79">
        <f>1911/6858</f>
        <v>0.27865266841644792</v>
      </c>
      <c r="H78" s="234">
        <v>7.4999999999999997E-2</v>
      </c>
      <c r="I78" s="234">
        <v>7.0000000000000007E-2</v>
      </c>
      <c r="J78" s="234">
        <v>6.5000000000000002E-2</v>
      </c>
      <c r="K78" s="234">
        <v>0.06</v>
      </c>
      <c r="L78" s="234">
        <v>5.5E-2</v>
      </c>
      <c r="M78" s="234">
        <v>0.05</v>
      </c>
      <c r="N78" s="234">
        <v>0.05</v>
      </c>
      <c r="O78" s="234">
        <v>0.05</v>
      </c>
      <c r="P78" s="234">
        <v>0.05</v>
      </c>
      <c r="Q78" s="234">
        <v>0.05</v>
      </c>
    </row>
    <row r="79" spans="1:17" outlineLevel="1" x14ac:dyDescent="0.25">
      <c r="C79" s="64"/>
      <c r="D79" s="60"/>
      <c r="E79" s="74"/>
      <c r="F79" s="74"/>
      <c r="G79" s="74"/>
      <c r="H79" s="74"/>
      <c r="I79" s="74"/>
      <c r="J79" s="74"/>
      <c r="K79" s="74"/>
      <c r="L79" s="74"/>
      <c r="M79" s="157"/>
      <c r="N79" s="157"/>
      <c r="O79" s="157"/>
      <c r="P79" s="157"/>
      <c r="Q79" s="157"/>
    </row>
    <row r="80" spans="1:17" outlineLevel="1" x14ac:dyDescent="0.25">
      <c r="C80" s="64" t="s">
        <v>78</v>
      </c>
      <c r="D80" s="60" t="s">
        <v>49</v>
      </c>
      <c r="E80" s="156">
        <v>1734</v>
      </c>
      <c r="F80" s="156">
        <v>1981</v>
      </c>
      <c r="G80" s="156">
        <v>1521</v>
      </c>
      <c r="H80" s="74">
        <f>H81*H63</f>
        <v>1932.792329504216</v>
      </c>
      <c r="I80" s="74">
        <f t="shared" ref="I80:Q80" si="68">I81*I63</f>
        <v>2030.3180647496542</v>
      </c>
      <c r="J80" s="74">
        <f t="shared" si="68"/>
        <v>2112.08185995655</v>
      </c>
      <c r="K80" s="74">
        <f t="shared" si="68"/>
        <v>2197.14161097849</v>
      </c>
      <c r="L80" s="74">
        <f t="shared" si="68"/>
        <v>2263.348710859852</v>
      </c>
      <c r="M80" s="74">
        <f t="shared" si="68"/>
        <v>2331.5523336222282</v>
      </c>
      <c r="N80" s="74">
        <f t="shared" si="68"/>
        <v>2378.2823712546065</v>
      </c>
      <c r="O80" s="74">
        <f t="shared" si="68"/>
        <v>2425.9493762604779</v>
      </c>
      <c r="P80" s="74">
        <f t="shared" si="68"/>
        <v>2462.3821306401633</v>
      </c>
      <c r="Q80" s="74">
        <f t="shared" si="68"/>
        <v>2499.3624201359321</v>
      </c>
    </row>
    <row r="81" spans="3:17" outlineLevel="1" x14ac:dyDescent="0.25">
      <c r="C81" s="117" t="s">
        <v>80</v>
      </c>
      <c r="D81" s="114" t="s">
        <v>3</v>
      </c>
      <c r="E81" s="79">
        <f>E80/E63</f>
        <v>3.3708848086624354E-3</v>
      </c>
      <c r="F81" s="79">
        <f t="shared" ref="F81:G81" si="69">F80/F63</f>
        <v>3.7807941003580397E-3</v>
      </c>
      <c r="G81" s="79">
        <f t="shared" si="69"/>
        <v>2.7201954391568644E-3</v>
      </c>
      <c r="H81" s="158">
        <f>AVERAGE(E81:G81)</f>
        <v>3.2906247827257803E-3</v>
      </c>
      <c r="I81" s="158">
        <f>H81</f>
        <v>3.2906247827257803E-3</v>
      </c>
      <c r="J81" s="158">
        <f t="shared" ref="J81:Q81" si="70">I81</f>
        <v>3.2906247827257803E-3</v>
      </c>
      <c r="K81" s="158">
        <f t="shared" si="70"/>
        <v>3.2906247827257803E-3</v>
      </c>
      <c r="L81" s="158">
        <f t="shared" si="70"/>
        <v>3.2906247827257803E-3</v>
      </c>
      <c r="M81" s="158">
        <f t="shared" si="70"/>
        <v>3.2906247827257803E-3</v>
      </c>
      <c r="N81" s="158">
        <f t="shared" si="70"/>
        <v>3.2906247827257803E-3</v>
      </c>
      <c r="O81" s="158">
        <f t="shared" si="70"/>
        <v>3.2906247827257803E-3</v>
      </c>
      <c r="P81" s="158">
        <f t="shared" si="70"/>
        <v>3.2906247827257803E-3</v>
      </c>
      <c r="Q81" s="158">
        <f t="shared" si="70"/>
        <v>3.2906247827257803E-3</v>
      </c>
    </row>
    <row r="82" spans="3:17" outlineLevel="1" x14ac:dyDescent="0.25">
      <c r="C82" s="115"/>
      <c r="D82" s="60"/>
      <c r="E82" s="116"/>
      <c r="F82" s="116"/>
      <c r="G82" s="116"/>
      <c r="H82" s="116"/>
      <c r="I82" s="116"/>
      <c r="J82" s="116"/>
      <c r="K82" s="116"/>
      <c r="L82" s="116"/>
      <c r="M82" s="157"/>
      <c r="N82" s="157"/>
      <c r="O82" s="157"/>
      <c r="P82" s="157"/>
      <c r="Q82" s="157"/>
    </row>
    <row r="83" spans="3:17" hidden="1" outlineLevel="2" x14ac:dyDescent="0.25">
      <c r="C83" s="63" t="s">
        <v>134</v>
      </c>
      <c r="D83" s="61"/>
      <c r="F83" s="4"/>
      <c r="M83" s="157"/>
      <c r="N83" s="157"/>
      <c r="O83" s="157"/>
      <c r="P83" s="157"/>
      <c r="Q83" s="157"/>
    </row>
    <row r="84" spans="3:17" hidden="1" outlineLevel="2" x14ac:dyDescent="0.25">
      <c r="C84" s="64" t="s">
        <v>7</v>
      </c>
      <c r="D84" s="60" t="s">
        <v>49</v>
      </c>
      <c r="E84" s="156">
        <v>-368</v>
      </c>
      <c r="F84" s="156">
        <v>154</v>
      </c>
      <c r="G84" s="156">
        <v>-1086</v>
      </c>
      <c r="H84" s="81"/>
      <c r="I84" s="81"/>
      <c r="J84" s="81"/>
      <c r="K84" s="81"/>
      <c r="L84" s="81"/>
      <c r="M84" s="157"/>
      <c r="N84" s="157"/>
      <c r="O84" s="157"/>
      <c r="P84" s="157"/>
      <c r="Q84" s="157"/>
    </row>
    <row r="85" spans="3:17" hidden="1" outlineLevel="2" x14ac:dyDescent="0.25">
      <c r="C85" s="64" t="s">
        <v>8</v>
      </c>
      <c r="D85" s="60" t="s">
        <v>49</v>
      </c>
      <c r="E85" s="156">
        <v>-1311</v>
      </c>
      <c r="F85" s="156">
        <v>-300</v>
      </c>
      <c r="G85" s="156">
        <v>-2395</v>
      </c>
      <c r="H85" s="81"/>
      <c r="I85" s="81"/>
      <c r="J85" s="81"/>
      <c r="K85" s="81"/>
      <c r="L85" s="81"/>
      <c r="M85" s="157"/>
      <c r="N85" s="157"/>
      <c r="O85" s="157"/>
      <c r="P85" s="157"/>
      <c r="Q85" s="157"/>
    </row>
    <row r="86" spans="3:17" hidden="1" outlineLevel="2" x14ac:dyDescent="0.25">
      <c r="C86" s="64" t="s">
        <v>9</v>
      </c>
      <c r="D86" s="60" t="s">
        <v>49</v>
      </c>
      <c r="E86" s="156">
        <v>1831</v>
      </c>
      <c r="F86" s="156">
        <v>-274</v>
      </c>
      <c r="G86" s="156">
        <v>6966</v>
      </c>
      <c r="H86" s="81"/>
      <c r="I86" s="81"/>
      <c r="J86" s="81"/>
      <c r="K86" s="81"/>
      <c r="L86" s="81"/>
      <c r="M86" s="157"/>
      <c r="N86" s="157"/>
      <c r="O86" s="157"/>
      <c r="P86" s="157"/>
      <c r="Q86" s="157"/>
    </row>
    <row r="87" spans="3:17" hidden="1" outlineLevel="2" x14ac:dyDescent="0.25">
      <c r="C87" s="115" t="s">
        <v>14</v>
      </c>
      <c r="D87" s="60" t="s">
        <v>49</v>
      </c>
      <c r="E87" s="156">
        <v>183</v>
      </c>
      <c r="F87" s="156">
        <v>186</v>
      </c>
      <c r="G87" s="156">
        <v>4623</v>
      </c>
      <c r="H87" s="81"/>
      <c r="I87" s="81"/>
      <c r="J87" s="81"/>
      <c r="K87" s="81"/>
      <c r="L87" s="81"/>
      <c r="M87" s="157"/>
      <c r="N87" s="157"/>
      <c r="O87" s="157"/>
      <c r="P87" s="157"/>
      <c r="Q87" s="157"/>
    </row>
    <row r="88" spans="3:17" hidden="1" outlineLevel="2" x14ac:dyDescent="0.25">
      <c r="C88" s="65" t="s">
        <v>124</v>
      </c>
      <c r="D88" s="72" t="s">
        <v>49</v>
      </c>
      <c r="E88" s="233">
        <v>-40</v>
      </c>
      <c r="F88" s="233">
        <v>-93</v>
      </c>
      <c r="G88" s="233">
        <v>-136</v>
      </c>
      <c r="H88" s="90"/>
      <c r="I88" s="90"/>
      <c r="J88" s="90"/>
      <c r="K88" s="90"/>
      <c r="L88" s="90"/>
      <c r="M88" s="159"/>
      <c r="N88" s="159"/>
      <c r="O88" s="159"/>
      <c r="P88" s="159"/>
      <c r="Q88" s="159"/>
    </row>
    <row r="89" spans="3:17" outlineLevel="1" collapsed="1" x14ac:dyDescent="0.25">
      <c r="C89" s="120" t="s">
        <v>133</v>
      </c>
      <c r="D89" s="60" t="s">
        <v>49</v>
      </c>
      <c r="E89" s="121">
        <f t="shared" ref="E89:G89" si="71">SUM(E84:E88)</f>
        <v>295</v>
      </c>
      <c r="F89" s="121">
        <f t="shared" si="71"/>
        <v>-327</v>
      </c>
      <c r="G89" s="121">
        <f t="shared" si="71"/>
        <v>7972</v>
      </c>
      <c r="H89" s="121">
        <f>H90*(H63-G63)</f>
        <v>2821.2329800000066</v>
      </c>
      <c r="I89" s="121">
        <f t="shared" ref="I89:Q89" si="72">I90*(I63-H63)</f>
        <v>2815.5579745686</v>
      </c>
      <c r="J89" s="121">
        <f t="shared" si="72"/>
        <v>2236.2748883587492</v>
      </c>
      <c r="K89" s="121">
        <f t="shared" si="72"/>
        <v>2197.1751002482474</v>
      </c>
      <c r="L89" s="121">
        <f t="shared" si="72"/>
        <v>1609.5934177343547</v>
      </c>
      <c r="M89" s="121">
        <f t="shared" si="72"/>
        <v>1554.4986271394357</v>
      </c>
      <c r="N89" s="121">
        <f t="shared" si="72"/>
        <v>1065.0721531140996</v>
      </c>
      <c r="O89" s="121">
        <f t="shared" si="72"/>
        <v>1086.427536256198</v>
      </c>
      <c r="P89" s="121">
        <f t="shared" si="72"/>
        <v>830.3762230262422</v>
      </c>
      <c r="Q89" s="121">
        <f t="shared" si="72"/>
        <v>842.8556566954561</v>
      </c>
    </row>
    <row r="90" spans="3:17" outlineLevel="1" x14ac:dyDescent="0.25">
      <c r="C90" s="64" t="s">
        <v>85</v>
      </c>
      <c r="D90" s="119" t="s">
        <v>3</v>
      </c>
      <c r="E90" s="79" t="str">
        <f>IFERROR(E89/(E63-D63),"N/A")</f>
        <v>N/A</v>
      </c>
      <c r="F90" s="79">
        <f>IFERROR(F89/(F63-E63),"N/A")</f>
        <v>-3.4208599225860448E-2</v>
      </c>
      <c r="G90" s="79">
        <f>IFERROR(G89/(G63-F63),"N/A")</f>
        <v>0.226560945803848</v>
      </c>
      <c r="H90" s="234">
        <v>0.1</v>
      </c>
      <c r="I90" s="234">
        <v>9.5000000000000001E-2</v>
      </c>
      <c r="J90" s="234">
        <v>0.09</v>
      </c>
      <c r="K90" s="234">
        <v>8.5000000000000006E-2</v>
      </c>
      <c r="L90" s="234">
        <v>0.08</v>
      </c>
      <c r="M90" s="234">
        <v>7.4999999999999997E-2</v>
      </c>
      <c r="N90" s="234">
        <v>7.4999999999999997E-2</v>
      </c>
      <c r="O90" s="234">
        <v>7.4999999999999997E-2</v>
      </c>
      <c r="P90" s="234">
        <v>7.4999999999999997E-2</v>
      </c>
      <c r="Q90" s="234">
        <v>7.4999999999999997E-2</v>
      </c>
    </row>
    <row r="91" spans="3:17" outlineLevel="1" x14ac:dyDescent="0.25">
      <c r="C91" s="62"/>
      <c r="D91" s="61"/>
      <c r="F91" s="4"/>
      <c r="M91" s="157"/>
      <c r="N91" s="157"/>
      <c r="O91" s="157"/>
      <c r="P91" s="157"/>
      <c r="Q91" s="157"/>
    </row>
    <row r="92" spans="3:17" outlineLevel="1" x14ac:dyDescent="0.25">
      <c r="C92" s="62" t="s">
        <v>123</v>
      </c>
      <c r="D92" s="60" t="s">
        <v>49</v>
      </c>
      <c r="E92" s="74">
        <v>-10344</v>
      </c>
      <c r="F92" s="74">
        <v>-10705</v>
      </c>
      <c r="G92" s="74">
        <v>-10264</v>
      </c>
      <c r="H92" s="74">
        <f>-H49*G40-H55*(H40-G40)</f>
        <v>-13860.008255093013</v>
      </c>
      <c r="I92" s="74">
        <f t="shared" ref="I92:Q92" si="73">-I49*H40-I55*(I40-H40)</f>
        <v>-14561.32467280072</v>
      </c>
      <c r="J92" s="74">
        <f t="shared" si="73"/>
        <v>-14313.897578523141</v>
      </c>
      <c r="K92" s="74">
        <f t="shared" si="73"/>
        <v>-14891.821193256004</v>
      </c>
      <c r="L92" s="74">
        <f t="shared" si="73"/>
        <v>-14427.767335295292</v>
      </c>
      <c r="M92" s="74">
        <f t="shared" si="73"/>
        <v>-14863.485908821212</v>
      </c>
      <c r="N92" s="74">
        <f t="shared" si="73"/>
        <v>-14181.735645484521</v>
      </c>
      <c r="O92" s="74">
        <f t="shared" si="73"/>
        <v>-14466.43398856762</v>
      </c>
      <c r="P92" s="74">
        <f t="shared" si="73"/>
        <v>-14689.618097580162</v>
      </c>
      <c r="Q92" s="74">
        <f t="shared" si="73"/>
        <v>-14910.696849948732</v>
      </c>
    </row>
    <row r="93" spans="3:17" outlineLevel="1" x14ac:dyDescent="0.25">
      <c r="C93" s="265" t="s">
        <v>80</v>
      </c>
      <c r="D93" s="266" t="s">
        <v>3</v>
      </c>
      <c r="E93" s="263">
        <f>-E92/E63</f>
        <v>2.0108669239218127E-2</v>
      </c>
      <c r="F93" s="263">
        <f t="shared" ref="F93:G93" si="74">-F92/F63</f>
        <v>2.0430792955241198E-2</v>
      </c>
      <c r="G93" s="263">
        <f t="shared" si="74"/>
        <v>1.8356401043725219E-2</v>
      </c>
      <c r="H93" s="263">
        <f>-H92/H63</f>
        <v>2.3596992784368085E-2</v>
      </c>
      <c r="I93" s="263">
        <f t="shared" ref="I93:Q93" si="75">-I92/I63</f>
        <v>2.3600172145216376E-2</v>
      </c>
      <c r="J93" s="263">
        <f t="shared" si="75"/>
        <v>2.230106086430559E-2</v>
      </c>
      <c r="K93" s="263">
        <f t="shared" si="75"/>
        <v>2.2303248745366804E-2</v>
      </c>
      <c r="L93" s="263">
        <f t="shared" si="75"/>
        <v>2.0976161792977885E-2</v>
      </c>
      <c r="M93" s="263">
        <f t="shared" si="75"/>
        <v>2.0977506866970974E-2</v>
      </c>
      <c r="N93" s="263">
        <f t="shared" si="75"/>
        <v>1.9622047970897168E-2</v>
      </c>
      <c r="O93" s="263">
        <f t="shared" si="75"/>
        <v>1.9622670887645056E-2</v>
      </c>
      <c r="P93" s="263">
        <f t="shared" si="75"/>
        <v>1.9630592977097194E-2</v>
      </c>
      <c r="Q93" s="263">
        <f t="shared" si="75"/>
        <v>1.9631210018547056E-2</v>
      </c>
    </row>
    <row r="94" spans="3:17" outlineLevel="1" x14ac:dyDescent="0.25">
      <c r="C94" s="62"/>
      <c r="D94" s="61"/>
      <c r="F94" s="4"/>
      <c r="M94" s="2"/>
    </row>
    <row r="95" spans="3:17" outlineLevel="1" x14ac:dyDescent="0.25">
      <c r="C95" s="82" t="s">
        <v>86</v>
      </c>
      <c r="D95" s="83" t="s">
        <v>49</v>
      </c>
      <c r="E95" s="124">
        <f t="shared" ref="E95:G95" si="76">+E71+E74+E77+E80+E89+E92</f>
        <v>16545.144664450476</v>
      </c>
      <c r="F95" s="124">
        <f t="shared" si="76"/>
        <v>16405.953895833918</v>
      </c>
      <c r="G95" s="124">
        <f t="shared" si="76"/>
        <v>27770.907785126001</v>
      </c>
      <c r="H95" s="124">
        <f>H71+H74+H77+H80+H89+H92</f>
        <v>19293.338013328317</v>
      </c>
      <c r="I95" s="124">
        <f t="shared" ref="I95:Q95" si="77">I71+I74+I77+I80+I89+I92</f>
        <v>20021.952001396603</v>
      </c>
      <c r="J95" s="124">
        <f t="shared" si="77"/>
        <v>20869.587254926348</v>
      </c>
      <c r="K95" s="124">
        <f t="shared" si="77"/>
        <v>21475.830359104843</v>
      </c>
      <c r="L95" s="124">
        <f t="shared" si="77"/>
        <v>22274.118607676537</v>
      </c>
      <c r="M95" s="160">
        <f t="shared" si="77"/>
        <v>22729.968869697143</v>
      </c>
      <c r="N95" s="160">
        <f t="shared" si="77"/>
        <v>23576.699611468488</v>
      </c>
      <c r="O95" s="160">
        <f t="shared" si="77"/>
        <v>23979.861247213001</v>
      </c>
      <c r="P95" s="160">
        <f t="shared" si="77"/>
        <v>24034.377361421226</v>
      </c>
      <c r="Q95" s="160">
        <f t="shared" si="77"/>
        <v>24367.19094753838</v>
      </c>
    </row>
    <row r="96" spans="3:17" outlineLevel="1" x14ac:dyDescent="0.25">
      <c r="C96" s="86" t="s">
        <v>83</v>
      </c>
      <c r="D96" s="84" t="s">
        <v>3</v>
      </c>
      <c r="E96" s="89" t="str">
        <f>IFERROR(+E95/#REF!-1,"N/A")</f>
        <v>N/A</v>
      </c>
      <c r="F96" s="89">
        <f t="shared" ref="F96" si="78">IFERROR(+F95/E95-1,"N/A")</f>
        <v>-8.4127864361094318E-3</v>
      </c>
      <c r="G96" s="89">
        <f t="shared" ref="G96:H96" si="79">IFERROR(+G95/F95-1,"N/A")</f>
        <v>0.69273350159651903</v>
      </c>
      <c r="H96" s="89">
        <f t="shared" si="79"/>
        <v>-0.30526801058834097</v>
      </c>
      <c r="I96" s="89">
        <f t="shared" ref="I96" si="80">IFERROR(+I95/H95-1,"N/A")</f>
        <v>3.7765055873946851E-2</v>
      </c>
      <c r="J96" s="89">
        <f t="shared" ref="J96" si="81">IFERROR(+J95/I95-1,"N/A")</f>
        <v>4.2335295453241439E-2</v>
      </c>
      <c r="K96" s="89">
        <f t="shared" ref="K96" si="82">IFERROR(+K95/J95-1,"N/A")</f>
        <v>2.9049118067027813E-2</v>
      </c>
      <c r="L96" s="89">
        <f t="shared" ref="L96" si="83">IFERROR(+L95/K95-1,"N/A")</f>
        <v>3.717147301050705E-2</v>
      </c>
      <c r="M96" s="161">
        <f t="shared" ref="M96" si="84">IFERROR(+M95/L95-1,"N/A")</f>
        <v>2.0465468019170041E-2</v>
      </c>
      <c r="N96" s="161">
        <f t="shared" ref="N96" si="85">IFERROR(+N95/M95-1,"N/A")</f>
        <v>3.7251733454865432E-2</v>
      </c>
      <c r="O96" s="161">
        <f t="shared" ref="O96" si="86">IFERROR(+O95/N95-1,"N/A")</f>
        <v>1.7100003070336545E-2</v>
      </c>
      <c r="P96" s="161">
        <f t="shared" ref="P96" si="87">IFERROR(+P95/O95-1,"N/A")</f>
        <v>2.2734124124492716E-3</v>
      </c>
      <c r="Q96" s="161">
        <f t="shared" ref="Q96" si="88">IFERROR(+Q95/P95-1,"N/A")</f>
        <v>1.3847397879812373E-2</v>
      </c>
    </row>
    <row r="97" spans="2:18" outlineLevel="1" x14ac:dyDescent="0.25">
      <c r="C97" s="86"/>
      <c r="D97" s="84"/>
      <c r="E97" s="89"/>
      <c r="F97" s="89"/>
      <c r="G97" s="89"/>
      <c r="H97" s="89"/>
      <c r="I97" s="89"/>
      <c r="J97" s="89"/>
      <c r="K97" s="89"/>
      <c r="L97" s="89"/>
      <c r="M97" s="161"/>
      <c r="N97" s="161"/>
      <c r="O97" s="161"/>
      <c r="P97" s="161"/>
      <c r="Q97" s="161"/>
    </row>
    <row r="98" spans="2:18" outlineLevel="1" x14ac:dyDescent="0.25">
      <c r="C98" s="238" t="s">
        <v>128</v>
      </c>
      <c r="D98" s="84" t="s">
        <v>87</v>
      </c>
      <c r="E98" s="89"/>
      <c r="F98" s="89"/>
      <c r="G98" s="89"/>
      <c r="H98" s="164">
        <v>1</v>
      </c>
      <c r="I98" s="239">
        <f>H98+1</f>
        <v>2</v>
      </c>
      <c r="J98" s="240">
        <f t="shared" ref="J98:Q98" si="89">I98+1</f>
        <v>3</v>
      </c>
      <c r="K98" s="240">
        <f t="shared" si="89"/>
        <v>4</v>
      </c>
      <c r="L98" s="240">
        <f t="shared" si="89"/>
        <v>5</v>
      </c>
      <c r="M98" s="240">
        <f t="shared" si="89"/>
        <v>6</v>
      </c>
      <c r="N98" s="240">
        <f t="shared" si="89"/>
        <v>7</v>
      </c>
      <c r="O98" s="240">
        <f t="shared" si="89"/>
        <v>8</v>
      </c>
      <c r="P98" s="240">
        <f t="shared" si="89"/>
        <v>9</v>
      </c>
      <c r="Q98" s="240">
        <f t="shared" si="89"/>
        <v>10</v>
      </c>
    </row>
    <row r="99" spans="2:18" outlineLevel="1" x14ac:dyDescent="0.25">
      <c r="C99" s="15" t="s">
        <v>89</v>
      </c>
      <c r="D99" s="60" t="s">
        <v>49</v>
      </c>
      <c r="F99" s="4"/>
      <c r="H99" s="123">
        <f t="shared" ref="H99:Q99" si="90">H95/((1+Discount_Rate)^H98)</f>
        <v>18484.655317211247</v>
      </c>
      <c r="I99" s="123">
        <f t="shared" si="90"/>
        <v>18378.682837694229</v>
      </c>
      <c r="J99" s="123">
        <f t="shared" si="90"/>
        <v>18353.792221502979</v>
      </c>
      <c r="K99" s="123">
        <f t="shared" si="90"/>
        <v>18095.304652406179</v>
      </c>
      <c r="L99" s="123">
        <f t="shared" si="90"/>
        <v>17981.273469459065</v>
      </c>
      <c r="M99" s="123">
        <f t="shared" si="90"/>
        <v>17580.156737048554</v>
      </c>
      <c r="N99" s="123">
        <f t="shared" si="90"/>
        <v>17470.723711083596</v>
      </c>
      <c r="O99" s="123">
        <f t="shared" si="90"/>
        <v>17024.663432415731</v>
      </c>
      <c r="P99" s="123">
        <f t="shared" si="90"/>
        <v>16348.154312205941</v>
      </c>
      <c r="Q99" s="123">
        <f t="shared" si="90"/>
        <v>15879.810038740065</v>
      </c>
    </row>
    <row r="100" spans="2:18" outlineLevel="1" x14ac:dyDescent="0.25">
      <c r="C100" s="15"/>
      <c r="F100" s="4"/>
      <c r="M100" s="157"/>
      <c r="N100" s="157"/>
      <c r="O100" s="157"/>
      <c r="P100" s="157"/>
      <c r="Q100" s="157"/>
    </row>
    <row r="101" spans="2:18" outlineLevel="1" x14ac:dyDescent="0.25">
      <c r="C101" s="85" t="s">
        <v>12</v>
      </c>
      <c r="D101" s="87" t="s">
        <v>49</v>
      </c>
      <c r="E101" s="88">
        <f t="shared" ref="E101:Q101" si="91">+E66+E74</f>
        <v>32635</v>
      </c>
      <c r="F101" s="88">
        <f t="shared" si="91"/>
        <v>31555</v>
      </c>
      <c r="G101" s="88">
        <f t="shared" si="91"/>
        <v>33700</v>
      </c>
      <c r="H101" s="88">
        <f t="shared" si="91"/>
        <v>35348.344799999992</v>
      </c>
      <c r="I101" s="88">
        <f t="shared" si="91"/>
        <v>37077.508025279851</v>
      </c>
      <c r="J101" s="88">
        <f t="shared" si="91"/>
        <v>38512.648570703575</v>
      </c>
      <c r="K101" s="88">
        <f t="shared" si="91"/>
        <v>40003.549122057957</v>
      </c>
      <c r="L101" s="88">
        <f t="shared" si="91"/>
        <v>41145.674432288579</v>
      </c>
      <c r="M101" s="162">
        <f t="shared" si="91"/>
        <v>42320.632482776062</v>
      </c>
      <c r="N101" s="162">
        <f t="shared" si="91"/>
        <v>43101.219963053962</v>
      </c>
      <c r="O101" s="162">
        <f t="shared" si="91"/>
        <v>43896.439298785292</v>
      </c>
      <c r="P101" s="162">
        <f t="shared" si="91"/>
        <v>44528.644021537904</v>
      </c>
      <c r="Q101" s="162">
        <f t="shared" si="91"/>
        <v>45169.992610947535</v>
      </c>
    </row>
    <row r="102" spans="2:18" outlineLevel="1" x14ac:dyDescent="0.25">
      <c r="C102" s="86" t="s">
        <v>83</v>
      </c>
      <c r="D102" s="84" t="s">
        <v>3</v>
      </c>
      <c r="E102" s="89" t="str">
        <f>IFERROR(+E101/#REF!-1,"N/A")</f>
        <v>N/A</v>
      </c>
      <c r="F102" s="89">
        <f t="shared" ref="F102" si="92">IFERROR(+F101/E101-1,"N/A")</f>
        <v>-3.3093304734181039E-2</v>
      </c>
      <c r="G102" s="89">
        <f t="shared" ref="G102" si="93">IFERROR(+G101/F101-1,"N/A")</f>
        <v>6.7976548882902943E-2</v>
      </c>
      <c r="H102" s="89">
        <f t="shared" ref="H102" si="94">IFERROR(+H101/G101-1,"N/A")</f>
        <v>4.8912308605340904E-2</v>
      </c>
      <c r="I102" s="89">
        <f t="shared" ref="I102" si="95">IFERROR(+I101/H101-1,"N/A")</f>
        <v>4.8917798982198946E-2</v>
      </c>
      <c r="J102" s="89">
        <f t="shared" ref="J102" si="96">IFERROR(+J101/I101-1,"N/A")</f>
        <v>3.8706499488725843E-2</v>
      </c>
      <c r="K102" s="89">
        <f t="shared" ref="K102" si="97">IFERROR(+K101/J101-1,"N/A")</f>
        <v>3.8711971434976844E-2</v>
      </c>
      <c r="L102" s="89">
        <f t="shared" ref="L102:Q102" si="98">IFERROR(+L101/K101-1,"N/A")</f>
        <v>2.8550599516702801E-2</v>
      </c>
      <c r="M102" s="161">
        <f t="shared" si="98"/>
        <v>2.8556052773446527E-2</v>
      </c>
      <c r="N102" s="161">
        <f t="shared" si="98"/>
        <v>1.8444608090287584E-2</v>
      </c>
      <c r="O102" s="161">
        <f t="shared" si="98"/>
        <v>1.845004239817305E-2</v>
      </c>
      <c r="P102" s="161">
        <f t="shared" si="98"/>
        <v>1.4402186893780922E-2</v>
      </c>
      <c r="Q102" s="161">
        <f t="shared" si="98"/>
        <v>1.440305680764542E-2</v>
      </c>
    </row>
    <row r="104" spans="2:18" x14ac:dyDescent="0.25">
      <c r="B104" s="127" t="s">
        <v>117</v>
      </c>
      <c r="C104" s="127"/>
      <c r="D104" s="128"/>
      <c r="E104" s="129"/>
      <c r="F104" s="129"/>
      <c r="G104" s="130"/>
      <c r="H104" s="130"/>
      <c r="I104" s="130"/>
      <c r="J104" s="130"/>
      <c r="K104" s="130"/>
      <c r="L104" s="130"/>
      <c r="M104" s="130"/>
      <c r="N104" s="131"/>
      <c r="O104" s="131"/>
      <c r="P104" s="131"/>
      <c r="Q104" s="131"/>
      <c r="R104" s="131"/>
    </row>
    <row r="105" spans="2:18" outlineLevel="1" x14ac:dyDescent="0.25">
      <c r="B105" s="80"/>
      <c r="C105" s="80"/>
      <c r="G105" s="76"/>
      <c r="H105" s="76"/>
      <c r="I105" s="76"/>
      <c r="J105" s="76"/>
      <c r="K105" s="76"/>
      <c r="L105" s="76"/>
      <c r="M105" s="76"/>
      <c r="N105" s="80"/>
      <c r="O105" s="80"/>
      <c r="P105" s="80"/>
      <c r="Q105" s="80"/>
      <c r="R105" s="80"/>
    </row>
    <row r="106" spans="2:18" outlineLevel="1" x14ac:dyDescent="0.25">
      <c r="B106" s="80"/>
      <c r="C106" s="70" t="s">
        <v>118</v>
      </c>
      <c r="F106" s="76"/>
      <c r="G106" s="76"/>
      <c r="H106" s="76"/>
      <c r="I106" s="76"/>
      <c r="J106" s="76"/>
      <c r="K106" s="76"/>
      <c r="L106" s="76"/>
      <c r="M106" s="80"/>
      <c r="N106" s="80"/>
      <c r="O106" s="80"/>
      <c r="P106" s="80"/>
      <c r="Q106" s="80"/>
      <c r="R106" s="80"/>
    </row>
    <row r="107" spans="2:18" outlineLevel="1" x14ac:dyDescent="0.25">
      <c r="B107" s="80"/>
      <c r="C107" s="3"/>
      <c r="F107" s="76"/>
      <c r="G107" s="76"/>
      <c r="H107" s="76"/>
      <c r="I107" s="76"/>
      <c r="J107" s="76"/>
      <c r="K107" s="76"/>
      <c r="L107" s="76"/>
      <c r="M107" s="80"/>
      <c r="N107" s="80"/>
      <c r="O107" s="80"/>
      <c r="P107" s="80"/>
      <c r="Q107" s="80"/>
      <c r="R107" s="80"/>
    </row>
    <row r="108" spans="2:18" outlineLevel="1" x14ac:dyDescent="0.25">
      <c r="B108" s="80"/>
      <c r="C108" s="132"/>
      <c r="D108" s="133"/>
      <c r="E108" s="134" t="s">
        <v>119</v>
      </c>
      <c r="F108" s="134"/>
      <c r="G108" s="134"/>
      <c r="H108" s="134"/>
      <c r="I108" s="134"/>
      <c r="J108" s="134"/>
      <c r="K108" s="134"/>
      <c r="L108" s="134"/>
      <c r="M108" s="135"/>
      <c r="N108" s="135"/>
      <c r="O108" s="135"/>
      <c r="P108" s="80"/>
      <c r="Q108" s="80"/>
      <c r="R108" s="80"/>
    </row>
    <row r="109" spans="2:18" outlineLevel="1" x14ac:dyDescent="0.25">
      <c r="B109" s="80"/>
      <c r="C109" s="136"/>
      <c r="D109" s="137">
        <f>$N$34</f>
        <v>184.27843949817719</v>
      </c>
      <c r="E109" s="138">
        <v>-1.2500000000000001E-2</v>
      </c>
      <c r="F109" s="138">
        <f>+E109+0.25%</f>
        <v>-0.01</v>
      </c>
      <c r="G109" s="138">
        <f t="shared" ref="G109:O109" si="99">+F109+0.25%</f>
        <v>-7.4999999999999997E-3</v>
      </c>
      <c r="H109" s="138">
        <f t="shared" si="99"/>
        <v>-4.9999999999999992E-3</v>
      </c>
      <c r="I109" s="138">
        <f t="shared" si="99"/>
        <v>-2.4999999999999992E-3</v>
      </c>
      <c r="J109" s="138">
        <f t="shared" si="99"/>
        <v>0</v>
      </c>
      <c r="K109" s="138">
        <f t="shared" si="99"/>
        <v>2.5000000000000001E-3</v>
      </c>
      <c r="L109" s="138">
        <f t="shared" si="99"/>
        <v>5.0000000000000001E-3</v>
      </c>
      <c r="M109" s="259">
        <f t="shared" si="99"/>
        <v>7.4999999999999997E-3</v>
      </c>
      <c r="N109" s="260">
        <f t="shared" si="99"/>
        <v>0.01</v>
      </c>
      <c r="O109" s="261">
        <f t="shared" si="99"/>
        <v>1.2500000000000001E-2</v>
      </c>
      <c r="P109" s="80"/>
      <c r="Q109" s="80"/>
      <c r="R109" s="80"/>
    </row>
    <row r="110" spans="2:18" outlineLevel="1" x14ac:dyDescent="0.25">
      <c r="B110" s="80"/>
      <c r="C110" s="268" t="s">
        <v>88</v>
      </c>
      <c r="D110" s="138">
        <v>5.3999999999999999E-2</v>
      </c>
      <c r="E110" s="139">
        <f t="dataTable" ref="E110:O118" dt2D="1" dtr="1" r1="N11" r2="D12" ca="1"/>
        <v>128.76978489078732</v>
      </c>
      <c r="F110" s="140">
        <v>131.90156232784108</v>
      </c>
      <c r="G110" s="140">
        <v>135.2879558166878</v>
      </c>
      <c r="H110" s="140">
        <v>138.96133180458935</v>
      </c>
      <c r="I110" s="141">
        <v>142.95978531354413</v>
      </c>
      <c r="J110" s="245">
        <v>147.32846599925398</v>
      </c>
      <c r="K110" s="140">
        <v>152.12129044085796</v>
      </c>
      <c r="L110" s="140">
        <v>157.40317860099302</v>
      </c>
      <c r="M110" s="142">
        <v>163.25301172458344</v>
      </c>
      <c r="N110" s="142">
        <v>169.76759861221822</v>
      </c>
      <c r="O110" s="142">
        <v>177.06707548631505</v>
      </c>
      <c r="P110" s="80"/>
      <c r="Q110" s="151"/>
      <c r="R110" s="80"/>
    </row>
    <row r="111" spans="2:18" outlineLevel="1" x14ac:dyDescent="0.25">
      <c r="B111" s="80"/>
      <c r="C111" s="269"/>
      <c r="D111" s="138">
        <f>+D110-0.25%</f>
        <v>5.1499999999999997E-2</v>
      </c>
      <c r="E111" s="143">
        <v>134.32083080992101</v>
      </c>
      <c r="F111" s="144">
        <v>137.78037932337267</v>
      </c>
      <c r="G111" s="144">
        <v>141.53310991423547</v>
      </c>
      <c r="H111" s="144">
        <v>145.61794055738699</v>
      </c>
      <c r="I111" s="145">
        <v>150.08099626008962</v>
      </c>
      <c r="J111" s="246">
        <v>154.97735834169541</v>
      </c>
      <c r="K111" s="144">
        <v>160.37334920713849</v>
      </c>
      <c r="L111" s="144">
        <v>166.34955414413463</v>
      </c>
      <c r="M111" s="146">
        <v>173.0048732785167</v>
      </c>
      <c r="N111" s="146">
        <v>180.46203809173994</v>
      </c>
      <c r="O111" s="146">
        <v>188.87524967588928</v>
      </c>
      <c r="P111" s="80"/>
      <c r="Q111" s="80"/>
      <c r="R111" s="80"/>
    </row>
    <row r="112" spans="2:18" outlineLevel="1" x14ac:dyDescent="0.25">
      <c r="B112" s="80"/>
      <c r="C112" s="269"/>
      <c r="D112" s="138">
        <f t="shared" ref="D112:D118" si="100">+D111-0.25%</f>
        <v>4.8999999999999995E-2</v>
      </c>
      <c r="E112" s="143">
        <v>140.32858326420342</v>
      </c>
      <c r="F112" s="144">
        <v>144.16257777645859</v>
      </c>
      <c r="G112" s="144">
        <v>148.33586383847091</v>
      </c>
      <c r="H112" s="144">
        <v>152.89556527659545</v>
      </c>
      <c r="I112" s="145">
        <v>157.89795617473206</v>
      </c>
      <c r="J112" s="246">
        <v>163.41079512369896</v>
      </c>
      <c r="K112" s="144">
        <v>169.51641245427521</v>
      </c>
      <c r="L112" s="144">
        <v>176.31584993605324</v>
      </c>
      <c r="M112" s="146">
        <v>183.93449675298535</v>
      </c>
      <c r="N112" s="146">
        <v>192.52989316183178</v>
      </c>
      <c r="O112" s="146">
        <v>202.30274113353391</v>
      </c>
      <c r="P112" s="80"/>
      <c r="Q112" s="80"/>
      <c r="R112" s="80"/>
    </row>
    <row r="113" spans="2:18" outlineLevel="1" x14ac:dyDescent="0.25">
      <c r="B113" s="80"/>
      <c r="C113" s="269"/>
      <c r="D113" s="138">
        <f t="shared" si="100"/>
        <v>4.6499999999999993E-2</v>
      </c>
      <c r="E113" s="143">
        <v>146.85121127467445</v>
      </c>
      <c r="F113" s="144">
        <v>151.11508617788948</v>
      </c>
      <c r="G113" s="144">
        <v>155.77376431288366</v>
      </c>
      <c r="H113" s="144">
        <v>160.88474129593556</v>
      </c>
      <c r="I113" s="145">
        <v>166.51724654256415</v>
      </c>
      <c r="J113" s="246">
        <v>172.75539751463668</v>
      </c>
      <c r="K113" s="144">
        <v>179.70242927899019</v>
      </c>
      <c r="L113" s="144">
        <v>187.48645282218146</v>
      </c>
      <c r="M113" s="146">
        <v>196.26842810167932</v>
      </c>
      <c r="N113" s="146">
        <v>206.25341369343718</v>
      </c>
      <c r="O113" s="146">
        <v>217.70677951927709</v>
      </c>
      <c r="P113" s="80"/>
      <c r="Q113" s="80"/>
      <c r="R113" s="80"/>
    </row>
    <row r="114" spans="2:18" outlineLevel="1" x14ac:dyDescent="0.25">
      <c r="B114" s="80"/>
      <c r="C114" s="269"/>
      <c r="D114" s="138">
        <f t="shared" si="100"/>
        <v>4.3999999999999991E-2</v>
      </c>
      <c r="E114" s="247">
        <v>153.95718207461698</v>
      </c>
      <c r="F114" s="246">
        <v>158.71722985872307</v>
      </c>
      <c r="G114" s="246">
        <v>163.93941820439287</v>
      </c>
      <c r="H114" s="246">
        <v>169.69448291186569</v>
      </c>
      <c r="I114" s="248">
        <v>176.0683717814324</v>
      </c>
      <c r="J114" s="246">
        <v>183.16656620435896</v>
      </c>
      <c r="K114" s="246">
        <v>191.11996477462606</v>
      </c>
      <c r="L114" s="246">
        <v>200.09302982826071</v>
      </c>
      <c r="M114" s="249">
        <v>210.29528187554399</v>
      </c>
      <c r="N114" s="249">
        <v>221.99786510625131</v>
      </c>
      <c r="O114" s="249">
        <v>235.55800123072163</v>
      </c>
      <c r="P114" s="80"/>
      <c r="Q114" s="80"/>
      <c r="R114" s="80"/>
    </row>
    <row r="115" spans="2:18" outlineLevel="1" x14ac:dyDescent="0.25">
      <c r="B115" s="80"/>
      <c r="C115" s="269"/>
      <c r="D115" s="138">
        <f t="shared" si="100"/>
        <v>4.1499999999999988E-2</v>
      </c>
      <c r="E115" s="143">
        <v>161.72764503483035</v>
      </c>
      <c r="F115" s="144">
        <v>167.06374000801313</v>
      </c>
      <c r="G115" s="144">
        <v>172.94433446825536</v>
      </c>
      <c r="H115" s="144">
        <v>179.45725091346992</v>
      </c>
      <c r="I115" s="145">
        <v>186.71027150018605</v>
      </c>
      <c r="J115" s="246">
        <v>194.83714998891625</v>
      </c>
      <c r="K115" s="144">
        <v>204.00593597620161</v>
      </c>
      <c r="L115" s="144">
        <v>214.43072004393693</v>
      </c>
      <c r="M115" s="146">
        <v>226.38856059222167</v>
      </c>
      <c r="N115" s="146">
        <v>240.24447106880552</v>
      </c>
      <c r="O115" s="146">
        <v>256.48933162755901</v>
      </c>
      <c r="P115" s="80"/>
      <c r="Q115" s="80"/>
      <c r="R115" s="80"/>
    </row>
    <row r="116" spans="2:18" outlineLevel="1" x14ac:dyDescent="0.25">
      <c r="B116" s="80"/>
      <c r="C116" s="269"/>
      <c r="D116" s="153">
        <f t="shared" si="100"/>
        <v>3.8999999999999986E-2</v>
      </c>
      <c r="E116" s="143">
        <v>170.25950993860906</v>
      </c>
      <c r="F116" s="144">
        <v>176.26868382082654</v>
      </c>
      <c r="G116" s="144">
        <v>182.92400543231471</v>
      </c>
      <c r="H116" s="144">
        <v>190.33561359056293</v>
      </c>
      <c r="I116" s="145">
        <v>198.64018658715426</v>
      </c>
      <c r="J116" s="246">
        <v>208.00944842946248</v>
      </c>
      <c r="K116" s="144">
        <v>218.66217079811426</v>
      </c>
      <c r="L116" s="144">
        <v>230.88146998568533</v>
      </c>
      <c r="M116" s="146">
        <v>245.04034047287104</v>
      </c>
      <c r="N116" s="146">
        <v>261.64039552681282</v>
      </c>
      <c r="O116" s="146">
        <v>281.37253643998883</v>
      </c>
      <c r="P116" s="80"/>
      <c r="Q116" s="80"/>
      <c r="R116" s="80"/>
    </row>
    <row r="117" spans="2:18" outlineLevel="1" x14ac:dyDescent="0.25">
      <c r="B117" s="80"/>
      <c r="C117" s="269"/>
      <c r="D117" s="153">
        <f t="shared" si="100"/>
        <v>3.6499999999999984E-2</v>
      </c>
      <c r="E117" s="143">
        <v>179.66946758855042</v>
      </c>
      <c r="F117" s="144">
        <v>186.47066243856796</v>
      </c>
      <c r="G117" s="144">
        <v>194.04472033972391</v>
      </c>
      <c r="H117" s="144">
        <v>202.53131533740461</v>
      </c>
      <c r="I117" s="145">
        <v>212.10593533478806</v>
      </c>
      <c r="J117" s="246">
        <v>222.99214711263491</v>
      </c>
      <c r="K117" s="144">
        <v>235.47927238722397</v>
      </c>
      <c r="L117" s="144">
        <v>249.94848103873187</v>
      </c>
      <c r="M117" s="146">
        <v>266.91238083705167</v>
      </c>
      <c r="N117" s="146">
        <v>287.07701644637507</v>
      </c>
      <c r="O117" s="146">
        <v>311.44261780764077</v>
      </c>
      <c r="P117" s="80"/>
      <c r="Q117" s="80"/>
      <c r="R117" s="80"/>
    </row>
    <row r="118" spans="2:18" outlineLevel="1" x14ac:dyDescent="0.25">
      <c r="B118" s="80"/>
      <c r="C118" s="270"/>
      <c r="D118" s="152">
        <f t="shared" si="100"/>
        <v>3.3999999999999982E-2</v>
      </c>
      <c r="E118" s="143">
        <v>190.09930738630581</v>
      </c>
      <c r="F118" s="144">
        <v>197.8397809172879</v>
      </c>
      <c r="G118" s="144">
        <v>206.51284162067742</v>
      </c>
      <c r="H118" s="144">
        <v>216.29783318347589</v>
      </c>
      <c r="I118" s="145">
        <v>227.42323454939745</v>
      </c>
      <c r="J118" s="246">
        <v>240.18472435148391</v>
      </c>
      <c r="K118" s="144">
        <v>254.9718474554889</v>
      </c>
      <c r="L118" s="144">
        <v>272.30847454294303</v>
      </c>
      <c r="M118" s="146">
        <v>292.91616334501111</v>
      </c>
      <c r="N118" s="146">
        <v>317.81712064751008</v>
      </c>
      <c r="O118" s="146">
        <v>348.50899825291572</v>
      </c>
      <c r="P118" s="80"/>
      <c r="Q118" s="80"/>
      <c r="R118" s="80"/>
    </row>
    <row r="119" spans="2:18" outlineLevel="1" x14ac:dyDescent="0.25">
      <c r="B119" s="80"/>
      <c r="C119" s="3"/>
      <c r="F119" s="76"/>
      <c r="G119" s="76"/>
      <c r="H119" s="76"/>
      <c r="I119" s="76"/>
      <c r="J119" s="76"/>
      <c r="K119" s="76"/>
      <c r="L119" s="76"/>
      <c r="M119" s="80"/>
      <c r="N119" s="80"/>
      <c r="O119" s="80"/>
      <c r="P119" s="80"/>
      <c r="Q119" s="80"/>
      <c r="R119" s="80"/>
    </row>
    <row r="120" spans="2:18" outlineLevel="1" x14ac:dyDescent="0.25">
      <c r="B120" s="80"/>
      <c r="C120" s="70" t="s">
        <v>120</v>
      </c>
      <c r="F120" s="76"/>
      <c r="G120" s="76"/>
      <c r="H120" s="76"/>
      <c r="I120" s="76"/>
      <c r="J120" s="76"/>
      <c r="K120" s="76"/>
      <c r="L120" s="76"/>
      <c r="M120" s="80"/>
      <c r="N120" s="80"/>
      <c r="O120" s="99"/>
      <c r="P120" s="80"/>
      <c r="Q120" s="80"/>
      <c r="R120" s="80"/>
    </row>
    <row r="121" spans="2:18" outlineLevel="1" x14ac:dyDescent="0.25">
      <c r="B121" s="80"/>
      <c r="C121" s="3"/>
      <c r="F121" s="76"/>
      <c r="G121" s="76"/>
      <c r="H121" s="76"/>
      <c r="I121" s="76"/>
      <c r="J121" s="76"/>
      <c r="K121" s="76"/>
      <c r="L121" s="76"/>
      <c r="M121" s="80"/>
      <c r="N121" s="80"/>
      <c r="O121" s="99"/>
      <c r="P121" s="80"/>
      <c r="Q121" s="80"/>
      <c r="R121" s="80"/>
    </row>
    <row r="122" spans="2:18" outlineLevel="1" x14ac:dyDescent="0.25">
      <c r="B122" s="80"/>
      <c r="C122" s="132"/>
      <c r="D122" s="133"/>
      <c r="E122" s="134" t="s">
        <v>121</v>
      </c>
      <c r="F122" s="134"/>
      <c r="G122" s="134"/>
      <c r="H122" s="134"/>
      <c r="I122" s="134"/>
      <c r="J122" s="134"/>
      <c r="K122" s="134"/>
      <c r="L122" s="134"/>
      <c r="M122" s="135"/>
      <c r="N122" s="135"/>
      <c r="O122" s="135"/>
      <c r="P122" s="80"/>
      <c r="Q122" s="80"/>
      <c r="R122" s="80"/>
    </row>
    <row r="123" spans="2:18" outlineLevel="1" x14ac:dyDescent="0.25">
      <c r="B123" s="80"/>
      <c r="C123" s="136"/>
      <c r="D123" s="137">
        <f>$I$34</f>
        <v>184.27843949817719</v>
      </c>
      <c r="E123" s="147">
        <v>9.5</v>
      </c>
      <c r="F123" s="147">
        <f>E123+0.8</f>
        <v>10.3</v>
      </c>
      <c r="G123" s="147">
        <f t="shared" ref="G123:O123" si="101">F123+0.8</f>
        <v>11.100000000000001</v>
      </c>
      <c r="H123" s="147">
        <f t="shared" si="101"/>
        <v>11.900000000000002</v>
      </c>
      <c r="I123" s="147">
        <f t="shared" si="101"/>
        <v>12.700000000000003</v>
      </c>
      <c r="J123" s="147">
        <f t="shared" si="101"/>
        <v>13.500000000000004</v>
      </c>
      <c r="K123" s="147">
        <f t="shared" si="101"/>
        <v>14.300000000000004</v>
      </c>
      <c r="L123" s="147">
        <f t="shared" si="101"/>
        <v>15.100000000000005</v>
      </c>
      <c r="M123" s="149">
        <f t="shared" si="101"/>
        <v>15.900000000000006</v>
      </c>
      <c r="N123" s="149">
        <f t="shared" si="101"/>
        <v>16.700000000000006</v>
      </c>
      <c r="O123" s="148">
        <f t="shared" si="101"/>
        <v>17.500000000000007</v>
      </c>
      <c r="P123" s="80"/>
      <c r="Q123" s="80"/>
      <c r="R123" s="80"/>
    </row>
    <row r="124" spans="2:18" outlineLevel="1" x14ac:dyDescent="0.25">
      <c r="B124" s="80"/>
      <c r="C124" s="268" t="str">
        <f>+C110</f>
        <v>Discount Rate (WACC):</v>
      </c>
      <c r="D124" s="138">
        <f>+D110</f>
        <v>5.3999999999999999E-2</v>
      </c>
      <c r="E124" s="139">
        <f t="dataTable" ref="E124:O132" dt2D="1" dtr="1" r1="I11" r2="D12"/>
        <v>142.73463490595429</v>
      </c>
      <c r="F124" s="140">
        <v>150.23610583572199</v>
      </c>
      <c r="G124" s="140">
        <v>157.73757676548968</v>
      </c>
      <c r="H124" s="245">
        <v>165.23904769525737</v>
      </c>
      <c r="I124" s="258">
        <v>172.74051862502506</v>
      </c>
      <c r="J124" s="140">
        <v>180.24198955479272</v>
      </c>
      <c r="K124" s="140">
        <v>187.74346048456042</v>
      </c>
      <c r="L124" s="140">
        <v>195.24493141432814</v>
      </c>
      <c r="M124" s="142">
        <v>202.74640234409583</v>
      </c>
      <c r="N124" s="142">
        <v>210.24787327386352</v>
      </c>
      <c r="O124" s="142">
        <v>217.74934420363121</v>
      </c>
      <c r="P124" s="80"/>
      <c r="Q124" s="80"/>
      <c r="R124" s="80"/>
    </row>
    <row r="125" spans="2:18" outlineLevel="1" x14ac:dyDescent="0.25">
      <c r="B125" s="80"/>
      <c r="C125" s="269"/>
      <c r="D125" s="138">
        <f t="shared" ref="D125:D132" si="102">+D111</f>
        <v>5.1499999999999997E-2</v>
      </c>
      <c r="E125" s="143">
        <v>145.61658058463553</v>
      </c>
      <c r="F125" s="144">
        <v>153.29832351037163</v>
      </c>
      <c r="G125" s="144">
        <v>160.98006643610771</v>
      </c>
      <c r="H125" s="246">
        <v>168.66180936184381</v>
      </c>
      <c r="I125" s="248">
        <v>176.34355228757988</v>
      </c>
      <c r="J125" s="144">
        <v>184.02529521331599</v>
      </c>
      <c r="K125" s="144">
        <v>191.70703813905206</v>
      </c>
      <c r="L125" s="144">
        <v>199.38878106478816</v>
      </c>
      <c r="M125" s="146">
        <v>207.07052399052426</v>
      </c>
      <c r="N125" s="146">
        <v>214.75226691626034</v>
      </c>
      <c r="O125" s="146">
        <v>222.43400984199644</v>
      </c>
      <c r="P125" s="80"/>
      <c r="Q125" s="80"/>
      <c r="R125" s="80"/>
    </row>
    <row r="126" spans="2:18" outlineLevel="1" x14ac:dyDescent="0.25">
      <c r="B126" s="80"/>
      <c r="C126" s="269"/>
      <c r="D126" s="138">
        <f t="shared" si="102"/>
        <v>4.8999999999999995E-2</v>
      </c>
      <c r="E126" s="143">
        <v>148.56919358105526</v>
      </c>
      <c r="F126" s="144">
        <v>156.43598539926688</v>
      </c>
      <c r="G126" s="144">
        <v>164.30277721747848</v>
      </c>
      <c r="H126" s="246">
        <v>172.1695690356901</v>
      </c>
      <c r="I126" s="248">
        <v>180.0363608539017</v>
      </c>
      <c r="J126" s="144">
        <v>187.90315267211338</v>
      </c>
      <c r="K126" s="144">
        <v>195.76994449032495</v>
      </c>
      <c r="L126" s="144">
        <v>203.63673630853663</v>
      </c>
      <c r="M126" s="146">
        <v>211.50352812674819</v>
      </c>
      <c r="N126" s="146">
        <v>219.37031994495982</v>
      </c>
      <c r="O126" s="146">
        <v>227.23711176317147</v>
      </c>
      <c r="P126" s="80"/>
      <c r="Q126" s="80"/>
      <c r="R126" s="80"/>
    </row>
    <row r="127" spans="2:18" outlineLevel="1" x14ac:dyDescent="0.25">
      <c r="B127" s="80"/>
      <c r="C127" s="269"/>
      <c r="D127" s="138">
        <f t="shared" si="102"/>
        <v>4.6499999999999993E-2</v>
      </c>
      <c r="E127" s="143">
        <v>151.5944407385075</v>
      </c>
      <c r="F127" s="144">
        <v>159.65119676527567</v>
      </c>
      <c r="G127" s="144">
        <v>167.70795279204378</v>
      </c>
      <c r="H127" s="246">
        <v>175.7647088188119</v>
      </c>
      <c r="I127" s="248">
        <v>183.82146484558007</v>
      </c>
      <c r="J127" s="144">
        <v>191.87822087234818</v>
      </c>
      <c r="K127" s="144">
        <v>199.93497689911635</v>
      </c>
      <c r="L127" s="144">
        <v>207.99173292588452</v>
      </c>
      <c r="M127" s="146">
        <v>216.04848895265263</v>
      </c>
      <c r="N127" s="146">
        <v>224.10524497942077</v>
      </c>
      <c r="O127" s="146">
        <v>232.16200100618892</v>
      </c>
      <c r="P127" s="80"/>
      <c r="Q127" s="80"/>
      <c r="R127" s="80"/>
    </row>
    <row r="128" spans="2:18" outlineLevel="1" x14ac:dyDescent="0.25">
      <c r="B128" s="80"/>
      <c r="C128" s="269"/>
      <c r="D128" s="138">
        <f t="shared" si="102"/>
        <v>4.3999999999999991E-2</v>
      </c>
      <c r="E128" s="247">
        <v>154.69434928745216</v>
      </c>
      <c r="F128" s="246">
        <v>162.94612761414572</v>
      </c>
      <c r="G128" s="246">
        <v>171.19790594083926</v>
      </c>
      <c r="H128" s="246">
        <v>179.44968426753283</v>
      </c>
      <c r="I128" s="248">
        <v>187.70146259422631</v>
      </c>
      <c r="J128" s="246">
        <v>195.95324092091991</v>
      </c>
      <c r="K128" s="246">
        <v>204.20501924761342</v>
      </c>
      <c r="L128" s="246">
        <v>212.45679757430696</v>
      </c>
      <c r="M128" s="249">
        <v>220.70857590100056</v>
      </c>
      <c r="N128" s="249">
        <v>228.96035422769404</v>
      </c>
      <c r="O128" s="249">
        <v>237.21213255438761</v>
      </c>
      <c r="P128" s="80"/>
      <c r="Q128" s="80"/>
      <c r="R128" s="80"/>
    </row>
    <row r="129" spans="2:18" outlineLevel="1" x14ac:dyDescent="0.25">
      <c r="B129" s="80"/>
      <c r="C129" s="269"/>
      <c r="D129" s="138">
        <f t="shared" si="102"/>
        <v>4.1499999999999988E-2</v>
      </c>
      <c r="E129" s="143">
        <v>157.87100886318422</v>
      </c>
      <c r="F129" s="144">
        <v>166.3230148601381</v>
      </c>
      <c r="G129" s="144">
        <v>174.77502085709199</v>
      </c>
      <c r="H129" s="246">
        <v>183.22702685404587</v>
      </c>
      <c r="I129" s="248">
        <v>191.67903285099976</v>
      </c>
      <c r="J129" s="144">
        <v>200.1310388479537</v>
      </c>
      <c r="K129" s="144">
        <v>208.58304484490759</v>
      </c>
      <c r="L129" s="144">
        <v>217.0350508418615</v>
      </c>
      <c r="M129" s="146">
        <v>225.48705683881539</v>
      </c>
      <c r="N129" s="146">
        <v>233.93906283576925</v>
      </c>
      <c r="O129" s="146">
        <v>242.39106883272316</v>
      </c>
      <c r="P129" s="80"/>
      <c r="Q129" s="80"/>
      <c r="R129" s="80"/>
    </row>
    <row r="130" spans="2:18" outlineLevel="1" x14ac:dyDescent="0.25">
      <c r="B130" s="80"/>
      <c r="C130" s="269"/>
      <c r="D130" s="153">
        <f t="shared" si="102"/>
        <v>3.8999999999999986E-2</v>
      </c>
      <c r="E130" s="143">
        <v>161.12657359624802</v>
      </c>
      <c r="F130" s="144">
        <v>169.78416456980406</v>
      </c>
      <c r="G130" s="144">
        <v>178.4417555433601</v>
      </c>
      <c r="H130" s="246">
        <v>187.09934651691617</v>
      </c>
      <c r="I130" s="248">
        <v>195.75693749047221</v>
      </c>
      <c r="J130" s="144">
        <v>204.41452846402822</v>
      </c>
      <c r="K130" s="144">
        <v>213.07211943758432</v>
      </c>
      <c r="L130" s="144">
        <v>221.72971041114039</v>
      </c>
      <c r="M130" s="146">
        <v>230.38730138469643</v>
      </c>
      <c r="N130" s="146">
        <v>239.04489235825244</v>
      </c>
      <c r="O130" s="146">
        <v>247.70248333180848</v>
      </c>
      <c r="P130" s="80"/>
      <c r="Q130" s="80"/>
      <c r="R130" s="80"/>
    </row>
    <row r="131" spans="2:18" outlineLevel="1" x14ac:dyDescent="0.25">
      <c r="C131" s="269"/>
      <c r="D131" s="153">
        <f t="shared" si="102"/>
        <v>3.6499999999999984E-2</v>
      </c>
      <c r="E131" s="143">
        <v>164.46326427840657</v>
      </c>
      <c r="F131" s="144">
        <v>173.33195428692579</v>
      </c>
      <c r="G131" s="144">
        <v>182.20064429544502</v>
      </c>
      <c r="H131" s="246">
        <v>191.0693343039643</v>
      </c>
      <c r="I131" s="248">
        <v>199.93802431248352</v>
      </c>
      <c r="J131" s="144">
        <v>208.8067143210028</v>
      </c>
      <c r="K131" s="144">
        <v>217.67540432952202</v>
      </c>
      <c r="L131" s="144">
        <v>226.5440943380413</v>
      </c>
      <c r="M131" s="146">
        <v>235.41278434656053</v>
      </c>
      <c r="N131" s="146">
        <v>244.28147435507975</v>
      </c>
      <c r="O131" s="146">
        <v>253.15016436359903</v>
      </c>
    </row>
    <row r="132" spans="2:18" outlineLevel="1" x14ac:dyDescent="0.25">
      <c r="C132" s="270"/>
      <c r="D132" s="152">
        <f t="shared" si="102"/>
        <v>3.3999999999999982E-2</v>
      </c>
      <c r="E132" s="143">
        <v>167.8833706071002</v>
      </c>
      <c r="F132" s="144">
        <v>176.96883544177555</v>
      </c>
      <c r="G132" s="144">
        <v>186.0543002764509</v>
      </c>
      <c r="H132" s="246">
        <v>195.13976511112625</v>
      </c>
      <c r="I132" s="248">
        <v>204.2252299458016</v>
      </c>
      <c r="J132" s="144">
        <v>213.31069478047692</v>
      </c>
      <c r="K132" s="144">
        <v>222.39615961515227</v>
      </c>
      <c r="L132" s="144">
        <v>231.48162444982768</v>
      </c>
      <c r="M132" s="146">
        <v>240.56708928450297</v>
      </c>
      <c r="N132" s="146">
        <v>249.65255411917832</v>
      </c>
      <c r="O132" s="146">
        <v>258.73801895385373</v>
      </c>
    </row>
    <row r="133" spans="2:18" outlineLevel="1" x14ac:dyDescent="0.25"/>
  </sheetData>
  <mergeCells count="2">
    <mergeCell ref="C124:C132"/>
    <mergeCell ref="C110:C118"/>
  </mergeCells>
  <pageMargins left="0.7" right="0.7" top="0.75" bottom="0.75" header="0.3" footer="0.3"/>
  <pageSetup scale="34" orientation="portrait" r:id="rId1"/>
  <rowBreaks count="2" manualBreakCount="2">
    <brk id="36" max="18" man="1"/>
    <brk id="103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autoPageBreaks="0"/>
  </sheetPr>
  <dimension ref="B1:AA50"/>
  <sheetViews>
    <sheetView showGridLines="0" zoomScaleNormal="100" workbookViewId="0">
      <selection activeCell="B2" sqref="B2"/>
    </sheetView>
  </sheetViews>
  <sheetFormatPr defaultColWidth="9.140625" defaultRowHeight="15.75" outlineLevelCol="1" x14ac:dyDescent="0.25"/>
  <cols>
    <col min="1" max="1" width="2.7109375" style="20" customWidth="1"/>
    <col min="2" max="2" width="39.28515625" style="20" bestFit="1" customWidth="1"/>
    <col min="3" max="3" width="6.28515625" style="20" customWidth="1" outlineLevel="1"/>
    <col min="4" max="12" width="12.7109375" style="20" customWidth="1"/>
    <col min="13" max="14" width="2.7109375" style="20" customWidth="1"/>
    <col min="15" max="23" width="10.7109375" style="20" customWidth="1"/>
    <col min="24" max="16384" width="9.140625" style="20"/>
  </cols>
  <sheetData>
    <row r="1" spans="2:27" ht="15.75" customHeight="1" x14ac:dyDescent="0.25"/>
    <row r="2" spans="2:27" ht="15.75" customHeight="1" x14ac:dyDescent="0.3">
      <c r="B2" s="229" t="str">
        <f>"WACC Analysis - "&amp;TEXT(Company_Name,"")</f>
        <v>WACC Analysis - Walmart Inc.</v>
      </c>
      <c r="C2" s="19"/>
    </row>
    <row r="3" spans="2:27" ht="15.75" customHeight="1" x14ac:dyDescent="0.25">
      <c r="B3" s="186" t="str">
        <f>DCF!$B$3</f>
        <v>($ in Millions Except Per Share and Per Unit Data)</v>
      </c>
    </row>
    <row r="4" spans="2:27" ht="15.75" customHeight="1" x14ac:dyDescent="0.25">
      <c r="AA4" s="15"/>
    </row>
    <row r="5" spans="2:27" ht="15.75" customHeight="1" x14ac:dyDescent="0.25">
      <c r="B5" s="21" t="s">
        <v>52</v>
      </c>
      <c r="C5" s="21"/>
      <c r="D5" s="22"/>
      <c r="E5" s="22"/>
      <c r="F5" s="22"/>
      <c r="G5" s="23"/>
      <c r="H5" s="23"/>
      <c r="AA5" s="15"/>
    </row>
    <row r="6" spans="2:27" ht="15.75" customHeight="1" x14ac:dyDescent="0.25">
      <c r="B6" s="187" t="s">
        <v>24</v>
      </c>
      <c r="C6" s="14"/>
      <c r="D6" s="24"/>
      <c r="E6" s="24"/>
      <c r="F6" s="25">
        <v>1.6990000000000002E-2</v>
      </c>
      <c r="G6" s="26"/>
      <c r="H6" s="26"/>
      <c r="I6" s="267"/>
      <c r="AA6" s="15"/>
    </row>
    <row r="7" spans="2:27" ht="15.75" customHeight="1" x14ac:dyDescent="0.25">
      <c r="B7" s="187" t="s">
        <v>25</v>
      </c>
      <c r="C7" s="14"/>
      <c r="D7" s="24"/>
      <c r="E7" s="24"/>
      <c r="F7" s="25">
        <v>4.7199999999999999E-2</v>
      </c>
      <c r="G7" s="26"/>
      <c r="H7" s="26"/>
      <c r="AA7" s="15"/>
    </row>
    <row r="8" spans="2:27" ht="15.75" customHeight="1" x14ac:dyDescent="0.25">
      <c r="B8" s="187" t="s">
        <v>48</v>
      </c>
      <c r="C8" s="14"/>
      <c r="D8" s="24"/>
      <c r="E8" s="24"/>
      <c r="F8" s="228">
        <f>(3.9%*35216+0.5%*750+3.3%*3034+5.4%*3682+0.3%*1624)/(35216+750+3034+3682+1624)</f>
        <v>3.794059495327947E-2</v>
      </c>
      <c r="G8" s="26"/>
      <c r="H8" s="32"/>
      <c r="I8" s="27"/>
      <c r="J8" s="27"/>
      <c r="AA8" s="15"/>
    </row>
    <row r="9" spans="2:27" ht="15.75" customHeight="1" x14ac:dyDescent="0.25">
      <c r="B9" s="187" t="s">
        <v>33</v>
      </c>
      <c r="C9" s="14"/>
      <c r="D9" s="24"/>
      <c r="E9" s="24"/>
      <c r="F9" s="25">
        <v>0</v>
      </c>
      <c r="G9" s="26"/>
      <c r="H9" s="26"/>
      <c r="I9" s="27"/>
      <c r="J9" s="27"/>
      <c r="AA9" s="15"/>
    </row>
    <row r="10" spans="2:27" ht="15.75" customHeight="1" x14ac:dyDescent="0.25">
      <c r="AA10" s="15"/>
    </row>
    <row r="11" spans="2:27" ht="15.75" customHeight="1" x14ac:dyDescent="0.25">
      <c r="B11" s="28" t="s">
        <v>53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AA11" s="15"/>
    </row>
    <row r="12" spans="2:27" ht="15.75" customHeight="1" x14ac:dyDescent="0.25">
      <c r="B12" s="28"/>
      <c r="C12" s="28"/>
      <c r="D12" s="29" t="s">
        <v>26</v>
      </c>
      <c r="E12" s="29"/>
      <c r="F12" s="29"/>
      <c r="G12" s="29" t="s">
        <v>34</v>
      </c>
      <c r="H12" s="29"/>
      <c r="I12" s="29" t="s">
        <v>17</v>
      </c>
      <c r="J12" s="29"/>
      <c r="K12" s="29"/>
      <c r="L12" s="29" t="s">
        <v>27</v>
      </c>
      <c r="AA12" s="15"/>
    </row>
    <row r="13" spans="2:27" ht="15.75" customHeight="1" x14ac:dyDescent="0.25">
      <c r="B13" s="30" t="s">
        <v>28</v>
      </c>
      <c r="C13" s="30" t="s">
        <v>18</v>
      </c>
      <c r="D13" s="31" t="s">
        <v>29</v>
      </c>
      <c r="E13" s="31" t="s">
        <v>15</v>
      </c>
      <c r="F13" s="31" t="s">
        <v>35</v>
      </c>
      <c r="G13" s="31" t="s">
        <v>36</v>
      </c>
      <c r="H13" s="31" t="s">
        <v>37</v>
      </c>
      <c r="I13" s="31" t="s">
        <v>19</v>
      </c>
      <c r="J13" s="31" t="s">
        <v>38</v>
      </c>
      <c r="K13" s="31" t="s">
        <v>16</v>
      </c>
      <c r="L13" s="31" t="s">
        <v>29</v>
      </c>
      <c r="AA13" s="15"/>
    </row>
    <row r="14" spans="2:27" ht="15.75" customHeight="1" x14ac:dyDescent="0.25">
      <c r="B14" s="250" t="s">
        <v>106</v>
      </c>
      <c r="C14" s="251" t="s">
        <v>107</v>
      </c>
      <c r="D14" s="252">
        <v>0.65</v>
      </c>
      <c r="E14" s="253">
        <v>7617</v>
      </c>
      <c r="F14" s="254">
        <f>+E14/($E14+$G14+$I14)</f>
        <v>4.5519358127449422E-2</v>
      </c>
      <c r="G14" s="253">
        <v>0</v>
      </c>
      <c r="H14" s="254">
        <f>+G14/($E14+$G14+$I14)</f>
        <v>0</v>
      </c>
      <c r="I14" s="253">
        <v>159718.39999999999</v>
      </c>
      <c r="J14" s="254">
        <f>+I14/($E14+$G14+$I14)</f>
        <v>0.95448064187255055</v>
      </c>
      <c r="K14" s="254">
        <v>0.2437115707098938</v>
      </c>
      <c r="L14" s="255">
        <f>IFERROR(D14/(1+(E14/I14)*(1-K14)+G14/I14),"N/A")</f>
        <v>0.62737223019327171</v>
      </c>
      <c r="AA14" s="15"/>
    </row>
    <row r="15" spans="2:27" ht="15.75" customHeight="1" x14ac:dyDescent="0.25">
      <c r="B15" s="250" t="s">
        <v>110</v>
      </c>
      <c r="C15" s="251" t="s">
        <v>111</v>
      </c>
      <c r="D15" s="252">
        <v>0.48</v>
      </c>
      <c r="E15" s="256">
        <v>17248</v>
      </c>
      <c r="F15" s="254">
        <f t="shared" ref="F15:F18" si="0">+E15/($E15+$G15+$I15)</f>
        <v>0.25997202527371821</v>
      </c>
      <c r="G15" s="256">
        <v>0</v>
      </c>
      <c r="H15" s="254">
        <f t="shared" ref="H15:H18" si="1">+G15/($E15+$G15+$I15)</f>
        <v>0</v>
      </c>
      <c r="I15" s="256">
        <v>49097.599999999999</v>
      </c>
      <c r="J15" s="254">
        <f t="shared" ref="J15:J18" si="2">+I15/($E15+$G15+$I15)</f>
        <v>0.74002797472628168</v>
      </c>
      <c r="K15" s="254">
        <v>0.28949999999999998</v>
      </c>
      <c r="L15" s="255">
        <f t="shared" ref="L15:L18" si="3">IFERROR(D15/(1+(E15/I15)*(1-K15)+G15/I15),"N/A")</f>
        <v>0.38412327595716694</v>
      </c>
      <c r="AA15" s="15"/>
    </row>
    <row r="16" spans="2:27" ht="15.75" customHeight="1" x14ac:dyDescent="0.25">
      <c r="B16" s="250" t="s">
        <v>108</v>
      </c>
      <c r="C16" s="251" t="s">
        <v>109</v>
      </c>
      <c r="D16" s="252">
        <v>0.36</v>
      </c>
      <c r="E16" s="256">
        <v>13413</v>
      </c>
      <c r="F16" s="254">
        <f t="shared" si="0"/>
        <v>0.32687766396888412</v>
      </c>
      <c r="G16" s="256">
        <v>0</v>
      </c>
      <c r="H16" s="254">
        <f t="shared" si="1"/>
        <v>0</v>
      </c>
      <c r="I16" s="256">
        <v>27620.7</v>
      </c>
      <c r="J16" s="254">
        <f t="shared" si="2"/>
        <v>0.67312233603111593</v>
      </c>
      <c r="K16" s="254">
        <v>0.23674911660777384</v>
      </c>
      <c r="L16" s="255">
        <f t="shared" si="3"/>
        <v>0.26264999858454458</v>
      </c>
      <c r="AA16" s="15"/>
    </row>
    <row r="17" spans="2:27" ht="15.75" customHeight="1" x14ac:dyDescent="0.25">
      <c r="B17" s="250" t="s">
        <v>112</v>
      </c>
      <c r="C17" s="251" t="s">
        <v>113</v>
      </c>
      <c r="D17" s="252">
        <v>1.01</v>
      </c>
      <c r="E17" s="256">
        <v>12680</v>
      </c>
      <c r="F17" s="254">
        <f t="shared" si="0"/>
        <v>0.11019302898737125</v>
      </c>
      <c r="G17" s="256">
        <v>0</v>
      </c>
      <c r="H17" s="254">
        <f t="shared" si="1"/>
        <v>0</v>
      </c>
      <c r="I17" s="256">
        <v>102390.8</v>
      </c>
      <c r="J17" s="254">
        <f t="shared" si="2"/>
        <v>0.88980697101262873</v>
      </c>
      <c r="K17" s="254">
        <v>0.2124053371799495</v>
      </c>
      <c r="L17" s="255">
        <f t="shared" si="3"/>
        <v>0.92024388958045222</v>
      </c>
      <c r="AA17" s="15"/>
    </row>
    <row r="18" spans="2:27" ht="15.75" customHeight="1" x14ac:dyDescent="0.25">
      <c r="B18" s="250" t="s">
        <v>115</v>
      </c>
      <c r="C18" s="251" t="s">
        <v>114</v>
      </c>
      <c r="D18" s="252">
        <v>1.58</v>
      </c>
      <c r="E18" s="256">
        <v>1377</v>
      </c>
      <c r="F18" s="254">
        <f t="shared" si="0"/>
        <v>4.4592257721876437E-2</v>
      </c>
      <c r="G18" s="256">
        <v>0</v>
      </c>
      <c r="H18" s="254">
        <f t="shared" si="1"/>
        <v>0</v>
      </c>
      <c r="I18" s="256">
        <v>29502.799999999999</v>
      </c>
      <c r="J18" s="254">
        <f t="shared" si="2"/>
        <v>0.95540774227812353</v>
      </c>
      <c r="K18" s="254">
        <v>0.24358435002103493</v>
      </c>
      <c r="L18" s="255">
        <f t="shared" si="3"/>
        <v>1.5261209217977869</v>
      </c>
      <c r="AA18" s="15"/>
    </row>
    <row r="19" spans="2:27" ht="15.75" customHeight="1" x14ac:dyDescent="0.2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AA19" s="15"/>
    </row>
    <row r="20" spans="2:27" ht="15.75" customHeight="1" x14ac:dyDescent="0.25">
      <c r="B20" s="33" t="s">
        <v>39</v>
      </c>
      <c r="C20" s="34"/>
      <c r="D20" s="35">
        <f>MEDIAN(D14:D18)</f>
        <v>0.65</v>
      </c>
      <c r="E20" s="125">
        <f t="shared" ref="E20:L20" si="4">MEDIAN(E14:E18)</f>
        <v>12680</v>
      </c>
      <c r="F20" s="36">
        <f t="shared" si="4"/>
        <v>0.11019302898737125</v>
      </c>
      <c r="G20" s="125">
        <f t="shared" si="4"/>
        <v>0</v>
      </c>
      <c r="H20" s="36">
        <f t="shared" si="4"/>
        <v>0</v>
      </c>
      <c r="I20" s="125">
        <f t="shared" si="4"/>
        <v>49097.599999999999</v>
      </c>
      <c r="J20" s="36">
        <f t="shared" si="4"/>
        <v>0.88980697101262873</v>
      </c>
      <c r="K20" s="36">
        <f t="shared" si="4"/>
        <v>0.24358435002103493</v>
      </c>
      <c r="L20" s="37">
        <f t="shared" si="4"/>
        <v>0.62737223019327171</v>
      </c>
      <c r="AA20" s="15"/>
    </row>
    <row r="21" spans="2:27" ht="15.75" customHeight="1" x14ac:dyDescent="0.25">
      <c r="AA21" s="15"/>
    </row>
    <row r="22" spans="2:27" ht="15.75" customHeight="1" x14ac:dyDescent="0.25">
      <c r="B22" s="38" t="str">
        <f>Company_Name</f>
        <v>Walmart Inc.</v>
      </c>
      <c r="C22" s="39" t="str">
        <f>Ticker</f>
        <v>WMT</v>
      </c>
      <c r="D22" s="40">
        <v>0.48</v>
      </c>
      <c r="E22" s="66"/>
      <c r="F22" s="41"/>
      <c r="G22" s="41"/>
      <c r="H22" s="41"/>
      <c r="I22" s="41"/>
      <c r="J22" s="41"/>
      <c r="K22" s="42"/>
      <c r="L22" s="43"/>
      <c r="AA22" s="15"/>
    </row>
    <row r="23" spans="2:27" ht="15.75" customHeight="1" x14ac:dyDescent="0.25">
      <c r="AA23" s="15"/>
    </row>
    <row r="24" spans="2:27" ht="15.75" customHeight="1" x14ac:dyDescent="0.25">
      <c r="B24" s="28" t="str">
        <f>TEXT(Company_Name,"")&amp; " - Levered Beta &amp; WACC Calculation:"</f>
        <v>Walmart Inc. - Levered Beta &amp; WACC Calculation: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AA24" s="15"/>
    </row>
    <row r="25" spans="2:27" ht="15.75" customHeight="1" x14ac:dyDescent="0.25">
      <c r="B25" s="28"/>
      <c r="C25" s="28"/>
      <c r="D25" s="29" t="s">
        <v>27</v>
      </c>
      <c r="E25" s="29"/>
      <c r="F25" s="29"/>
      <c r="G25" s="29" t="s">
        <v>34</v>
      </c>
      <c r="H25" s="29"/>
      <c r="I25" s="29" t="s">
        <v>17</v>
      </c>
      <c r="J25" s="29"/>
      <c r="K25" s="29"/>
      <c r="L25" s="29" t="s">
        <v>26</v>
      </c>
      <c r="AA25" s="15"/>
    </row>
    <row r="26" spans="2:27" ht="15.75" customHeight="1" x14ac:dyDescent="0.25">
      <c r="B26" s="30"/>
      <c r="C26" s="30" t="s">
        <v>18</v>
      </c>
      <c r="D26" s="31" t="s">
        <v>29</v>
      </c>
      <c r="E26" s="31" t="s">
        <v>15</v>
      </c>
      <c r="F26" s="31" t="s">
        <v>35</v>
      </c>
      <c r="G26" s="31" t="s">
        <v>36</v>
      </c>
      <c r="H26" s="31" t="s">
        <v>37</v>
      </c>
      <c r="I26" s="31" t="s">
        <v>19</v>
      </c>
      <c r="J26" s="31" t="s">
        <v>38</v>
      </c>
      <c r="K26" s="31" t="s">
        <v>16</v>
      </c>
      <c r="L26" s="31" t="s">
        <v>29</v>
      </c>
      <c r="AA26" s="15"/>
    </row>
    <row r="27" spans="2:27" ht="15.75" customHeight="1" x14ac:dyDescent="0.25">
      <c r="B27" s="203" t="s">
        <v>40</v>
      </c>
      <c r="C27" s="203" t="str">
        <f>Ticker</f>
        <v>WMT</v>
      </c>
      <c r="D27" s="205">
        <f>+L20</f>
        <v>0.62737223019327171</v>
      </c>
      <c r="E27" s="206">
        <v>48647</v>
      </c>
      <c r="F27" s="207">
        <f>+E27/($E27+$G27+$I27)</f>
        <v>0.10917087161272555</v>
      </c>
      <c r="G27" s="206">
        <v>0</v>
      </c>
      <c r="H27" s="207">
        <f>+G27/($E27+$G27+$I27)</f>
        <v>0</v>
      </c>
      <c r="I27" s="206">
        <v>396957.21</v>
      </c>
      <c r="J27" s="207">
        <f>+I27/($E27+$G27+$I27)</f>
        <v>0.89082912838727446</v>
      </c>
      <c r="K27" s="208">
        <f>Tax_Rate</f>
        <v>0.31712950256223044</v>
      </c>
      <c r="L27" s="209">
        <f>D27*(1+(E27/I27)*(1-Tax_Rate)+(G27/I27))</f>
        <v>0.67987424979696121</v>
      </c>
      <c r="AA27" s="15"/>
    </row>
    <row r="28" spans="2:27" ht="15.75" customHeight="1" x14ac:dyDescent="0.25">
      <c r="B28" s="204" t="s">
        <v>41</v>
      </c>
      <c r="C28" s="204" t="str">
        <f>Ticker</f>
        <v>WMT</v>
      </c>
      <c r="D28" s="210">
        <f>+L20</f>
        <v>0.62737223019327171</v>
      </c>
      <c r="E28" s="211">
        <f>+F28*($E27+$G27+$I27)</f>
        <v>49102.477629424669</v>
      </c>
      <c r="F28" s="212">
        <f>+F20</f>
        <v>0.11019302898737125</v>
      </c>
      <c r="G28" s="211">
        <f>+H28*($E27+$G27+$I27)</f>
        <v>0</v>
      </c>
      <c r="H28" s="212">
        <f>+H20</f>
        <v>0</v>
      </c>
      <c r="I28" s="211">
        <f>+J28*($E27+$G27+$I27)</f>
        <v>396501.73237057537</v>
      </c>
      <c r="J28" s="212">
        <f>+J20</f>
        <v>0.88980697101262873</v>
      </c>
      <c r="K28" s="213">
        <f>Tax_Rate</f>
        <v>0.31712950256223044</v>
      </c>
      <c r="L28" s="214">
        <f>D28*(1+(E28/I28)*(1-Tax_Rate)+(G28/I28))</f>
        <v>0.6804266975285006</v>
      </c>
      <c r="AA28" s="15"/>
    </row>
    <row r="29" spans="2:27" ht="15.75" customHeight="1" x14ac:dyDescent="0.25">
      <c r="AA29" s="15"/>
    </row>
    <row r="30" spans="2:27" ht="15.75" customHeight="1" x14ac:dyDescent="0.25">
      <c r="B30" s="45" t="s">
        <v>42</v>
      </c>
      <c r="C30" s="46"/>
      <c r="D30" s="46"/>
      <c r="E30" s="46"/>
      <c r="F30" s="46"/>
      <c r="G30" s="46"/>
      <c r="H30" s="46"/>
      <c r="I30" s="46"/>
      <c r="J30" s="46"/>
      <c r="K30" s="46"/>
      <c r="L30" s="47">
        <f>+Risk_Free_Rate+Equity_Risk_Premium*L27</f>
        <v>4.9080064590416569E-2</v>
      </c>
      <c r="AA30" s="15"/>
    </row>
    <row r="31" spans="2:27" ht="15.75" customHeight="1" x14ac:dyDescent="0.25">
      <c r="B31" s="48" t="s">
        <v>43</v>
      </c>
      <c r="C31" s="49"/>
      <c r="D31" s="49"/>
      <c r="E31" s="49"/>
      <c r="F31" s="49"/>
      <c r="G31" s="49"/>
      <c r="H31" s="49"/>
      <c r="I31" s="49"/>
      <c r="J31" s="49"/>
      <c r="K31" s="49"/>
      <c r="L31" s="50">
        <f>+Risk_Free_Rate+Equity_Risk_Premium*L28</f>
        <v>4.9106140123345229E-2</v>
      </c>
      <c r="AA31" s="15"/>
    </row>
    <row r="32" spans="2:27" ht="15.75" customHeight="1" x14ac:dyDescent="0.25">
      <c r="B32" s="51" t="s">
        <v>30</v>
      </c>
      <c r="C32" s="52"/>
      <c r="D32" s="52"/>
      <c r="E32" s="52"/>
      <c r="F32" s="52"/>
      <c r="G32" s="52"/>
      <c r="H32" s="52"/>
      <c r="I32" s="52"/>
      <c r="J32" s="52"/>
      <c r="K32" s="52"/>
      <c r="L32" s="53">
        <f>+Risk_Free_Rate+Equity_Risk_Premium*D22</f>
        <v>3.9646000000000001E-2</v>
      </c>
      <c r="AA32" s="15"/>
    </row>
    <row r="33" spans="2:27" ht="15.75" customHeight="1" x14ac:dyDescent="0.2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AA33" s="15"/>
    </row>
    <row r="34" spans="2:27" ht="15.75" customHeight="1" x14ac:dyDescent="0.25">
      <c r="B34" s="187" t="s">
        <v>31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AA34" s="15"/>
    </row>
    <row r="35" spans="2:27" ht="15.75" customHeight="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AA35" s="15"/>
    </row>
    <row r="36" spans="2:27" ht="15.75" customHeight="1" x14ac:dyDescent="0.25">
      <c r="B36" s="45" t="s">
        <v>44</v>
      </c>
      <c r="C36" s="46"/>
      <c r="D36" s="46"/>
      <c r="E36" s="46"/>
      <c r="F36" s="46"/>
      <c r="G36" s="46"/>
      <c r="H36" s="46"/>
      <c r="I36" s="46"/>
      <c r="J36" s="46"/>
      <c r="K36" s="46"/>
      <c r="L36" s="54">
        <f>+L30*J27+Cost_of_Debt*(1-Tax_Rate)*F27+Cost_of_Preferred*H27</f>
        <v>4.6550406101085379E-2</v>
      </c>
      <c r="AA36" s="15"/>
    </row>
    <row r="37" spans="2:27" ht="15.75" customHeight="1" x14ac:dyDescent="0.25">
      <c r="B37" s="48" t="s">
        <v>45</v>
      </c>
      <c r="C37" s="49"/>
      <c r="D37" s="49"/>
      <c r="E37" s="49"/>
      <c r="F37" s="49"/>
      <c r="G37" s="49"/>
      <c r="H37" s="49"/>
      <c r="I37" s="49"/>
      <c r="J37" s="49"/>
      <c r="K37" s="49"/>
      <c r="L37" s="55">
        <f>+L32*J27+Cost_of_Debt*(1-Tax_Rate)*F27+Cost_of_Preferred*H27</f>
        <v>3.8146266564855341E-2</v>
      </c>
      <c r="AA37" s="15"/>
    </row>
    <row r="38" spans="2:27" ht="15.75" customHeight="1" x14ac:dyDescent="0.25">
      <c r="B38" s="51" t="s">
        <v>46</v>
      </c>
      <c r="C38" s="52"/>
      <c r="D38" s="52"/>
      <c r="E38" s="52"/>
      <c r="F38" s="52"/>
      <c r="G38" s="52"/>
      <c r="H38" s="52"/>
      <c r="I38" s="52"/>
      <c r="J38" s="52"/>
      <c r="K38" s="52"/>
      <c r="L38" s="56">
        <f>+L31*J28+Cost_of_Debt*(1-Tax_Rate)*F28+Cost_of_Preferred*H28</f>
        <v>4.6549923319665738E-2</v>
      </c>
      <c r="AA38" s="15"/>
    </row>
    <row r="39" spans="2:27" ht="15.75" customHeight="1" x14ac:dyDescent="0.25">
      <c r="AA39" s="15"/>
    </row>
    <row r="40" spans="2:27" ht="15.75" customHeight="1" x14ac:dyDescent="0.25">
      <c r="B40" s="38" t="s">
        <v>47</v>
      </c>
      <c r="C40" s="39"/>
      <c r="D40" s="39"/>
      <c r="E40" s="39"/>
      <c r="F40" s="39"/>
      <c r="G40" s="39"/>
      <c r="H40" s="39"/>
      <c r="I40" s="39"/>
      <c r="J40" s="39"/>
      <c r="K40" s="39"/>
      <c r="L40" s="57">
        <f>AVERAGE(L36:L38)</f>
        <v>4.3748865328535481E-2</v>
      </c>
      <c r="AA40" s="15"/>
    </row>
    <row r="41" spans="2:27" x14ac:dyDescent="0.25">
      <c r="AA41" s="15"/>
    </row>
    <row r="42" spans="2:27" x14ac:dyDescent="0.25">
      <c r="AA42" s="15"/>
    </row>
    <row r="43" spans="2:27" x14ac:dyDescent="0.25">
      <c r="AA43" s="15"/>
    </row>
    <row r="44" spans="2:27" x14ac:dyDescent="0.25">
      <c r="AA44" s="15"/>
    </row>
    <row r="45" spans="2:27" x14ac:dyDescent="0.25">
      <c r="AA45" s="15"/>
    </row>
    <row r="46" spans="2:27" x14ac:dyDescent="0.25">
      <c r="AA46" s="15"/>
    </row>
    <row r="47" spans="2:27" x14ac:dyDescent="0.25">
      <c r="AA47" s="15"/>
    </row>
    <row r="48" spans="2:27" x14ac:dyDescent="0.25">
      <c r="AA48" s="15"/>
    </row>
    <row r="49" spans="27:27" x14ac:dyDescent="0.25">
      <c r="AA49" s="15"/>
    </row>
    <row r="50" spans="27:27" x14ac:dyDescent="0.25">
      <c r="AA50" s="15"/>
    </row>
  </sheetData>
  <pageMargins left="0.7" right="0.7" top="0.75" bottom="0.75" header="0.3" footer="0.3"/>
  <pageSetup scale="53" orientation="portrait" r:id="rId1"/>
  <ignoredErrors>
    <ignoredError sqref="C22 F19:L26 F28:J28 F27 H27 J27 F14:F18 H14:H18 J14:J18 L14:L18 L27 L28" 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8 w 5 s T 9 e 9 W q K n A A A A + A A A A B I A H A B D b 2 5 m a W c v U G F j a 2 F n Z S 5 4 b W w g o h g A K K A U A A A A A A A A A A A A A A A A A A A A A A A A A A A A h Y 9 B D o I w F E S v Q r q n L V V R y a c s 3 E p i Q j R u G 6 j Q C M X Q Y r m b C 4 / k F S R R 1 J 3 L m b x J 3 j x u d 0 i G p v a u s j O q 1 T E K M E W e 1 H l b K F 3 G q L c n f 4 U S D j u R n 0 U p v R H W J h q M i l F l 7 S U i x D m H 3 Q y 3 X U k Y p Q E 5 p t s s r 2 Q j f K W N F T q X 6 L M q / q 8 Q h 8 N L h j O 8 n O N F G K w x C x m Q q Y Z U 6 S / C R m N M g f y U s O l r 2 3 e S S + 3 v M y B T B P J + w Z 9 Q S w M E F A A C A A g A 8 w 5 s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M O b E 8 o i k e 4 D g A A A B E A A A A T A B w A R m 9 y b X V s Y X M v U 2 V j d G l v b j E u b S C i G A A o o B Q A A A A A A A A A A A A A A A A A A A A A A A A A A A A r T k 0 u y c z P U w i G 0 I b W A F B L A Q I t A B Q A A g A I A P M O b E / X v V q i p w A A A P g A A A A S A A A A A A A A A A A A A A A A A A A A A A B D b 2 5 m a W c v U G F j a 2 F n Z S 5 4 b W x Q S w E C L Q A U A A I A C A D z D m x P D 8 r p q 6 Q A A A D p A A A A E w A A A A A A A A A A A A A A A A D z A A A A W 0 N v b n R l b n R f V H l w Z X N d L n h t b F B L A Q I t A B Q A A g A I A P M O b E 8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1 3 E Y I B 4 x C S r U c 5 8 A t B Y i Y A A A A A A I A A A A A A B B m A A A A A Q A A I A A A A O L T a P y 8 H b q r m N q y c M X m 7 B 6 K 1 K l P n M z / a g V P 7 H e c 2 k J A A A A A A A 6 A A A A A A g A A I A A A A L u d R n 1 a S + V V x I q H I c v w U h 1 d P L 0 X M t D Q a g z Q H R O i c g 3 B U A A A A O M S a B m 0 i v c B 5 + e p Y I 9 k e o v L N R n A q E N l b p / k y P 5 D k y w 5 n f X g E G 4 + W 2 N s B f t V p 2 Y Y b J X r d B 9 f 7 t C E C o + 9 Q 2 h O t X l g 0 4 3 p r 7 F S 1 A g W g V 3 p c X G 3 Q A A A A L j w X R 7 p 0 d 4 M M a E P + + + i I i L y x 5 4 r K W p 4 r n V V Z g 8 x / E p f u p W D A d e 1 g t Z i F W E s l e K w 9 B R K v j p A 8 g a W 4 f Y c M y Z 5 r F 0 = < / D a t a M a s h u p > 
</file>

<file path=customXml/itemProps1.xml><?xml version="1.0" encoding="utf-8"?>
<ds:datastoreItem xmlns:ds="http://schemas.openxmlformats.org/officeDocument/2006/customXml" ds:itemID="{DD924439-F8E9-4B3D-88FA-861B0484306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DCF</vt:lpstr>
      <vt:lpstr>WACC</vt:lpstr>
      <vt:lpstr>Company_Name</vt:lpstr>
      <vt:lpstr>Cost_of_Debt</vt:lpstr>
      <vt:lpstr>Cost_of_Preferred</vt:lpstr>
      <vt:lpstr>Discount_Rate</vt:lpstr>
      <vt:lpstr>Equity_Risk_Premium</vt:lpstr>
      <vt:lpstr>Hist_Year</vt:lpstr>
      <vt:lpstr>DCF!Print_Area</vt:lpstr>
      <vt:lpstr>WACC!Print_Area</vt:lpstr>
      <vt:lpstr>Risk_Free_Rate</vt:lpstr>
      <vt:lpstr>Share_Price</vt:lpstr>
      <vt:lpstr>Tax_Rate</vt:lpstr>
      <vt:lpstr>Ticker</vt:lpstr>
      <vt:lpstr>WACC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BIWS</dc:creator>
  <cp:lastModifiedBy>BIWS</cp:lastModifiedBy>
  <cp:lastPrinted>2019-09-20T18:29:32Z</cp:lastPrinted>
  <dcterms:created xsi:type="dcterms:W3CDTF">2014-03-07T00:48:59Z</dcterms:created>
  <dcterms:modified xsi:type="dcterms:W3CDTF">2021-04-07T13:07:15Z</dcterms:modified>
</cp:coreProperties>
</file>