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Dropbox (BIWS)\BIWS-All-Courses\100-Bonus-Case-Studies\109-LBO-Models\109-20-Twitter-LBO\"/>
    </mc:Choice>
  </mc:AlternateContent>
  <xr:revisionPtr revIDLastSave="0" documentId="13_ncr:1_{F4DD8AD8-E26F-4C69-A819-CC99033925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BO_TWTR" sheetId="1" r:id="rId1"/>
  </sheets>
  <definedNames>
    <definedName name="Company_Name">LBO_TWTR!$E$7</definedName>
    <definedName name="Exit_Multiple">LBO_TWTR!$K$29</definedName>
    <definedName name="Fwd_EBITDA">LBO_TWTR!$E$26</definedName>
    <definedName name="Hist_Year">LBO_TWTR!$E$36</definedName>
    <definedName name="IPO_Pct_Stake">LBO_TWTR!$K$35</definedName>
    <definedName name="LTM_EBITDA">LBO_TWTR!$E$23</definedName>
    <definedName name="Min_Cash_Pct_OpEx">LBO_TWTR!$E$45</definedName>
    <definedName name="Offer_Price">LBO_TWTR!$E$12</definedName>
    <definedName name="_xlnm.Print_Area" localSheetId="0">LBO_TWTR!$A$1:$P$300</definedName>
    <definedName name="Purchase_Multiple">LBO_TWTR!$E$24</definedName>
    <definedName name="Rollover_Cost_Basis">LBO_TWTR!$E$32</definedName>
    <definedName name="Scenario">LBO_TWTR!$E$34</definedName>
    <definedName name="SOFR">LBO_TWTR!$D$79</definedName>
    <definedName name="Sponsor_Equity">LBO_TWTR!$D$66</definedName>
    <definedName name="Tax_Rate">LBO_TWTR!$E$43</definedName>
    <definedName name="Ticker">LBO_TWTR!$E$8</definedName>
    <definedName name="Units">LBO_TWTR!$E$37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9" i="1" l="1"/>
  <c r="P50" i="1"/>
  <c r="O50" i="1"/>
  <c r="P49" i="1"/>
  <c r="O49" i="1"/>
  <c r="P48" i="1"/>
  <c r="O48" i="1"/>
  <c r="P38" i="1"/>
  <c r="O38" i="1"/>
  <c r="N50" i="1" l="1"/>
  <c r="N49" i="1"/>
  <c r="N48" i="1"/>
  <c r="O126" i="1"/>
  <c r="E32" i="1" l="1"/>
  <c r="G266" i="1" s="1"/>
  <c r="G268" i="1" s="1"/>
  <c r="J189" i="1"/>
  <c r="K189" i="1" s="1"/>
  <c r="L189" i="1" s="1"/>
  <c r="M189" i="1" s="1"/>
  <c r="G52" i="1"/>
  <c r="L25" i="1"/>
  <c r="J17" i="1"/>
  <c r="J10" i="1"/>
  <c r="M112" i="1"/>
  <c r="L112" i="1"/>
  <c r="K112" i="1"/>
  <c r="J112" i="1"/>
  <c r="I112" i="1"/>
  <c r="H112" i="1"/>
  <c r="M105" i="1"/>
  <c r="L105" i="1"/>
  <c r="K105" i="1"/>
  <c r="J105" i="1"/>
  <c r="I105" i="1"/>
  <c r="H105" i="1"/>
  <c r="M95" i="1"/>
  <c r="L95" i="1"/>
  <c r="K95" i="1"/>
  <c r="J95" i="1"/>
  <c r="I95" i="1"/>
  <c r="H95" i="1"/>
  <c r="M88" i="1"/>
  <c r="L88" i="1"/>
  <c r="K88" i="1"/>
  <c r="J88" i="1"/>
  <c r="I88" i="1"/>
  <c r="G253" i="1"/>
  <c r="F193" i="1"/>
  <c r="F253" i="1" s="1"/>
  <c r="E193" i="1"/>
  <c r="E253" i="1" s="1"/>
  <c r="H88" i="1"/>
  <c r="E287" i="1" l="1"/>
  <c r="E288" i="1"/>
  <c r="E19" i="1"/>
  <c r="I157" i="1" l="1"/>
  <c r="D153" i="1"/>
  <c r="H152" i="1"/>
  <c r="E152" i="1"/>
  <c r="F276" i="1" l="1"/>
  <c r="G276" i="1" l="1"/>
  <c r="F288" i="1"/>
  <c r="K35" i="1"/>
  <c r="I174" i="1"/>
  <c r="H276" i="1" l="1"/>
  <c r="G288" i="1"/>
  <c r="E20" i="1"/>
  <c r="I142" i="1"/>
  <c r="J142" i="1" s="1"/>
  <c r="K142" i="1" s="1"/>
  <c r="L142" i="1" s="1"/>
  <c r="M142" i="1" s="1"/>
  <c r="H142" i="1"/>
  <c r="H138" i="1"/>
  <c r="E18" i="1"/>
  <c r="G190" i="1" s="1"/>
  <c r="M199" i="1"/>
  <c r="M200" i="1" s="1"/>
  <c r="L199" i="1"/>
  <c r="L203" i="1" s="1"/>
  <c r="K199" i="1"/>
  <c r="K202" i="1" s="1"/>
  <c r="J199" i="1"/>
  <c r="J202" i="1" s="1"/>
  <c r="I199" i="1"/>
  <c r="I203" i="1" s="1"/>
  <c r="H199" i="1"/>
  <c r="H203" i="1" s="1"/>
  <c r="E204" i="1"/>
  <c r="F204" i="1"/>
  <c r="G204" i="1"/>
  <c r="H256" i="1"/>
  <c r="E256" i="1"/>
  <c r="H195" i="1"/>
  <c r="E195" i="1"/>
  <c r="H168" i="1"/>
  <c r="E168" i="1"/>
  <c r="H125" i="1"/>
  <c r="E125" i="1"/>
  <c r="B2" i="1"/>
  <c r="C203" i="1"/>
  <c r="C202" i="1"/>
  <c r="C201" i="1"/>
  <c r="C200" i="1"/>
  <c r="I133" i="1"/>
  <c r="J133" i="1" s="1"/>
  <c r="K133" i="1" s="1"/>
  <c r="L133" i="1" s="1"/>
  <c r="M133" i="1" s="1"/>
  <c r="F111" i="1"/>
  <c r="G111" i="1"/>
  <c r="E111" i="1"/>
  <c r="H128" i="1"/>
  <c r="I128" i="1" s="1"/>
  <c r="J128" i="1" s="1"/>
  <c r="K128" i="1" s="1"/>
  <c r="L128" i="1" s="1"/>
  <c r="M128" i="1" s="1"/>
  <c r="E101" i="1"/>
  <c r="F101" i="1"/>
  <c r="G101" i="1"/>
  <c r="G32" i="1"/>
  <c r="G31" i="1"/>
  <c r="G30" i="1"/>
  <c r="E87" i="1"/>
  <c r="E88" i="1" s="1"/>
  <c r="F87" i="1"/>
  <c r="G87" i="1"/>
  <c r="E74" i="1"/>
  <c r="I276" i="1" l="1"/>
  <c r="H288" i="1"/>
  <c r="K203" i="1"/>
  <c r="H202" i="1"/>
  <c r="J203" i="1"/>
  <c r="M204" i="1"/>
  <c r="M201" i="1"/>
  <c r="M203" i="1"/>
  <c r="I202" i="1"/>
  <c r="M202" i="1"/>
  <c r="L202" i="1"/>
  <c r="H111" i="1"/>
  <c r="I111" i="1" s="1"/>
  <c r="J111" i="1" s="1"/>
  <c r="K111" i="1" s="1"/>
  <c r="L111" i="1" s="1"/>
  <c r="M111" i="1" s="1"/>
  <c r="F112" i="1"/>
  <c r="G112" i="1"/>
  <c r="G88" i="1"/>
  <c r="F88" i="1"/>
  <c r="H87" i="1"/>
  <c r="G94" i="1"/>
  <c r="H94" i="1" s="1"/>
  <c r="I94" i="1" s="1"/>
  <c r="J94" i="1" s="1"/>
  <c r="K94" i="1" s="1"/>
  <c r="L94" i="1" s="1"/>
  <c r="M94" i="1" s="1"/>
  <c r="F94" i="1"/>
  <c r="E94" i="1"/>
  <c r="J276" i="1" l="1"/>
  <c r="I288" i="1"/>
  <c r="H127" i="1"/>
  <c r="H129" i="1" s="1"/>
  <c r="I87" i="1"/>
  <c r="G95" i="1"/>
  <c r="F95" i="1"/>
  <c r="K276" i="1" l="1"/>
  <c r="J288" i="1"/>
  <c r="H172" i="1"/>
  <c r="I127" i="1"/>
  <c r="I129" i="1" s="1"/>
  <c r="J87" i="1"/>
  <c r="D278" i="1"/>
  <c r="D279" i="1" s="1"/>
  <c r="D280" i="1" s="1"/>
  <c r="D281" i="1" s="1"/>
  <c r="D282" i="1" s="1"/>
  <c r="D283" i="1" s="1"/>
  <c r="D284" i="1" s="1"/>
  <c r="D285" i="1" s="1"/>
  <c r="I268" i="1"/>
  <c r="J268" i="1"/>
  <c r="K268" i="1"/>
  <c r="L276" i="1" l="1"/>
  <c r="K288" i="1"/>
  <c r="I172" i="1"/>
  <c r="I130" i="1"/>
  <c r="J127" i="1"/>
  <c r="J129" i="1" s="1"/>
  <c r="K87" i="1"/>
  <c r="L204" i="1"/>
  <c r="K204" i="1"/>
  <c r="J204" i="1"/>
  <c r="I204" i="1"/>
  <c r="L201" i="1"/>
  <c r="K201" i="1"/>
  <c r="J201" i="1"/>
  <c r="I201" i="1"/>
  <c r="L200" i="1"/>
  <c r="K200" i="1"/>
  <c r="J200" i="1"/>
  <c r="I200" i="1"/>
  <c r="H204" i="1"/>
  <c r="H201" i="1"/>
  <c r="H200" i="1"/>
  <c r="M276" i="1" l="1"/>
  <c r="L288" i="1"/>
  <c r="J172" i="1"/>
  <c r="J130" i="1"/>
  <c r="L87" i="1"/>
  <c r="K127" i="1"/>
  <c r="K129" i="1" s="1"/>
  <c r="N276" i="1" l="1"/>
  <c r="M288" i="1"/>
  <c r="K172" i="1"/>
  <c r="L127" i="1"/>
  <c r="L129" i="1" s="1"/>
  <c r="M87" i="1"/>
  <c r="K130" i="1"/>
  <c r="J174" i="1"/>
  <c r="K174" i="1" s="1"/>
  <c r="L174" i="1" s="1"/>
  <c r="M174" i="1" s="1"/>
  <c r="M127" i="1" l="1"/>
  <c r="M129" i="1" s="1"/>
  <c r="O276" i="1"/>
  <c r="O288" i="1" s="1"/>
  <c r="N288" i="1"/>
  <c r="L130" i="1"/>
  <c r="L172" i="1"/>
  <c r="K61" i="1"/>
  <c r="M19" i="1"/>
  <c r="M18" i="1"/>
  <c r="E12" i="1"/>
  <c r="M11" i="1" s="1"/>
  <c r="M12" i="1" s="1"/>
  <c r="M172" i="1" l="1"/>
  <c r="M130" i="1"/>
  <c r="M181" i="1"/>
  <c r="M182" i="1" s="1"/>
  <c r="M20" i="1"/>
  <c r="E15" i="1" s="1"/>
  <c r="E17" i="1" l="1"/>
  <c r="K60" i="1" s="1"/>
  <c r="E30" i="1"/>
  <c r="H186" i="1"/>
  <c r="G129" i="1"/>
  <c r="F129" i="1"/>
  <c r="E129" i="1"/>
  <c r="K63" i="1" l="1"/>
  <c r="E21" i="1"/>
  <c r="D65" i="1"/>
  <c r="H243" i="1"/>
  <c r="H141" i="1" s="1"/>
  <c r="E121" i="1"/>
  <c r="G120" i="1"/>
  <c r="E118" i="1"/>
  <c r="E120" i="1"/>
  <c r="F118" i="1"/>
  <c r="F120" i="1"/>
  <c r="G104" i="1"/>
  <c r="H104" i="1" s="1"/>
  <c r="G118" i="1"/>
  <c r="E135" i="1"/>
  <c r="E104" i="1"/>
  <c r="F135" i="1"/>
  <c r="F104" i="1"/>
  <c r="G135" i="1"/>
  <c r="H130" i="1"/>
  <c r="E123" i="1"/>
  <c r="F123" i="1"/>
  <c r="F121" i="1"/>
  <c r="G123" i="1"/>
  <c r="G121" i="1"/>
  <c r="K12" i="1"/>
  <c r="K20" i="1"/>
  <c r="P52" i="1" l="1"/>
  <c r="O52" i="1"/>
  <c r="H121" i="1"/>
  <c r="I121" i="1" s="1"/>
  <c r="J121" i="1" s="1"/>
  <c r="K121" i="1" s="1"/>
  <c r="L121" i="1" s="1"/>
  <c r="M121" i="1" s="1"/>
  <c r="M177" i="1" s="1"/>
  <c r="H120" i="1"/>
  <c r="F105" i="1"/>
  <c r="G149" i="1"/>
  <c r="E23" i="1" s="1"/>
  <c r="E24" i="1" s="1"/>
  <c r="G254" i="1"/>
  <c r="E149" i="1"/>
  <c r="E254" i="1"/>
  <c r="F149" i="1"/>
  <c r="F254" i="1"/>
  <c r="I104" i="1"/>
  <c r="H103" i="1"/>
  <c r="H132" i="1" s="1"/>
  <c r="H135" i="1" s="1"/>
  <c r="G105" i="1"/>
  <c r="M52" i="1" l="1"/>
  <c r="W62" i="1"/>
  <c r="W74" i="1"/>
  <c r="W76" i="1"/>
  <c r="W77" i="1"/>
  <c r="W66" i="1"/>
  <c r="W79" i="1"/>
  <c r="W68" i="1"/>
  <c r="W80" i="1"/>
  <c r="W81" i="1"/>
  <c r="W70" i="1"/>
  <c r="W82" i="1"/>
  <c r="W71" i="1"/>
  <c r="W61" i="1"/>
  <c r="W72" i="1"/>
  <c r="W73" i="1"/>
  <c r="W63" i="1"/>
  <c r="W75" i="1"/>
  <c r="W64" i="1"/>
  <c r="W65" i="1"/>
  <c r="W78" i="1"/>
  <c r="W67" i="1"/>
  <c r="W69" i="1"/>
  <c r="M50" i="1"/>
  <c r="M48" i="1"/>
  <c r="M49" i="1"/>
  <c r="I120" i="1"/>
  <c r="H173" i="1"/>
  <c r="H136" i="1"/>
  <c r="H149" i="1"/>
  <c r="J104" i="1"/>
  <c r="I103" i="1"/>
  <c r="I132" i="1" s="1"/>
  <c r="M260" i="1"/>
  <c r="I135" i="1" l="1"/>
  <c r="I149" i="1" s="1"/>
  <c r="I150" i="1" s="1"/>
  <c r="I210" i="1"/>
  <c r="H150" i="1"/>
  <c r="E26" i="1"/>
  <c r="J23" i="1" s="1"/>
  <c r="J120" i="1"/>
  <c r="I173" i="1"/>
  <c r="K104" i="1"/>
  <c r="J103" i="1"/>
  <c r="J132" i="1" s="1"/>
  <c r="J26" i="1" l="1"/>
  <c r="J25" i="1"/>
  <c r="J24" i="1"/>
  <c r="I136" i="1"/>
  <c r="J135" i="1"/>
  <c r="J136" i="1" s="1"/>
  <c r="J210" i="1"/>
  <c r="E27" i="1"/>
  <c r="N52" i="1" s="1"/>
  <c r="L61" i="1"/>
  <c r="E65" i="1"/>
  <c r="L63" i="1"/>
  <c r="L60" i="1"/>
  <c r="K120" i="1"/>
  <c r="J173" i="1"/>
  <c r="L104" i="1"/>
  <c r="K103" i="1"/>
  <c r="K132" i="1" s="1"/>
  <c r="F182" i="1"/>
  <c r="G182" i="1"/>
  <c r="E182" i="1"/>
  <c r="D63" i="1" l="1"/>
  <c r="K26" i="1"/>
  <c r="E63" i="1" s="1"/>
  <c r="K24" i="1"/>
  <c r="E61" i="1" s="1"/>
  <c r="D61" i="1"/>
  <c r="K25" i="1"/>
  <c r="E62" i="1" s="1"/>
  <c r="D62" i="1"/>
  <c r="H230" i="1" s="1"/>
  <c r="I227" i="1" s="1"/>
  <c r="J149" i="1"/>
  <c r="J150" i="1" s="1"/>
  <c r="K135" i="1"/>
  <c r="K149" i="1" s="1"/>
  <c r="K150" i="1" s="1"/>
  <c r="K210" i="1"/>
  <c r="L120" i="1"/>
  <c r="K173" i="1"/>
  <c r="L103" i="1"/>
  <c r="L132" i="1" s="1"/>
  <c r="M104" i="1"/>
  <c r="F143" i="1"/>
  <c r="G143" i="1"/>
  <c r="E143" i="1"/>
  <c r="M103" i="1" l="1"/>
  <c r="K136" i="1"/>
  <c r="L135" i="1"/>
  <c r="L149" i="1" s="1"/>
  <c r="L150" i="1" s="1"/>
  <c r="L210" i="1"/>
  <c r="M120" i="1"/>
  <c r="M173" i="1" s="1"/>
  <c r="L173" i="1"/>
  <c r="E150" i="1"/>
  <c r="F130" i="1"/>
  <c r="G130" i="1"/>
  <c r="J52" i="1" s="1"/>
  <c r="F150" i="1"/>
  <c r="G150" i="1"/>
  <c r="L52" i="1" s="1"/>
  <c r="M132" i="1" l="1"/>
  <c r="L50" i="1"/>
  <c r="L49" i="1"/>
  <c r="L48" i="1"/>
  <c r="J49" i="1"/>
  <c r="J50" i="1"/>
  <c r="J48" i="1"/>
  <c r="L136" i="1"/>
  <c r="H181" i="1"/>
  <c r="H182" i="1" s="1"/>
  <c r="H177" i="1"/>
  <c r="E136" i="1"/>
  <c r="E145" i="1"/>
  <c r="G136" i="1"/>
  <c r="G145" i="1"/>
  <c r="F136" i="1"/>
  <c r="F145" i="1"/>
  <c r="M210" i="1" l="1"/>
  <c r="M135" i="1"/>
  <c r="I181" i="1"/>
  <c r="I182" i="1" s="1"/>
  <c r="I177" i="1"/>
  <c r="E147" i="1"/>
  <c r="E171" i="1" s="1"/>
  <c r="E178" i="1" s="1"/>
  <c r="E184" i="1" s="1"/>
  <c r="F147" i="1"/>
  <c r="F171" i="1" s="1"/>
  <c r="F178" i="1" s="1"/>
  <c r="F184" i="1" s="1"/>
  <c r="G147" i="1"/>
  <c r="G171" i="1" s="1"/>
  <c r="G178" i="1" s="1"/>
  <c r="G184" i="1" s="1"/>
  <c r="D257" i="1"/>
  <c r="D196" i="1"/>
  <c r="D169" i="1"/>
  <c r="D126" i="1"/>
  <c r="D85" i="1"/>
  <c r="M149" i="1" l="1"/>
  <c r="M136" i="1"/>
  <c r="F250" i="1"/>
  <c r="E250" i="1"/>
  <c r="G250" i="1"/>
  <c r="J177" i="1"/>
  <c r="J181" i="1"/>
  <c r="J182" i="1" s="1"/>
  <c r="H237" i="1"/>
  <c r="I234" i="1" s="1"/>
  <c r="D60" i="1"/>
  <c r="H223" i="1"/>
  <c r="I220" i="1" s="1"/>
  <c r="M150" i="1" l="1"/>
  <c r="M259" i="1"/>
  <c r="H215" i="1"/>
  <c r="H193" i="1" s="1"/>
  <c r="D82" i="1"/>
  <c r="K177" i="1"/>
  <c r="K181" i="1"/>
  <c r="K182" i="1" s="1"/>
  <c r="L177" i="1"/>
  <c r="L181" i="1"/>
  <c r="L182" i="1" s="1"/>
  <c r="K62" i="1"/>
  <c r="C76" i="1"/>
  <c r="C74" i="1"/>
  <c r="C73" i="1"/>
  <c r="L62" i="1" l="1"/>
  <c r="L64" i="1" s="1"/>
  <c r="D81" i="1"/>
  <c r="I213" i="1"/>
  <c r="I217" i="1" s="1"/>
  <c r="K64" i="1"/>
  <c r="G85" i="1"/>
  <c r="G153" i="1" s="1"/>
  <c r="I139" i="1" l="1"/>
  <c r="I175" i="1" s="1"/>
  <c r="G196" i="1"/>
  <c r="G126" i="1"/>
  <c r="G257" i="1"/>
  <c r="G169" i="1"/>
  <c r="H143" i="1"/>
  <c r="H145" i="1" s="1"/>
  <c r="M261" i="1"/>
  <c r="H85" i="1"/>
  <c r="H153" i="1" s="1"/>
  <c r="F85" i="1"/>
  <c r="F153" i="1" s="1"/>
  <c r="J139" i="1" l="1"/>
  <c r="J175" i="1" s="1"/>
  <c r="H146" i="1"/>
  <c r="H147" i="1" s="1"/>
  <c r="H171" i="1" s="1"/>
  <c r="H155" i="1"/>
  <c r="F169" i="1"/>
  <c r="F196" i="1"/>
  <c r="F257" i="1"/>
  <c r="F126" i="1"/>
  <c r="H257" i="1"/>
  <c r="H169" i="1"/>
  <c r="H196" i="1"/>
  <c r="H126" i="1"/>
  <c r="E85" i="1"/>
  <c r="E153" i="1" s="1"/>
  <c r="I85" i="1"/>
  <c r="I153" i="1" s="1"/>
  <c r="K139" i="1" l="1"/>
  <c r="L139" i="1" s="1"/>
  <c r="L175" i="1" s="1"/>
  <c r="H162" i="1"/>
  <c r="H164" i="1" s="1"/>
  <c r="H166" i="1" s="1"/>
  <c r="H176" i="1" s="1"/>
  <c r="H178" i="1" s="1"/>
  <c r="H184" i="1" s="1"/>
  <c r="H187" i="1" s="1"/>
  <c r="D64" i="1" s="1"/>
  <c r="H189" i="1" s="1"/>
  <c r="E126" i="1"/>
  <c r="E169" i="1"/>
  <c r="E196" i="1"/>
  <c r="E257" i="1"/>
  <c r="I126" i="1"/>
  <c r="I257" i="1"/>
  <c r="I169" i="1"/>
  <c r="I196" i="1"/>
  <c r="J85" i="1"/>
  <c r="J153" i="1" s="1"/>
  <c r="M139" i="1" l="1"/>
  <c r="M175" i="1" s="1"/>
  <c r="K175" i="1"/>
  <c r="H250" i="1"/>
  <c r="D66" i="1"/>
  <c r="H266" i="1" s="1"/>
  <c r="E64" i="1"/>
  <c r="J257" i="1"/>
  <c r="J126" i="1"/>
  <c r="J169" i="1"/>
  <c r="J196" i="1"/>
  <c r="K85" i="1"/>
  <c r="K153" i="1" s="1"/>
  <c r="H268" i="1" l="1"/>
  <c r="H192" i="1"/>
  <c r="H253" i="1" s="1"/>
  <c r="H254" i="1" s="1"/>
  <c r="E66" i="1"/>
  <c r="E67" i="1" s="1"/>
  <c r="D67" i="1"/>
  <c r="F61" i="1" s="1"/>
  <c r="K169" i="1"/>
  <c r="K196" i="1"/>
  <c r="K257" i="1"/>
  <c r="K126" i="1"/>
  <c r="L85" i="1"/>
  <c r="L153" i="1" s="1"/>
  <c r="F63" i="1" l="1"/>
  <c r="F60" i="1"/>
  <c r="F65" i="1"/>
  <c r="F62" i="1"/>
  <c r="F66" i="1"/>
  <c r="F64" i="1"/>
  <c r="L257" i="1"/>
  <c r="M85" i="1"/>
  <c r="L126" i="1"/>
  <c r="L169" i="1"/>
  <c r="L196" i="1"/>
  <c r="I221" i="1"/>
  <c r="I228" i="1"/>
  <c r="I231" i="1"/>
  <c r="O111" i="1" l="1"/>
  <c r="O129" i="1"/>
  <c r="O104" i="1"/>
  <c r="O103" i="1"/>
  <c r="O149" i="1"/>
  <c r="M153" i="1"/>
  <c r="O94" i="1"/>
  <c r="O87" i="1"/>
  <c r="F67" i="1"/>
  <c r="M257" i="1"/>
  <c r="M126" i="1"/>
  <c r="M169" i="1"/>
  <c r="M196" i="1"/>
  <c r="H188" i="1"/>
  <c r="I224" i="1"/>
  <c r="I235" i="1"/>
  <c r="I209" i="1" s="1"/>
  <c r="I238" i="1"/>
  <c r="I216" i="1"/>
  <c r="I140" i="1"/>
  <c r="H190" i="1" l="1"/>
  <c r="I186" i="1" s="1"/>
  <c r="I207" i="1" s="1"/>
  <c r="I242" i="1"/>
  <c r="I138" i="1" s="1"/>
  <c r="I243" i="1" l="1"/>
  <c r="I141" i="1" s="1"/>
  <c r="I143" i="1" s="1"/>
  <c r="I145" i="1" s="1"/>
  <c r="I248" i="1"/>
  <c r="I146" i="1" l="1"/>
  <c r="I147" i="1" s="1"/>
  <c r="I171" i="1" s="1"/>
  <c r="I192" i="1" s="1"/>
  <c r="I155" i="1"/>
  <c r="I158" i="1" s="1"/>
  <c r="I159" i="1" s="1"/>
  <c r="N257" i="1" l="1"/>
  <c r="O257" i="1" s="1"/>
  <c r="I162" i="1" l="1"/>
  <c r="I164" i="1" s="1"/>
  <c r="I166" i="1" s="1"/>
  <c r="I176" i="1" s="1"/>
  <c r="I178" i="1" s="1"/>
  <c r="I184" i="1" s="1"/>
  <c r="I160" i="1"/>
  <c r="J157" i="1" s="1"/>
  <c r="I187" i="1" l="1"/>
  <c r="I250" i="1"/>
  <c r="I208" i="1"/>
  <c r="I211" i="1" s="1"/>
  <c r="I214" i="1" s="1"/>
  <c r="I222" i="1" s="1"/>
  <c r="I223" i="1" s="1"/>
  <c r="J220" i="1" s="1"/>
  <c r="I251" i="1"/>
  <c r="J221" i="1" l="1"/>
  <c r="J224" i="1"/>
  <c r="I215" i="1"/>
  <c r="I229" i="1"/>
  <c r="I230" i="1" s="1"/>
  <c r="J227" i="1" s="1"/>
  <c r="J228" i="1" l="1"/>
  <c r="J231" i="1"/>
  <c r="I236" i="1"/>
  <c r="I237" i="1" s="1"/>
  <c r="J234" i="1" s="1"/>
  <c r="J213" i="1"/>
  <c r="J217" i="1" s="1"/>
  <c r="I247" i="1"/>
  <c r="I246" i="1" l="1"/>
  <c r="I193" i="1"/>
  <c r="I253" i="1" s="1"/>
  <c r="I254" i="1" s="1"/>
  <c r="J140" i="1"/>
  <c r="J216" i="1"/>
  <c r="I241" i="1"/>
  <c r="I188" i="1" s="1"/>
  <c r="I190" i="1" s="1"/>
  <c r="J186" i="1" s="1"/>
  <c r="J243" i="1" s="1"/>
  <c r="J141" i="1" s="1"/>
  <c r="J235" i="1"/>
  <c r="J209" i="1" s="1"/>
  <c r="J238" i="1"/>
  <c r="J242" i="1" s="1"/>
  <c r="J207" i="1" l="1"/>
  <c r="J248" i="1"/>
  <c r="J138" i="1"/>
  <c r="J143" i="1" s="1"/>
  <c r="J145" i="1" s="1"/>
  <c r="J146" i="1" l="1"/>
  <c r="J147" i="1" s="1"/>
  <c r="J171" i="1" s="1"/>
  <c r="J192" i="1" s="1"/>
  <c r="J155" i="1"/>
  <c r="J158" i="1" s="1"/>
  <c r="J159" i="1" l="1"/>
  <c r="J160" i="1" s="1"/>
  <c r="K157" i="1" s="1"/>
  <c r="J162" i="1" l="1"/>
  <c r="J164" i="1" s="1"/>
  <c r="J166" i="1" s="1"/>
  <c r="J176" i="1" s="1"/>
  <c r="J178" i="1" s="1"/>
  <c r="J184" i="1" s="1"/>
  <c r="J187" i="1" s="1"/>
  <c r="J251" i="1" l="1"/>
  <c r="J208" i="1"/>
  <c r="J211" i="1" s="1"/>
  <c r="J214" i="1" s="1"/>
  <c r="J222" i="1" s="1"/>
  <c r="J223" i="1" s="1"/>
  <c r="K220" i="1" s="1"/>
  <c r="J250" i="1"/>
  <c r="J215" i="1" l="1"/>
  <c r="J247" i="1" s="1"/>
  <c r="J229" i="1"/>
  <c r="J230" i="1" s="1"/>
  <c r="K227" i="1" s="1"/>
  <c r="K228" i="1" s="1"/>
  <c r="K221" i="1"/>
  <c r="K224" i="1"/>
  <c r="K231" i="1" l="1"/>
  <c r="K213" i="1"/>
  <c r="J236" i="1"/>
  <c r="J237" i="1" s="1"/>
  <c r="K234" i="1" s="1"/>
  <c r="K235" i="1" s="1"/>
  <c r="K209" i="1" s="1"/>
  <c r="K216" i="1" l="1"/>
  <c r="K217" i="1"/>
  <c r="K140" i="1" s="1"/>
  <c r="J193" i="1"/>
  <c r="J253" i="1" s="1"/>
  <c r="J254" i="1" s="1"/>
  <c r="K238" i="1"/>
  <c r="J241" i="1"/>
  <c r="J188" i="1" s="1"/>
  <c r="J190" i="1" s="1"/>
  <c r="K186" i="1" s="1"/>
  <c r="K243" i="1" s="1"/>
  <c r="K141" i="1" s="1"/>
  <c r="J246" i="1"/>
  <c r="K242" i="1" l="1"/>
  <c r="K248" i="1" s="1"/>
  <c r="K207" i="1"/>
  <c r="K138" i="1" l="1"/>
  <c r="K143" i="1" s="1"/>
  <c r="K145" i="1" s="1"/>
  <c r="K146" i="1" s="1"/>
  <c r="K147" i="1" s="1"/>
  <c r="K171" i="1" s="1"/>
  <c r="K192" i="1" s="1"/>
  <c r="K155" i="1" l="1"/>
  <c r="K158" i="1" s="1"/>
  <c r="K159" i="1" s="1"/>
  <c r="K160" i="1" s="1"/>
  <c r="L157" i="1" s="1"/>
  <c r="K162" i="1" l="1"/>
  <c r="K164" i="1" s="1"/>
  <c r="K166" i="1" s="1"/>
  <c r="K176" i="1" s="1"/>
  <c r="K178" i="1" s="1"/>
  <c r="K184" i="1" s="1"/>
  <c r="K187" i="1" s="1"/>
  <c r="K208" i="1" l="1"/>
  <c r="K211" i="1" s="1"/>
  <c r="K214" i="1" s="1"/>
  <c r="K222" i="1" s="1"/>
  <c r="K223" i="1" s="1"/>
  <c r="L220" i="1" s="1"/>
  <c r="K251" i="1"/>
  <c r="K250" i="1"/>
  <c r="L221" i="1" l="1"/>
  <c r="L224" i="1"/>
  <c r="K229" i="1"/>
  <c r="K215" i="1"/>
  <c r="K230" i="1" l="1"/>
  <c r="L227" i="1" s="1"/>
  <c r="K236" i="1"/>
  <c r="L213" i="1"/>
  <c r="L217" i="1" s="1"/>
  <c r="K247" i="1"/>
  <c r="K237" i="1" l="1"/>
  <c r="K241" i="1"/>
  <c r="K188" i="1" s="1"/>
  <c r="K190" i="1" s="1"/>
  <c r="L186" i="1" s="1"/>
  <c r="L140" i="1"/>
  <c r="L216" i="1"/>
  <c r="L228" i="1"/>
  <c r="L231" i="1"/>
  <c r="L243" i="1" l="1"/>
  <c r="L141" i="1" s="1"/>
  <c r="L207" i="1"/>
  <c r="L234" i="1"/>
  <c r="K193" i="1"/>
  <c r="K253" i="1" s="1"/>
  <c r="K254" i="1" s="1"/>
  <c r="K246" i="1"/>
  <c r="L235" i="1" l="1"/>
  <c r="L209" i="1" s="1"/>
  <c r="L238" i="1"/>
  <c r="L242" i="1" s="1"/>
  <c r="L268" i="1"/>
  <c r="L248" i="1" l="1"/>
  <c r="L138" i="1"/>
  <c r="L143" i="1" s="1"/>
  <c r="L145" i="1" s="1"/>
  <c r="L146" i="1" l="1"/>
  <c r="L147" i="1" s="1"/>
  <c r="L171" i="1" s="1"/>
  <c r="L155" i="1"/>
  <c r="L158" i="1" s="1"/>
  <c r="L159" i="1" l="1"/>
  <c r="L160" i="1" s="1"/>
  <c r="M157" i="1" s="1"/>
  <c r="L192" i="1"/>
  <c r="L162" i="1" l="1"/>
  <c r="L164" i="1" s="1"/>
  <c r="L166" i="1" s="1"/>
  <c r="L176" i="1" s="1"/>
  <c r="L178" i="1" s="1"/>
  <c r="L184" i="1" s="1"/>
  <c r="L187" i="1" s="1"/>
  <c r="L250" i="1" l="1"/>
  <c r="L208" i="1"/>
  <c r="L211" i="1" s="1"/>
  <c r="L214" i="1" s="1"/>
  <c r="L222" i="1" s="1"/>
  <c r="L251" i="1"/>
  <c r="L223" i="1" l="1"/>
  <c r="M220" i="1" s="1"/>
  <c r="M224" i="1" s="1"/>
  <c r="L229" i="1"/>
  <c r="L230" i="1" s="1"/>
  <c r="M227" i="1" s="1"/>
  <c r="M231" i="1" s="1"/>
  <c r="L215" i="1"/>
  <c r="M228" i="1" l="1"/>
  <c r="L236" i="1"/>
  <c r="L237" i="1" s="1"/>
  <c r="M234" i="1" s="1"/>
  <c r="M221" i="1"/>
  <c r="L247" i="1"/>
  <c r="M213" i="1"/>
  <c r="M217" i="1" s="1"/>
  <c r="L193" i="1" l="1"/>
  <c r="L253" i="1" s="1"/>
  <c r="L254" i="1" s="1"/>
  <c r="L246" i="1"/>
  <c r="L241" i="1"/>
  <c r="L188" i="1" s="1"/>
  <c r="L190" i="1" s="1"/>
  <c r="M186" i="1" s="1"/>
  <c r="M207" i="1" s="1"/>
  <c r="M235" i="1"/>
  <c r="M209" i="1" s="1"/>
  <c r="M238" i="1"/>
  <c r="M140" i="1"/>
  <c r="M216" i="1"/>
  <c r="M242" i="1" l="1"/>
  <c r="M248" i="1" s="1"/>
  <c r="M243" i="1"/>
  <c r="M141" i="1" s="1"/>
  <c r="M138" i="1" l="1"/>
  <c r="M143" i="1" s="1"/>
  <c r="M145" i="1" s="1"/>
  <c r="M146" i="1" s="1"/>
  <c r="M147" i="1" s="1"/>
  <c r="M171" i="1" s="1"/>
  <c r="M155" i="1" l="1"/>
  <c r="M158" i="1" s="1"/>
  <c r="M192" i="1"/>
  <c r="M159" i="1" l="1"/>
  <c r="M162" i="1" s="1"/>
  <c r="M164" i="1" s="1"/>
  <c r="M166" i="1" s="1"/>
  <c r="M176" i="1" s="1"/>
  <c r="M178" i="1" s="1"/>
  <c r="M184" i="1" s="1"/>
  <c r="M160" i="1" l="1"/>
  <c r="M208" i="1"/>
  <c r="M211" i="1" s="1"/>
  <c r="M187" i="1"/>
  <c r="M251" i="1"/>
  <c r="M250" i="1"/>
  <c r="M214" i="1" l="1"/>
  <c r="M222" i="1" s="1"/>
  <c r="M223" i="1" s="1"/>
  <c r="M229" i="1" l="1"/>
  <c r="M215" i="1"/>
  <c r="M230" i="1" l="1"/>
  <c r="M236" i="1"/>
  <c r="M247" i="1"/>
  <c r="M237" i="1" l="1"/>
  <c r="M241" i="1"/>
  <c r="M188" i="1" s="1"/>
  <c r="M190" i="1" s="1"/>
  <c r="M246" i="1" l="1"/>
  <c r="M193" i="1"/>
  <c r="M262" i="1" s="1"/>
  <c r="M263" i="1" l="1"/>
  <c r="M253" i="1"/>
  <c r="M254" i="1" s="1"/>
  <c r="N267" i="1" l="1"/>
  <c r="N268" i="1" s="1"/>
  <c r="O267" i="1"/>
  <c r="O268" i="1" s="1"/>
  <c r="M267" i="1"/>
  <c r="M268" i="1" s="1"/>
  <c r="G270" i="1" l="1"/>
  <c r="G271" i="1"/>
  <c r="D295" i="1" s="1"/>
  <c r="D276" i="1" l="1"/>
  <c r="D28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BIWS</author>
    <author>Brian DeChesare</author>
  </authors>
  <commentList>
    <comment ref="K11" authorId="0" shapeId="0" xr:uid="{5B37A15E-7CF8-4898-8AB0-3E076BBBD23E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merger agreement.</t>
        </r>
      </text>
    </comment>
    <comment ref="E14" authorId="0" shapeId="0" xr:uid="{40B6E82E-1CE6-44E6-8CA5-17486512809A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merger agreement.</t>
        </r>
      </text>
    </comment>
    <comment ref="K18" authorId="0" shapeId="0" xr:uid="{938EEAB6-C436-48B2-9C3D-3B4D3304F001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merger agreement.</t>
        </r>
      </text>
    </comment>
    <comment ref="E19" authorId="0" shapeId="0" xr:uid="{BA6BAC46-EFAA-4C86-BBF8-BAF6FE8F366A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NOL within DTA, adjusted for valuation allowance. Pg. 97 of 10-K.</t>
        </r>
      </text>
    </comment>
    <comment ref="K19" authorId="0" shapeId="0" xr:uid="{DFB08AC1-A3E3-4F92-B4B5-A8EFF0BFAA6B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merger agreement.</t>
        </r>
      </text>
    </comment>
    <comment ref="J24" authorId="0" shapeId="0" xr:uid="{A814DF0F-E427-44D7-89FE-BA7C1EA19394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Financing doc pg. 3.</t>
        </r>
      </text>
    </comment>
    <comment ref="J25" authorId="0" shapeId="0" xr:uid="{3B3E5425-74E0-47BC-BA7A-04B614FEB42F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Financing doc pg. 3.</t>
        </r>
      </text>
    </comment>
    <comment ref="J26" authorId="0" shapeId="0" xr:uid="{B8499395-22EC-41CD-8D5C-A7FEBB74A6FB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Financing doc pg. 3.</t>
        </r>
      </text>
    </comment>
    <comment ref="E29" authorId="0" shapeId="0" xr:uid="{9D762D16-82AF-4AEF-AD9A-E42FF1EC68E9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merger agreement.</t>
        </r>
      </text>
    </comment>
    <comment ref="E30" authorId="0" shapeId="0" xr:uid="{B6DFD0CF-C318-4919-BC5A-2E9CDC8FF942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deal docs.</t>
        </r>
      </text>
    </comment>
    <comment ref="E31" authorId="0" shapeId="0" xr:uid="{8A3569BC-5FDD-40BD-85C3-61C54666318F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Estimate based on Jan. 31 start date and Mar. 14th filing.</t>
        </r>
      </text>
    </comment>
    <comment ref="E40" authorId="0" shapeId="0" xr:uid="{552A0F14-5519-4468-80E0-0E39B646B9FE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deal docs pg. 96.</t>
        </r>
      </text>
    </comment>
    <comment ref="E44" authorId="0" shapeId="0" xr:uid="{61AC87B0-DE06-4E90-8874-2C4131D1B657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Higher than normal to cover first amortization and interest payments.</t>
        </r>
      </text>
    </comment>
    <comment ref="K52" authorId="0" shapeId="0" xr:uid="{C9410BD9-E3EA-4BD4-9C41-539A28752869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In the Base Case.</t>
        </r>
      </text>
    </comment>
    <comment ref="D73" authorId="0" shapeId="0" xr:uid="{A2455D07-C62F-4835-B8C5-06ABCC9C8CD4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the deal docs pg. 54.</t>
        </r>
      </text>
    </comment>
    <comment ref="E73" authorId="0" shapeId="0" xr:uid="{7FC6F1CB-3CB6-4CB1-8ED9-B9D85005846B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the financing doc pg. 53. Taking the midpoint between the initial 4.5% and step-down to 4.0%.</t>
        </r>
      </text>
    </comment>
    <comment ref="J73" authorId="0" shapeId="0" xr:uid="{2216E7B2-9E4F-43AC-B0B5-C6E3969224E1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Pg. 54 of financing doc. Using midpoint of step-down range.</t>
        </r>
      </text>
    </comment>
    <comment ref="K73" authorId="0" shapeId="0" xr:uid="{F993F939-4695-4FA2-8B4C-1A45A1A58229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Rough estimate based on undrawn fee %.</t>
        </r>
      </text>
    </comment>
    <comment ref="L73" authorId="1" shapeId="0" xr:uid="{2A103EAF-9C0B-4136-9177-4F3F3635F283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Financing doc pg. 3.</t>
        </r>
      </text>
    </comment>
    <comment ref="D74" authorId="0" shapeId="0" xr:uid="{7D77A484-195E-4641-BA1B-0F116D6B7DC1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the deal docs pg. 54.</t>
        </r>
      </text>
    </comment>
    <comment ref="E74" authorId="0" shapeId="0" xr:uid="{54D18C5E-1BEA-403E-B2E5-9E63BA512F59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the financing doc pg. 53 and pg. 57.</t>
        </r>
      </text>
    </comment>
    <comment ref="G74" authorId="0" shapeId="0" xr:uid="{6E955CEB-F206-4BB6-943E-E535B424148D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deal docs pg. 34.</t>
        </r>
      </text>
    </comment>
    <comment ref="E75" authorId="0" shapeId="0" xr:uid="{550DB267-B8EF-45FA-A34C-208CDC2BE492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deal docs pg. 95.</t>
        </r>
      </text>
    </comment>
    <comment ref="G75" authorId="0" shapeId="0" xr:uid="{2756377A-0E3B-46FB-ABBB-0BE7B000C6CE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deal docs pg. 96.</t>
        </r>
      </text>
    </comment>
    <comment ref="I75" authorId="0" shapeId="0" xr:uid="{C49F4EA5-A4B2-4DA3-BBFD-2CDC5F59FEA9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Financing doc pg. 95. - actually 3 years, but simplifying and assumine 7 to avoid a refinancing in the model.</t>
        </r>
      </text>
    </comment>
    <comment ref="D79" authorId="0" shapeId="0" xr:uid="{F7801706-FEB7-4A90-8B2E-10662011CA2A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https://www.chathamfinancial.com/technology/us-forward-curves</t>
        </r>
      </text>
    </comment>
    <comment ref="E87" authorId="0" shapeId="0" xr:uid="{CE2E7D48-F71F-4D88-8314-831215018A14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Using average numbers from filings based on Q4 to Q4 in a single FY.
https://www.statista.com/statistics/970920/monetizable-daily-active-twitter-users-worldwide/</t>
        </r>
      </text>
    </comment>
    <comment ref="F87" authorId="0" shapeId="0" xr:uid="{F08EF1A0-87D7-4D4E-A9B2-A7E51F8A7154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https://www.statista.com/statistics/970920/monetizable-daily-active-twitter-users-worldwide/</t>
        </r>
      </text>
    </comment>
    <comment ref="E95" authorId="0" shapeId="0" xr:uid="{16F16533-BA13-411C-AD9F-E2A86869C873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Approximation based on this comparison:
https://stockdividendscreener.com/information-technology/comparison-of-average-revenue-per-user-for-social-media-companies/</t>
        </r>
      </text>
    </comment>
    <comment ref="H138" authorId="0" shapeId="0" xr:uid="{AEAF4E99-7C44-4030-8F2E-41932B39AB9B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Annualizing the Q1 FY 22 number. No refinancing until the end of the year.</t>
        </r>
      </text>
    </comment>
    <comment ref="H142" authorId="0" shapeId="0" xr:uid="{62C46740-EB05-4C7C-A3D4-D9C1951F65F2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Due to Gain on Asset Sale in Q1.</t>
        </r>
      </text>
    </comment>
    <comment ref="H160" authorId="0" shapeId="0" xr:uid="{CF006D7B-F26A-44DE-98B5-C3EBBC5FA7D8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NOLs are written down in a stock purchase of a C-corporation.</t>
        </r>
      </text>
    </comment>
    <comment ref="H174" authorId="0" shapeId="0" xr:uid="{04265CD2-5BDA-40D1-94BC-3ECC3CBF4D45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Set to 0 in future periods to count the dilution as a cash expense and FCF reduction.</t>
        </r>
      </text>
    </comment>
    <comment ref="G193" authorId="0" shapeId="0" xr:uid="{6B74DBDE-1D8B-4D73-B3D7-914991879B13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Face Value of convertible bonds + senior notes per pg. 32 of 10-K.</t>
        </r>
      </text>
    </comment>
    <comment ref="H199" authorId="0" shapeId="0" xr:uid="{1117AFA8-0784-4C8F-B464-8CF930BA7320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https://www.chathamfinancial.com/technology/us-forward-curves</t>
        </r>
      </text>
    </comment>
  </commentList>
</comments>
</file>

<file path=xl/sharedStrings.xml><?xml version="1.0" encoding="utf-8"?>
<sst xmlns="http://schemas.openxmlformats.org/spreadsheetml/2006/main" count="480" uniqueCount="261">
  <si>
    <t>Company Name:</t>
  </si>
  <si>
    <t>Last Historical Year:</t>
  </si>
  <si>
    <t>Sources &amp; Uses Schedule:</t>
  </si>
  <si>
    <t>Historical</t>
  </si>
  <si>
    <t>Projected</t>
  </si>
  <si>
    <t>Debt Schedule:</t>
  </si>
  <si>
    <t>(-) Net Debt:</t>
  </si>
  <si>
    <t>Total Sources:</t>
  </si>
  <si>
    <t>Total Uses:</t>
  </si>
  <si>
    <t>Revolver:</t>
  </si>
  <si>
    <t>Rate:</t>
  </si>
  <si>
    <t>Spread:</t>
  </si>
  <si>
    <t>Margin:</t>
  </si>
  <si>
    <t>Annual</t>
  </si>
  <si>
    <t>Transaction Fees:</t>
  </si>
  <si>
    <t>x EBITDA</t>
  </si>
  <si>
    <t>Purchase Enterprise Value:</t>
  </si>
  <si>
    <t>EBITDA:</t>
  </si>
  <si>
    <t>Uses of Funds:</t>
  </si>
  <si>
    <t>% Sources</t>
  </si>
  <si>
    <t>Sources of Funds:</t>
  </si>
  <si>
    <t>(+/-) Change in Working Capital:</t>
  </si>
  <si>
    <t>Cash Flow Projections:</t>
  </si>
  <si>
    <t>Cash - Beginning of Period:</t>
  </si>
  <si>
    <t>Debt (Repayment) / Drawdown:</t>
  </si>
  <si>
    <t>Cash - End of Period:</t>
  </si>
  <si>
    <t>%</t>
  </si>
  <si>
    <t>Units:</t>
  </si>
  <si>
    <t>Floor:</t>
  </si>
  <si>
    <t>Revenue, Expenses, and Cash Flow:</t>
  </si>
  <si>
    <t>Total:</t>
  </si>
  <si>
    <t>(+) Free Cash Flow:</t>
  </si>
  <si>
    <t>Cash Flow Surplus / (Shortfall):</t>
  </si>
  <si>
    <t>BoP Revolver:</t>
  </si>
  <si>
    <t>Revolver (Repayments) / Drawdowns:</t>
  </si>
  <si>
    <t>EoP Revolver:</t>
  </si>
  <si>
    <t>(-) Minimum Cash:</t>
  </si>
  <si>
    <t>(+) Debt Drawdown / (-) Repayment:</t>
  </si>
  <si>
    <t>(x) Exit Multiple:</t>
  </si>
  <si>
    <t>Exit Equity Value:</t>
  </si>
  <si>
    <t>Exit Enterprise Value:</t>
  </si>
  <si>
    <t>#</t>
  </si>
  <si>
    <t>x</t>
  </si>
  <si>
    <t>Income Statement:</t>
  </si>
  <si>
    <t>Ticker:</t>
  </si>
  <si>
    <t>Offer Price per Share:</t>
  </si>
  <si>
    <t>Operating Income / (Loss):</t>
  </si>
  <si>
    <t>Growth Rate:</t>
  </si>
  <si>
    <t>Cash:</t>
  </si>
  <si>
    <t>Purchase Equity Value:</t>
  </si>
  <si>
    <t>(+) Debt:</t>
  </si>
  <si>
    <t>Interest Rates:</t>
  </si>
  <si>
    <t>(-) Amortization:</t>
  </si>
  <si>
    <t>Cash Interest Expense:</t>
  </si>
  <si>
    <t>Net Interest Income / (Expense):</t>
  </si>
  <si>
    <t>Debt and Cash Assumptions:</t>
  </si>
  <si>
    <t>Tranche Name:</t>
  </si>
  <si>
    <t>Cash Interest Income:</t>
  </si>
  <si>
    <t>Cash Flow and Revolver Calculations:</t>
  </si>
  <si>
    <t>Returns Calculations:</t>
  </si>
  <si>
    <t>Name</t>
  </si>
  <si>
    <t>M Shares</t>
  </si>
  <si>
    <t>Date</t>
  </si>
  <si>
    <t>(-) Cash &amp; Investments:</t>
  </si>
  <si>
    <t>Assume/Replace Existing Debt:</t>
  </si>
  <si>
    <t>Premium Paid:</t>
  </si>
  <si>
    <t>Total Revenue:</t>
  </si>
  <si>
    <t>Revenue Growth:</t>
  </si>
  <si>
    <t>Pre-Tax Income:</t>
  </si>
  <si>
    <t>Financing Fees:</t>
  </si>
  <si>
    <t>Advisory Fee %:</t>
  </si>
  <si>
    <t>Debt Issuance Fee %:</t>
  </si>
  <si>
    <t>Legal and Other Fees:</t>
  </si>
  <si>
    <t>Operating Margin:</t>
  </si>
  <si>
    <t>Amort:</t>
  </si>
  <si>
    <t>(-) Cash Flow Sweep:</t>
  </si>
  <si>
    <t>Cash Flow</t>
  </si>
  <si>
    <t>Sweep %:</t>
  </si>
  <si>
    <t>Investor Equity:</t>
  </si>
  <si>
    <t>(-) Interest Expense:</t>
  </si>
  <si>
    <t>Transaction Assumptions:</t>
  </si>
  <si>
    <t>(-) Income Tax Expense / (+) Benefit:</t>
  </si>
  <si>
    <t>Net Income:</t>
  </si>
  <si>
    <t>(+) Stock-Based Compensation:</t>
  </si>
  <si>
    <t>(+/-) Deferred Taxes:</t>
  </si>
  <si>
    <t>Cash Flow from Operations:</t>
  </si>
  <si>
    <t>(+) Amortization of Debt Issuance Fees:</t>
  </si>
  <si>
    <t>CASH FLOWS FROM OPERATING ACTIVITIES:</t>
  </si>
  <si>
    <t/>
  </si>
  <si>
    <t>CASH FLOWS FROM INVESTING ACTIVITIES:</t>
  </si>
  <si>
    <t>Cash Flow from Investing:</t>
  </si>
  <si>
    <t>$ M</t>
  </si>
  <si>
    <t>Free Cash Flow:</t>
  </si>
  <si>
    <t>(+) Other Income / (-) Expense:</t>
  </si>
  <si>
    <t>($ USD in Millions, Except Per Share and Per Unit Data)</t>
  </si>
  <si>
    <t>Operating Scenario:</t>
  </si>
  <si>
    <t>$ as Stated</t>
  </si>
  <si>
    <t>Basic Share Count:</t>
  </si>
  <si>
    <t>Base</t>
  </si>
  <si>
    <t>(-) Amortization of Debt Issuance Fees:</t>
  </si>
  <si>
    <t>Total Debt / EBITDA:</t>
  </si>
  <si>
    <t>EBITDA / Cash Interest:</t>
  </si>
  <si>
    <t>Senior Debt / EBITDA:</t>
  </si>
  <si>
    <t>FCF Conversion:</t>
  </si>
  <si>
    <t>FCF Yield:</t>
  </si>
  <si>
    <t>Growth</t>
  </si>
  <si>
    <t>(Years):</t>
  </si>
  <si>
    <t>Maturity</t>
  </si>
  <si>
    <t>N/A</t>
  </si>
  <si>
    <t>Exit Assumptions:</t>
  </si>
  <si>
    <t>Return on Invested Capital (ROIC):</t>
  </si>
  <si>
    <t>Invested Capital:</t>
  </si>
  <si>
    <t xml:space="preserve"> </t>
  </si>
  <si>
    <t>(-) Initial Investment:</t>
  </si>
  <si>
    <t>(+) Exit Equity Proceeds:</t>
  </si>
  <si>
    <t>Total Cash Flows:</t>
  </si>
  <si>
    <t>Key Metrics and Ratios:</t>
  </si>
  <si>
    <t>Options - Treasury Stock Method:</t>
  </si>
  <si>
    <t>Exercise</t>
  </si>
  <si>
    <t>Name:</t>
  </si>
  <si>
    <t>Number:</t>
  </si>
  <si>
    <t>Price:</t>
  </si>
  <si>
    <t>Dilution:</t>
  </si>
  <si>
    <t>Options A:</t>
  </si>
  <si>
    <t>Millions</t>
  </si>
  <si>
    <t>Restricted Stock Units and Other Sources:</t>
  </si>
  <si>
    <t>Performance Shares:</t>
  </si>
  <si>
    <t>Diluted Share Count:</t>
  </si>
  <si>
    <t>Fixed Cash</t>
  </si>
  <si>
    <t>Weighted Amortization Period (Years):</t>
  </si>
  <si>
    <t>Issuance Fees to Amortize:</t>
  </si>
  <si>
    <t>Purchase Premium:</t>
  </si>
  <si>
    <t>TWTR</t>
  </si>
  <si>
    <t>Undisturbed Share Price (April 1st):</t>
  </si>
  <si>
    <t>Restricted Stock Units (RSUs):</t>
  </si>
  <si>
    <t>Term Loan &amp; Senior Secured:</t>
  </si>
  <si>
    <t>SOFR</t>
  </si>
  <si>
    <t>Margin Loan:</t>
  </si>
  <si>
    <t>Unsecured Debt:</t>
  </si>
  <si>
    <t>Projected SOFR:</t>
  </si>
  <si>
    <t>(+) Advertising:</t>
  </si>
  <si>
    <t>(+) Data Licensing:</t>
  </si>
  <si>
    <t>(+) Interest Income:</t>
  </si>
  <si>
    <t>(+) Depreciation &amp; Amortization:</t>
  </si>
  <si>
    <t>(+/-) Other Items:</t>
  </si>
  <si>
    <t>Elon Musk - Rollover of Existing Shares:</t>
  </si>
  <si>
    <t>Fee:</t>
  </si>
  <si>
    <t>Monetizable Daily Active Users (mDAU):</t>
  </si>
  <si>
    <t>Average Revenue per User (ARPU):</t>
  </si>
  <si>
    <t>$ / User</t>
  </si>
  <si>
    <t>Margin</t>
  </si>
  <si>
    <t>(-) Recurring Operating Expenses:</t>
  </si>
  <si>
    <t>(-) Non-Recurring Operating Expenses:</t>
  </si>
  <si>
    <t>Data Licensing Growth Rate:</t>
  </si>
  <si>
    <t># Full-Time Employees:</t>
  </si>
  <si>
    <t>Revenue per Employee:</t>
  </si>
  <si>
    <t>$ / Empl.</t>
  </si>
  <si>
    <t># Empl.</t>
  </si>
  <si>
    <t>Conversion Units:</t>
  </si>
  <si>
    <t>D&amp;A % Revenue:</t>
  </si>
  <si>
    <t>CapEx % Revenue:</t>
  </si>
  <si>
    <t>OpEx per Employee:</t>
  </si>
  <si>
    <t>Standard Corporate Tax Rate:</t>
  </si>
  <si>
    <t>Margin Loan (Face Value):</t>
  </si>
  <si>
    <t>BoP Term Loans &amp; Senior Secured Notes:</t>
  </si>
  <si>
    <t>Term Loans &amp; Senior Secured Notes (Face Value):</t>
  </si>
  <si>
    <t>EoP Term Loans &amp; Senior Secured Notes:</t>
  </si>
  <si>
    <t>BoP Margin Loan:</t>
  </si>
  <si>
    <t>EoP Margin Loan:</t>
  </si>
  <si>
    <t>Undrawn</t>
  </si>
  <si>
    <t>Max</t>
  </si>
  <si>
    <t>Draw:</t>
  </si>
  <si>
    <t>Unsecured Debt (Face Value):</t>
  </si>
  <si>
    <t>BoP Unsecured Debt:</t>
  </si>
  <si>
    <t>EoP Unsecured Debt:</t>
  </si>
  <si>
    <t>Other Items % Revenue:</t>
  </si>
  <si>
    <t>Change in WC % Change in Revenue:</t>
  </si>
  <si>
    <t>Commitment/Overdraw Fee:</t>
  </si>
  <si>
    <t>(-) Revolver Commitment/Overdraw Fee:</t>
  </si>
  <si>
    <t>Projected SOFR Over Holding Period:</t>
  </si>
  <si>
    <t>Common Shareholders' Equity:</t>
  </si>
  <si>
    <t>Projected EBITDA as of Deal Announcement:</t>
  </si>
  <si>
    <t>Projected Purchase TEV / EBITDA:</t>
  </si>
  <si>
    <t>Total Debt Balance:</t>
  </si>
  <si>
    <t>Minimum Cash % OpEx:</t>
  </si>
  <si>
    <t>Excess Cash:</t>
  </si>
  <si>
    <t>(-) Excess Cash Used to Fund Deal:</t>
  </si>
  <si>
    <t>Post-Deal Minimum Cash Balance:</t>
  </si>
  <si>
    <t>LTM TEV / EBITDA Exit Multiple:</t>
  </si>
  <si>
    <t>Returns to Equity Investors:</t>
  </si>
  <si>
    <t>Equity Investor Multiple:</t>
  </si>
  <si>
    <t>Equity Investor IRR:</t>
  </si>
  <si>
    <t>Book Pre-Tax Income:</t>
  </si>
  <si>
    <t>Beginning Net Operating Loss (NOL) Balance:</t>
  </si>
  <si>
    <t>(+) NOLs Created:</t>
  </si>
  <si>
    <t>(-) NOLs Used:</t>
  </si>
  <si>
    <t>Ending NOL Balance:</t>
  </si>
  <si>
    <t>NOL-Adjusted Taxable Income:</t>
  </si>
  <si>
    <t>Cash Taxes Payable:</t>
  </si>
  <si>
    <t>Deferred Income Taxes:</t>
  </si>
  <si>
    <t>% Stake Sold Each Year Following IPO:</t>
  </si>
  <si>
    <t>Total Leverage Used in Deal:</t>
  </si>
  <si>
    <t>Leverage Asssumptions:</t>
  </si>
  <si>
    <t>% Total:</t>
  </si>
  <si>
    <t>Leverage Used to Fund Deal (Multiple of Projected FY 22 EBITDA):</t>
  </si>
  <si>
    <t>Sensitivity Tables - Equity IRR:</t>
  </si>
  <si>
    <t>(-) Net Operating Losses &amp; Non-Core Assets:</t>
  </si>
  <si>
    <t>10-15%</t>
  </si>
  <si>
    <t>EBITDA</t>
  </si>
  <si>
    <t>20-25%</t>
  </si>
  <si>
    <t>30-40%</t>
  </si>
  <si>
    <t>NM</t>
  </si>
  <si>
    <t>Twitter, Inc.</t>
  </si>
  <si>
    <t>15-20%</t>
  </si>
  <si>
    <t>Revenue Growth</t>
  </si>
  <si>
    <t>FY 21:</t>
  </si>
  <si>
    <t>Projected:</t>
  </si>
  <si>
    <t>LTM EBITDA as of Deal Announcement (FY 21):</t>
  </si>
  <si>
    <t>FY 21 Purchase TEV / EBITDA:</t>
  </si>
  <si>
    <t>Overdraw</t>
  </si>
  <si>
    <t>NOL Schedule:</t>
  </si>
  <si>
    <t>Downside</t>
  </si>
  <si>
    <t>Baseline LTM EBITDA Exit Multiple:</t>
  </si>
  <si>
    <t>5-10%</t>
  </si>
  <si>
    <t>[Bumble's margins were unusually low in FY 21; standard range is 20-30%.]</t>
  </si>
  <si>
    <t>15-30%</t>
  </si>
  <si>
    <t>Comparable Public Companies:</t>
  </si>
  <si>
    <t>75th Percentile:</t>
  </si>
  <si>
    <t>Median:</t>
  </si>
  <si>
    <t>25th Percentile:</t>
  </si>
  <si>
    <t>Elon Musk - Twitter Shares:</t>
  </si>
  <si>
    <t>Elon Musk - % Fully Diluted Shares:</t>
  </si>
  <si>
    <t>Average Purchase Price:</t>
  </si>
  <si>
    <t>Cost Basis of Stake:</t>
  </si>
  <si>
    <t>(-) Capital Expenditures (CapEx):</t>
  </si>
  <si>
    <r>
      <t>Notes:</t>
    </r>
    <r>
      <rPr>
        <sz val="12"/>
        <color theme="1"/>
        <rFont val="Calibri"/>
        <family val="2"/>
        <scheme val="minor"/>
      </rPr>
      <t xml:space="preserve"> FB ARPU is ~$41, SNAP is ~$14, and Pinterest is ~$6.</t>
    </r>
  </si>
  <si>
    <t>"Growth" case represents an ARPU near-Facebook, with the</t>
  </si>
  <si>
    <t>Base and Margin cases at ~25-35% discounts, and the Downside</t>
  </si>
  <si>
    <t>case representing a ~2.5% CAGR over the current ARPU.</t>
  </si>
  <si>
    <t>CAGR:</t>
  </si>
  <si>
    <t>EBITDA Multiples</t>
  </si>
  <si>
    <t>FY 22:</t>
  </si>
  <si>
    <t>Midpoints</t>
  </si>
  <si>
    <t>Meta Platforms Inc.</t>
  </si>
  <si>
    <t>FB</t>
  </si>
  <si>
    <t>PINS</t>
  </si>
  <si>
    <t>SNAP</t>
  </si>
  <si>
    <t>TSE:4689</t>
  </si>
  <si>
    <t>Z Holdings (Line)</t>
  </si>
  <si>
    <t>Snap Inc.</t>
  </si>
  <si>
    <t>Pinterest, Inc.</t>
  </si>
  <si>
    <t>MTCH</t>
  </si>
  <si>
    <t>Match Group, Inc.</t>
  </si>
  <si>
    <t>BMBL</t>
  </si>
  <si>
    <t>Bumble Inc.</t>
  </si>
  <si>
    <t>Kakao Corp</t>
  </si>
  <si>
    <t>KOSE:A035720</t>
  </si>
  <si>
    <t>WB</t>
  </si>
  <si>
    <t>Weibo Corporation</t>
  </si>
  <si>
    <t>Revenue Multiples</t>
  </si>
  <si>
    <t>Historical LTM EBITDA Multiples vs. Purchase Multiple: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</si>
</sst>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_(* #,##0.0_);_(* \(#,##0.0\);_(* &quot;-&quot;?_);_(@_)"/>
    <numFmt numFmtId="166" formatCode="_([$€-2]\ * #,##0.0_);_([$€-2]\ * \(#,##0.0\);_([$€-2]\ * &quot;-&quot;?_);_(@_)"/>
    <numFmt numFmtId="167" formatCode="_(* #,##0.0%;_(* \(#,##0.0%\);_(* &quot;- %&quot;_);_(* @_%_)"/>
    <numFmt numFmtId="168" formatCode="&quot;FY&quot;yy"/>
    <numFmt numFmtId="169" formatCode="0.0\ \x"/>
    <numFmt numFmtId="170" formatCode="0.0%;\(0.0%\)"/>
    <numFmt numFmtId="171" formatCode="_(* #,##0.000_);_(* \(#,##0.000\);_(* &quot;-&quot;???_);_(@_)"/>
    <numFmt numFmtId="172" formatCode="0.0%"/>
    <numFmt numFmtId="173" formatCode="_-[$¥-411]* #,##0_-;\-[$¥-411]* #,##0_-;_-[$¥-411]* &quot;-&quot;_-;_-@_-"/>
    <numFmt numFmtId="174" formatCode="_(* #,##0_);_(* \(#,##0\);_(* &quot;-&quot;?_);_(@_)"/>
    <numFmt numFmtId="175" formatCode="_-[$¥-411]* #,##0.00_-;\-[$¥-411]* #,##0.00_-;_-[$¥-411]* &quot;-&quot;??_-;_-@_-"/>
    <numFmt numFmtId="176" formatCode="_([$$-409]* #,##0.0_);_([$$-409]* \(#,##0.0\);_([$$-409]* &quot;-&quot;_);_(@_)"/>
    <numFmt numFmtId="177" formatCode="_(* #,##0.0_);_(* \(#,##0.0\);_(* &quot;-&quot;_);_(@_)"/>
    <numFmt numFmtId="178" formatCode="_(&quot;$&quot;* #,##0.0_);_(&quot;$&quot;* \(#,##0.0\);_(&quot;$&quot;* &quot;-&quot;?_);_(@_)"/>
    <numFmt numFmtId="179" formatCode="#,##0.0"/>
    <numFmt numFmtId="180" formatCode="_(&quot;$&quot;* #,##0.0_);_(&quot;$&quot;* \(#,##0.0\);_(&quot;$&quot;* &quot;-&quot;_);_(@_)"/>
    <numFmt numFmtId="181" formatCode="* _(##,##0.0_);[Red]* \(##,##0.0\);* _(&quot;-&quot;?_);_(@_)"/>
    <numFmt numFmtId="182" formatCode="_-* #,##0.00\ [$€-40C]_-;\-* #,##0.00\ [$€-40C]_-;_-* &quot;-&quot;??\ [$€-40C]_-;_-@_-"/>
    <numFmt numFmtId="183" formatCode="_(* #,##0.0_);_(* \(#,##0.0\);_(* &quot;-&quot;??_);_(@_)"/>
    <numFmt numFmtId="184" formatCode="_([$$-409]* #,##0.00_);_([$$-409]* \(#,##0.00\);_([$$-409]* &quot;-&quot;??_);_(@_)"/>
    <numFmt numFmtId="185" formatCode="0.00%;\(0.00%\)"/>
  </numFmts>
  <fonts count="4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i/>
      <sz val="12"/>
      <color rgb="FFFFFFFF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sz val="10"/>
      <name val="Arial"/>
      <family val="2"/>
    </font>
    <font>
      <i/>
      <sz val="12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FF"/>
      <name val="Calibri"/>
      <family val="2"/>
    </font>
    <font>
      <i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b/>
      <sz val="12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rgb="FFB2B2B2"/>
      </bottom>
      <diagonal/>
    </border>
    <border>
      <left style="thin">
        <color rgb="FFB2B2B2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rgb="FFFFFFFF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 style="thin">
        <color rgb="FFB2B2B2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rgb="FFB2B2B2"/>
      </top>
      <bottom/>
      <diagonal/>
    </border>
  </borders>
  <cellStyleXfs count="6">
    <xf numFmtId="0" fontId="0" fillId="0" borderId="0"/>
    <xf numFmtId="0" fontId="16" fillId="2" borderId="1" applyNumberFormat="0" applyFont="0" applyAlignment="0" applyProtection="0"/>
    <xf numFmtId="0" fontId="28" fillId="0" borderId="0"/>
    <xf numFmtId="0" fontId="16" fillId="0" borderId="0"/>
    <xf numFmtId="0" fontId="28" fillId="0" borderId="0"/>
    <xf numFmtId="0" fontId="37" fillId="0" borderId="0"/>
  </cellStyleXfs>
  <cellXfs count="297">
    <xf numFmtId="0" fontId="0" fillId="0" borderId="0" xfId="0"/>
    <xf numFmtId="168" fontId="17" fillId="6" borderId="2" xfId="0" applyNumberFormat="1" applyFont="1" applyFill="1" applyBorder="1" applyAlignment="1">
      <alignment horizontal="center"/>
    </xf>
    <xf numFmtId="168" fontId="17" fillId="6" borderId="4" xfId="0" applyNumberFormat="1" applyFont="1" applyFill="1" applyBorder="1" applyAlignment="1">
      <alignment horizontal="center"/>
    </xf>
    <xf numFmtId="0" fontId="18" fillId="0" borderId="0" xfId="0" applyFont="1"/>
    <xf numFmtId="0" fontId="19" fillId="3" borderId="2" xfId="0" applyFont="1" applyFill="1" applyBorder="1"/>
    <xf numFmtId="0" fontId="20" fillId="3" borderId="2" xfId="0" applyFont="1" applyFill="1" applyBorder="1"/>
    <xf numFmtId="0" fontId="21" fillId="3" borderId="2" xfId="0" applyFont="1" applyFill="1" applyBorder="1"/>
    <xf numFmtId="0" fontId="20" fillId="3" borderId="2" xfId="0" applyFont="1" applyFill="1" applyBorder="1" applyAlignment="1"/>
    <xf numFmtId="164" fontId="22" fillId="5" borderId="1" xfId="1" applyNumberFormat="1" applyFont="1" applyFill="1" applyAlignment="1">
      <alignment horizontal="center"/>
    </xf>
    <xf numFmtId="0" fontId="18" fillId="4" borderId="2" xfId="0" applyFont="1" applyFill="1" applyBorder="1"/>
    <xf numFmtId="0" fontId="18" fillId="4" borderId="0" xfId="0" applyFont="1" applyFill="1" applyBorder="1"/>
    <xf numFmtId="0" fontId="19" fillId="6" borderId="0" xfId="0" applyFont="1" applyFill="1" applyBorder="1"/>
    <xf numFmtId="0" fontId="20" fillId="6" borderId="0" xfId="0" applyFont="1" applyFill="1" applyBorder="1"/>
    <xf numFmtId="0" fontId="21" fillId="6" borderId="0" xfId="0" applyFont="1" applyFill="1" applyBorder="1"/>
    <xf numFmtId="0" fontId="19" fillId="6" borderId="3" xfId="0" applyFont="1" applyFill="1" applyBorder="1" applyAlignment="1">
      <alignment horizontal="centerContinuous"/>
    </xf>
    <xf numFmtId="0" fontId="20" fillId="6" borderId="3" xfId="0" applyFont="1" applyFill="1" applyBorder="1" applyAlignment="1">
      <alignment horizontal="centerContinuous"/>
    </xf>
    <xf numFmtId="0" fontId="19" fillId="6" borderId="5" xfId="0" applyFont="1" applyFill="1" applyBorder="1" applyAlignment="1">
      <alignment horizontal="centerContinuous"/>
    </xf>
    <xf numFmtId="0" fontId="21" fillId="6" borderId="3" xfId="0" applyFont="1" applyFill="1" applyBorder="1" applyAlignment="1">
      <alignment horizontal="centerContinuous"/>
    </xf>
    <xf numFmtId="0" fontId="20" fillId="6" borderId="2" xfId="0" applyFont="1" applyFill="1" applyBorder="1"/>
    <xf numFmtId="0" fontId="24" fillId="0" borderId="0" xfId="0" applyFont="1" applyAlignment="1">
      <alignment horizontal="left" indent="1"/>
    </xf>
    <xf numFmtId="166" fontId="18" fillId="0" borderId="0" xfId="0" applyNumberFormat="1" applyFont="1"/>
    <xf numFmtId="166" fontId="18" fillId="0" borderId="0" xfId="0" applyNumberFormat="1" applyFont="1" applyBorder="1"/>
    <xf numFmtId="0" fontId="19" fillId="3" borderId="0" xfId="0" applyFont="1" applyFill="1" applyBorder="1"/>
    <xf numFmtId="0" fontId="20" fillId="3" borderId="0" xfId="0" applyFont="1" applyFill="1" applyBorder="1"/>
    <xf numFmtId="0" fontId="21" fillId="3" borderId="0" xfId="0" applyFont="1" applyFill="1" applyBorder="1"/>
    <xf numFmtId="0" fontId="18" fillId="0" borderId="0" xfId="0" applyFont="1" applyAlignment="1">
      <alignment horizontal="left" indent="1"/>
    </xf>
    <xf numFmtId="0" fontId="18" fillId="4" borderId="0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left"/>
    </xf>
    <xf numFmtId="0" fontId="19" fillId="6" borderId="2" xfId="0" applyFont="1" applyFill="1" applyBorder="1"/>
    <xf numFmtId="0" fontId="18" fillId="0" borderId="6" xfId="0" applyFont="1" applyBorder="1"/>
    <xf numFmtId="0" fontId="22" fillId="5" borderId="1" xfId="1" applyFont="1" applyFill="1" applyAlignment="1">
      <alignment horizontal="centerContinuous"/>
    </xf>
    <xf numFmtId="0" fontId="27" fillId="6" borderId="2" xfId="0" applyFont="1" applyFill="1" applyBorder="1" applyAlignment="1">
      <alignment horizontal="center"/>
    </xf>
    <xf numFmtId="0" fontId="19" fillId="0" borderId="0" xfId="0" applyFont="1" applyFill="1" applyBorder="1"/>
    <xf numFmtId="0" fontId="20" fillId="0" borderId="0" xfId="0" applyFont="1" applyFill="1" applyBorder="1"/>
    <xf numFmtId="0" fontId="21" fillId="0" borderId="0" xfId="0" applyFont="1" applyFill="1" applyBorder="1"/>
    <xf numFmtId="168" fontId="17" fillId="0" borderId="0" xfId="0" applyNumberFormat="1" applyFont="1" applyFill="1" applyBorder="1" applyAlignment="1">
      <alignment horizontal="center"/>
    </xf>
    <xf numFmtId="0" fontId="18" fillId="0" borderId="6" xfId="0" applyFont="1" applyBorder="1" applyAlignment="1">
      <alignment horizontal="left" indent="1"/>
    </xf>
    <xf numFmtId="10" fontId="25" fillId="0" borderId="0" xfId="1" applyNumberFormat="1" applyFont="1" applyFill="1" applyBorder="1"/>
    <xf numFmtId="0" fontId="24" fillId="0" borderId="0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9" fillId="0" borderId="0" xfId="2" applyFont="1" applyAlignment="1">
      <alignment horizontal="center"/>
    </xf>
    <xf numFmtId="167" fontId="23" fillId="0" borderId="0" xfId="1" applyNumberFormat="1" applyFont="1" applyFill="1" applyBorder="1"/>
    <xf numFmtId="0" fontId="24" fillId="0" borderId="0" xfId="0" applyFont="1" applyAlignment="1">
      <alignment horizontal="center"/>
    </xf>
    <xf numFmtId="0" fontId="25" fillId="6" borderId="10" xfId="2" applyFont="1" applyFill="1" applyBorder="1"/>
    <xf numFmtId="0" fontId="25" fillId="6" borderId="11" xfId="2" applyFont="1" applyFill="1" applyBorder="1"/>
    <xf numFmtId="0" fontId="25" fillId="6" borderId="13" xfId="2" applyFont="1" applyFill="1" applyBorder="1"/>
    <xf numFmtId="170" fontId="30" fillId="4" borderId="0" xfId="2" applyNumberFormat="1" applyFont="1" applyFill="1" applyBorder="1"/>
    <xf numFmtId="168" fontId="17" fillId="6" borderId="16" xfId="0" applyNumberFormat="1" applyFont="1" applyFill="1" applyBorder="1" applyAlignment="1">
      <alignment horizontal="center"/>
    </xf>
    <xf numFmtId="38" fontId="22" fillId="5" borderId="1" xfId="1" applyNumberFormat="1" applyFont="1" applyFill="1" applyBorder="1"/>
    <xf numFmtId="169" fontId="25" fillId="0" borderId="0" xfId="0" applyNumberFormat="1" applyFont="1" applyFill="1" applyBorder="1"/>
    <xf numFmtId="171" fontId="22" fillId="5" borderId="1" xfId="0" applyNumberFormat="1" applyFont="1" applyFill="1" applyBorder="1"/>
    <xf numFmtId="0" fontId="18" fillId="4" borderId="6" xfId="0" applyFont="1" applyFill="1" applyBorder="1"/>
    <xf numFmtId="167" fontId="33" fillId="0" borderId="0" xfId="1" applyNumberFormat="1" applyFont="1" applyFill="1" applyBorder="1"/>
    <xf numFmtId="0" fontId="25" fillId="0" borderId="0" xfId="0" applyFont="1" applyFill="1" applyBorder="1" applyAlignment="1">
      <alignment horizontal="left" indent="1"/>
    </xf>
    <xf numFmtId="172" fontId="22" fillId="4" borderId="14" xfId="2" applyNumberFormat="1" applyFont="1" applyFill="1" applyBorder="1" applyAlignment="1">
      <alignment horizontal="center"/>
    </xf>
    <xf numFmtId="172" fontId="25" fillId="4" borderId="14" xfId="2" applyNumberFormat="1" applyFont="1" applyFill="1" applyBorder="1" applyAlignment="1">
      <alignment horizontal="center"/>
    </xf>
    <xf numFmtId="172" fontId="25" fillId="4" borderId="15" xfId="2" applyNumberFormat="1" applyFont="1" applyFill="1" applyBorder="1" applyAlignment="1">
      <alignment horizontal="center"/>
    </xf>
    <xf numFmtId="172" fontId="26" fillId="4" borderId="14" xfId="2" applyNumberFormat="1" applyFont="1" applyFill="1" applyBorder="1" applyAlignment="1">
      <alignment horizontal="center"/>
    </xf>
    <xf numFmtId="169" fontId="22" fillId="4" borderId="11" xfId="2" applyNumberFormat="1" applyFont="1" applyFill="1" applyBorder="1" applyAlignment="1">
      <alignment horizontal="center"/>
    </xf>
    <xf numFmtId="169" fontId="25" fillId="4" borderId="11" xfId="2" applyNumberFormat="1" applyFont="1" applyFill="1" applyBorder="1" applyAlignment="1">
      <alignment horizontal="center"/>
    </xf>
    <xf numFmtId="169" fontId="26" fillId="4" borderId="11" xfId="2" applyNumberFormat="1" applyFont="1" applyFill="1" applyBorder="1" applyAlignment="1">
      <alignment horizontal="center"/>
    </xf>
    <xf numFmtId="169" fontId="25" fillId="4" borderId="12" xfId="2" applyNumberFormat="1" applyFont="1" applyFill="1" applyBorder="1" applyAlignment="1">
      <alignment horizontal="center"/>
    </xf>
    <xf numFmtId="0" fontId="34" fillId="0" borderId="0" xfId="0" applyFont="1"/>
    <xf numFmtId="170" fontId="32" fillId="5" borderId="1" xfId="1" applyNumberFormat="1" applyFont="1" applyFill="1" applyBorder="1" applyAlignment="1">
      <alignment horizontal="center"/>
    </xf>
    <xf numFmtId="169" fontId="22" fillId="5" borderId="1" xfId="0" applyNumberFormat="1" applyFont="1" applyFill="1" applyBorder="1" applyAlignment="1">
      <alignment horizontal="center"/>
    </xf>
    <xf numFmtId="170" fontId="22" fillId="5" borderId="1" xfId="1" applyNumberFormat="1" applyFont="1" applyFill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24" fillId="4" borderId="6" xfId="0" applyFont="1" applyFill="1" applyBorder="1" applyAlignment="1">
      <alignment horizontal="center"/>
    </xf>
    <xf numFmtId="174" fontId="18" fillId="0" borderId="6" xfId="0" applyNumberFormat="1" applyFont="1" applyBorder="1"/>
    <xf numFmtId="174" fontId="22" fillId="0" borderId="0" xfId="0" applyNumberFormat="1" applyFont="1" applyFill="1" applyBorder="1"/>
    <xf numFmtId="170" fontId="32" fillId="5" borderId="1" xfId="1" applyNumberFormat="1" applyFont="1" applyFill="1" applyAlignment="1">
      <alignment horizontal="center"/>
    </xf>
    <xf numFmtId="170" fontId="23" fillId="0" borderId="9" xfId="1" applyNumberFormat="1" applyFont="1" applyFill="1" applyBorder="1" applyAlignment="1">
      <alignment horizontal="center"/>
    </xf>
    <xf numFmtId="170" fontId="23" fillId="0" borderId="0" xfId="1" applyNumberFormat="1" applyFont="1" applyFill="1" applyBorder="1" applyAlignment="1">
      <alignment horizontal="center"/>
    </xf>
    <xf numFmtId="170" fontId="31" fillId="0" borderId="0" xfId="1" applyNumberFormat="1" applyFont="1" applyFill="1" applyBorder="1" applyAlignment="1">
      <alignment horizontal="center"/>
    </xf>
    <xf numFmtId="169" fontId="26" fillId="0" borderId="0" xfId="0" applyNumberFormat="1" applyFont="1" applyFill="1" applyBorder="1" applyAlignment="1">
      <alignment horizontal="center"/>
    </xf>
    <xf numFmtId="169" fontId="25" fillId="0" borderId="6" xfId="0" applyNumberFormat="1" applyFont="1" applyFill="1" applyBorder="1" applyAlignment="1">
      <alignment horizontal="center"/>
    </xf>
    <xf numFmtId="169" fontId="25" fillId="0" borderId="0" xfId="0" applyNumberFormat="1" applyFont="1" applyFill="1" applyBorder="1" applyAlignment="1">
      <alignment horizontal="center"/>
    </xf>
    <xf numFmtId="169" fontId="26" fillId="0" borderId="6" xfId="0" applyNumberFormat="1" applyFont="1" applyFill="1" applyBorder="1" applyAlignment="1">
      <alignment horizontal="center"/>
    </xf>
    <xf numFmtId="170" fontId="23" fillId="0" borderId="0" xfId="1" applyNumberFormat="1" applyFont="1" applyFill="1" applyBorder="1" applyAlignment="1"/>
    <xf numFmtId="167" fontId="22" fillId="0" borderId="17" xfId="1" applyNumberFormat="1" applyFont="1" applyFill="1" applyBorder="1" applyAlignment="1">
      <alignment horizontal="center"/>
    </xf>
    <xf numFmtId="170" fontId="22" fillId="5" borderId="1" xfId="1" applyNumberFormat="1" applyFont="1" applyFill="1" applyBorder="1" applyAlignment="1">
      <alignment horizontal="center"/>
    </xf>
    <xf numFmtId="170" fontId="25" fillId="5" borderId="1" xfId="1" applyNumberFormat="1" applyFont="1" applyFill="1" applyAlignment="1">
      <alignment horizontal="center"/>
    </xf>
    <xf numFmtId="0" fontId="15" fillId="0" borderId="0" xfId="0" applyFont="1"/>
    <xf numFmtId="0" fontId="15" fillId="4" borderId="2" xfId="0" applyFont="1" applyFill="1" applyBorder="1"/>
    <xf numFmtId="0" fontId="15" fillId="0" borderId="0" xfId="0" applyFont="1" applyAlignment="1">
      <alignment horizontal="left" indent="1"/>
    </xf>
    <xf numFmtId="0" fontId="18" fillId="0" borderId="6" xfId="0" applyFont="1" applyBorder="1" applyAlignment="1">
      <alignment horizontal="left"/>
    </xf>
    <xf numFmtId="0" fontId="15" fillId="0" borderId="0" xfId="0" applyFont="1" applyBorder="1" applyAlignment="1">
      <alignment horizontal="left" indent="1"/>
    </xf>
    <xf numFmtId="0" fontId="15" fillId="0" borderId="0" xfId="0" applyFont="1" applyBorder="1"/>
    <xf numFmtId="0" fontId="15" fillId="0" borderId="0" xfId="0" applyFont="1" applyBorder="1" applyAlignment="1"/>
    <xf numFmtId="173" fontId="15" fillId="0" borderId="0" xfId="0" applyNumberFormat="1" applyFont="1"/>
    <xf numFmtId="0" fontId="15" fillId="0" borderId="6" xfId="0" applyFont="1" applyBorder="1"/>
    <xf numFmtId="170" fontId="15" fillId="0" borderId="2" xfId="1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65" fontId="15" fillId="0" borderId="0" xfId="0" applyNumberFormat="1" applyFont="1"/>
    <xf numFmtId="175" fontId="15" fillId="0" borderId="0" xfId="0" applyNumberFormat="1" applyFont="1"/>
    <xf numFmtId="9" fontId="15" fillId="0" borderId="0" xfId="0" applyNumberFormat="1" applyFont="1"/>
    <xf numFmtId="165" fontId="15" fillId="0" borderId="0" xfId="0" applyNumberFormat="1" applyFont="1" applyBorder="1"/>
    <xf numFmtId="0" fontId="15" fillId="0" borderId="0" xfId="0" applyFont="1" applyAlignment="1">
      <alignment horizontal="left" indent="2"/>
    </xf>
    <xf numFmtId="0" fontId="15" fillId="0" borderId="0" xfId="0" applyNumberFormat="1" applyFont="1" applyBorder="1" applyAlignment="1"/>
    <xf numFmtId="0" fontId="15" fillId="0" borderId="2" xfId="0" applyFont="1" applyBorder="1" applyAlignment="1">
      <alignment horizontal="left" indent="2"/>
    </xf>
    <xf numFmtId="0" fontId="15" fillId="0" borderId="2" xfId="0" applyFont="1" applyBorder="1"/>
    <xf numFmtId="174" fontId="15" fillId="0" borderId="0" xfId="0" applyNumberFormat="1" applyFont="1" applyBorder="1"/>
    <xf numFmtId="0" fontId="14" fillId="0" borderId="0" xfId="0" applyFont="1"/>
    <xf numFmtId="0" fontId="14" fillId="0" borderId="0" xfId="0" applyFont="1" applyAlignment="1">
      <alignment horizontal="left" indent="2"/>
    </xf>
    <xf numFmtId="0" fontId="14" fillId="0" borderId="0" xfId="0" applyFont="1" applyAlignment="1">
      <alignment horizontal="left" indent="1"/>
    </xf>
    <xf numFmtId="0" fontId="14" fillId="0" borderId="0" xfId="0" applyFont="1" applyBorder="1" applyAlignment="1">
      <alignment horizontal="left" indent="1"/>
    </xf>
    <xf numFmtId="173" fontId="18" fillId="0" borderId="6" xfId="0" applyNumberFormat="1" applyFont="1" applyBorder="1"/>
    <xf numFmtId="169" fontId="25" fillId="0" borderId="2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quotePrefix="1" applyFont="1" applyFill="1" applyBorder="1"/>
    <xf numFmtId="0" fontId="12" fillId="0" borderId="0" xfId="0" applyFont="1"/>
    <xf numFmtId="0" fontId="12" fillId="0" borderId="0" xfId="0" applyFont="1" applyAlignment="1">
      <alignment horizontal="left" indent="1"/>
    </xf>
    <xf numFmtId="176" fontId="25" fillId="0" borderId="0" xfId="0" applyNumberFormat="1" applyFont="1" applyBorder="1"/>
    <xf numFmtId="165" fontId="18" fillId="0" borderId="6" xfId="0" applyNumberFormat="1" applyFont="1" applyBorder="1"/>
    <xf numFmtId="165" fontId="22" fillId="0" borderId="0" xfId="0" applyNumberFormat="1" applyFont="1" applyBorder="1"/>
    <xf numFmtId="165" fontId="22" fillId="0" borderId="0" xfId="0" applyNumberFormat="1" applyFont="1" applyBorder="1" applyAlignment="1">
      <alignment horizontal="center"/>
    </xf>
    <xf numFmtId="165" fontId="25" fillId="0" borderId="0" xfId="0" applyNumberFormat="1" applyFont="1" applyBorder="1"/>
    <xf numFmtId="165" fontId="18" fillId="0" borderId="0" xfId="0" applyNumberFormat="1" applyFont="1"/>
    <xf numFmtId="165" fontId="22" fillId="0" borderId="0" xfId="0" applyNumberFormat="1" applyFont="1"/>
    <xf numFmtId="177" fontId="18" fillId="0" borderId="0" xfId="0" applyNumberFormat="1" applyFont="1"/>
    <xf numFmtId="0" fontId="24" fillId="0" borderId="6" xfId="0" applyFont="1" applyBorder="1" applyAlignment="1">
      <alignment horizontal="center"/>
    </xf>
    <xf numFmtId="165" fontId="12" fillId="0" borderId="0" xfId="0" applyNumberFormat="1" applyFont="1"/>
    <xf numFmtId="0" fontId="18" fillId="4" borderId="11" xfId="0" applyFont="1" applyFill="1" applyBorder="1"/>
    <xf numFmtId="165" fontId="18" fillId="0" borderId="0" xfId="0" applyNumberFormat="1" applyFont="1" applyBorder="1"/>
    <xf numFmtId="42" fontId="15" fillId="0" borderId="0" xfId="0" applyNumberFormat="1" applyFont="1"/>
    <xf numFmtId="178" fontId="18" fillId="0" borderId="0" xfId="0" applyNumberFormat="1" applyFont="1"/>
    <xf numFmtId="178" fontId="22" fillId="0" borderId="0" xfId="0" applyNumberFormat="1" applyFont="1" applyBorder="1"/>
    <xf numFmtId="3" fontId="22" fillId="0" borderId="0" xfId="0" applyNumberFormat="1" applyFont="1"/>
    <xf numFmtId="44" fontId="15" fillId="0" borderId="0" xfId="0" applyNumberFormat="1" applyFont="1"/>
    <xf numFmtId="165" fontId="25" fillId="0" borderId="0" xfId="0" applyNumberFormat="1" applyFont="1"/>
    <xf numFmtId="3" fontId="25" fillId="0" borderId="0" xfId="0" applyNumberFormat="1" applyFont="1"/>
    <xf numFmtId="179" fontId="25" fillId="0" borderId="0" xfId="0" applyNumberFormat="1" applyFont="1"/>
    <xf numFmtId="44" fontId="22" fillId="5" borderId="1" xfId="1" applyNumberFormat="1" applyFont="1" applyFill="1"/>
    <xf numFmtId="43" fontId="25" fillId="5" borderId="1" xfId="1" applyNumberFormat="1" applyFont="1" applyFill="1"/>
    <xf numFmtId="180" fontId="18" fillId="4" borderId="2" xfId="0" applyNumberFormat="1" applyFont="1" applyFill="1" applyBorder="1"/>
    <xf numFmtId="165" fontId="22" fillId="5" borderId="1" xfId="0" applyNumberFormat="1" applyFont="1" applyFill="1" applyBorder="1"/>
    <xf numFmtId="178" fontId="15" fillId="0" borderId="0" xfId="0" applyNumberFormat="1" applyFont="1"/>
    <xf numFmtId="165" fontId="15" fillId="0" borderId="2" xfId="1" applyNumberFormat="1" applyFont="1" applyFill="1" applyBorder="1"/>
    <xf numFmtId="177" fontId="25" fillId="0" borderId="0" xfId="0" applyNumberFormat="1" applyFont="1"/>
    <xf numFmtId="177" fontId="15" fillId="0" borderId="0" xfId="0" applyNumberFormat="1" applyFont="1"/>
    <xf numFmtId="177" fontId="25" fillId="0" borderId="2" xfId="0" applyNumberFormat="1" applyFont="1" applyFill="1" applyBorder="1"/>
    <xf numFmtId="0" fontId="18" fillId="0" borderId="6" xfId="0" applyFont="1" applyFill="1" applyBorder="1"/>
    <xf numFmtId="165" fontId="15" fillId="0" borderId="2" xfId="0" applyNumberFormat="1" applyFont="1" applyBorder="1"/>
    <xf numFmtId="178" fontId="26" fillId="5" borderId="8" xfId="1" applyNumberFormat="1" applyFont="1" applyFill="1" applyBorder="1"/>
    <xf numFmtId="178" fontId="18" fillId="0" borderId="6" xfId="0" applyNumberFormat="1" applyFont="1" applyBorder="1"/>
    <xf numFmtId="180" fontId="15" fillId="0" borderId="0" xfId="0" applyNumberFormat="1" applyFont="1"/>
    <xf numFmtId="181" fontId="26" fillId="5" borderId="8" xfId="1" applyNumberFormat="1" applyFont="1" applyFill="1" applyBorder="1"/>
    <xf numFmtId="0" fontId="11" fillId="0" borderId="0" xfId="0" applyFont="1" applyAlignment="1">
      <alignment horizontal="left" indent="1"/>
    </xf>
    <xf numFmtId="0" fontId="22" fillId="0" borderId="7" xfId="1" applyFont="1" applyFill="1" applyBorder="1" applyAlignment="1"/>
    <xf numFmtId="37" fontId="22" fillId="5" borderId="1" xfId="0" applyNumberFormat="1" applyFont="1" applyFill="1" applyBorder="1" applyAlignment="1">
      <alignment horizontal="center"/>
    </xf>
    <xf numFmtId="165" fontId="10" fillId="0" borderId="0" xfId="0" applyNumberFormat="1" applyFont="1"/>
    <xf numFmtId="0" fontId="10" fillId="0" borderId="0" xfId="0" applyFont="1" applyAlignment="1">
      <alignment horizontal="left" indent="1"/>
    </xf>
    <xf numFmtId="169" fontId="22" fillId="0" borderId="2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indent="2"/>
    </xf>
    <xf numFmtId="169" fontId="25" fillId="5" borderId="18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 indent="1"/>
    </xf>
    <xf numFmtId="0" fontId="10" fillId="0" borderId="2" xfId="0" applyFont="1" applyBorder="1" applyAlignment="1">
      <alignment horizontal="left" indent="2"/>
    </xf>
    <xf numFmtId="165" fontId="13" fillId="0" borderId="0" xfId="0" applyNumberFormat="1" applyFont="1" applyFill="1" applyBorder="1"/>
    <xf numFmtId="0" fontId="9" fillId="0" borderId="0" xfId="0" applyFont="1" applyAlignment="1">
      <alignment horizontal="left" indent="1"/>
    </xf>
    <xf numFmtId="0" fontId="9" fillId="0" borderId="0" xfId="0" applyFont="1"/>
    <xf numFmtId="0" fontId="9" fillId="4" borderId="0" xfId="0" applyFont="1" applyFill="1"/>
    <xf numFmtId="0" fontId="18" fillId="4" borderId="0" xfId="0" applyFont="1" applyFill="1" applyAlignment="1">
      <alignment horizontal="center"/>
    </xf>
    <xf numFmtId="0" fontId="9" fillId="4" borderId="2" xfId="0" applyFont="1" applyFill="1" applyBorder="1"/>
    <xf numFmtId="171" fontId="22" fillId="0" borderId="0" xfId="0" applyNumberFormat="1" applyFont="1"/>
    <xf numFmtId="44" fontId="22" fillId="0" borderId="0" xfId="0" applyNumberFormat="1" applyFont="1"/>
    <xf numFmtId="171" fontId="9" fillId="0" borderId="0" xfId="0" applyNumberFormat="1" applyFont="1"/>
    <xf numFmtId="43" fontId="22" fillId="0" borderId="0" xfId="0" applyNumberFormat="1" applyFont="1"/>
    <xf numFmtId="0" fontId="9" fillId="0" borderId="2" xfId="0" applyFont="1" applyBorder="1"/>
    <xf numFmtId="171" fontId="18" fillId="0" borderId="6" xfId="0" applyNumberFormat="1" applyFont="1" applyBorder="1"/>
    <xf numFmtId="0" fontId="9" fillId="0" borderId="6" xfId="0" applyFont="1" applyBorder="1"/>
    <xf numFmtId="182" fontId="22" fillId="0" borderId="0" xfId="0" applyNumberFormat="1" applyFont="1"/>
    <xf numFmtId="0" fontId="9" fillId="0" borderId="0" xfId="0" applyFont="1" applyBorder="1"/>
    <xf numFmtId="171" fontId="15" fillId="0" borderId="0" xfId="0" applyNumberFormat="1" applyFont="1"/>
    <xf numFmtId="170" fontId="23" fillId="0" borderId="10" xfId="1" applyNumberFormat="1" applyFont="1" applyFill="1" applyBorder="1" applyAlignment="1">
      <alignment horizontal="center"/>
    </xf>
    <xf numFmtId="170" fontId="23" fillId="0" borderId="6" xfId="1" applyNumberFormat="1" applyFont="1" applyFill="1" applyBorder="1" applyAlignment="1">
      <alignment horizontal="center"/>
    </xf>
    <xf numFmtId="170" fontId="23" fillId="0" borderId="19" xfId="1" applyNumberFormat="1" applyFont="1" applyFill="1" applyBorder="1" applyAlignment="1">
      <alignment horizontal="center"/>
    </xf>
    <xf numFmtId="183" fontId="15" fillId="0" borderId="2" xfId="0" applyNumberFormat="1" applyFont="1" applyBorder="1"/>
    <xf numFmtId="0" fontId="8" fillId="0" borderId="0" xfId="0" applyFont="1"/>
    <xf numFmtId="0" fontId="15" fillId="0" borderId="11" xfId="0" applyFont="1" applyBorder="1"/>
    <xf numFmtId="0" fontId="27" fillId="3" borderId="2" xfId="0" applyFont="1" applyFill="1" applyBorder="1" applyAlignment="1">
      <alignment horizontal="center"/>
    </xf>
    <xf numFmtId="0" fontId="24" fillId="0" borderId="2" xfId="0" applyFont="1" applyBorder="1"/>
    <xf numFmtId="165" fontId="22" fillId="5" borderId="20" xfId="1" applyNumberFormat="1" applyFont="1" applyFill="1" applyBorder="1" applyAlignment="1">
      <alignment horizontal="center"/>
    </xf>
    <xf numFmtId="165" fontId="25" fillId="5" borderId="20" xfId="1" applyNumberFormat="1" applyFont="1" applyFill="1" applyBorder="1" applyAlignment="1">
      <alignment horizontal="center"/>
    </xf>
    <xf numFmtId="0" fontId="12" fillId="7" borderId="6" xfId="0" applyFont="1" applyFill="1" applyBorder="1" applyAlignment="1">
      <alignment horizontal="left" indent="1"/>
    </xf>
    <xf numFmtId="0" fontId="24" fillId="7" borderId="6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left" indent="1"/>
    </xf>
    <xf numFmtId="0" fontId="24" fillId="7" borderId="2" xfId="0" applyFont="1" applyFill="1" applyBorder="1" applyAlignment="1">
      <alignment horizontal="center"/>
    </xf>
    <xf numFmtId="165" fontId="22" fillId="7" borderId="2" xfId="0" applyNumberFormat="1" applyFont="1" applyFill="1" applyBorder="1"/>
    <xf numFmtId="165" fontId="12" fillId="7" borderId="2" xfId="0" applyNumberFormat="1" applyFont="1" applyFill="1" applyBorder="1"/>
    <xf numFmtId="0" fontId="12" fillId="7" borderId="0" xfId="0" applyFont="1" applyFill="1" applyBorder="1" applyAlignment="1">
      <alignment horizontal="left" indent="1"/>
    </xf>
    <xf numFmtId="0" fontId="24" fillId="7" borderId="0" xfId="0" applyFont="1" applyFill="1" applyBorder="1" applyAlignment="1">
      <alignment horizontal="center"/>
    </xf>
    <xf numFmtId="165" fontId="22" fillId="7" borderId="0" xfId="0" applyNumberFormat="1" applyFont="1" applyFill="1" applyBorder="1"/>
    <xf numFmtId="165" fontId="15" fillId="7" borderId="0" xfId="0" applyNumberFormat="1" applyFont="1" applyFill="1" applyBorder="1"/>
    <xf numFmtId="0" fontId="14" fillId="7" borderId="6" xfId="0" applyFont="1" applyFill="1" applyBorder="1" applyAlignment="1">
      <alignment horizontal="left" indent="1"/>
    </xf>
    <xf numFmtId="165" fontId="22" fillId="7" borderId="6" xfId="0" applyNumberFormat="1" applyFont="1" applyFill="1" applyBorder="1"/>
    <xf numFmtId="165" fontId="15" fillId="7" borderId="6" xfId="0" applyNumberFormat="1" applyFont="1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5" fillId="0" borderId="0" xfId="0" applyFont="1"/>
    <xf numFmtId="165" fontId="5" fillId="0" borderId="0" xfId="0" applyNumberFormat="1" applyFont="1"/>
    <xf numFmtId="0" fontId="5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 applyBorder="1"/>
    <xf numFmtId="0" fontId="4" fillId="0" borderId="0" xfId="0" quotePrefix="1" applyFont="1" applyFill="1" applyBorder="1"/>
    <xf numFmtId="176" fontId="6" fillId="0" borderId="0" xfId="0" applyNumberFormat="1" applyFont="1" applyFill="1" applyBorder="1"/>
    <xf numFmtId="184" fontId="6" fillId="0" borderId="0" xfId="0" applyNumberFormat="1" applyFont="1" applyFill="1" applyBorder="1"/>
    <xf numFmtId="9" fontId="6" fillId="0" borderId="0" xfId="0" applyNumberFormat="1" applyFont="1" applyFill="1" applyBorder="1"/>
    <xf numFmtId="0" fontId="4" fillId="0" borderId="0" xfId="0" applyFont="1" applyAlignment="1">
      <alignment horizontal="left" indent="1"/>
    </xf>
    <xf numFmtId="170" fontId="22" fillId="0" borderId="0" xfId="1" applyNumberFormat="1" applyFont="1" applyFill="1" applyBorder="1" applyAlignment="1">
      <alignment horizontal="center"/>
    </xf>
    <xf numFmtId="169" fontId="22" fillId="0" borderId="0" xfId="0" applyNumberFormat="1" applyFont="1" applyFill="1" applyBorder="1" applyAlignment="1">
      <alignment horizontal="center"/>
    </xf>
    <xf numFmtId="185" fontId="22" fillId="5" borderId="1" xfId="1" applyNumberFormat="1" applyFont="1" applyFill="1" applyAlignment="1">
      <alignment horizontal="center"/>
    </xf>
    <xf numFmtId="185" fontId="25" fillId="5" borderId="1" xfId="1" applyNumberFormat="1" applyFont="1" applyFill="1" applyAlignment="1">
      <alignment horizontal="center"/>
    </xf>
    <xf numFmtId="185" fontId="22" fillId="0" borderId="0" xfId="1" applyNumberFormat="1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7" borderId="0" xfId="0" applyFont="1" applyFill="1" applyBorder="1" applyAlignment="1">
      <alignment horizontal="left" indent="1"/>
    </xf>
    <xf numFmtId="0" fontId="4" fillId="0" borderId="0" xfId="0" applyFont="1" applyAlignment="1">
      <alignment horizontal="left" indent="2"/>
    </xf>
    <xf numFmtId="170" fontId="22" fillId="0" borderId="0" xfId="1" applyNumberFormat="1" applyFont="1" applyFill="1" applyBorder="1" applyAlignment="1"/>
    <xf numFmtId="165" fontId="22" fillId="5" borderId="1" xfId="1" applyNumberFormat="1" applyFont="1" applyFill="1" applyBorder="1" applyAlignment="1">
      <alignment horizontal="center"/>
    </xf>
    <xf numFmtId="165" fontId="25" fillId="5" borderId="1" xfId="1" applyNumberFormat="1" applyFont="1" applyFill="1" applyBorder="1" applyAlignment="1">
      <alignment horizontal="center"/>
    </xf>
    <xf numFmtId="0" fontId="17" fillId="6" borderId="11" xfId="2" applyFont="1" applyFill="1" applyBorder="1" applyAlignment="1">
      <alignment horizontal="centerContinuous"/>
    </xf>
    <xf numFmtId="0" fontId="26" fillId="6" borderId="11" xfId="2" applyFont="1" applyFill="1" applyBorder="1" applyAlignment="1">
      <alignment horizontal="centerContinuous"/>
    </xf>
    <xf numFmtId="0" fontId="26" fillId="6" borderId="12" xfId="2" applyFont="1" applyFill="1" applyBorder="1" applyAlignment="1">
      <alignment horizontal="centerContinuous"/>
    </xf>
    <xf numFmtId="165" fontId="22" fillId="5" borderId="8" xfId="1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7" borderId="0" xfId="0" applyFont="1" applyFill="1" applyBorder="1" applyAlignment="1">
      <alignment horizontal="left" indent="1"/>
    </xf>
    <xf numFmtId="0" fontId="3" fillId="0" borderId="0" xfId="0" applyFont="1"/>
    <xf numFmtId="0" fontId="15" fillId="0" borderId="21" xfId="0" applyFont="1" applyBorder="1"/>
    <xf numFmtId="165" fontId="38" fillId="0" borderId="0" xfId="0" applyNumberFormat="1" applyFont="1"/>
    <xf numFmtId="0" fontId="18" fillId="0" borderId="0" xfId="0" applyFont="1" applyBorder="1"/>
    <xf numFmtId="0" fontId="12" fillId="0" borderId="6" xfId="0" applyFont="1" applyFill="1" applyBorder="1" applyAlignment="1">
      <alignment horizontal="left" indent="1"/>
    </xf>
    <xf numFmtId="0" fontId="24" fillId="0" borderId="6" xfId="0" applyFont="1" applyFill="1" applyBorder="1" applyAlignment="1">
      <alignment horizontal="center"/>
    </xf>
    <xf numFmtId="165" fontId="22" fillId="0" borderId="6" xfId="0" applyNumberFormat="1" applyFont="1" applyFill="1" applyBorder="1"/>
    <xf numFmtId="165" fontId="15" fillId="0" borderId="6" xfId="0" applyNumberFormat="1" applyFont="1" applyFill="1" applyBorder="1"/>
    <xf numFmtId="165" fontId="15" fillId="7" borderId="2" xfId="0" applyNumberFormat="1" applyFont="1" applyFill="1" applyBorder="1"/>
    <xf numFmtId="165" fontId="25" fillId="5" borderId="22" xfId="1" applyNumberFormat="1" applyFont="1" applyFill="1" applyBorder="1" applyAlignment="1">
      <alignment horizontal="center"/>
    </xf>
    <xf numFmtId="165" fontId="18" fillId="4" borderId="6" xfId="0" applyNumberFormat="1" applyFont="1" applyFill="1" applyBorder="1"/>
    <xf numFmtId="165" fontId="25" fillId="0" borderId="0" xfId="1" applyNumberFormat="1" applyFont="1" applyFill="1" applyBorder="1"/>
    <xf numFmtId="43" fontId="15" fillId="0" borderId="0" xfId="0" applyNumberFormat="1" applyFont="1"/>
    <xf numFmtId="0" fontId="3" fillId="0" borderId="0" xfId="0" applyFont="1" applyAlignment="1">
      <alignment horizontal="left" indent="2"/>
    </xf>
    <xf numFmtId="0" fontId="18" fillId="0" borderId="0" xfId="0" applyFont="1" applyAlignment="1">
      <alignment horizontal="left"/>
    </xf>
    <xf numFmtId="0" fontId="3" fillId="0" borderId="2" xfId="0" applyFont="1" applyBorder="1" applyAlignment="1">
      <alignment horizontal="left" indent="1"/>
    </xf>
    <xf numFmtId="181" fontId="38" fillId="5" borderId="8" xfId="1" applyNumberFormat="1" applyFont="1" applyFill="1" applyBorder="1"/>
    <xf numFmtId="165" fontId="15" fillId="0" borderId="0" xfId="0" applyNumberFormat="1" applyFont="1" applyFill="1" applyBorder="1"/>
    <xf numFmtId="169" fontId="22" fillId="5" borderId="8" xfId="0" applyNumberFormat="1" applyFont="1" applyFill="1" applyBorder="1" applyAlignment="1">
      <alignment horizontal="center"/>
    </xf>
    <xf numFmtId="170" fontId="30" fillId="4" borderId="10" xfId="2" applyNumberFormat="1" applyFont="1" applyFill="1" applyBorder="1"/>
    <xf numFmtId="170" fontId="31" fillId="0" borderId="6" xfId="1" applyNumberFormat="1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indent="1"/>
    </xf>
    <xf numFmtId="165" fontId="2" fillId="0" borderId="0" xfId="0" applyNumberFormat="1" applyFont="1" applyBorder="1"/>
    <xf numFmtId="0" fontId="2" fillId="0" borderId="0" xfId="0" applyFont="1" applyFill="1" applyBorder="1"/>
    <xf numFmtId="178" fontId="2" fillId="0" borderId="0" xfId="0" applyNumberFormat="1" applyFont="1" applyBorder="1"/>
    <xf numFmtId="0" fontId="18" fillId="4" borderId="2" xfId="0" applyFont="1" applyFill="1" applyBorder="1" applyAlignment="1">
      <alignment horizontal="centerContinuous"/>
    </xf>
    <xf numFmtId="0" fontId="2" fillId="0" borderId="0" xfId="0" applyFont="1" applyAlignment="1">
      <alignment horizontal="left" indent="2"/>
    </xf>
    <xf numFmtId="165" fontId="26" fillId="0" borderId="0" xfId="0" applyNumberFormat="1" applyFont="1"/>
    <xf numFmtId="170" fontId="18" fillId="0" borderId="0" xfId="0" applyNumberFormat="1" applyFont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69" fontId="15" fillId="0" borderId="0" xfId="0" applyNumberFormat="1" applyFont="1"/>
    <xf numFmtId="170" fontId="15" fillId="0" borderId="0" xfId="0" applyNumberFormat="1" applyFont="1"/>
    <xf numFmtId="170" fontId="26" fillId="0" borderId="0" xfId="1" applyNumberFormat="1" applyFont="1" applyFill="1" applyBorder="1" applyAlignment="1">
      <alignment horizontal="center"/>
    </xf>
    <xf numFmtId="170" fontId="26" fillId="4" borderId="0" xfId="1" applyNumberFormat="1" applyFont="1" applyFill="1" applyBorder="1" applyAlignment="1">
      <alignment horizontal="center"/>
    </xf>
    <xf numFmtId="0" fontId="18" fillId="4" borderId="10" xfId="0" applyFont="1" applyFill="1" applyBorder="1" applyAlignment="1">
      <alignment horizontal="left" indent="1"/>
    </xf>
    <xf numFmtId="0" fontId="15" fillId="4" borderId="6" xfId="0" applyFont="1" applyFill="1" applyBorder="1"/>
    <xf numFmtId="170" fontId="26" fillId="4" borderId="6" xfId="1" applyNumberFormat="1" applyFont="1" applyFill="1" applyBorder="1" applyAlignment="1">
      <alignment horizontal="center"/>
    </xf>
    <xf numFmtId="169" fontId="26" fillId="4" borderId="24" xfId="0" applyNumberFormat="1" applyFont="1" applyFill="1" applyBorder="1" applyAlignment="1">
      <alignment horizontal="center"/>
    </xf>
    <xf numFmtId="0" fontId="18" fillId="4" borderId="19" xfId="0" applyFont="1" applyFill="1" applyBorder="1" applyAlignment="1">
      <alignment horizontal="left" indent="1"/>
    </xf>
    <xf numFmtId="0" fontId="15" fillId="4" borderId="0" xfId="0" applyFont="1" applyFill="1" applyBorder="1"/>
    <xf numFmtId="169" fontId="26" fillId="4" borderId="14" xfId="0" applyNumberFormat="1" applyFont="1" applyFill="1" applyBorder="1" applyAlignment="1">
      <alignment horizontal="center"/>
    </xf>
    <xf numFmtId="0" fontId="18" fillId="4" borderId="25" xfId="0" applyFont="1" applyFill="1" applyBorder="1" applyAlignment="1">
      <alignment horizontal="left" indent="1"/>
    </xf>
    <xf numFmtId="170" fontId="26" fillId="4" borderId="2" xfId="1" applyNumberFormat="1" applyFont="1" applyFill="1" applyBorder="1" applyAlignment="1">
      <alignment horizontal="center"/>
    </xf>
    <xf numFmtId="169" fontId="26" fillId="4" borderId="23" xfId="0" applyNumberFormat="1" applyFont="1" applyFill="1" applyBorder="1" applyAlignment="1">
      <alignment horizontal="center"/>
    </xf>
    <xf numFmtId="170" fontId="38" fillId="4" borderId="6" xfId="1" applyNumberFormat="1" applyFont="1" applyFill="1" applyBorder="1" applyAlignment="1">
      <alignment horizontal="center"/>
    </xf>
    <xf numFmtId="170" fontId="38" fillId="4" borderId="0" xfId="1" applyNumberFormat="1" applyFont="1" applyFill="1" applyBorder="1" applyAlignment="1">
      <alignment horizontal="center"/>
    </xf>
    <xf numFmtId="170" fontId="38" fillId="4" borderId="2" xfId="1" applyNumberFormat="1" applyFont="1" applyFill="1" applyBorder="1" applyAlignment="1">
      <alignment horizontal="center"/>
    </xf>
    <xf numFmtId="170" fontId="40" fillId="5" borderId="1" xfId="1" applyNumberFormat="1" applyFont="1" applyFill="1" applyAlignment="1">
      <alignment horizontal="center"/>
    </xf>
    <xf numFmtId="170" fontId="38" fillId="0" borderId="0" xfId="1" applyNumberFormat="1" applyFont="1" applyFill="1" applyBorder="1" applyAlignment="1">
      <alignment horizontal="center"/>
    </xf>
    <xf numFmtId="181" fontId="22" fillId="5" borderId="18" xfId="1" applyNumberFormat="1" applyFont="1" applyFill="1" applyBorder="1"/>
    <xf numFmtId="170" fontId="40" fillId="0" borderId="26" xfId="1" applyNumberFormat="1" applyFont="1" applyFill="1" applyBorder="1" applyAlignment="1">
      <alignment horizontal="center"/>
    </xf>
    <xf numFmtId="165" fontId="2" fillId="0" borderId="0" xfId="0" applyNumberFormat="1" applyFont="1" applyFill="1" applyBorder="1"/>
    <xf numFmtId="43" fontId="22" fillId="5" borderId="1" xfId="1" applyNumberFormat="1" applyFont="1" applyFill="1"/>
    <xf numFmtId="169" fontId="26" fillId="4" borderId="6" xfId="0" applyNumberFormat="1" applyFont="1" applyFill="1" applyBorder="1" applyAlignment="1">
      <alignment horizontal="center"/>
    </xf>
    <xf numFmtId="169" fontId="26" fillId="4" borderId="0" xfId="0" applyNumberFormat="1" applyFont="1" applyFill="1" applyBorder="1" applyAlignment="1">
      <alignment horizontal="center"/>
    </xf>
    <xf numFmtId="169" fontId="26" fillId="4" borderId="2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0" xfId="0" applyFont="1"/>
    <xf numFmtId="0" fontId="1" fillId="0" borderId="0" xfId="0" applyFont="1" applyAlignment="1">
      <alignment horizontal="center"/>
    </xf>
    <xf numFmtId="164" fontId="15" fillId="0" borderId="0" xfId="0" applyNumberFormat="1" applyFont="1"/>
    <xf numFmtId="0" fontId="17" fillId="6" borderId="13" xfId="2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7" fillId="6" borderId="0" xfId="2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6">
    <cellStyle name="Normal" xfId="0" builtinId="0"/>
    <cellStyle name="Normal 2" xfId="2" xr:uid="{00000000-0005-0000-0000-000001000000}"/>
    <cellStyle name="Normal 2 2 2" xfId="4" xr:uid="{517E5680-7D84-4B1F-843A-F6AEEA596528}"/>
    <cellStyle name="Normal 3" xfId="5" xr:uid="{381E43C4-8401-40AA-93BB-715A140B7795}"/>
    <cellStyle name="Normal 3 2 2" xfId="3" xr:uid="{CC294655-BB82-430D-B6D4-03A7E3B79727}"/>
    <cellStyle name="Note" xfId="1" builtinId="10"/>
  </cellStyles>
  <dxfs count="0"/>
  <tableStyles count="0" defaultTableStyle="TableStyleMedium2" defaultPivotStyle="PivotStyleLight16"/>
  <colors>
    <mruColors>
      <color rgb="FF0000FF"/>
      <color rgb="FF1F4E78"/>
      <color rgb="FF1F497D"/>
      <color rgb="FFB2B2B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 Growth vs. Revenue Multiples for Comparable Public Companies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7B21278E-8146-43A9-BE26-9FC1D42F2D3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7DCF-4BAB-BBAC-DD29791C15E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24521FA-BFA4-4489-B800-1F784386829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DCF-4BAB-BBAC-DD29791C15E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4A17BD2-43AE-4A76-91D0-0B0142FF6A4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DCF-4BAB-BBAC-DD29791C15E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129E22C-9A5B-416F-87E3-3AFB968472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DCF-4BAB-BBAC-DD29791C15E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66A8F04-D4A8-4C25-994E-A327C3522B9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DCF-4BAB-BBAC-DD29791C15E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60FF2F0-B379-4587-A225-DA5730240DC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DCF-4BAB-BBAC-DD29791C15E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64DADAC-8230-4A1B-9048-6A44A8CC5F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DCF-4BAB-BBAC-DD29791C15E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03BC4D9-07CF-4474-98A8-DDD599F2A49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DCF-4BAB-BBAC-DD29791C15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5139107611548555"/>
                  <c:y val="0.1763749688516169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LBO_TWTR!$S$39:$S$46</c:f>
              <c:numCache>
                <c:formatCode>0.0%;\(0.0%\)</c:formatCode>
                <c:ptCount val="8"/>
                <c:pt idx="0">
                  <c:v>0.125</c:v>
                </c:pt>
                <c:pt idx="1">
                  <c:v>0.22500000000000001</c:v>
                </c:pt>
                <c:pt idx="2">
                  <c:v>0.35</c:v>
                </c:pt>
                <c:pt idx="3">
                  <c:v>7.4999999999999997E-2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0.22500000000000001</c:v>
                </c:pt>
                <c:pt idx="7">
                  <c:v>7.4999999999999997E-2</c:v>
                </c:pt>
              </c:numCache>
            </c:numRef>
          </c:xVal>
          <c:yVal>
            <c:numRef>
              <c:f>LBO_TWTR!$P$39:$P$46</c:f>
              <c:numCache>
                <c:formatCode>0.0\ \x</c:formatCode>
                <c:ptCount val="8"/>
                <c:pt idx="0">
                  <c:v>4.25</c:v>
                </c:pt>
                <c:pt idx="1">
                  <c:v>4.01</c:v>
                </c:pt>
                <c:pt idx="2">
                  <c:v>8.69</c:v>
                </c:pt>
                <c:pt idx="3">
                  <c:v>2.2400000000000002</c:v>
                </c:pt>
                <c:pt idx="4">
                  <c:v>7.45</c:v>
                </c:pt>
                <c:pt idx="5">
                  <c:v>4.75</c:v>
                </c:pt>
                <c:pt idx="6">
                  <c:v>4.87</c:v>
                </c:pt>
                <c:pt idx="7">
                  <c:v>2.06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LBO_TWTR!$I$39:$I$46</c15:f>
                <c15:dlblRangeCache>
                  <c:ptCount val="8"/>
                  <c:pt idx="0">
                    <c:v>FB</c:v>
                  </c:pt>
                  <c:pt idx="1">
                    <c:v>PINS</c:v>
                  </c:pt>
                  <c:pt idx="2">
                    <c:v>SNAP</c:v>
                  </c:pt>
                  <c:pt idx="3">
                    <c:v>TSE:4689</c:v>
                  </c:pt>
                  <c:pt idx="4">
                    <c:v>MTCH</c:v>
                  </c:pt>
                  <c:pt idx="5">
                    <c:v>BMBL</c:v>
                  </c:pt>
                  <c:pt idx="6">
                    <c:v>KOSE:A035720</c:v>
                  </c:pt>
                  <c:pt idx="7">
                    <c:v>WB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7DCF-4BAB-BBAC-DD29791C1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343792"/>
        <c:axId val="863346416"/>
      </c:scatterChart>
      <c:valAx>
        <c:axId val="863343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Projected Revenue Growth Range, FY 22 - 24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;\(0.0%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346416"/>
        <c:crosses val="autoZero"/>
        <c:crossBetween val="midCat"/>
      </c:valAx>
      <c:valAx>
        <c:axId val="86334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FY 22 TEV / 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\ \x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343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LBO_TWTR!$U$59</c:f>
          <c:strCache>
            <c:ptCount val="1"/>
            <c:pt idx="0">
              <c:v>Historical LTM EBITDA Multiples vs. Purchase Multiple: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Historical Trading Multiples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LBO_TWTR!$U$61:$U$82</c:f>
              <c:numCache>
                <c:formatCode>yyyy\-mm\-dd</c:formatCode>
                <c:ptCount val="22"/>
                <c:pt idx="0">
                  <c:v>42825</c:v>
                </c:pt>
                <c:pt idx="1">
                  <c:v>42916</c:v>
                </c:pt>
                <c:pt idx="2">
                  <c:v>43007</c:v>
                </c:pt>
                <c:pt idx="3">
                  <c:v>43098</c:v>
                </c:pt>
                <c:pt idx="4">
                  <c:v>43188</c:v>
                </c:pt>
                <c:pt idx="5">
                  <c:v>43280</c:v>
                </c:pt>
                <c:pt idx="6">
                  <c:v>43371</c:v>
                </c:pt>
                <c:pt idx="7">
                  <c:v>43462</c:v>
                </c:pt>
                <c:pt idx="8">
                  <c:v>43553</c:v>
                </c:pt>
                <c:pt idx="9">
                  <c:v>43644</c:v>
                </c:pt>
                <c:pt idx="10">
                  <c:v>43738</c:v>
                </c:pt>
                <c:pt idx="11">
                  <c:v>43830</c:v>
                </c:pt>
                <c:pt idx="12">
                  <c:v>43921</c:v>
                </c:pt>
                <c:pt idx="13">
                  <c:v>44012</c:v>
                </c:pt>
                <c:pt idx="14">
                  <c:v>44104</c:v>
                </c:pt>
                <c:pt idx="15">
                  <c:v>44196</c:v>
                </c:pt>
                <c:pt idx="16">
                  <c:v>44286</c:v>
                </c:pt>
                <c:pt idx="17">
                  <c:v>44377</c:v>
                </c:pt>
                <c:pt idx="18">
                  <c:v>44469</c:v>
                </c:pt>
                <c:pt idx="19">
                  <c:v>44561</c:v>
                </c:pt>
                <c:pt idx="20">
                  <c:v>44651</c:v>
                </c:pt>
                <c:pt idx="21">
                  <c:v>44683</c:v>
                </c:pt>
              </c:numCache>
            </c:numRef>
          </c:cat>
          <c:val>
            <c:numRef>
              <c:f>LBO_TWTR!$V$61:$V$82</c:f>
              <c:numCache>
                <c:formatCode>General</c:formatCode>
                <c:ptCount val="22"/>
                <c:pt idx="0">
                  <c:v>260.52645926666668</c:v>
                </c:pt>
                <c:pt idx="1">
                  <c:v>173.07656016129033</c:v>
                </c:pt>
                <c:pt idx="2">
                  <c:v>128.92134690476189</c:v>
                </c:pt>
                <c:pt idx="3">
                  <c:v>88.279883365079371</c:v>
                </c:pt>
                <c:pt idx="4">
                  <c:v>64.208866698412692</c:v>
                </c:pt>
                <c:pt idx="5">
                  <c:v>63.997685983606559</c:v>
                </c:pt>
                <c:pt idx="6">
                  <c:v>54.777397640624997</c:v>
                </c:pt>
                <c:pt idx="7">
                  <c:v>44.927438047619049</c:v>
                </c:pt>
                <c:pt idx="8">
                  <c:v>31.955245790322582</c:v>
                </c:pt>
                <c:pt idx="9">
                  <c:v>28.198929557377049</c:v>
                </c:pt>
                <c:pt idx="10">
                  <c:v>27.066575142857143</c:v>
                </c:pt>
                <c:pt idx="11">
                  <c:v>28.504816093750001</c:v>
                </c:pt>
                <c:pt idx="12">
                  <c:v>22.808861484375001</c:v>
                </c:pt>
                <c:pt idx="13">
                  <c:v>22.947051983870967</c:v>
                </c:pt>
                <c:pt idx="14">
                  <c:v>23.625322714285716</c:v>
                </c:pt>
                <c:pt idx="15">
                  <c:v>48.373750874999999</c:v>
                </c:pt>
                <c:pt idx="16">
                  <c:v>58.409129265624998</c:v>
                </c:pt>
                <c:pt idx="17">
                  <c:v>61.105745540983605</c:v>
                </c:pt>
                <c:pt idx="18">
                  <c:v>53.301972619047618</c:v>
                </c:pt>
                <c:pt idx="19">
                  <c:v>48.551571390625</c:v>
                </c:pt>
                <c:pt idx="20">
                  <c:v>37.044735000000003</c:v>
                </c:pt>
                <c:pt idx="21">
                  <c:v>26.617835741935483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6A-4B5B-8DF9-8F10AADBEF35}"/>
            </c:ext>
          </c:extLst>
        </c:ser>
        <c:ser>
          <c:idx val="1"/>
          <c:order val="1"/>
          <c:tx>
            <c:v>Purchase Multiple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LBO_TWTR!$U$61:$U$82</c:f>
              <c:numCache>
                <c:formatCode>yyyy\-mm\-dd</c:formatCode>
                <c:ptCount val="22"/>
                <c:pt idx="0">
                  <c:v>42825</c:v>
                </c:pt>
                <c:pt idx="1">
                  <c:v>42916</c:v>
                </c:pt>
                <c:pt idx="2">
                  <c:v>43007</c:v>
                </c:pt>
                <c:pt idx="3">
                  <c:v>43098</c:v>
                </c:pt>
                <c:pt idx="4">
                  <c:v>43188</c:v>
                </c:pt>
                <c:pt idx="5">
                  <c:v>43280</c:v>
                </c:pt>
                <c:pt idx="6">
                  <c:v>43371</c:v>
                </c:pt>
                <c:pt idx="7">
                  <c:v>43462</c:v>
                </c:pt>
                <c:pt idx="8">
                  <c:v>43553</c:v>
                </c:pt>
                <c:pt idx="9">
                  <c:v>43644</c:v>
                </c:pt>
                <c:pt idx="10">
                  <c:v>43738</c:v>
                </c:pt>
                <c:pt idx="11">
                  <c:v>43830</c:v>
                </c:pt>
                <c:pt idx="12">
                  <c:v>43921</c:v>
                </c:pt>
                <c:pt idx="13">
                  <c:v>44012</c:v>
                </c:pt>
                <c:pt idx="14">
                  <c:v>44104</c:v>
                </c:pt>
                <c:pt idx="15">
                  <c:v>44196</c:v>
                </c:pt>
                <c:pt idx="16">
                  <c:v>44286</c:v>
                </c:pt>
                <c:pt idx="17">
                  <c:v>44377</c:v>
                </c:pt>
                <c:pt idx="18">
                  <c:v>44469</c:v>
                </c:pt>
                <c:pt idx="19">
                  <c:v>44561</c:v>
                </c:pt>
                <c:pt idx="20">
                  <c:v>44651</c:v>
                </c:pt>
                <c:pt idx="21">
                  <c:v>44683</c:v>
                </c:pt>
              </c:numCache>
            </c:numRef>
          </c:cat>
          <c:val>
            <c:numRef>
              <c:f>LBO_TWTR!$W$61:$W$82</c:f>
              <c:numCache>
                <c:formatCode>General</c:formatCode>
                <c:ptCount val="22"/>
                <c:pt idx="0">
                  <c:v>52.442500773902474</c:v>
                </c:pt>
                <c:pt idx="1">
                  <c:v>52.442500773902474</c:v>
                </c:pt>
                <c:pt idx="2">
                  <c:v>52.442500773902474</c:v>
                </c:pt>
                <c:pt idx="3">
                  <c:v>52.442500773902474</c:v>
                </c:pt>
                <c:pt idx="4">
                  <c:v>52.442500773902474</c:v>
                </c:pt>
                <c:pt idx="5">
                  <c:v>52.442500773902474</c:v>
                </c:pt>
                <c:pt idx="6">
                  <c:v>52.442500773902474</c:v>
                </c:pt>
                <c:pt idx="7">
                  <c:v>52.442500773902474</c:v>
                </c:pt>
                <c:pt idx="8">
                  <c:v>52.442500773902474</c:v>
                </c:pt>
                <c:pt idx="9">
                  <c:v>52.442500773902474</c:v>
                </c:pt>
                <c:pt idx="10">
                  <c:v>52.442500773902474</c:v>
                </c:pt>
                <c:pt idx="11">
                  <c:v>52.442500773902474</c:v>
                </c:pt>
                <c:pt idx="12">
                  <c:v>52.442500773902474</c:v>
                </c:pt>
                <c:pt idx="13">
                  <c:v>52.442500773902474</c:v>
                </c:pt>
                <c:pt idx="14">
                  <c:v>52.442500773902474</c:v>
                </c:pt>
                <c:pt idx="15">
                  <c:v>52.442500773902474</c:v>
                </c:pt>
                <c:pt idx="16">
                  <c:v>52.442500773902474</c:v>
                </c:pt>
                <c:pt idx="17">
                  <c:v>52.442500773902474</c:v>
                </c:pt>
                <c:pt idx="18">
                  <c:v>52.442500773902474</c:v>
                </c:pt>
                <c:pt idx="19">
                  <c:v>52.442500773902474</c:v>
                </c:pt>
                <c:pt idx="20">
                  <c:v>52.442500773902474</c:v>
                </c:pt>
                <c:pt idx="21">
                  <c:v>52.442500773902474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6A-4B5B-8DF9-8F10AADB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8825440"/>
        <c:axId val="738822488"/>
      </c:lineChart>
      <c:dateAx>
        <c:axId val="738825440"/>
        <c:scaling>
          <c:orientation val="minMax"/>
        </c:scaling>
        <c:delete val="0"/>
        <c:axPos val="b"/>
        <c:numFmt formatCode="yyyy\-mm\-dd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822488"/>
        <c:crosses val="autoZero"/>
        <c:auto val="1"/>
        <c:lblOffset val="100"/>
        <c:baseTimeUnit val="months"/>
      </c:dateAx>
      <c:valAx>
        <c:axId val="738822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>
                    <a:solidFill>
                      <a:sysClr val="windowText" lastClr="000000"/>
                    </a:solidFill>
                  </a:rPr>
                  <a:t>TEV</a:t>
                </a:r>
                <a:r>
                  <a:rPr lang="en-US" sz="1200" b="0" baseline="0">
                    <a:solidFill>
                      <a:sysClr val="windowText" lastClr="000000"/>
                    </a:solidFill>
                  </a:rPr>
                  <a:t> / EBITDA Trading Multiples</a:t>
                </a:r>
                <a:endParaRPr lang="en-US" sz="1200" b="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\ \x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82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466725</xdr:colOff>
      <xdr:row>35</xdr:row>
      <xdr:rowOff>57150</xdr:rowOff>
    </xdr:from>
    <xdr:to>
      <xdr:col>32</xdr:col>
      <xdr:colOff>47625</xdr:colOff>
      <xdr:row>57</xdr:row>
      <xdr:rowOff>42863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81A2EFD-56A7-4BF5-A2D3-350AE51514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423861</xdr:colOff>
      <xdr:row>59</xdr:row>
      <xdr:rowOff>171449</xdr:rowOff>
    </xdr:from>
    <xdr:to>
      <xdr:col>35</xdr:col>
      <xdr:colOff>458786</xdr:colOff>
      <xdr:row>81</xdr:row>
      <xdr:rowOff>180974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F710DC6-346A-BC7A-C998-931CC4EFB3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2:W299"/>
  <sheetViews>
    <sheetView showGridLines="0" tabSelected="1" zoomScaleNormal="100" workbookViewId="0">
      <selection activeCell="B2" sqref="B2"/>
    </sheetView>
  </sheetViews>
  <sheetFormatPr defaultRowHeight="15.75" customHeight="1" outlineLevelRow="1" outlineLevelCol="1" x14ac:dyDescent="0.25"/>
  <cols>
    <col min="1" max="2" width="2.7109375" style="83" customWidth="1"/>
    <col min="3" max="3" width="44.85546875" style="83" bestFit="1" customWidth="1"/>
    <col min="4" max="4" width="12.7109375" style="83" customWidth="1"/>
    <col min="5" max="7" width="12.7109375" style="83" customWidth="1" outlineLevel="1"/>
    <col min="8" max="17" width="12.7109375" style="83" customWidth="1"/>
    <col min="18" max="20" width="9.140625" style="83"/>
    <col min="21" max="21" width="11.85546875" style="83" bestFit="1" customWidth="1"/>
    <col min="22" max="16384" width="9.140625" style="83"/>
  </cols>
  <sheetData>
    <row r="2" spans="2:13" ht="15.75" customHeight="1" x14ac:dyDescent="0.3">
      <c r="B2" s="63" t="str">
        <f>Company_Name&amp;" - LBO Model for Proposed Transaction"</f>
        <v>Twitter, Inc. - LBO Model for Proposed Transaction</v>
      </c>
    </row>
    <row r="3" spans="2:13" ht="15.75" customHeight="1" x14ac:dyDescent="0.25">
      <c r="B3" s="111" t="s">
        <v>94</v>
      </c>
    </row>
    <row r="5" spans="2:13" ht="15.75" customHeight="1" x14ac:dyDescent="0.25">
      <c r="B5" s="4" t="s">
        <v>80</v>
      </c>
      <c r="C5" s="5"/>
      <c r="D5" s="32" t="s">
        <v>27</v>
      </c>
      <c r="E5" s="7"/>
      <c r="F5" s="7"/>
      <c r="G5" s="7"/>
      <c r="H5" s="7"/>
      <c r="I5" s="180"/>
      <c r="J5" s="180"/>
      <c r="K5" s="7"/>
      <c r="L5" s="7"/>
      <c r="M5" s="7"/>
    </row>
    <row r="6" spans="2:13" ht="15.75" customHeight="1" outlineLevel="1" x14ac:dyDescent="0.25"/>
    <row r="7" spans="2:13" ht="15.75" customHeight="1" outlineLevel="1" x14ac:dyDescent="0.25">
      <c r="C7" s="83" t="s">
        <v>0</v>
      </c>
      <c r="D7" s="43" t="s">
        <v>60</v>
      </c>
      <c r="E7" s="31" t="s">
        <v>212</v>
      </c>
      <c r="F7" s="149"/>
      <c r="G7" s="3" t="s">
        <v>117</v>
      </c>
      <c r="H7" s="160"/>
      <c r="I7" s="160"/>
      <c r="J7" s="160"/>
      <c r="K7" s="160"/>
      <c r="L7" s="160"/>
      <c r="M7" s="160"/>
    </row>
    <row r="8" spans="2:13" ht="15.75" customHeight="1" outlineLevel="1" x14ac:dyDescent="0.25">
      <c r="C8" s="83" t="s">
        <v>44</v>
      </c>
      <c r="D8" s="43" t="s">
        <v>60</v>
      </c>
      <c r="E8" s="31" t="s">
        <v>132</v>
      </c>
      <c r="G8" s="3"/>
      <c r="H8" s="160"/>
      <c r="I8" s="160"/>
      <c r="J8" s="160"/>
      <c r="K8" s="160"/>
      <c r="L8" s="160"/>
      <c r="M8" s="160"/>
    </row>
    <row r="9" spans="2:13" ht="15.75" customHeight="1" outlineLevel="1" x14ac:dyDescent="0.25">
      <c r="G9" s="161"/>
      <c r="H9" s="161"/>
      <c r="I9" s="161"/>
      <c r="J9" s="161"/>
      <c r="K9" s="162"/>
      <c r="L9" s="162" t="s">
        <v>118</v>
      </c>
      <c r="M9" s="161"/>
    </row>
    <row r="10" spans="2:13" ht="15.75" customHeight="1" outlineLevel="1" x14ac:dyDescent="0.25">
      <c r="C10" s="202" t="s">
        <v>133</v>
      </c>
      <c r="D10" s="43" t="s">
        <v>96</v>
      </c>
      <c r="E10" s="133">
        <v>39.31</v>
      </c>
      <c r="G10" s="27" t="s">
        <v>119</v>
      </c>
      <c r="H10" s="163"/>
      <c r="I10" s="163"/>
      <c r="J10" s="27" t="str">
        <f>$D$5</f>
        <v>Units:</v>
      </c>
      <c r="K10" s="27" t="s">
        <v>120</v>
      </c>
      <c r="L10" s="27" t="s">
        <v>121</v>
      </c>
      <c r="M10" s="27" t="s">
        <v>122</v>
      </c>
    </row>
    <row r="11" spans="2:13" ht="15.75" customHeight="1" outlineLevel="1" x14ac:dyDescent="0.25">
      <c r="C11" s="87" t="s">
        <v>65</v>
      </c>
      <c r="D11" s="43" t="s">
        <v>26</v>
      </c>
      <c r="E11" s="64">
        <v>0.37878402442126696</v>
      </c>
      <c r="G11" s="159" t="s">
        <v>123</v>
      </c>
      <c r="H11" s="160"/>
      <c r="I11" s="179"/>
      <c r="J11" s="43" t="s">
        <v>124</v>
      </c>
      <c r="K11" s="164">
        <v>0.95336500000000002</v>
      </c>
      <c r="L11" s="165">
        <v>27.11</v>
      </c>
      <c r="M11" s="166">
        <f>IF(L11&gt;Offer_Price,0,K11-K11*L11/Offer_Price)</f>
        <v>0.4765066023985241</v>
      </c>
    </row>
    <row r="12" spans="2:13" ht="15.75" customHeight="1" outlineLevel="1" x14ac:dyDescent="0.25">
      <c r="C12" s="88" t="s">
        <v>45</v>
      </c>
      <c r="D12" s="43" t="s">
        <v>96</v>
      </c>
      <c r="E12" s="134">
        <f>E10*(1+E11)</f>
        <v>54.20000000000001</v>
      </c>
      <c r="F12" s="95"/>
      <c r="G12" s="30" t="s">
        <v>30</v>
      </c>
      <c r="H12" s="170"/>
      <c r="J12" s="121" t="s">
        <v>124</v>
      </c>
      <c r="K12" s="169">
        <f>SUM(K11)</f>
        <v>0.95336500000000002</v>
      </c>
      <c r="L12" s="170"/>
      <c r="M12" s="169">
        <f>SUM(M11)</f>
        <v>0.4765066023985241</v>
      </c>
    </row>
    <row r="13" spans="2:13" ht="15.75" customHeight="1" outlineLevel="1" x14ac:dyDescent="0.25">
      <c r="G13" s="159"/>
      <c r="H13" s="172"/>
      <c r="J13" s="39"/>
      <c r="K13" s="164"/>
      <c r="L13" s="167"/>
      <c r="M13" s="166"/>
    </row>
    <row r="14" spans="2:13" ht="15.75" customHeight="1" outlineLevel="1" x14ac:dyDescent="0.25">
      <c r="C14" s="111" t="s">
        <v>97</v>
      </c>
      <c r="D14" s="43" t="s">
        <v>61</v>
      </c>
      <c r="E14" s="51">
        <v>763.55753000000004</v>
      </c>
      <c r="G14" s="3" t="s">
        <v>125</v>
      </c>
      <c r="H14" s="160"/>
      <c r="J14" s="160"/>
      <c r="K14" s="160"/>
      <c r="L14" s="160"/>
      <c r="M14" s="160"/>
    </row>
    <row r="15" spans="2:13" ht="15.75" customHeight="1" outlineLevel="1" x14ac:dyDescent="0.25">
      <c r="C15" s="160" t="s">
        <v>127</v>
      </c>
      <c r="D15" s="43" t="s">
        <v>61</v>
      </c>
      <c r="E15" s="173">
        <f>E14+M12+M20</f>
        <v>834.50994860239859</v>
      </c>
      <c r="G15" s="160"/>
      <c r="H15" s="160"/>
      <c r="J15" s="160"/>
      <c r="K15" s="160"/>
      <c r="L15" s="160"/>
      <c r="M15" s="160"/>
    </row>
    <row r="16" spans="2:13" ht="15.75" customHeight="1" outlineLevel="1" x14ac:dyDescent="0.25">
      <c r="G16" s="161"/>
      <c r="H16" s="161"/>
      <c r="I16" s="161"/>
      <c r="J16" s="161"/>
      <c r="K16" s="162"/>
      <c r="L16" s="162" t="s">
        <v>118</v>
      </c>
      <c r="M16" s="161"/>
    </row>
    <row r="17" spans="3:16" ht="15.75" customHeight="1" outlineLevel="1" x14ac:dyDescent="0.25">
      <c r="C17" s="9" t="s">
        <v>49</v>
      </c>
      <c r="D17" s="67" t="s">
        <v>91</v>
      </c>
      <c r="E17" s="135">
        <f>Offer_Price*E15</f>
        <v>45230.439214250015</v>
      </c>
      <c r="G17" s="27" t="s">
        <v>119</v>
      </c>
      <c r="H17" s="163"/>
      <c r="I17" s="163"/>
      <c r="J17" s="27" t="str">
        <f>$D$5</f>
        <v>Units:</v>
      </c>
      <c r="K17" s="27" t="s">
        <v>120</v>
      </c>
      <c r="L17" s="27" t="s">
        <v>121</v>
      </c>
      <c r="M17" s="27" t="s">
        <v>122</v>
      </c>
    </row>
    <row r="18" spans="3:16" ht="15.75" customHeight="1" outlineLevel="1" x14ac:dyDescent="0.25">
      <c r="C18" s="85" t="s">
        <v>63</v>
      </c>
      <c r="D18" s="43" t="s">
        <v>91</v>
      </c>
      <c r="E18" s="130">
        <f>-2186.549-4207.133</f>
        <v>-6393.6819999999998</v>
      </c>
      <c r="G18" s="208" t="s">
        <v>134</v>
      </c>
      <c r="H18" s="160"/>
      <c r="J18" s="43" t="s">
        <v>124</v>
      </c>
      <c r="K18" s="164">
        <v>67.575222999999994</v>
      </c>
      <c r="L18" s="171" t="s">
        <v>108</v>
      </c>
      <c r="M18" s="166">
        <f>K18</f>
        <v>67.575222999999994</v>
      </c>
    </row>
    <row r="19" spans="3:16" ht="15.75" customHeight="1" outlineLevel="1" x14ac:dyDescent="0.25">
      <c r="C19" s="249" t="s">
        <v>206</v>
      </c>
      <c r="D19" s="43" t="s">
        <v>91</v>
      </c>
      <c r="E19" s="130">
        <f>-487.729*(1414.632/2889.804)</f>
        <v>-238.75565634485937</v>
      </c>
      <c r="G19" s="159" t="s">
        <v>126</v>
      </c>
      <c r="H19" s="168"/>
      <c r="I19" s="181"/>
      <c r="J19" s="40" t="s">
        <v>124</v>
      </c>
      <c r="K19" s="164">
        <v>2.9006889999999999</v>
      </c>
      <c r="L19" s="171" t="s">
        <v>108</v>
      </c>
      <c r="M19" s="166">
        <f t="shared" ref="M19" si="0">K19</f>
        <v>2.9006889999999999</v>
      </c>
    </row>
    <row r="20" spans="3:16" ht="15.75" customHeight="1" outlineLevel="1" x14ac:dyDescent="0.25">
      <c r="C20" s="85" t="s">
        <v>50</v>
      </c>
      <c r="D20" s="43" t="s">
        <v>91</v>
      </c>
      <c r="E20" s="130">
        <f>G193</f>
        <v>4290</v>
      </c>
      <c r="G20" s="30" t="s">
        <v>30</v>
      </c>
      <c r="H20" s="160"/>
      <c r="J20" s="43" t="s">
        <v>124</v>
      </c>
      <c r="K20" s="169">
        <f>SUM(K18:K19)</f>
        <v>70.475911999999994</v>
      </c>
      <c r="L20" s="170"/>
      <c r="M20" s="169">
        <f>SUM(M18:M19)</f>
        <v>70.475911999999994</v>
      </c>
    </row>
    <row r="21" spans="3:16" ht="15.75" customHeight="1" outlineLevel="1" x14ac:dyDescent="0.25">
      <c r="C21" s="52" t="s">
        <v>16</v>
      </c>
      <c r="D21" s="68" t="s">
        <v>91</v>
      </c>
      <c r="E21" s="236">
        <f>SUM(E17:E20)</f>
        <v>42888.001557905154</v>
      </c>
    </row>
    <row r="22" spans="3:16" ht="15.75" customHeight="1" outlineLevel="1" x14ac:dyDescent="0.25">
      <c r="C22" s="85"/>
      <c r="D22" s="43"/>
      <c r="E22" s="119"/>
      <c r="G22" s="9" t="s">
        <v>202</v>
      </c>
      <c r="H22" s="9"/>
      <c r="I22" s="9"/>
      <c r="J22" s="27" t="s">
        <v>91</v>
      </c>
      <c r="K22" s="27" t="s">
        <v>15</v>
      </c>
      <c r="L22" s="27" t="s">
        <v>203</v>
      </c>
      <c r="M22" s="9"/>
    </row>
    <row r="23" spans="3:16" ht="15.75" customHeight="1" outlineLevel="1" x14ac:dyDescent="0.25">
      <c r="C23" s="248" t="s">
        <v>217</v>
      </c>
      <c r="D23" s="43" t="s">
        <v>91</v>
      </c>
      <c r="E23" s="122">
        <f>G149</f>
        <v>817.80999999999949</v>
      </c>
      <c r="G23" s="224" t="s">
        <v>201</v>
      </c>
      <c r="J23" s="137">
        <f>K23*Fwd_EBITDA</f>
        <v>24999.999999999996</v>
      </c>
      <c r="K23" s="65">
        <v>16.230807881668088</v>
      </c>
    </row>
    <row r="24" spans="3:16" ht="15.75" customHeight="1" outlineLevel="1" x14ac:dyDescent="0.25">
      <c r="C24" s="248" t="s">
        <v>218</v>
      </c>
      <c r="D24" s="43" t="s">
        <v>42</v>
      </c>
      <c r="E24" s="50">
        <f>E$21/LTM_EBITDA</f>
        <v>52.442500773902474</v>
      </c>
      <c r="G24" s="216" t="s">
        <v>135</v>
      </c>
      <c r="J24" s="94">
        <f>L24*J$23</f>
        <v>9500</v>
      </c>
      <c r="K24" s="77">
        <f>J24/Fwd_EBITDA</f>
        <v>6.1677069950338748</v>
      </c>
      <c r="L24" s="71">
        <v>0.38000000000000006</v>
      </c>
    </row>
    <row r="25" spans="3:16" ht="15.75" customHeight="1" outlineLevel="1" x14ac:dyDescent="0.25">
      <c r="C25" s="178"/>
      <c r="D25" s="43"/>
      <c r="E25" s="50"/>
      <c r="G25" s="216" t="s">
        <v>137</v>
      </c>
      <c r="J25" s="94">
        <f t="shared" ref="J25:J26" si="1">L25*J$23</f>
        <v>12499.999999999995</v>
      </c>
      <c r="K25" s="77">
        <f>J25/Fwd_EBITDA</f>
        <v>8.1154039408340424</v>
      </c>
      <c r="L25" s="275">
        <f>1-L24-L26</f>
        <v>0.49999999999999989</v>
      </c>
    </row>
    <row r="26" spans="3:16" ht="15.75" customHeight="1" outlineLevel="1" x14ac:dyDescent="0.25">
      <c r="C26" s="226" t="s">
        <v>181</v>
      </c>
      <c r="D26" s="43" t="s">
        <v>91</v>
      </c>
      <c r="E26" s="94">
        <f>H149</f>
        <v>1540.2806922652499</v>
      </c>
      <c r="G26" s="216" t="s">
        <v>138</v>
      </c>
      <c r="J26" s="94">
        <f t="shared" si="1"/>
        <v>3000</v>
      </c>
      <c r="K26" s="77">
        <f>J26/Fwd_EBITDA</f>
        <v>1.9476969458001709</v>
      </c>
      <c r="L26" s="71">
        <v>0.12000000000000002</v>
      </c>
    </row>
    <row r="27" spans="3:16" ht="15.75" customHeight="1" outlineLevel="1" x14ac:dyDescent="0.25">
      <c r="C27" s="226" t="s">
        <v>182</v>
      </c>
      <c r="D27" s="43" t="s">
        <v>42</v>
      </c>
      <c r="E27" s="50">
        <f>E$21/E26</f>
        <v>27.844276548601613</v>
      </c>
      <c r="J27" s="129"/>
      <c r="L27" s="259"/>
    </row>
    <row r="28" spans="3:16" ht="15.75" customHeight="1" outlineLevel="1" x14ac:dyDescent="0.25">
      <c r="G28" s="9" t="s">
        <v>109</v>
      </c>
      <c r="H28" s="9"/>
      <c r="I28" s="9"/>
      <c r="J28" s="9"/>
      <c r="K28" s="27"/>
      <c r="L28" s="27"/>
      <c r="M28" s="27"/>
    </row>
    <row r="29" spans="3:16" ht="15.75" customHeight="1" outlineLevel="1" x14ac:dyDescent="0.25">
      <c r="C29" s="248" t="s">
        <v>230</v>
      </c>
      <c r="D29" s="43" t="s">
        <v>61</v>
      </c>
      <c r="E29" s="51">
        <v>73.115037999999998</v>
      </c>
      <c r="G29" s="249" t="s">
        <v>222</v>
      </c>
      <c r="J29" s="43"/>
      <c r="K29" s="77">
        <f>INDEX(K30:K33,MATCH(Scenario,$G30:$G33,0))</f>
        <v>25</v>
      </c>
      <c r="M29" s="77"/>
    </row>
    <row r="30" spans="3:16" ht="15.75" customHeight="1" outlineLevel="1" x14ac:dyDescent="0.25">
      <c r="C30" s="248" t="s">
        <v>231</v>
      </c>
      <c r="D30" s="43" t="s">
        <v>26</v>
      </c>
      <c r="E30" s="278">
        <f>E29/E15</f>
        <v>8.7614339556346718E-2</v>
      </c>
      <c r="G30" s="98" t="str">
        <f>$C$89</f>
        <v>Growth</v>
      </c>
      <c r="J30" s="43"/>
      <c r="K30" s="65">
        <v>30</v>
      </c>
      <c r="M30" s="210"/>
      <c r="N30" s="203"/>
      <c r="O30" s="203"/>
      <c r="P30" s="203"/>
    </row>
    <row r="31" spans="3:16" ht="15.75" customHeight="1" outlineLevel="1" x14ac:dyDescent="0.25">
      <c r="C31" s="248" t="s">
        <v>232</v>
      </c>
      <c r="D31" s="43" t="s">
        <v>96</v>
      </c>
      <c r="E31" s="280">
        <v>35</v>
      </c>
      <c r="G31" s="98" t="str">
        <f>$C$90</f>
        <v>Base</v>
      </c>
      <c r="J31" s="43"/>
      <c r="K31" s="65">
        <v>25</v>
      </c>
      <c r="M31" s="210"/>
      <c r="N31" s="203"/>
      <c r="O31" s="203"/>
      <c r="P31" s="203"/>
    </row>
    <row r="32" spans="3:16" ht="15.75" customHeight="1" outlineLevel="1" x14ac:dyDescent="0.25">
      <c r="C32" s="248" t="s">
        <v>233</v>
      </c>
      <c r="D32" s="43" t="s">
        <v>91</v>
      </c>
      <c r="E32" s="122">
        <f>E29*E31</f>
        <v>2559.0263300000001</v>
      </c>
      <c r="G32" s="98" t="str">
        <f>$C$91</f>
        <v>Margin</v>
      </c>
      <c r="J32" s="43"/>
      <c r="K32" s="65">
        <v>20</v>
      </c>
      <c r="M32" s="210"/>
      <c r="N32" s="203"/>
      <c r="O32" s="203"/>
      <c r="P32" s="203"/>
    </row>
    <row r="33" spans="3:19" ht="15.75" customHeight="1" outlineLevel="1" x14ac:dyDescent="0.25">
      <c r="G33" s="254" t="s">
        <v>221</v>
      </c>
      <c r="K33" s="65">
        <v>15</v>
      </c>
      <c r="N33" s="203"/>
      <c r="O33" s="203"/>
      <c r="P33" s="203"/>
    </row>
    <row r="34" spans="3:19" ht="15.75" customHeight="1" outlineLevel="1" x14ac:dyDescent="0.25">
      <c r="C34" s="111" t="s">
        <v>95</v>
      </c>
      <c r="D34" s="43" t="s">
        <v>60</v>
      </c>
      <c r="E34" s="31" t="s">
        <v>98</v>
      </c>
      <c r="N34" s="203"/>
      <c r="O34" s="203"/>
      <c r="P34" s="203"/>
    </row>
    <row r="35" spans="3:19" ht="15.75" customHeight="1" outlineLevel="1" x14ac:dyDescent="0.25">
      <c r="G35" s="239" t="s">
        <v>200</v>
      </c>
      <c r="J35" s="43"/>
      <c r="K35" s="71">
        <f>1/3</f>
        <v>0.33333333333333331</v>
      </c>
      <c r="L35" s="209"/>
      <c r="M35" s="209"/>
      <c r="N35" s="203"/>
      <c r="O35" s="203"/>
      <c r="P35" s="203"/>
    </row>
    <row r="36" spans="3:19" ht="15.75" customHeight="1" outlineLevel="1" x14ac:dyDescent="0.25">
      <c r="C36" s="89" t="s">
        <v>1</v>
      </c>
      <c r="D36" s="43" t="s">
        <v>62</v>
      </c>
      <c r="E36" s="8">
        <v>44561</v>
      </c>
      <c r="N36" s="203"/>
      <c r="O36" s="203"/>
      <c r="P36" s="203"/>
    </row>
    <row r="37" spans="3:19" ht="15.75" customHeight="1" outlineLevel="1" x14ac:dyDescent="0.25">
      <c r="C37" s="202" t="s">
        <v>158</v>
      </c>
      <c r="D37" s="43" t="s">
        <v>41</v>
      </c>
      <c r="E37" s="49">
        <v>1000000</v>
      </c>
      <c r="G37" s="10"/>
      <c r="H37" s="10"/>
      <c r="I37" s="10"/>
      <c r="J37" s="253" t="s">
        <v>214</v>
      </c>
      <c r="K37" s="253"/>
      <c r="L37" s="26" t="s">
        <v>208</v>
      </c>
      <c r="M37" s="253" t="s">
        <v>240</v>
      </c>
      <c r="N37" s="253"/>
      <c r="O37" s="253" t="s">
        <v>259</v>
      </c>
      <c r="P37" s="253"/>
      <c r="S37" s="284" t="s">
        <v>105</v>
      </c>
    </row>
    <row r="38" spans="3:19" ht="15.75" customHeight="1" outlineLevel="1" x14ac:dyDescent="0.25">
      <c r="G38" s="9" t="s">
        <v>226</v>
      </c>
      <c r="H38" s="9"/>
      <c r="I38" s="9"/>
      <c r="J38" s="27" t="s">
        <v>215</v>
      </c>
      <c r="K38" s="27" t="s">
        <v>216</v>
      </c>
      <c r="L38" s="27" t="s">
        <v>12</v>
      </c>
      <c r="M38" s="27" t="s">
        <v>215</v>
      </c>
      <c r="N38" s="27" t="s">
        <v>241</v>
      </c>
      <c r="O38" s="27" t="str">
        <f>$M$38</f>
        <v>FY 21:</v>
      </c>
      <c r="P38" s="27" t="str">
        <f>$N$38</f>
        <v>FY 22:</v>
      </c>
      <c r="S38" s="285" t="s">
        <v>242</v>
      </c>
    </row>
    <row r="39" spans="3:19" ht="15.75" customHeight="1" outlineLevel="1" x14ac:dyDescent="0.25">
      <c r="C39" s="83" t="s">
        <v>70</v>
      </c>
      <c r="D39" s="43" t="s">
        <v>26</v>
      </c>
      <c r="E39" s="71">
        <v>2E-3</v>
      </c>
      <c r="G39" s="286" t="s">
        <v>243</v>
      </c>
      <c r="I39" s="288" t="s">
        <v>244</v>
      </c>
      <c r="J39" s="209">
        <v>0.372</v>
      </c>
      <c r="K39" s="209" t="s">
        <v>207</v>
      </c>
      <c r="L39" s="209">
        <v>0.46400000000000002</v>
      </c>
      <c r="M39" s="210">
        <v>9.5</v>
      </c>
      <c r="N39" s="210">
        <v>9.39</v>
      </c>
      <c r="O39" s="210">
        <v>4.5999999999999996</v>
      </c>
      <c r="P39" s="210">
        <v>4.25</v>
      </c>
      <c r="S39" s="209">
        <v>0.125</v>
      </c>
    </row>
    <row r="40" spans="3:19" ht="15.75" customHeight="1" outlineLevel="1" x14ac:dyDescent="0.25">
      <c r="C40" s="83" t="s">
        <v>71</v>
      </c>
      <c r="D40" s="43" t="s">
        <v>26</v>
      </c>
      <c r="E40" s="71">
        <v>5.0000000000000001E-3</v>
      </c>
      <c r="G40" s="286" t="s">
        <v>250</v>
      </c>
      <c r="I40" s="288" t="s">
        <v>245</v>
      </c>
      <c r="J40" s="209">
        <v>0.52300000000000002</v>
      </c>
      <c r="K40" s="209" t="s">
        <v>209</v>
      </c>
      <c r="L40" s="209">
        <v>0.156</v>
      </c>
      <c r="M40" s="210">
        <v>27.3</v>
      </c>
      <c r="N40" s="210">
        <v>18.43</v>
      </c>
      <c r="O40" s="210">
        <v>4.8</v>
      </c>
      <c r="P40" s="210">
        <v>4.01</v>
      </c>
      <c r="S40" s="209">
        <v>0.22500000000000001</v>
      </c>
    </row>
    <row r="41" spans="3:19" ht="15.75" customHeight="1" outlineLevel="1" x14ac:dyDescent="0.25">
      <c r="C41" s="83" t="s">
        <v>72</v>
      </c>
      <c r="D41" s="43" t="s">
        <v>91</v>
      </c>
      <c r="E41" s="136">
        <v>50</v>
      </c>
      <c r="G41" s="286" t="s">
        <v>249</v>
      </c>
      <c r="I41" s="288" t="s">
        <v>246</v>
      </c>
      <c r="J41" s="209">
        <v>0.64200000000000002</v>
      </c>
      <c r="K41" s="209" t="s">
        <v>210</v>
      </c>
      <c r="L41" s="209">
        <v>-0.14199999999999999</v>
      </c>
      <c r="M41" s="210" t="s">
        <v>211</v>
      </c>
      <c r="N41" s="210">
        <v>64.63</v>
      </c>
      <c r="O41" s="210">
        <v>11.5</v>
      </c>
      <c r="P41" s="210">
        <v>8.69</v>
      </c>
      <c r="S41" s="209">
        <v>0.35</v>
      </c>
    </row>
    <row r="42" spans="3:19" ht="15.75" customHeight="1" outlineLevel="1" x14ac:dyDescent="0.25">
      <c r="G42" s="286" t="s">
        <v>248</v>
      </c>
      <c r="I42" s="288" t="s">
        <v>247</v>
      </c>
      <c r="J42" s="209">
        <v>0.3</v>
      </c>
      <c r="K42" s="209" t="s">
        <v>223</v>
      </c>
      <c r="L42" s="209">
        <v>0.20799999999999999</v>
      </c>
      <c r="M42" s="210">
        <v>13.6</v>
      </c>
      <c r="N42" s="210">
        <v>10.4</v>
      </c>
      <c r="O42" s="210">
        <v>2.4</v>
      </c>
      <c r="P42" s="210">
        <v>2.2400000000000002</v>
      </c>
      <c r="S42" s="209">
        <v>7.4999999999999997E-2</v>
      </c>
    </row>
    <row r="43" spans="3:19" ht="15.75" customHeight="1" outlineLevel="1" x14ac:dyDescent="0.25">
      <c r="C43" s="202" t="s">
        <v>162</v>
      </c>
      <c r="D43" s="43" t="s">
        <v>26</v>
      </c>
      <c r="E43" s="71">
        <v>0.25</v>
      </c>
      <c r="G43" s="286" t="s">
        <v>252</v>
      </c>
      <c r="I43" s="288" t="s">
        <v>251</v>
      </c>
      <c r="J43" s="209">
        <v>0.248</v>
      </c>
      <c r="K43" s="209" t="s">
        <v>213</v>
      </c>
      <c r="L43" s="209">
        <v>0.311</v>
      </c>
      <c r="M43" s="210">
        <v>27.5</v>
      </c>
      <c r="N43" s="210">
        <v>21.1</v>
      </c>
      <c r="O43" s="210">
        <v>8.8000000000000007</v>
      </c>
      <c r="P43" s="210">
        <v>7.45</v>
      </c>
      <c r="S43" s="209">
        <v>0.17499999999999999</v>
      </c>
    </row>
    <row r="44" spans="3:19" ht="15.75" customHeight="1" outlineLevel="1" x14ac:dyDescent="0.25">
      <c r="C44" s="226" t="s">
        <v>187</v>
      </c>
      <c r="D44" s="43" t="s">
        <v>91</v>
      </c>
      <c r="E44" s="136">
        <v>6000</v>
      </c>
      <c r="G44" s="286" t="s">
        <v>254</v>
      </c>
      <c r="I44" s="288" t="s">
        <v>253</v>
      </c>
      <c r="J44" s="209">
        <v>0.315</v>
      </c>
      <c r="K44" s="209" t="s">
        <v>209</v>
      </c>
      <c r="L44" s="209">
        <v>9.6000000000000002E-2</v>
      </c>
      <c r="M44" s="210">
        <v>56.1</v>
      </c>
      <c r="N44" s="210">
        <v>17.989999999999998</v>
      </c>
      <c r="O44" s="210">
        <v>5.8</v>
      </c>
      <c r="P44" s="210">
        <v>4.75</v>
      </c>
      <c r="S44" s="209">
        <v>0.22500000000000001</v>
      </c>
    </row>
    <row r="45" spans="3:19" ht="15.75" customHeight="1" outlineLevel="1" x14ac:dyDescent="0.25">
      <c r="C45" s="226" t="s">
        <v>184</v>
      </c>
      <c r="D45" s="43" t="s">
        <v>26</v>
      </c>
      <c r="E45" s="71">
        <v>0.1</v>
      </c>
      <c r="G45" s="286" t="s">
        <v>255</v>
      </c>
      <c r="I45" s="288" t="s">
        <v>256</v>
      </c>
      <c r="J45" s="209">
        <v>0.47599999999999998</v>
      </c>
      <c r="K45" s="209" t="s">
        <v>225</v>
      </c>
      <c r="L45" s="209">
        <v>0.157</v>
      </c>
      <c r="M45" s="210">
        <v>12.2</v>
      </c>
      <c r="N45" s="210">
        <v>28.33</v>
      </c>
      <c r="O45" s="210">
        <v>6.2</v>
      </c>
      <c r="P45" s="210">
        <v>4.87</v>
      </c>
      <c r="S45" s="209">
        <v>0.22500000000000001</v>
      </c>
    </row>
    <row r="46" spans="3:19" ht="15.75" customHeight="1" outlineLevel="1" x14ac:dyDescent="0.25">
      <c r="E46" s="238"/>
      <c r="G46" s="286" t="s">
        <v>258</v>
      </c>
      <c r="I46" s="288" t="s">
        <v>257</v>
      </c>
      <c r="J46" s="209">
        <v>0.33600000000000002</v>
      </c>
      <c r="K46" s="209" t="s">
        <v>223</v>
      </c>
      <c r="L46" s="209">
        <v>0.33300000000000002</v>
      </c>
      <c r="M46" s="210">
        <v>6.2</v>
      </c>
      <c r="N46" s="210">
        <v>7.23</v>
      </c>
      <c r="O46" s="210">
        <v>2.2000000000000002</v>
      </c>
      <c r="P46" s="210">
        <v>2.06</v>
      </c>
      <c r="S46" s="209">
        <v>7.4999999999999997E-2</v>
      </c>
    </row>
    <row r="47" spans="3:19" ht="15.75" customHeight="1" outlineLevel="1" x14ac:dyDescent="0.25">
      <c r="K47" s="43"/>
      <c r="L47" s="70"/>
      <c r="M47" s="258"/>
      <c r="N47" s="203"/>
      <c r="O47" s="203"/>
      <c r="P47" s="203"/>
    </row>
    <row r="48" spans="3:19" ht="15.75" customHeight="1" outlineLevel="1" x14ac:dyDescent="0.25">
      <c r="G48" s="262" t="s">
        <v>227</v>
      </c>
      <c r="H48" s="263"/>
      <c r="I48" s="263"/>
      <c r="J48" s="264">
        <f>QUARTILE(J39:J46,3)</f>
        <v>0.48775000000000002</v>
      </c>
      <c r="K48" s="272" t="s">
        <v>209</v>
      </c>
      <c r="L48" s="264">
        <f>QUARTILE(L39:L46,3)</f>
        <v>0.3165</v>
      </c>
      <c r="M48" s="281">
        <f>QUARTILE(M39:M46,3)</f>
        <v>27.4</v>
      </c>
      <c r="N48" s="281">
        <f t="shared" ref="N48:P48" si="2">QUARTILE(N39:N46,3)</f>
        <v>22.907499999999999</v>
      </c>
      <c r="O48" s="281">
        <f t="shared" si="2"/>
        <v>6.8500000000000005</v>
      </c>
      <c r="P48" s="265">
        <f t="shared" si="2"/>
        <v>5.5150000000000006</v>
      </c>
    </row>
    <row r="49" spans="2:23" ht="15.75" customHeight="1" outlineLevel="1" x14ac:dyDescent="0.25">
      <c r="G49" s="266" t="s">
        <v>228</v>
      </c>
      <c r="H49" s="267"/>
      <c r="I49" s="267"/>
      <c r="J49" s="261">
        <f>MEDIAN(J39:J46)</f>
        <v>0.35399999999999998</v>
      </c>
      <c r="K49" s="273" t="s">
        <v>213</v>
      </c>
      <c r="L49" s="261">
        <f>MEDIAN(L39:L46)</f>
        <v>0.1825</v>
      </c>
      <c r="M49" s="282">
        <f>MEDIAN(M39:M46)</f>
        <v>13.6</v>
      </c>
      <c r="N49" s="282">
        <f t="shared" ref="N49:P49" si="3">MEDIAN(N39:N46)</f>
        <v>18.21</v>
      </c>
      <c r="O49" s="282">
        <f t="shared" si="3"/>
        <v>5.3</v>
      </c>
      <c r="P49" s="268">
        <f t="shared" si="3"/>
        <v>4.5</v>
      </c>
    </row>
    <row r="50" spans="2:23" ht="15.75" customHeight="1" outlineLevel="1" x14ac:dyDescent="0.25">
      <c r="G50" s="269" t="s">
        <v>229</v>
      </c>
      <c r="H50" s="84"/>
      <c r="I50" s="84"/>
      <c r="J50" s="270">
        <f>QUARTILE(J39:J46,1)</f>
        <v>0.31125000000000003</v>
      </c>
      <c r="K50" s="274" t="s">
        <v>207</v>
      </c>
      <c r="L50" s="270">
        <f>QUARTILE(L39:L46,1)</f>
        <v>0.14100000000000001</v>
      </c>
      <c r="M50" s="283">
        <f>QUARTILE(M39:M46,1)</f>
        <v>10.85</v>
      </c>
      <c r="N50" s="283">
        <f t="shared" ref="N50:P50" si="4">QUARTILE(N39:N46,1)</f>
        <v>10.147500000000001</v>
      </c>
      <c r="O50" s="283">
        <f t="shared" si="4"/>
        <v>4.05</v>
      </c>
      <c r="P50" s="271">
        <f t="shared" si="4"/>
        <v>3.5674999999999999</v>
      </c>
    </row>
    <row r="51" spans="2:23" ht="15.75" customHeight="1" outlineLevel="1" x14ac:dyDescent="0.25">
      <c r="K51" s="43"/>
      <c r="L51" s="70"/>
      <c r="M51" s="258"/>
      <c r="N51" s="203"/>
      <c r="O51" s="203"/>
      <c r="P51" s="203"/>
    </row>
    <row r="52" spans="2:23" ht="15.75" customHeight="1" outlineLevel="1" x14ac:dyDescent="0.25">
      <c r="G52" s="25" t="str">
        <f>Company_Name&amp;" ["&amp;Ticker&amp;"] @ Deal Price:"</f>
        <v>Twitter, Inc. [TWTR] @ Deal Price:</v>
      </c>
      <c r="H52" s="3"/>
      <c r="I52" s="3"/>
      <c r="J52" s="260">
        <f>G130</f>
        <v>0.36625542972417291</v>
      </c>
      <c r="K52" s="276" t="s">
        <v>213</v>
      </c>
      <c r="L52" s="260">
        <f>G150</f>
        <v>0.16106605597026233</v>
      </c>
      <c r="M52" s="75">
        <f>Purchase_Multiple</f>
        <v>52.442500773902474</v>
      </c>
      <c r="N52" s="75">
        <f>E27</f>
        <v>27.844276548601613</v>
      </c>
      <c r="O52" s="75">
        <f>E21/G129</f>
        <v>8.4467067648699015</v>
      </c>
      <c r="P52" s="75">
        <f>E21/H129</f>
        <v>7.1698310856174174</v>
      </c>
    </row>
    <row r="53" spans="2:23" ht="15.75" customHeight="1" outlineLevel="1" x14ac:dyDescent="0.25">
      <c r="K53" s="43"/>
      <c r="L53" s="70"/>
      <c r="M53" s="258"/>
      <c r="N53" s="203"/>
      <c r="O53" s="203"/>
      <c r="P53" s="203"/>
    </row>
    <row r="54" spans="2:23" ht="15.75" customHeight="1" outlineLevel="1" x14ac:dyDescent="0.25">
      <c r="G54" s="249" t="s">
        <v>224</v>
      </c>
      <c r="K54" s="43"/>
      <c r="L54" s="70"/>
      <c r="N54" s="203"/>
      <c r="O54" s="203"/>
      <c r="P54" s="203"/>
    </row>
    <row r="55" spans="2:23" ht="15.75" customHeight="1" outlineLevel="1" x14ac:dyDescent="0.25">
      <c r="K55" s="43"/>
      <c r="L55" s="70"/>
      <c r="N55" s="203"/>
      <c r="O55" s="203"/>
      <c r="P55" s="203"/>
    </row>
    <row r="56" spans="2:23" ht="15.75" customHeight="1" x14ac:dyDescent="0.25">
      <c r="K56" s="43"/>
      <c r="L56" s="70"/>
      <c r="N56" s="203"/>
      <c r="O56" s="203"/>
      <c r="P56" s="203"/>
    </row>
    <row r="57" spans="2:23" ht="15.75" customHeight="1" x14ac:dyDescent="0.25">
      <c r="B57" s="4" t="s">
        <v>2</v>
      </c>
      <c r="C57" s="5"/>
      <c r="D57" s="6"/>
      <c r="E57" s="6"/>
      <c r="F57" s="7"/>
      <c r="G57" s="7"/>
      <c r="H57" s="7"/>
      <c r="I57" s="7"/>
      <c r="J57" s="6"/>
      <c r="K57" s="7"/>
      <c r="L57" s="7"/>
      <c r="M57" s="7"/>
      <c r="N57" s="203"/>
      <c r="O57" s="203"/>
      <c r="P57" s="203"/>
    </row>
    <row r="58" spans="2:23" ht="15.75" customHeight="1" outlineLevel="1" x14ac:dyDescent="0.25">
      <c r="D58" s="90"/>
      <c r="N58" s="203"/>
      <c r="O58" s="203"/>
      <c r="P58" s="203"/>
      <c r="Q58" s="3"/>
    </row>
    <row r="59" spans="2:23" ht="15.75" customHeight="1" outlineLevel="1" x14ac:dyDescent="0.25">
      <c r="C59" s="9" t="s">
        <v>20</v>
      </c>
      <c r="D59" s="27" t="s">
        <v>91</v>
      </c>
      <c r="E59" s="27" t="s">
        <v>15</v>
      </c>
      <c r="F59" s="26" t="s">
        <v>19</v>
      </c>
      <c r="H59" s="9" t="s">
        <v>18</v>
      </c>
      <c r="I59" s="84"/>
      <c r="J59" s="84"/>
      <c r="K59" s="27" t="s">
        <v>91</v>
      </c>
      <c r="L59" s="27" t="s">
        <v>15</v>
      </c>
      <c r="N59" s="203"/>
      <c r="O59" s="203"/>
      <c r="P59" s="203"/>
      <c r="U59" s="287" t="s">
        <v>260</v>
      </c>
    </row>
    <row r="60" spans="2:23" ht="15.75" customHeight="1" outlineLevel="1" x14ac:dyDescent="0.25">
      <c r="C60" s="85" t="s">
        <v>9</v>
      </c>
      <c r="D60" s="137">
        <f>E60*LTM_EBITDA</f>
        <v>0</v>
      </c>
      <c r="E60" s="244">
        <v>0</v>
      </c>
      <c r="F60" s="72">
        <f t="shared" ref="F60:F66" si="5">D60/$D$67</f>
        <v>0</v>
      </c>
      <c r="H60" s="85" t="s">
        <v>49</v>
      </c>
      <c r="K60" s="137">
        <f>E17</f>
        <v>45230.439214250015</v>
      </c>
      <c r="L60" s="76">
        <f>K60/Fwd_EBITDA</f>
        <v>29.365062771598346</v>
      </c>
      <c r="N60" s="203"/>
      <c r="O60" s="203"/>
      <c r="P60" s="203"/>
    </row>
    <row r="61" spans="2:23" ht="15.75" customHeight="1" outlineLevel="1" x14ac:dyDescent="0.25">
      <c r="C61" s="208" t="s">
        <v>135</v>
      </c>
      <c r="D61" s="243">
        <f t="shared" ref="D61:E63" si="6">J24</f>
        <v>9500</v>
      </c>
      <c r="E61" s="77">
        <f t="shared" si="6"/>
        <v>6.1677069950338748</v>
      </c>
      <c r="F61" s="73">
        <f t="shared" si="5"/>
        <v>0.19081707837591277</v>
      </c>
      <c r="G61" s="137"/>
      <c r="H61" s="85" t="s">
        <v>64</v>
      </c>
      <c r="K61" s="139">
        <f>E20</f>
        <v>4290</v>
      </c>
      <c r="L61" s="77">
        <f>K61/Fwd_EBITDA</f>
        <v>2.7852066324942442</v>
      </c>
      <c r="N61" s="203"/>
      <c r="O61" s="203"/>
      <c r="P61" s="203"/>
      <c r="U61" s="289">
        <v>42825</v>
      </c>
      <c r="V61" s="83">
        <v>260.52645926666668</v>
      </c>
      <c r="W61" s="83">
        <f t="shared" ref="W61:W82" si="7">Purchase_Multiple</f>
        <v>52.442500773902474</v>
      </c>
    </row>
    <row r="62" spans="2:23" ht="15.75" customHeight="1" outlineLevel="1" x14ac:dyDescent="0.25">
      <c r="C62" s="208" t="s">
        <v>137</v>
      </c>
      <c r="D62" s="243">
        <f t="shared" si="6"/>
        <v>12499.999999999995</v>
      </c>
      <c r="E62" s="77">
        <f t="shared" si="6"/>
        <v>8.1154039408340424</v>
      </c>
      <c r="F62" s="73">
        <f t="shared" si="5"/>
        <v>0.2510751031262009</v>
      </c>
      <c r="G62" s="137"/>
      <c r="H62" s="85" t="s">
        <v>69</v>
      </c>
      <c r="K62" s="140">
        <f>SUM(D60:D63)*E40</f>
        <v>124.99999999999997</v>
      </c>
      <c r="L62" s="77">
        <f>K62/Fwd_EBITDA</f>
        <v>8.1154039408340428E-2</v>
      </c>
      <c r="N62" s="203"/>
      <c r="O62" s="203"/>
      <c r="P62" s="203"/>
      <c r="U62" s="289">
        <v>42916</v>
      </c>
      <c r="V62" s="83">
        <v>173.07656016129033</v>
      </c>
      <c r="W62" s="83">
        <f t="shared" si="7"/>
        <v>52.442500773902474</v>
      </c>
    </row>
    <row r="63" spans="2:23" ht="15.75" customHeight="1" outlineLevel="1" x14ac:dyDescent="0.25">
      <c r="C63" s="208" t="s">
        <v>138</v>
      </c>
      <c r="D63" s="243">
        <f t="shared" si="6"/>
        <v>3000</v>
      </c>
      <c r="E63" s="77">
        <f t="shared" si="6"/>
        <v>1.9476969458001709</v>
      </c>
      <c r="F63" s="73">
        <f t="shared" si="5"/>
        <v>6.0258024750288249E-2</v>
      </c>
      <c r="G63" s="137"/>
      <c r="H63" s="85" t="s">
        <v>14</v>
      </c>
      <c r="K63" s="141">
        <f>E17*E39+E41</f>
        <v>140.46087842850005</v>
      </c>
      <c r="L63" s="77">
        <f>K63/Fwd_EBITDA</f>
        <v>9.1191741306532889E-2</v>
      </c>
      <c r="N63" s="203"/>
      <c r="O63" s="203"/>
      <c r="P63" s="203"/>
      <c r="U63" s="289">
        <v>43007</v>
      </c>
      <c r="V63" s="83">
        <v>128.92134690476189</v>
      </c>
      <c r="W63" s="83">
        <f t="shared" si="7"/>
        <v>52.442500773902474</v>
      </c>
    </row>
    <row r="64" spans="2:23" ht="15.75" customHeight="1" outlineLevel="1" x14ac:dyDescent="0.25">
      <c r="C64" s="224" t="s">
        <v>185</v>
      </c>
      <c r="D64" s="238">
        <f>SUM(H186:H187)-E44</f>
        <v>1569.3830853354602</v>
      </c>
      <c r="E64" s="77">
        <f>D64/Fwd_EBITDA</f>
        <v>1.018894214032775</v>
      </c>
      <c r="F64" s="73">
        <f t="shared" si="5"/>
        <v>3.1522641599609297E-2</v>
      </c>
      <c r="H64" s="28" t="s">
        <v>8</v>
      </c>
      <c r="I64" s="91"/>
      <c r="J64" s="91"/>
      <c r="K64" s="126">
        <f>SUM(K60:K63)</f>
        <v>49785.900092678516</v>
      </c>
      <c r="L64" s="78">
        <f>SUM(L60:L63)</f>
        <v>32.322615184807461</v>
      </c>
      <c r="N64" s="203"/>
      <c r="O64" s="203"/>
      <c r="P64" s="203"/>
      <c r="U64" s="289">
        <v>43098</v>
      </c>
      <c r="V64" s="83">
        <v>88.279883365079371</v>
      </c>
      <c r="W64" s="83">
        <f t="shared" si="7"/>
        <v>52.442500773902474</v>
      </c>
    </row>
    <row r="65" spans="2:23" ht="15.75" customHeight="1" outlineLevel="1" x14ac:dyDescent="0.25">
      <c r="C65" s="208" t="s">
        <v>145</v>
      </c>
      <c r="D65" s="94">
        <f>E30*E17</f>
        <v>3962.8350596000009</v>
      </c>
      <c r="E65" s="77">
        <f>D65/Fwd_EBITDA</f>
        <v>2.5728005807642531</v>
      </c>
      <c r="F65" s="73">
        <f t="shared" si="5"/>
        <v>7.9597537700895615E-2</v>
      </c>
      <c r="N65" s="203"/>
      <c r="O65" s="203"/>
      <c r="P65" s="203"/>
      <c r="U65" s="289">
        <v>43188</v>
      </c>
      <c r="V65" s="83">
        <v>64.208866698412692</v>
      </c>
      <c r="W65" s="83">
        <f t="shared" si="7"/>
        <v>52.442500773902474</v>
      </c>
    </row>
    <row r="66" spans="2:23" ht="15.75" customHeight="1" outlineLevel="1" x14ac:dyDescent="0.25">
      <c r="C66" s="106" t="s">
        <v>78</v>
      </c>
      <c r="D66" s="138">
        <f>K64-SUM(D60:D65)</f>
        <v>19253.681947743062</v>
      </c>
      <c r="E66" s="108">
        <f>D66/Fwd_EBITDA</f>
        <v>12.500112508342349</v>
      </c>
      <c r="F66" s="92">
        <f t="shared" si="5"/>
        <v>0.38672961444709314</v>
      </c>
      <c r="K66" s="140"/>
      <c r="N66" s="203"/>
      <c r="O66" s="203"/>
      <c r="P66" s="203"/>
      <c r="U66" s="289">
        <v>43280</v>
      </c>
      <c r="V66" s="83">
        <v>63.997685983606559</v>
      </c>
      <c r="W66" s="83">
        <f t="shared" si="7"/>
        <v>52.442500773902474</v>
      </c>
    </row>
    <row r="67" spans="2:23" ht="15.75" customHeight="1" outlineLevel="1" x14ac:dyDescent="0.25">
      <c r="C67" s="28" t="s">
        <v>7</v>
      </c>
      <c r="D67" s="126">
        <f>SUM(D60:D66)</f>
        <v>49785.900092678516</v>
      </c>
      <c r="E67" s="75">
        <f>SUM(E60:E66)</f>
        <v>32.322615184807461</v>
      </c>
      <c r="F67" s="74">
        <f>SUM(F60:F66)</f>
        <v>1</v>
      </c>
      <c r="K67" s="90"/>
      <c r="N67" s="203"/>
      <c r="O67" s="203"/>
      <c r="P67" s="203"/>
      <c r="U67" s="289">
        <v>43371</v>
      </c>
      <c r="V67" s="83">
        <v>54.777397640624997</v>
      </c>
      <c r="W67" s="83">
        <f t="shared" si="7"/>
        <v>52.442500773902474</v>
      </c>
    </row>
    <row r="68" spans="2:23" ht="15.75" customHeight="1" x14ac:dyDescent="0.25">
      <c r="K68" s="90"/>
      <c r="N68" s="203"/>
      <c r="O68" s="203"/>
      <c r="P68" s="203"/>
      <c r="U68" s="289">
        <v>43462</v>
      </c>
      <c r="V68" s="83">
        <v>44.927438047619049</v>
      </c>
      <c r="W68" s="83">
        <f t="shared" si="7"/>
        <v>52.442500773902474</v>
      </c>
    </row>
    <row r="69" spans="2:23" ht="15.75" customHeight="1" x14ac:dyDescent="0.25">
      <c r="B69" s="4" t="s">
        <v>55</v>
      </c>
      <c r="C69" s="5"/>
      <c r="D69" s="6"/>
      <c r="E69" s="6"/>
      <c r="F69" s="7"/>
      <c r="G69" s="7"/>
      <c r="H69" s="7"/>
      <c r="I69" s="7"/>
      <c r="J69" s="6"/>
      <c r="K69" s="7"/>
      <c r="L69" s="7"/>
      <c r="M69" s="7"/>
      <c r="N69" s="203"/>
      <c r="O69" s="203"/>
      <c r="P69" s="203"/>
      <c r="U69" s="289">
        <v>43553</v>
      </c>
      <c r="V69" s="83">
        <v>31.955245790322582</v>
      </c>
      <c r="W69" s="83">
        <f t="shared" si="7"/>
        <v>52.442500773902474</v>
      </c>
    </row>
    <row r="70" spans="2:23" ht="15.75" customHeight="1" outlineLevel="1" x14ac:dyDescent="0.25">
      <c r="N70" s="203"/>
      <c r="O70" s="203"/>
      <c r="P70" s="203"/>
      <c r="U70" s="289">
        <v>43644</v>
      </c>
      <c r="V70" s="83">
        <v>28.198929557377049</v>
      </c>
      <c r="W70" s="83">
        <f t="shared" si="7"/>
        <v>52.442500773902474</v>
      </c>
    </row>
    <row r="71" spans="2:23" ht="15.75" customHeight="1" outlineLevel="1" x14ac:dyDescent="0.25">
      <c r="C71" s="10"/>
      <c r="D71" s="26" t="s">
        <v>136</v>
      </c>
      <c r="E71" s="26" t="s">
        <v>136</v>
      </c>
      <c r="F71" s="26" t="s">
        <v>128</v>
      </c>
      <c r="G71" s="26" t="s">
        <v>13</v>
      </c>
      <c r="H71" s="26" t="s">
        <v>76</v>
      </c>
      <c r="I71" s="26" t="s">
        <v>107</v>
      </c>
      <c r="J71" s="26" t="s">
        <v>169</v>
      </c>
      <c r="K71" s="26" t="s">
        <v>219</v>
      </c>
      <c r="L71" s="26" t="s">
        <v>170</v>
      </c>
      <c r="N71" s="203"/>
      <c r="O71" s="203"/>
      <c r="P71" s="203"/>
      <c r="U71" s="289">
        <v>43738</v>
      </c>
      <c r="V71" s="83">
        <v>27.066575142857143</v>
      </c>
      <c r="W71" s="83">
        <f t="shared" si="7"/>
        <v>52.442500773902474</v>
      </c>
    </row>
    <row r="72" spans="2:23" ht="15.75" customHeight="1" outlineLevel="1" x14ac:dyDescent="0.25">
      <c r="C72" s="9" t="s">
        <v>56</v>
      </c>
      <c r="D72" s="27" t="s">
        <v>28</v>
      </c>
      <c r="E72" s="27" t="s">
        <v>11</v>
      </c>
      <c r="F72" s="27" t="s">
        <v>10</v>
      </c>
      <c r="G72" s="27" t="s">
        <v>74</v>
      </c>
      <c r="H72" s="27" t="s">
        <v>77</v>
      </c>
      <c r="I72" s="27" t="s">
        <v>106</v>
      </c>
      <c r="J72" s="27" t="s">
        <v>146</v>
      </c>
      <c r="K72" s="27" t="s">
        <v>146</v>
      </c>
      <c r="L72" s="27" t="s">
        <v>171</v>
      </c>
      <c r="N72" s="203"/>
      <c r="O72" s="203"/>
      <c r="P72" s="203"/>
      <c r="U72" s="289">
        <v>43830</v>
      </c>
      <c r="V72" s="83">
        <v>28.504816093750001</v>
      </c>
      <c r="W72" s="83">
        <f t="shared" si="7"/>
        <v>52.442500773902474</v>
      </c>
    </row>
    <row r="73" spans="2:23" ht="15.75" customHeight="1" outlineLevel="1" x14ac:dyDescent="0.25">
      <c r="C73" s="85" t="str">
        <f>+$C$60</f>
        <v>Revolver:</v>
      </c>
      <c r="D73" s="66">
        <v>0</v>
      </c>
      <c r="E73" s="211">
        <v>4.2500000000000003E-2</v>
      </c>
      <c r="F73" s="93"/>
      <c r="G73" s="80"/>
      <c r="I73" s="150" t="s">
        <v>108</v>
      </c>
      <c r="J73" s="211">
        <v>3.7499999999999999E-3</v>
      </c>
      <c r="K73" s="211">
        <v>0.01</v>
      </c>
      <c r="L73" s="223">
        <v>500</v>
      </c>
      <c r="N73" s="203"/>
      <c r="O73" s="203"/>
      <c r="P73" s="203"/>
      <c r="U73" s="289">
        <v>43921</v>
      </c>
      <c r="V73" s="83">
        <v>22.808861484375001</v>
      </c>
      <c r="W73" s="83">
        <f t="shared" si="7"/>
        <v>52.442500773902474</v>
      </c>
    </row>
    <row r="74" spans="2:23" ht="15.75" customHeight="1" outlineLevel="1" x14ac:dyDescent="0.25">
      <c r="C74" s="85" t="str">
        <f>+$C$61</f>
        <v>Term Loan &amp; Senior Secured:</v>
      </c>
      <c r="D74" s="66">
        <v>5.0000000000000001E-3</v>
      </c>
      <c r="E74" s="212">
        <f>4.75%*(2/3)+6.75%*(1/3)</f>
        <v>5.4166666666666662E-2</v>
      </c>
      <c r="F74" s="93"/>
      <c r="G74" s="81">
        <v>0.01</v>
      </c>
      <c r="H74" s="81">
        <v>0.5</v>
      </c>
      <c r="I74" s="150">
        <v>7</v>
      </c>
      <c r="N74" s="203"/>
      <c r="O74" s="203"/>
      <c r="P74" s="203"/>
      <c r="U74" s="289">
        <v>44012</v>
      </c>
      <c r="V74" s="83">
        <v>22.947051983870967</v>
      </c>
      <c r="W74" s="83">
        <f t="shared" si="7"/>
        <v>52.442500773902474</v>
      </c>
    </row>
    <row r="75" spans="2:23" ht="15.75" customHeight="1" outlineLevel="1" x14ac:dyDescent="0.25">
      <c r="C75" s="208" t="s">
        <v>137</v>
      </c>
      <c r="D75" s="66">
        <v>0</v>
      </c>
      <c r="E75" s="211">
        <v>0.03</v>
      </c>
      <c r="F75" s="93"/>
      <c r="G75" s="81">
        <v>0.05</v>
      </c>
      <c r="H75" s="81">
        <v>0</v>
      </c>
      <c r="I75" s="150">
        <v>7</v>
      </c>
      <c r="N75" s="203"/>
      <c r="O75" s="203"/>
      <c r="P75" s="203"/>
      <c r="U75" s="289">
        <v>44104</v>
      </c>
      <c r="V75" s="83">
        <v>23.625322714285716</v>
      </c>
      <c r="W75" s="83">
        <f t="shared" si="7"/>
        <v>52.442500773902474</v>
      </c>
    </row>
    <row r="76" spans="2:23" ht="15.75" customHeight="1" outlineLevel="1" x14ac:dyDescent="0.25">
      <c r="C76" s="85" t="str">
        <f>+$C$63</f>
        <v>Unsecured Debt:</v>
      </c>
      <c r="D76" s="66">
        <v>0</v>
      </c>
      <c r="E76" s="211">
        <v>0.1</v>
      </c>
      <c r="F76" s="213"/>
      <c r="G76" s="81">
        <v>0</v>
      </c>
      <c r="H76" s="81">
        <v>0</v>
      </c>
      <c r="I76" s="150">
        <v>7</v>
      </c>
      <c r="N76" s="203"/>
      <c r="O76" s="203"/>
      <c r="P76" s="203"/>
      <c r="U76" s="289">
        <v>44196</v>
      </c>
      <c r="V76" s="83">
        <v>48.373750874999999</v>
      </c>
      <c r="W76" s="83">
        <f t="shared" si="7"/>
        <v>52.442500773902474</v>
      </c>
    </row>
    <row r="77" spans="2:23" ht="15.75" customHeight="1" outlineLevel="1" x14ac:dyDescent="0.25">
      <c r="C77" s="85" t="s">
        <v>48</v>
      </c>
      <c r="D77" s="93"/>
      <c r="E77" s="211">
        <v>2.5000000000000001E-3</v>
      </c>
      <c r="F77" s="93"/>
      <c r="G77" s="93"/>
      <c r="H77" s="93"/>
      <c r="I77" s="93"/>
      <c r="N77" s="203"/>
      <c r="O77" s="203"/>
      <c r="P77" s="203"/>
      <c r="U77" s="289">
        <v>44286</v>
      </c>
      <c r="V77" s="83">
        <v>58.409129265624998</v>
      </c>
      <c r="W77" s="83">
        <f t="shared" si="7"/>
        <v>52.442500773902474</v>
      </c>
    </row>
    <row r="78" spans="2:23" ht="15.75" customHeight="1" outlineLevel="1" x14ac:dyDescent="0.25">
      <c r="N78" s="203"/>
      <c r="O78" s="203"/>
      <c r="P78" s="203"/>
      <c r="U78" s="289">
        <v>44377</v>
      </c>
      <c r="V78" s="83">
        <v>61.105745540983605</v>
      </c>
      <c r="W78" s="83">
        <f t="shared" si="7"/>
        <v>52.442500773902474</v>
      </c>
    </row>
    <row r="79" spans="2:23" ht="15.75" customHeight="1" outlineLevel="1" x14ac:dyDescent="0.25">
      <c r="C79" s="226" t="s">
        <v>179</v>
      </c>
      <c r="D79" s="211">
        <v>2.5000000000000001E-2</v>
      </c>
      <c r="N79" s="203"/>
      <c r="O79" s="203"/>
      <c r="P79" s="203"/>
      <c r="U79" s="289">
        <v>44469</v>
      </c>
      <c r="V79" s="83">
        <v>53.301972619047618</v>
      </c>
      <c r="W79" s="83">
        <f t="shared" si="7"/>
        <v>52.442500773902474</v>
      </c>
    </row>
    <row r="80" spans="2:23" ht="15.75" customHeight="1" outlineLevel="1" x14ac:dyDescent="0.25">
      <c r="N80" s="203"/>
      <c r="O80" s="203"/>
      <c r="P80" s="203"/>
      <c r="U80" s="289">
        <v>44561</v>
      </c>
      <c r="V80" s="83">
        <v>48.551571390625</v>
      </c>
      <c r="W80" s="83">
        <f t="shared" si="7"/>
        <v>52.442500773902474</v>
      </c>
    </row>
    <row r="81" spans="2:23" ht="15.75" customHeight="1" outlineLevel="1" x14ac:dyDescent="0.25">
      <c r="C81" s="199" t="s">
        <v>130</v>
      </c>
      <c r="D81" s="94">
        <f>K62</f>
        <v>124.99999999999997</v>
      </c>
      <c r="N81" s="203"/>
      <c r="O81" s="203"/>
      <c r="P81" s="203"/>
      <c r="U81" s="289">
        <v>44651</v>
      </c>
      <c r="V81" s="83">
        <v>37.044735000000003</v>
      </c>
      <c r="W81" s="83">
        <f t="shared" si="7"/>
        <v>52.442500773902474</v>
      </c>
    </row>
    <row r="82" spans="2:23" ht="15.75" customHeight="1" outlineLevel="1" x14ac:dyDescent="0.25">
      <c r="C82" s="201" t="s">
        <v>129</v>
      </c>
      <c r="D82" s="151">
        <f>SUMPRODUCT(D60:D63,I73:I76)/SUM(D60:D63)</f>
        <v>7</v>
      </c>
      <c r="N82" s="203"/>
      <c r="O82" s="203"/>
      <c r="P82" s="203"/>
      <c r="U82" s="289">
        <v>44683</v>
      </c>
      <c r="V82" s="83">
        <v>26.617835741935483</v>
      </c>
      <c r="W82" s="83">
        <f t="shared" si="7"/>
        <v>52.442500773902474</v>
      </c>
    </row>
    <row r="83" spans="2:23" ht="15.75" customHeight="1" x14ac:dyDescent="0.25">
      <c r="N83" s="203"/>
      <c r="O83" s="203"/>
      <c r="P83" s="203"/>
    </row>
    <row r="84" spans="2:23" ht="15.75" customHeight="1" x14ac:dyDescent="0.25">
      <c r="B84" s="11"/>
      <c r="C84" s="12"/>
      <c r="D84" s="13"/>
      <c r="E84" s="14" t="s">
        <v>3</v>
      </c>
      <c r="F84" s="15"/>
      <c r="G84" s="15"/>
      <c r="H84" s="16" t="s">
        <v>4</v>
      </c>
      <c r="I84" s="17"/>
      <c r="J84" s="15"/>
      <c r="K84" s="15"/>
      <c r="L84" s="15"/>
      <c r="M84" s="15"/>
      <c r="N84" s="203"/>
      <c r="O84" s="16"/>
      <c r="P84" s="203"/>
    </row>
    <row r="85" spans="2:23" ht="15.75" customHeight="1" x14ac:dyDescent="0.25">
      <c r="B85" s="29" t="s">
        <v>29</v>
      </c>
      <c r="C85" s="18"/>
      <c r="D85" s="32" t="str">
        <f>$D$5</f>
        <v>Units:</v>
      </c>
      <c r="E85" s="1">
        <f>EOMONTH(F85,-12)</f>
        <v>43830</v>
      </c>
      <c r="F85" s="1">
        <f>EOMONTH(G85,-12)</f>
        <v>44196</v>
      </c>
      <c r="G85" s="2">
        <f>Hist_Year</f>
        <v>44561</v>
      </c>
      <c r="H85" s="48">
        <f t="shared" ref="H85:M85" si="8">EOMONTH(G85,12)</f>
        <v>44926</v>
      </c>
      <c r="I85" s="1">
        <f t="shared" si="8"/>
        <v>45291</v>
      </c>
      <c r="J85" s="1">
        <f t="shared" si="8"/>
        <v>45657</v>
      </c>
      <c r="K85" s="1">
        <f t="shared" si="8"/>
        <v>46022</v>
      </c>
      <c r="L85" s="1">
        <f t="shared" si="8"/>
        <v>46387</v>
      </c>
      <c r="M85" s="1">
        <f t="shared" si="8"/>
        <v>46752</v>
      </c>
      <c r="O85" s="48" t="s">
        <v>239</v>
      </c>
    </row>
    <row r="86" spans="2:23" ht="15.75" customHeight="1" outlineLevel="1" x14ac:dyDescent="0.25"/>
    <row r="87" spans="2:23" ht="15.75" customHeight="1" outlineLevel="1" x14ac:dyDescent="0.25">
      <c r="C87" s="202" t="s">
        <v>147</v>
      </c>
      <c r="D87" s="43" t="s">
        <v>124</v>
      </c>
      <c r="E87" s="132">
        <f>(152+126)/2</f>
        <v>139</v>
      </c>
      <c r="F87" s="132">
        <f>(190.9+152)/2</f>
        <v>171.45</v>
      </c>
      <c r="G87" s="132">
        <f>(214.7+190.9)/2</f>
        <v>202.8</v>
      </c>
      <c r="H87" s="132">
        <f>G87*(1+H88)</f>
        <v>223.08000000000004</v>
      </c>
      <c r="I87" s="132">
        <f t="shared" ref="I87:M87" si="9">H87*(1+I88)</f>
        <v>256.54200000000003</v>
      </c>
      <c r="J87" s="132">
        <f t="shared" si="9"/>
        <v>292.45788000000005</v>
      </c>
      <c r="K87" s="132">
        <f t="shared" si="9"/>
        <v>321.70366800000005</v>
      </c>
      <c r="L87" s="132">
        <f t="shared" si="9"/>
        <v>347.4399614400001</v>
      </c>
      <c r="M87" s="132">
        <f t="shared" si="9"/>
        <v>368.28635912640016</v>
      </c>
      <c r="O87" s="74">
        <f>(M87/G87)^(1/(YEAR($M$85)-YEAR($G$85)))-1</f>
        <v>0.1045522901789171</v>
      </c>
    </row>
    <row r="88" spans="2:23" ht="15.75" customHeight="1" outlineLevel="1" x14ac:dyDescent="0.25">
      <c r="C88" s="112" t="s">
        <v>47</v>
      </c>
      <c r="D88" s="43" t="s">
        <v>26</v>
      </c>
      <c r="E88" s="79">
        <f>E87/(AVERAGE(126,115))-1</f>
        <v>0.15352697095435675</v>
      </c>
      <c r="F88" s="79">
        <f>F87/E87-1</f>
        <v>0.23345323741007196</v>
      </c>
      <c r="G88" s="79">
        <f>G87/F87-1</f>
        <v>0.18285214348206491</v>
      </c>
      <c r="H88" s="73">
        <f t="shared" ref="H88:M88" si="10">INDEX(H89:H92,MATCH(Scenario,$C89:$C92,0),1)</f>
        <v>0.1</v>
      </c>
      <c r="I88" s="73">
        <f t="shared" si="10"/>
        <v>0.15</v>
      </c>
      <c r="J88" s="73">
        <f t="shared" si="10"/>
        <v>0.14000000000000001</v>
      </c>
      <c r="K88" s="73">
        <f t="shared" si="10"/>
        <v>0.1</v>
      </c>
      <c r="L88" s="73">
        <f t="shared" si="10"/>
        <v>0.08</v>
      </c>
      <c r="M88" s="73">
        <f t="shared" si="10"/>
        <v>0.06</v>
      </c>
    </row>
    <row r="89" spans="2:23" ht="15.75" customHeight="1" outlineLevel="1" x14ac:dyDescent="0.25">
      <c r="C89" s="216" t="s">
        <v>105</v>
      </c>
      <c r="D89" s="43" t="s">
        <v>26</v>
      </c>
      <c r="H89" s="66">
        <v>0.1</v>
      </c>
      <c r="I89" s="66">
        <v>0.2</v>
      </c>
      <c r="J89" s="66">
        <v>0.18</v>
      </c>
      <c r="K89" s="66">
        <v>0.17</v>
      </c>
      <c r="L89" s="66">
        <v>0.16</v>
      </c>
      <c r="M89" s="66">
        <v>0.15</v>
      </c>
    </row>
    <row r="90" spans="2:23" ht="15.75" customHeight="1" outlineLevel="1" x14ac:dyDescent="0.25">
      <c r="C90" s="216" t="s">
        <v>98</v>
      </c>
      <c r="D90" s="43" t="s">
        <v>26</v>
      </c>
      <c r="H90" s="66">
        <v>0.1</v>
      </c>
      <c r="I90" s="66">
        <v>0.15</v>
      </c>
      <c r="J90" s="66">
        <v>0.14000000000000001</v>
      </c>
      <c r="K90" s="66">
        <v>0.1</v>
      </c>
      <c r="L90" s="66">
        <v>0.08</v>
      </c>
      <c r="M90" s="66">
        <v>0.06</v>
      </c>
    </row>
    <row r="91" spans="2:23" ht="15.75" customHeight="1" outlineLevel="1" x14ac:dyDescent="0.25">
      <c r="C91" s="216" t="s">
        <v>150</v>
      </c>
      <c r="D91" s="43" t="s">
        <v>26</v>
      </c>
      <c r="H91" s="66">
        <v>0.1</v>
      </c>
      <c r="I91" s="66">
        <v>0.1</v>
      </c>
      <c r="J91" s="66">
        <v>0.09</v>
      </c>
      <c r="K91" s="66">
        <v>0.08</v>
      </c>
      <c r="L91" s="66">
        <v>0.06</v>
      </c>
      <c r="M91" s="66">
        <v>0.04</v>
      </c>
    </row>
    <row r="92" spans="2:23" ht="15.75" customHeight="1" outlineLevel="1" x14ac:dyDescent="0.25">
      <c r="C92" s="254" t="s">
        <v>221</v>
      </c>
      <c r="D92" s="43" t="s">
        <v>26</v>
      </c>
      <c r="H92" s="66">
        <v>0.1</v>
      </c>
      <c r="I92" s="66">
        <v>7.4999999999999997E-2</v>
      </c>
      <c r="J92" s="66">
        <v>0.05</v>
      </c>
      <c r="K92" s="66">
        <v>0.04</v>
      </c>
      <c r="L92" s="66">
        <v>0.03</v>
      </c>
      <c r="M92" s="66">
        <v>0.02</v>
      </c>
    </row>
    <row r="93" spans="2:23" ht="15.75" customHeight="1" outlineLevel="1" x14ac:dyDescent="0.25"/>
    <row r="94" spans="2:23" ht="15.75" customHeight="1" outlineLevel="1" x14ac:dyDescent="0.25">
      <c r="C94" s="202" t="s">
        <v>148</v>
      </c>
      <c r="D94" s="43" t="s">
        <v>149</v>
      </c>
      <c r="E94" s="129">
        <f>E127/E87</f>
        <v>21.535194244604316</v>
      </c>
      <c r="F94" s="129">
        <f>F127/F87</f>
        <v>18.707448235637212</v>
      </c>
      <c r="G94" s="129">
        <f>G127/G87</f>
        <v>22.217416173570019</v>
      </c>
      <c r="H94" s="129">
        <f>G94*(1+H95)</f>
        <v>23.994809467455621</v>
      </c>
      <c r="I94" s="129">
        <f t="shared" ref="I94" si="11">H94*(1+I95)</f>
        <v>25.434498035502958</v>
      </c>
      <c r="J94" s="129">
        <f t="shared" ref="J94" si="12">I94*(1+J95)</f>
        <v>26.706222937278106</v>
      </c>
      <c r="K94" s="129">
        <f t="shared" ref="K94" si="13">J94*(1+K95)</f>
        <v>28.041534084142011</v>
      </c>
      <c r="L94" s="129">
        <f t="shared" ref="L94:M94" si="14">K94*(1+L95)</f>
        <v>29.163195447507693</v>
      </c>
      <c r="M94" s="129">
        <f t="shared" si="14"/>
        <v>30.329723265408003</v>
      </c>
      <c r="O94" s="74">
        <f>(M94/G94)^(1/(YEAR($M$85)-YEAR($G$85)))-1</f>
        <v>5.3244377879483329E-2</v>
      </c>
      <c r="Q94" s="3" t="s">
        <v>235</v>
      </c>
    </row>
    <row r="95" spans="2:23" ht="15.75" customHeight="1" outlineLevel="1" x14ac:dyDescent="0.25">
      <c r="C95" s="112" t="s">
        <v>47</v>
      </c>
      <c r="D95" s="43" t="s">
        <v>26</v>
      </c>
      <c r="E95" s="217">
        <v>-0.05</v>
      </c>
      <c r="F95" s="79">
        <f>F94/E94-1</f>
        <v>-0.13130812644866674</v>
      </c>
      <c r="G95" s="79">
        <f>G94/F94-1</f>
        <v>0.18762408927832319</v>
      </c>
      <c r="H95" s="73">
        <f t="shared" ref="H95:M95" si="15">INDEX(H96:H99,MATCH(Scenario,$C96:$C99,0),1)</f>
        <v>0.08</v>
      </c>
      <c r="I95" s="73">
        <f t="shared" si="15"/>
        <v>0.06</v>
      </c>
      <c r="J95" s="73">
        <f t="shared" si="15"/>
        <v>0.05</v>
      </c>
      <c r="K95" s="73">
        <f t="shared" si="15"/>
        <v>0.05</v>
      </c>
      <c r="L95" s="73">
        <f t="shared" si="15"/>
        <v>0.04</v>
      </c>
      <c r="M95" s="73">
        <f t="shared" si="15"/>
        <v>0.04</v>
      </c>
    </row>
    <row r="96" spans="2:23" ht="15.75" customHeight="1" outlineLevel="1" x14ac:dyDescent="0.25">
      <c r="C96" s="216" t="s">
        <v>105</v>
      </c>
      <c r="D96" s="43" t="s">
        <v>26</v>
      </c>
      <c r="H96" s="66">
        <v>0.08</v>
      </c>
      <c r="I96" s="66">
        <v>0.1</v>
      </c>
      <c r="J96" s="66">
        <v>0.1</v>
      </c>
      <c r="K96" s="66">
        <v>0.1</v>
      </c>
      <c r="L96" s="66">
        <v>0.08</v>
      </c>
      <c r="M96" s="66">
        <v>0.08</v>
      </c>
      <c r="Q96" s="248" t="s">
        <v>236</v>
      </c>
    </row>
    <row r="97" spans="3:17" ht="15.75" customHeight="1" outlineLevel="1" x14ac:dyDescent="0.25">
      <c r="C97" s="216" t="s">
        <v>98</v>
      </c>
      <c r="D97" s="43" t="s">
        <v>26</v>
      </c>
      <c r="H97" s="66">
        <v>0.08</v>
      </c>
      <c r="I97" s="66">
        <v>0.06</v>
      </c>
      <c r="J97" s="66">
        <v>0.05</v>
      </c>
      <c r="K97" s="66">
        <v>0.05</v>
      </c>
      <c r="L97" s="66">
        <v>0.04</v>
      </c>
      <c r="M97" s="66">
        <v>0.04</v>
      </c>
      <c r="Q97" s="248" t="s">
        <v>237</v>
      </c>
    </row>
    <row r="98" spans="3:17" ht="15.75" customHeight="1" outlineLevel="1" x14ac:dyDescent="0.25">
      <c r="C98" s="216" t="s">
        <v>150</v>
      </c>
      <c r="D98" s="43" t="s">
        <v>26</v>
      </c>
      <c r="H98" s="66">
        <v>0.08</v>
      </c>
      <c r="I98" s="66">
        <v>0.04</v>
      </c>
      <c r="J98" s="66">
        <v>0.03</v>
      </c>
      <c r="K98" s="66">
        <v>0.03</v>
      </c>
      <c r="L98" s="66">
        <v>0.02</v>
      </c>
      <c r="M98" s="66">
        <v>0.02</v>
      </c>
      <c r="Q98" s="248" t="s">
        <v>238</v>
      </c>
    </row>
    <row r="99" spans="3:17" ht="15.75" customHeight="1" outlineLevel="1" x14ac:dyDescent="0.25">
      <c r="C99" s="254" t="s">
        <v>221</v>
      </c>
      <c r="D99" s="43" t="s">
        <v>26</v>
      </c>
      <c r="H99" s="66">
        <v>0.08</v>
      </c>
      <c r="I99" s="66">
        <v>-0.05</v>
      </c>
      <c r="J99" s="66">
        <v>-0.05</v>
      </c>
      <c r="K99" s="66">
        <v>0.1</v>
      </c>
      <c r="L99" s="66">
        <v>0.05</v>
      </c>
      <c r="M99" s="66">
        <v>0.03</v>
      </c>
    </row>
    <row r="100" spans="3:17" ht="15.75" customHeight="1" outlineLevel="1" x14ac:dyDescent="0.25"/>
    <row r="101" spans="3:17" ht="15.75" customHeight="1" outlineLevel="1" x14ac:dyDescent="0.25">
      <c r="C101" s="202" t="s">
        <v>153</v>
      </c>
      <c r="D101" s="43" t="s">
        <v>26</v>
      </c>
      <c r="E101" s="79">
        <f>E128/424.962-1</f>
        <v>9.642038582273238E-2</v>
      </c>
      <c r="F101" s="79">
        <f>F128/E128-1</f>
        <v>9.2330078959172557E-2</v>
      </c>
      <c r="G101" s="79">
        <f>G128/F128-1</f>
        <v>0.12345443721178806</v>
      </c>
      <c r="H101" s="66">
        <v>0.1</v>
      </c>
      <c r="I101" s="66">
        <v>0.08</v>
      </c>
      <c r="J101" s="66">
        <v>0.06</v>
      </c>
      <c r="K101" s="66">
        <v>0.05</v>
      </c>
      <c r="L101" s="66">
        <v>0.04</v>
      </c>
      <c r="M101" s="66">
        <v>0.04</v>
      </c>
    </row>
    <row r="102" spans="3:17" ht="15.75" customHeight="1" outlineLevel="1" x14ac:dyDescent="0.25"/>
    <row r="103" spans="3:17" ht="15.75" customHeight="1" outlineLevel="1" x14ac:dyDescent="0.25">
      <c r="C103" s="202" t="s">
        <v>154</v>
      </c>
      <c r="D103" s="43" t="s">
        <v>157</v>
      </c>
      <c r="E103" s="128">
        <v>4900</v>
      </c>
      <c r="F103" s="128">
        <v>5500</v>
      </c>
      <c r="G103" s="128">
        <v>7500</v>
      </c>
      <c r="H103" s="131">
        <f t="shared" ref="H103:M103" si="16">H129*Units/H104</f>
        <v>7683.196071698876</v>
      </c>
      <c r="I103" s="131">
        <f t="shared" si="16"/>
        <v>8812.8774856102518</v>
      </c>
      <c r="J103" s="131">
        <f t="shared" si="16"/>
        <v>9938.2601855512239</v>
      </c>
      <c r="K103" s="131">
        <f t="shared" si="16"/>
        <v>10848.199082261724</v>
      </c>
      <c r="L103" s="131">
        <f t="shared" si="16"/>
        <v>11538.002975068235</v>
      </c>
      <c r="M103" s="131">
        <f t="shared" si="16"/>
        <v>12064.426137967075</v>
      </c>
      <c r="O103" s="74">
        <f>(M103/G103)^(1/(YEAR($M$85)-YEAR($G$85)))-1</f>
        <v>8.2449309126332082E-2</v>
      </c>
    </row>
    <row r="104" spans="3:17" ht="15.75" customHeight="1" outlineLevel="1" x14ac:dyDescent="0.25">
      <c r="C104" s="202" t="s">
        <v>155</v>
      </c>
      <c r="D104" s="43" t="s">
        <v>156</v>
      </c>
      <c r="E104" s="125">
        <f>E129*Units/E103</f>
        <v>705985.51020408154</v>
      </c>
      <c r="F104" s="125">
        <f>F129*Units/F103</f>
        <v>675699.81818181812</v>
      </c>
      <c r="G104" s="125">
        <f>G129*Units/G103</f>
        <v>676997.6</v>
      </c>
      <c r="H104" s="125">
        <f>G104*(1+H105)</f>
        <v>778547.23999999987</v>
      </c>
      <c r="I104" s="125">
        <f t="shared" ref="I104" si="17">H104*(1+I105)</f>
        <v>817474.60199999996</v>
      </c>
      <c r="J104" s="125">
        <f t="shared" ref="J104" si="18">I104*(1+J105)</f>
        <v>858348.3321</v>
      </c>
      <c r="K104" s="125">
        <f t="shared" ref="K104" si="19">J104*(1+K105)</f>
        <v>901265.74870500003</v>
      </c>
      <c r="L104" s="125">
        <f t="shared" ref="L104:M104" si="20">K104*(1+L105)</f>
        <v>946329.03614025004</v>
      </c>
      <c r="M104" s="125">
        <f t="shared" si="20"/>
        <v>993645.48794726259</v>
      </c>
      <c r="O104" s="74">
        <f>(M104/G104)^(1/(YEAR($M$85)-YEAR($G$85)))-1</f>
        <v>6.6041363158901634E-2</v>
      </c>
    </row>
    <row r="105" spans="3:17" ht="15.75" customHeight="1" outlineLevel="1" x14ac:dyDescent="0.25">
      <c r="C105" s="112" t="s">
        <v>47</v>
      </c>
      <c r="D105" s="43" t="s">
        <v>26</v>
      </c>
      <c r="E105" s="79"/>
      <c r="F105" s="79">
        <f>F104/E104-1</f>
        <v>-4.2898461207098504E-2</v>
      </c>
      <c r="G105" s="79">
        <f>G104/F104-1</f>
        <v>1.9206484643934374E-3</v>
      </c>
      <c r="H105" s="73">
        <f t="shared" ref="H105:M105" si="21">INDEX(H106:H109,MATCH(Scenario,$C106:$C109,0),1)</f>
        <v>0.15</v>
      </c>
      <c r="I105" s="73">
        <f t="shared" si="21"/>
        <v>0.05</v>
      </c>
      <c r="J105" s="73">
        <f t="shared" si="21"/>
        <v>0.05</v>
      </c>
      <c r="K105" s="73">
        <f t="shared" si="21"/>
        <v>0.05</v>
      </c>
      <c r="L105" s="73">
        <f t="shared" si="21"/>
        <v>0.05</v>
      </c>
      <c r="M105" s="73">
        <f t="shared" si="21"/>
        <v>0.05</v>
      </c>
    </row>
    <row r="106" spans="3:17" ht="15.75" customHeight="1" outlineLevel="1" x14ac:dyDescent="0.25">
      <c r="C106" s="216" t="s">
        <v>105</v>
      </c>
      <c r="D106" s="43" t="s">
        <v>26</v>
      </c>
      <c r="H106" s="66">
        <v>0.15</v>
      </c>
      <c r="I106" s="66">
        <v>-0.1</v>
      </c>
      <c r="J106" s="66">
        <v>0.08</v>
      </c>
      <c r="K106" s="66">
        <v>0.06</v>
      </c>
      <c r="L106" s="66">
        <v>0.05</v>
      </c>
      <c r="M106" s="66">
        <v>0.05</v>
      </c>
    </row>
    <row r="107" spans="3:17" ht="15.75" customHeight="1" outlineLevel="1" x14ac:dyDescent="0.25">
      <c r="C107" s="216" t="s">
        <v>98</v>
      </c>
      <c r="D107" s="43" t="s">
        <v>26</v>
      </c>
      <c r="H107" s="66">
        <v>0.15</v>
      </c>
      <c r="I107" s="66">
        <v>0.05</v>
      </c>
      <c r="J107" s="66">
        <v>0.05</v>
      </c>
      <c r="K107" s="66">
        <v>0.05</v>
      </c>
      <c r="L107" s="66">
        <v>0.05</v>
      </c>
      <c r="M107" s="66">
        <v>0.05</v>
      </c>
    </row>
    <row r="108" spans="3:17" ht="15.75" customHeight="1" outlineLevel="1" x14ac:dyDescent="0.25">
      <c r="C108" s="216" t="s">
        <v>150</v>
      </c>
      <c r="D108" s="43" t="s">
        <v>26</v>
      </c>
      <c r="H108" s="66">
        <v>0.15</v>
      </c>
      <c r="I108" s="66">
        <v>0.1</v>
      </c>
      <c r="J108" s="66">
        <v>0.05</v>
      </c>
      <c r="K108" s="66">
        <v>0.04</v>
      </c>
      <c r="L108" s="66">
        <v>0.04</v>
      </c>
      <c r="M108" s="66">
        <v>0.03</v>
      </c>
    </row>
    <row r="109" spans="3:17" ht="15.75" customHeight="1" outlineLevel="1" x14ac:dyDescent="0.25">
      <c r="C109" s="254" t="s">
        <v>221</v>
      </c>
      <c r="D109" s="43" t="s">
        <v>26</v>
      </c>
      <c r="H109" s="66">
        <v>0.15</v>
      </c>
      <c r="I109" s="66">
        <v>-0.05</v>
      </c>
      <c r="J109" s="66">
        <v>-0.05</v>
      </c>
      <c r="K109" s="66">
        <v>0.15</v>
      </c>
      <c r="L109" s="66">
        <v>0.1</v>
      </c>
      <c r="M109" s="66">
        <v>0.05</v>
      </c>
    </row>
    <row r="110" spans="3:17" ht="15.75" customHeight="1" outlineLevel="1" x14ac:dyDescent="0.25"/>
    <row r="111" spans="3:17" ht="15.75" customHeight="1" outlineLevel="1" x14ac:dyDescent="0.25">
      <c r="C111" s="202" t="s">
        <v>161</v>
      </c>
      <c r="D111" s="43" t="s">
        <v>156</v>
      </c>
      <c r="E111" s="125">
        <f>-E132*Units/E103</f>
        <v>631215.51020408166</v>
      </c>
      <c r="F111" s="125">
        <f>-F132*Units/F103</f>
        <v>670852.90909090906</v>
      </c>
      <c r="G111" s="125">
        <f>-G132*Units/G103</f>
        <v>640602.66666666663</v>
      </c>
      <c r="H111" s="125">
        <f>G111*(1+H112)</f>
        <v>659820.74666666659</v>
      </c>
      <c r="I111" s="125">
        <f t="shared" ref="I111:M111" si="22">H111*(1+I112)</f>
        <v>679615.36906666658</v>
      </c>
      <c r="J111" s="125">
        <f t="shared" si="22"/>
        <v>700003.83013866656</v>
      </c>
      <c r="K111" s="125">
        <f t="shared" si="22"/>
        <v>721003.94504282658</v>
      </c>
      <c r="L111" s="125">
        <f t="shared" si="22"/>
        <v>742634.06339411135</v>
      </c>
      <c r="M111" s="125">
        <f t="shared" si="22"/>
        <v>764913.0852959347</v>
      </c>
      <c r="O111" s="74">
        <f>(M111/G111)^(1/(YEAR($M$85)-YEAR($G$85)))-1</f>
        <v>3.0000000000000027E-2</v>
      </c>
    </row>
    <row r="112" spans="3:17" ht="15.75" customHeight="1" outlineLevel="1" x14ac:dyDescent="0.25">
      <c r="C112" s="112" t="s">
        <v>47</v>
      </c>
      <c r="D112" s="43" t="s">
        <v>26</v>
      </c>
      <c r="F112" s="79">
        <f>F111/E111-1</f>
        <v>6.279534999704306E-2</v>
      </c>
      <c r="G112" s="79">
        <f>G111/F111-1</f>
        <v>-4.5092213232309497E-2</v>
      </c>
      <c r="H112" s="73">
        <f t="shared" ref="H112:M112" si="23">INDEX(H113:H116,MATCH(Scenario,$C113:$C116,0),1)</f>
        <v>0.03</v>
      </c>
      <c r="I112" s="73">
        <f t="shared" si="23"/>
        <v>0.03</v>
      </c>
      <c r="J112" s="73">
        <f t="shared" si="23"/>
        <v>0.03</v>
      </c>
      <c r="K112" s="73">
        <f t="shared" si="23"/>
        <v>0.03</v>
      </c>
      <c r="L112" s="73">
        <f t="shared" si="23"/>
        <v>0.03</v>
      </c>
      <c r="M112" s="73">
        <f t="shared" si="23"/>
        <v>0.03</v>
      </c>
    </row>
    <row r="113" spans="2:16" ht="15.75" customHeight="1" outlineLevel="1" x14ac:dyDescent="0.25">
      <c r="C113" s="216" t="s">
        <v>105</v>
      </c>
      <c r="D113" s="43" t="s">
        <v>26</v>
      </c>
      <c r="H113" s="66">
        <v>0.03</v>
      </c>
      <c r="I113" s="66">
        <v>0.05</v>
      </c>
      <c r="J113" s="66">
        <v>0.04</v>
      </c>
      <c r="K113" s="66">
        <v>0.04</v>
      </c>
      <c r="L113" s="66">
        <v>0.03</v>
      </c>
      <c r="M113" s="66">
        <v>0.03</v>
      </c>
    </row>
    <row r="114" spans="2:16" ht="15.75" customHeight="1" outlineLevel="1" x14ac:dyDescent="0.25">
      <c r="C114" s="216" t="s">
        <v>98</v>
      </c>
      <c r="D114" s="43" t="s">
        <v>26</v>
      </c>
      <c r="H114" s="66">
        <v>0.03</v>
      </c>
      <c r="I114" s="66">
        <v>0.03</v>
      </c>
      <c r="J114" s="66">
        <v>0.03</v>
      </c>
      <c r="K114" s="66">
        <v>0.03</v>
      </c>
      <c r="L114" s="66">
        <v>0.03</v>
      </c>
      <c r="M114" s="66">
        <v>0.03</v>
      </c>
    </row>
    <row r="115" spans="2:16" ht="15.75" customHeight="1" outlineLevel="1" x14ac:dyDescent="0.25">
      <c r="C115" s="216" t="s">
        <v>150</v>
      </c>
      <c r="D115" s="43" t="s">
        <v>26</v>
      </c>
      <c r="H115" s="66">
        <v>0.03</v>
      </c>
      <c r="I115" s="66">
        <v>0.02</v>
      </c>
      <c r="J115" s="66">
        <v>0.02</v>
      </c>
      <c r="K115" s="66">
        <v>0.01</v>
      </c>
      <c r="L115" s="66">
        <v>0.01</v>
      </c>
      <c r="M115" s="66">
        <v>0.01</v>
      </c>
    </row>
    <row r="116" spans="2:16" ht="15.75" customHeight="1" outlineLevel="1" x14ac:dyDescent="0.25">
      <c r="C116" s="254" t="s">
        <v>221</v>
      </c>
      <c r="D116" s="43" t="s">
        <v>26</v>
      </c>
      <c r="H116" s="66">
        <v>0.03</v>
      </c>
      <c r="I116" s="66">
        <v>0.05</v>
      </c>
      <c r="J116" s="66">
        <v>0.04</v>
      </c>
      <c r="K116" s="66">
        <v>0.04</v>
      </c>
      <c r="L116" s="66">
        <v>0.03</v>
      </c>
      <c r="M116" s="66">
        <v>0.03</v>
      </c>
    </row>
    <row r="117" spans="2:16" ht="15.75" customHeight="1" outlineLevel="1" x14ac:dyDescent="0.25"/>
    <row r="118" spans="2:16" ht="15.75" customHeight="1" outlineLevel="1" x14ac:dyDescent="0.25">
      <c r="C118" s="202" t="s">
        <v>159</v>
      </c>
      <c r="D118" s="43" t="s">
        <v>26</v>
      </c>
      <c r="E118" s="79">
        <f>E172/E129</f>
        <v>0.1345778328687442</v>
      </c>
      <c r="F118" s="79">
        <f>F172/F129</f>
        <v>0.13324286820209835</v>
      </c>
      <c r="G118" s="79">
        <f>G172/G129</f>
        <v>0.10730673195887253</v>
      </c>
      <c r="H118" s="66">
        <v>0.105</v>
      </c>
      <c r="I118" s="66">
        <v>9.5000000000000001E-2</v>
      </c>
      <c r="J118" s="66">
        <v>0.09</v>
      </c>
      <c r="K118" s="66">
        <v>8.5000000000000006E-2</v>
      </c>
      <c r="L118" s="66">
        <v>0.08</v>
      </c>
      <c r="M118" s="66">
        <v>7.4999999999999997E-2</v>
      </c>
    </row>
    <row r="119" spans="2:16" ht="15.75" customHeight="1" outlineLevel="1" x14ac:dyDescent="0.25">
      <c r="C119" s="111"/>
    </row>
    <row r="120" spans="2:16" ht="15.75" customHeight="1" outlineLevel="1" x14ac:dyDescent="0.25">
      <c r="C120" s="202" t="s">
        <v>175</v>
      </c>
      <c r="D120" s="43" t="s">
        <v>26</v>
      </c>
      <c r="E120" s="79">
        <f>E173/E129</f>
        <v>-4.8870749211769107E-3</v>
      </c>
      <c r="F120" s="79">
        <f>F173/F129</f>
        <v>2.1556102508133654E-3</v>
      </c>
      <c r="G120" s="79">
        <f>G173/G129</f>
        <v>8.931592470441058E-4</v>
      </c>
      <c r="H120" s="82">
        <f>AVERAGE(E120:G120)</f>
        <v>-6.1276847443981315E-4</v>
      </c>
      <c r="I120" s="82">
        <f>H120</f>
        <v>-6.1276847443981315E-4</v>
      </c>
      <c r="J120" s="82">
        <f t="shared" ref="J120:M121" si="24">I120</f>
        <v>-6.1276847443981315E-4</v>
      </c>
      <c r="K120" s="82">
        <f t="shared" si="24"/>
        <v>-6.1276847443981315E-4</v>
      </c>
      <c r="L120" s="82">
        <f t="shared" si="24"/>
        <v>-6.1276847443981315E-4</v>
      </c>
      <c r="M120" s="82">
        <f t="shared" si="24"/>
        <v>-6.1276847443981315E-4</v>
      </c>
    </row>
    <row r="121" spans="2:16" ht="15.75" customHeight="1" outlineLevel="1" x14ac:dyDescent="0.25">
      <c r="C121" s="202" t="s">
        <v>176</v>
      </c>
      <c r="D121" s="43" t="s">
        <v>26</v>
      </c>
      <c r="E121" s="79">
        <f>E177/(E129-3042.4)</f>
        <v>4.4851761331065998E-2</v>
      </c>
      <c r="F121" s="79">
        <f>F177/(F129-E129)</f>
        <v>-9.5692942183487673E-2</v>
      </c>
      <c r="G121" s="79">
        <f>G177/(G129-F129)</f>
        <v>3.6976548213877697E-3</v>
      </c>
      <c r="H121" s="82">
        <f>AVERAGE(E121:G121)</f>
        <v>-1.57145086770113E-2</v>
      </c>
      <c r="I121" s="82">
        <f>H121</f>
        <v>-1.57145086770113E-2</v>
      </c>
      <c r="J121" s="82">
        <f t="shared" si="24"/>
        <v>-1.57145086770113E-2</v>
      </c>
      <c r="K121" s="82">
        <f t="shared" si="24"/>
        <v>-1.57145086770113E-2</v>
      </c>
      <c r="L121" s="82">
        <f t="shared" si="24"/>
        <v>-1.57145086770113E-2</v>
      </c>
      <c r="M121" s="82">
        <f t="shared" si="24"/>
        <v>-1.57145086770113E-2</v>
      </c>
    </row>
    <row r="122" spans="2:16" ht="15.75" customHeight="1" outlineLevel="1" x14ac:dyDescent="0.25">
      <c r="E122" s="79"/>
      <c r="F122" s="79"/>
      <c r="G122" s="79"/>
    </row>
    <row r="123" spans="2:16" ht="15.75" customHeight="1" outlineLevel="1" x14ac:dyDescent="0.25">
      <c r="C123" s="202" t="s">
        <v>160</v>
      </c>
      <c r="D123" s="43" t="s">
        <v>26</v>
      </c>
      <c r="E123" s="79">
        <f>-E181/E129</f>
        <v>0.15629851916368753</v>
      </c>
      <c r="F123" s="79">
        <f>-F181/F129</f>
        <v>0.23500322493931547</v>
      </c>
      <c r="G123" s="79">
        <f>-G181/G129</f>
        <v>0.19922197656239846</v>
      </c>
      <c r="H123" s="66">
        <v>0.155</v>
      </c>
      <c r="I123" s="66">
        <v>0.14000000000000001</v>
      </c>
      <c r="J123" s="66">
        <v>0.125</v>
      </c>
      <c r="K123" s="66">
        <v>0.11</v>
      </c>
      <c r="L123" s="66">
        <v>0.1</v>
      </c>
      <c r="M123" s="66">
        <v>9.5000000000000001E-2</v>
      </c>
    </row>
    <row r="124" spans="2:16" ht="15.75" customHeight="1" x14ac:dyDescent="0.25">
      <c r="E124" s="79"/>
      <c r="F124" s="79"/>
      <c r="G124" s="79"/>
    </row>
    <row r="125" spans="2:16" ht="15.75" customHeight="1" x14ac:dyDescent="0.25">
      <c r="B125" s="11"/>
      <c r="C125" s="12"/>
      <c r="D125" s="13"/>
      <c r="E125" s="14" t="str">
        <f>$E$84</f>
        <v>Historical</v>
      </c>
      <c r="F125" s="15"/>
      <c r="G125" s="15"/>
      <c r="H125" s="16" t="str">
        <f>$H$84</f>
        <v>Projected</v>
      </c>
      <c r="I125" s="17"/>
      <c r="J125" s="15"/>
      <c r="K125" s="15"/>
      <c r="L125" s="15"/>
      <c r="M125" s="15"/>
      <c r="N125" s="198"/>
      <c r="O125" s="16"/>
      <c r="P125" s="198"/>
    </row>
    <row r="126" spans="2:16" ht="15.75" customHeight="1" x14ac:dyDescent="0.25">
      <c r="B126" s="29" t="s">
        <v>43</v>
      </c>
      <c r="C126" s="18"/>
      <c r="D126" s="32" t="str">
        <f>$D$5</f>
        <v>Units:</v>
      </c>
      <c r="E126" s="1">
        <f>$E$85</f>
        <v>43830</v>
      </c>
      <c r="F126" s="1">
        <f>$F$85</f>
        <v>44196</v>
      </c>
      <c r="G126" s="2">
        <f>$G$85</f>
        <v>44561</v>
      </c>
      <c r="H126" s="48">
        <f>$H$85</f>
        <v>44926</v>
      </c>
      <c r="I126" s="1">
        <f>$I$85</f>
        <v>45291</v>
      </c>
      <c r="J126" s="1">
        <f>$J$85</f>
        <v>45657</v>
      </c>
      <c r="K126" s="1">
        <f>$K$85</f>
        <v>46022</v>
      </c>
      <c r="L126" s="1">
        <f>$L$85</f>
        <v>46387</v>
      </c>
      <c r="M126" s="1">
        <f>$M$85</f>
        <v>46752</v>
      </c>
      <c r="N126" s="198"/>
      <c r="O126" s="48" t="str">
        <f>$O$85</f>
        <v>CAGR:</v>
      </c>
      <c r="P126" s="198"/>
    </row>
    <row r="127" spans="2:16" ht="15.75" customHeight="1" outlineLevel="1" x14ac:dyDescent="0.25">
      <c r="C127" s="208" t="s">
        <v>140</v>
      </c>
      <c r="D127" s="43" t="s">
        <v>91</v>
      </c>
      <c r="E127" s="127">
        <v>2993.3919999999998</v>
      </c>
      <c r="F127" s="127">
        <v>3207.3919999999998</v>
      </c>
      <c r="G127" s="127">
        <v>4505.692</v>
      </c>
      <c r="H127" s="113">
        <f t="shared" ref="H127:M127" si="25">H87*H94</f>
        <v>5352.7620960000013</v>
      </c>
      <c r="I127" s="113">
        <f t="shared" si="25"/>
        <v>6525.0169950240006</v>
      </c>
      <c r="J127" s="113">
        <f t="shared" si="25"/>
        <v>7810.4453430437288</v>
      </c>
      <c r="K127" s="113">
        <f t="shared" si="25"/>
        <v>9021.064371215507</v>
      </c>
      <c r="L127" s="113">
        <f t="shared" si="25"/>
        <v>10132.459501749259</v>
      </c>
      <c r="M127" s="113">
        <f t="shared" si="25"/>
        <v>11170.023354728386</v>
      </c>
      <c r="N127" s="205"/>
      <c r="O127" s="198"/>
      <c r="P127" s="198"/>
    </row>
    <row r="128" spans="2:16" ht="15.75" customHeight="1" outlineLevel="1" x14ac:dyDescent="0.25">
      <c r="C128" s="208" t="s">
        <v>141</v>
      </c>
      <c r="D128" s="40" t="s">
        <v>91</v>
      </c>
      <c r="E128" s="115">
        <v>465.93700000000001</v>
      </c>
      <c r="F128" s="115">
        <v>508.95699999999999</v>
      </c>
      <c r="G128" s="115">
        <v>571.79</v>
      </c>
      <c r="H128" s="117">
        <f t="shared" ref="H128:M128" si="26">G128*(1+H101)</f>
        <v>628.96900000000005</v>
      </c>
      <c r="I128" s="117">
        <f t="shared" si="26"/>
        <v>679.28652000000011</v>
      </c>
      <c r="J128" s="117">
        <f t="shared" si="26"/>
        <v>720.04371120000019</v>
      </c>
      <c r="K128" s="117">
        <f t="shared" si="26"/>
        <v>756.04589676000023</v>
      </c>
      <c r="L128" s="117">
        <f t="shared" si="26"/>
        <v>786.28773263040023</v>
      </c>
      <c r="M128" s="117">
        <f t="shared" si="26"/>
        <v>817.73924193561629</v>
      </c>
      <c r="N128" s="207"/>
      <c r="O128" s="198"/>
      <c r="P128" s="198"/>
    </row>
    <row r="129" spans="3:17" ht="15.75" customHeight="1" outlineLevel="1" x14ac:dyDescent="0.25">
      <c r="C129" s="30" t="s">
        <v>66</v>
      </c>
      <c r="D129" s="43" t="s">
        <v>91</v>
      </c>
      <c r="E129" s="114">
        <f>SUM(E127:E128)</f>
        <v>3459.3289999999997</v>
      </c>
      <c r="F129" s="114">
        <f>SUM(F127:F128)</f>
        <v>3716.3489999999997</v>
      </c>
      <c r="G129" s="114">
        <f>SUM(G127:G128)</f>
        <v>5077.482</v>
      </c>
      <c r="H129" s="114">
        <f>SUM(H127:H128)</f>
        <v>5981.7310960000013</v>
      </c>
      <c r="I129" s="114">
        <f t="shared" ref="I129:L129" si="27">SUM(I127:I128)</f>
        <v>7204.3035150240012</v>
      </c>
      <c r="J129" s="114">
        <f t="shared" si="27"/>
        <v>8530.4890542437297</v>
      </c>
      <c r="K129" s="114">
        <f t="shared" si="27"/>
        <v>9777.1102679755077</v>
      </c>
      <c r="L129" s="114">
        <f t="shared" si="27"/>
        <v>10918.74723437966</v>
      </c>
      <c r="M129" s="114">
        <f t="shared" ref="M129" si="28">SUM(M127:M128)</f>
        <v>11987.762596664003</v>
      </c>
      <c r="N129" s="206"/>
      <c r="O129" s="74">
        <f>(M129/G129)^(1/(YEAR($M$85)-YEAR($G$85)))-1</f>
        <v>0.15393573705144648</v>
      </c>
      <c r="P129" s="250"/>
      <c r="Q129" s="250"/>
    </row>
    <row r="130" spans="3:17" ht="15.75" customHeight="1" outlineLevel="1" x14ac:dyDescent="0.25">
      <c r="C130" s="19" t="s">
        <v>67</v>
      </c>
      <c r="D130" s="41" t="s">
        <v>26</v>
      </c>
      <c r="E130" s="53"/>
      <c r="F130" s="53">
        <f>F129/E129-1</f>
        <v>7.4297645583869087E-2</v>
      </c>
      <c r="G130" s="53">
        <f>G129/F129-1</f>
        <v>0.36625542972417291</v>
      </c>
      <c r="H130" s="53">
        <f t="shared" ref="H130:M130" si="29">H129/G129-1</f>
        <v>0.17809006432716079</v>
      </c>
      <c r="I130" s="53">
        <f t="shared" si="29"/>
        <v>0.20438438294919958</v>
      </c>
      <c r="J130" s="53">
        <f t="shared" si="29"/>
        <v>0.18408240802932219</v>
      </c>
      <c r="K130" s="53">
        <f t="shared" si="29"/>
        <v>0.14613713303009424</v>
      </c>
      <c r="L130" s="53">
        <f t="shared" si="29"/>
        <v>0.11676629751671452</v>
      </c>
      <c r="M130" s="53">
        <f t="shared" si="29"/>
        <v>9.7906411728110543E-2</v>
      </c>
      <c r="N130" s="198"/>
      <c r="O130" s="42"/>
      <c r="P130" s="42"/>
      <c r="Q130" s="42"/>
    </row>
    <row r="131" spans="3:17" ht="15.75" customHeight="1" outlineLevel="1" x14ac:dyDescent="0.25">
      <c r="G131" s="88"/>
      <c r="H131" s="95"/>
      <c r="N131" s="198"/>
      <c r="O131" s="251"/>
      <c r="P131" s="251"/>
      <c r="Q131" s="251"/>
    </row>
    <row r="132" spans="3:17" ht="15.75" customHeight="1" outlineLevel="1" x14ac:dyDescent="0.25">
      <c r="C132" s="202" t="s">
        <v>151</v>
      </c>
      <c r="D132" s="43" t="s">
        <v>91</v>
      </c>
      <c r="E132" s="116">
        <v>-3092.9560000000001</v>
      </c>
      <c r="F132" s="116">
        <v>-3689.6909999999998</v>
      </c>
      <c r="G132" s="116">
        <v>-4804.5200000000004</v>
      </c>
      <c r="H132" s="214">
        <f t="shared" ref="H132:M132" si="30">-H103*H111/Units</f>
        <v>-5069.5321688147515</v>
      </c>
      <c r="I132" s="214">
        <f t="shared" si="30"/>
        <v>-5989.3669849223279</v>
      </c>
      <c r="J132" s="214">
        <f t="shared" si="30"/>
        <v>-6956.8201948004717</v>
      </c>
      <c r="K132" s="214">
        <f t="shared" si="30"/>
        <v>-7821.5943349206746</v>
      </c>
      <c r="L132" s="214">
        <f t="shared" si="30"/>
        <v>-8568.5140328282687</v>
      </c>
      <c r="M132" s="214">
        <f t="shared" si="30"/>
        <v>-9228.2374195173124</v>
      </c>
      <c r="N132" s="197"/>
      <c r="O132" s="251"/>
      <c r="P132" s="251"/>
      <c r="Q132" s="251"/>
    </row>
    <row r="133" spans="3:17" ht="15.75" customHeight="1" outlineLevel="1" x14ac:dyDescent="0.25">
      <c r="C133" s="202" t="s">
        <v>152</v>
      </c>
      <c r="D133" s="43" t="s">
        <v>91</v>
      </c>
      <c r="E133" s="116">
        <v>0</v>
      </c>
      <c r="F133" s="116">
        <v>0</v>
      </c>
      <c r="G133" s="116">
        <v>-765.70100000000002</v>
      </c>
      <c r="H133" s="218">
        <v>0</v>
      </c>
      <c r="I133" s="219">
        <f>H133</f>
        <v>0</v>
      </c>
      <c r="J133" s="219">
        <f t="shared" ref="J133" si="31">I133</f>
        <v>0</v>
      </c>
      <c r="K133" s="219">
        <f t="shared" ref="K133" si="32">J133</f>
        <v>0</v>
      </c>
      <c r="L133" s="219">
        <f t="shared" ref="L133:M133" si="33">K133</f>
        <v>0</v>
      </c>
      <c r="M133" s="219">
        <f t="shared" si="33"/>
        <v>0</v>
      </c>
      <c r="N133" s="197"/>
      <c r="O133" s="251"/>
      <c r="P133" s="251"/>
      <c r="Q133" s="251"/>
    </row>
    <row r="134" spans="3:17" ht="15.75" customHeight="1" outlineLevel="1" x14ac:dyDescent="0.25">
      <c r="G134" s="88"/>
      <c r="H134" s="88"/>
      <c r="I134" s="88"/>
      <c r="J134" s="88"/>
      <c r="K134" s="88"/>
      <c r="L134" s="88"/>
      <c r="N134" s="197"/>
      <c r="O134" s="251"/>
      <c r="P134" s="251"/>
      <c r="Q134" s="251"/>
    </row>
    <row r="135" spans="3:17" ht="15.75" customHeight="1" outlineLevel="1" x14ac:dyDescent="0.25">
      <c r="C135" s="3" t="s">
        <v>46</v>
      </c>
      <c r="D135" s="43" t="s">
        <v>91</v>
      </c>
      <c r="E135" s="118">
        <f>E129+SUM(E132:E133)</f>
        <v>366.37299999999959</v>
      </c>
      <c r="F135" s="118">
        <f t="shared" ref="F135:G135" si="34">F129+SUM(F132:F133)</f>
        <v>26.657999999999902</v>
      </c>
      <c r="G135" s="118">
        <f t="shared" si="34"/>
        <v>-492.73900000000049</v>
      </c>
      <c r="H135" s="118">
        <f t="shared" ref="H135:L135" si="35">H129+SUM(H132:H133)</f>
        <v>912.19892718524989</v>
      </c>
      <c r="I135" s="118">
        <f t="shared" si="35"/>
        <v>1214.9365301016733</v>
      </c>
      <c r="J135" s="118">
        <f t="shared" si="35"/>
        <v>1573.668859443258</v>
      </c>
      <c r="K135" s="118">
        <f t="shared" si="35"/>
        <v>1955.5159330548331</v>
      </c>
      <c r="L135" s="118">
        <f t="shared" si="35"/>
        <v>2350.2332015513912</v>
      </c>
      <c r="M135" s="118">
        <f t="shared" ref="M135" si="36">M129+SUM(M132:M133)</f>
        <v>2759.5251771466901</v>
      </c>
      <c r="N135" s="197"/>
      <c r="O135" s="74"/>
      <c r="P135" s="251"/>
      <c r="Q135" s="251"/>
    </row>
    <row r="136" spans="3:17" ht="15.75" customHeight="1" outlineLevel="1" x14ac:dyDescent="0.25">
      <c r="C136" s="19" t="s">
        <v>73</v>
      </c>
      <c r="D136" s="41" t="s">
        <v>26</v>
      </c>
      <c r="E136" s="53">
        <f>E135/E129</f>
        <v>0.1059086892284601</v>
      </c>
      <c r="F136" s="53">
        <f>F135/F129</f>
        <v>7.173169150690612E-3</v>
      </c>
      <c r="G136" s="53">
        <f>G135/G129</f>
        <v>-9.7043967856508498E-2</v>
      </c>
      <c r="H136" s="53">
        <f t="shared" ref="H136:M136" si="37">H135/H129</f>
        <v>0.15249748150585365</v>
      </c>
      <c r="I136" s="53">
        <f t="shared" si="37"/>
        <v>0.16864038662002787</v>
      </c>
      <c r="J136" s="53">
        <f t="shared" si="37"/>
        <v>0.1844758078272655</v>
      </c>
      <c r="K136" s="53">
        <f t="shared" si="37"/>
        <v>0.20000960196388898</v>
      </c>
      <c r="L136" s="53">
        <f t="shared" si="37"/>
        <v>0.215247514307434</v>
      </c>
      <c r="M136" s="53">
        <f t="shared" si="37"/>
        <v>0.23019518070157818</v>
      </c>
      <c r="N136" s="197"/>
      <c r="O136" s="251"/>
      <c r="P136" s="251"/>
      <c r="Q136" s="251"/>
    </row>
    <row r="137" spans="3:17" ht="15.75" customHeight="1" outlineLevel="1" x14ac:dyDescent="0.25">
      <c r="E137" s="96"/>
      <c r="F137" s="96"/>
      <c r="G137" s="88"/>
      <c r="N137" s="197"/>
      <c r="O137" s="251"/>
      <c r="P137" s="251"/>
      <c r="Q137" s="251"/>
    </row>
    <row r="138" spans="3:17" ht="15.75" customHeight="1" outlineLevel="1" x14ac:dyDescent="0.25">
      <c r="C138" s="194" t="s">
        <v>79</v>
      </c>
      <c r="D138" s="185" t="s">
        <v>91</v>
      </c>
      <c r="E138" s="195">
        <v>-138.18</v>
      </c>
      <c r="F138" s="195">
        <v>-152.87799999999999</v>
      </c>
      <c r="G138" s="195">
        <v>-51.186</v>
      </c>
      <c r="H138" s="196">
        <f>-15.444*4</f>
        <v>-61.776000000000003</v>
      </c>
      <c r="I138" s="196">
        <f t="shared" ref="I138:L138" si="38">I242</f>
        <v>-1814.583333333333</v>
      </c>
      <c r="J138" s="196">
        <f t="shared" si="38"/>
        <v>-1617.274909532704</v>
      </c>
      <c r="K138" s="196">
        <f t="shared" si="38"/>
        <v>-1540.6964286583216</v>
      </c>
      <c r="L138" s="196">
        <f t="shared" si="38"/>
        <v>-1511.0616133771871</v>
      </c>
      <c r="M138" s="196">
        <f t="shared" ref="M138" si="39">M242</f>
        <v>-1493.9044930312834</v>
      </c>
      <c r="N138" s="197"/>
      <c r="O138" s="251"/>
      <c r="P138" s="251"/>
      <c r="Q138" s="251"/>
    </row>
    <row r="139" spans="3:17" ht="15.75" customHeight="1" outlineLevel="1" x14ac:dyDescent="0.25">
      <c r="C139" s="190" t="s">
        <v>99</v>
      </c>
      <c r="D139" s="191" t="s">
        <v>91</v>
      </c>
      <c r="E139" s="192"/>
      <c r="F139" s="192"/>
      <c r="G139" s="192"/>
      <c r="H139" s="193"/>
      <c r="I139" s="193">
        <f>-MIN($D$81/$D$82,$D$81+SUM($H139:H139))</f>
        <v>-17.857142857142854</v>
      </c>
      <c r="J139" s="193">
        <f>-MIN($D$81/$D$82,$D$81+SUM($H139:I139))</f>
        <v>-17.857142857142854</v>
      </c>
      <c r="K139" s="193">
        <f>-MIN($D$81/$D$82,$D$81+SUM($H139:J139))</f>
        <v>-17.857142857142854</v>
      </c>
      <c r="L139" s="193">
        <f>-MIN($D$81/$D$82,$D$81+SUM($H139:K139))</f>
        <v>-17.857142857142854</v>
      </c>
      <c r="M139" s="193">
        <f>-MIN($D$81/$D$82,$D$81+SUM($H139:L139))</f>
        <v>-17.857142857142854</v>
      </c>
      <c r="N139" s="197"/>
      <c r="O139" s="279"/>
      <c r="P139" s="251"/>
      <c r="Q139" s="251"/>
    </row>
    <row r="140" spans="3:17" ht="15.75" customHeight="1" outlineLevel="1" x14ac:dyDescent="0.25">
      <c r="C140" s="225" t="s">
        <v>178</v>
      </c>
      <c r="D140" s="191" t="s">
        <v>91</v>
      </c>
      <c r="E140" s="192"/>
      <c r="F140" s="192"/>
      <c r="G140" s="192"/>
      <c r="H140" s="193"/>
      <c r="I140" s="193">
        <f t="shared" ref="I140:M140" si="40">-I217</f>
        <v>-1.875</v>
      </c>
      <c r="J140" s="193">
        <f t="shared" si="40"/>
        <v>-1.875</v>
      </c>
      <c r="K140" s="193">
        <f t="shared" si="40"/>
        <v>-1.875</v>
      </c>
      <c r="L140" s="193">
        <f t="shared" si="40"/>
        <v>-1.193832330433402</v>
      </c>
      <c r="M140" s="193">
        <f t="shared" si="40"/>
        <v>-0.48144163550050506</v>
      </c>
      <c r="N140" s="197"/>
      <c r="O140" s="251"/>
      <c r="P140" s="251"/>
      <c r="Q140" s="251"/>
    </row>
    <row r="141" spans="3:17" ht="15.75" customHeight="1" outlineLevel="1" x14ac:dyDescent="0.25">
      <c r="C141" s="215" t="s">
        <v>142</v>
      </c>
      <c r="D141" s="191" t="s">
        <v>91</v>
      </c>
      <c r="E141" s="192">
        <v>157.703</v>
      </c>
      <c r="F141" s="192">
        <v>88.177999999999997</v>
      </c>
      <c r="G141" s="192">
        <v>35.683</v>
      </c>
      <c r="H141" s="193">
        <f>H243</f>
        <v>175.826255</v>
      </c>
      <c r="I141" s="234">
        <f t="shared" ref="I141:L141" si="41">I243</f>
        <v>165</v>
      </c>
      <c r="J141" s="234">
        <f t="shared" si="41"/>
        <v>70.456185370860155</v>
      </c>
      <c r="K141" s="234">
        <f t="shared" si="41"/>
        <v>31.178912049960434</v>
      </c>
      <c r="L141" s="234">
        <f t="shared" si="41"/>
        <v>21.509384421031857</v>
      </c>
      <c r="M141" s="234">
        <f t="shared" ref="M141" si="42">M243</f>
        <v>23.56341359027774</v>
      </c>
      <c r="N141" s="197"/>
      <c r="O141" s="251"/>
      <c r="P141" s="251"/>
      <c r="Q141" s="251"/>
    </row>
    <row r="142" spans="3:17" ht="15.75" customHeight="1" outlineLevel="1" x14ac:dyDescent="0.25">
      <c r="C142" s="230" t="s">
        <v>93</v>
      </c>
      <c r="D142" s="231" t="s">
        <v>91</v>
      </c>
      <c r="E142" s="232">
        <v>4.2430000000000003</v>
      </c>
      <c r="F142" s="232">
        <v>-12.897</v>
      </c>
      <c r="G142" s="232">
        <v>97.129000000000005</v>
      </c>
      <c r="H142" s="233">
        <f>970.474-6.506</f>
        <v>963.96800000000007</v>
      </c>
      <c r="I142" s="235">
        <f>AVERAGE(E142:G142)</f>
        <v>29.491666666666671</v>
      </c>
      <c r="J142" s="235">
        <f>I142</f>
        <v>29.491666666666671</v>
      </c>
      <c r="K142" s="235">
        <f t="shared" ref="K142:M142" si="43">J142</f>
        <v>29.491666666666671</v>
      </c>
      <c r="L142" s="235">
        <f t="shared" si="43"/>
        <v>29.491666666666671</v>
      </c>
      <c r="M142" s="235">
        <f t="shared" si="43"/>
        <v>29.491666666666671</v>
      </c>
      <c r="N142" s="197"/>
      <c r="O142" s="251"/>
      <c r="P142" s="251"/>
      <c r="Q142" s="251"/>
    </row>
    <row r="143" spans="3:17" ht="15.75" customHeight="1" outlineLevel="1" x14ac:dyDescent="0.25">
      <c r="C143" s="30" t="s">
        <v>54</v>
      </c>
      <c r="D143" s="121" t="s">
        <v>91</v>
      </c>
      <c r="E143" s="114">
        <f>SUM(E138:E142)</f>
        <v>23.765999999999998</v>
      </c>
      <c r="F143" s="114">
        <f>SUM(F138:F142)</f>
        <v>-77.596999999999994</v>
      </c>
      <c r="G143" s="114">
        <f>SUM(G138:G142)</f>
        <v>81.626000000000005</v>
      </c>
      <c r="H143" s="114">
        <f t="shared" ref="H143:M143" si="44">SUM(H138:H142)</f>
        <v>1078.018255</v>
      </c>
      <c r="I143" s="114">
        <f t="shared" si="44"/>
        <v>-1639.8238095238094</v>
      </c>
      <c r="J143" s="114">
        <f t="shared" si="44"/>
        <v>-1537.0592003523202</v>
      </c>
      <c r="K143" s="114">
        <f t="shared" si="44"/>
        <v>-1499.7579927988374</v>
      </c>
      <c r="L143" s="114">
        <f t="shared" si="44"/>
        <v>-1479.111537477065</v>
      </c>
      <c r="M143" s="114">
        <f t="shared" si="44"/>
        <v>-1459.1879972669824</v>
      </c>
      <c r="N143" s="197"/>
      <c r="O143" s="251"/>
      <c r="P143" s="251"/>
      <c r="Q143" s="251"/>
    </row>
    <row r="144" spans="3:17" ht="15.75" customHeight="1" outlineLevel="1" x14ac:dyDescent="0.25">
      <c r="N144" s="197"/>
      <c r="O144" s="251"/>
      <c r="P144" s="251"/>
      <c r="Q144" s="251"/>
    </row>
    <row r="145" spans="2:17" ht="15.75" customHeight="1" outlineLevel="1" x14ac:dyDescent="0.25">
      <c r="C145" s="3" t="s">
        <v>68</v>
      </c>
      <c r="D145" s="43" t="s">
        <v>91</v>
      </c>
      <c r="E145" s="120">
        <f>E135+E143</f>
        <v>390.13899999999961</v>
      </c>
      <c r="F145" s="120">
        <f>F135+F143</f>
        <v>-50.939000000000092</v>
      </c>
      <c r="G145" s="120">
        <f>G135+G143</f>
        <v>-411.11300000000051</v>
      </c>
      <c r="H145" s="120">
        <f t="shared" ref="H145:L145" si="45">H135+H143</f>
        <v>1990.2171821852498</v>
      </c>
      <c r="I145" s="120">
        <f t="shared" si="45"/>
        <v>-424.88727942213609</v>
      </c>
      <c r="J145" s="120">
        <f t="shared" si="45"/>
        <v>36.609659090937839</v>
      </c>
      <c r="K145" s="120">
        <f t="shared" si="45"/>
        <v>455.75794025599566</v>
      </c>
      <c r="L145" s="120">
        <f t="shared" si="45"/>
        <v>871.12166407432619</v>
      </c>
      <c r="M145" s="120">
        <f t="shared" ref="M145" si="46">M135+M143</f>
        <v>1300.3371798797077</v>
      </c>
      <c r="N145" s="197"/>
      <c r="O145" s="251"/>
      <c r="P145" s="251"/>
      <c r="Q145" s="251"/>
    </row>
    <row r="146" spans="2:17" ht="15.75" customHeight="1" outlineLevel="1" x14ac:dyDescent="0.25">
      <c r="C146" s="112" t="s">
        <v>81</v>
      </c>
      <c r="D146" s="40" t="s">
        <v>91</v>
      </c>
      <c r="E146" s="119">
        <v>1075.52</v>
      </c>
      <c r="F146" s="119">
        <v>-1084.6869999999999</v>
      </c>
      <c r="G146" s="119">
        <v>189.70400000000001</v>
      </c>
      <c r="H146" s="94">
        <f t="shared" ref="H146:M146" si="47">-H145*Tax_Rate</f>
        <v>-497.55429554631246</v>
      </c>
      <c r="I146" s="94">
        <f t="shared" si="47"/>
        <v>106.22181985553402</v>
      </c>
      <c r="J146" s="94">
        <f t="shared" si="47"/>
        <v>-9.1524147727344598</v>
      </c>
      <c r="K146" s="94">
        <f t="shared" si="47"/>
        <v>-113.93948506399892</v>
      </c>
      <c r="L146" s="94">
        <f t="shared" si="47"/>
        <v>-217.78041601858155</v>
      </c>
      <c r="M146" s="94">
        <f t="shared" si="47"/>
        <v>-325.08429496992693</v>
      </c>
      <c r="N146" s="197"/>
      <c r="O146" s="251"/>
      <c r="P146" s="251"/>
      <c r="Q146" s="251"/>
    </row>
    <row r="147" spans="2:17" ht="15.75" customHeight="1" outlineLevel="1" x14ac:dyDescent="0.25">
      <c r="C147" s="86" t="s">
        <v>82</v>
      </c>
      <c r="D147" s="43" t="s">
        <v>91</v>
      </c>
      <c r="E147" s="114">
        <f>SUM(E145:E146)</f>
        <v>1465.6589999999997</v>
      </c>
      <c r="F147" s="114">
        <f t="shared" ref="F147:G147" si="48">SUM(F145:F146)</f>
        <v>-1135.626</v>
      </c>
      <c r="G147" s="114">
        <f t="shared" si="48"/>
        <v>-221.4090000000005</v>
      </c>
      <c r="H147" s="114">
        <f>SUM(H145:H146)</f>
        <v>1492.6628866389374</v>
      </c>
      <c r="I147" s="114">
        <f t="shared" ref="I147:M147" si="49">SUM(I145:I146)</f>
        <v>-318.66545956660207</v>
      </c>
      <c r="J147" s="114">
        <f t="shared" si="49"/>
        <v>27.457244318203379</v>
      </c>
      <c r="K147" s="114">
        <f t="shared" si="49"/>
        <v>341.81845519199675</v>
      </c>
      <c r="L147" s="114">
        <f t="shared" si="49"/>
        <v>653.3412480557447</v>
      </c>
      <c r="M147" s="114">
        <f t="shared" si="49"/>
        <v>975.25288490978073</v>
      </c>
      <c r="N147" s="197"/>
      <c r="O147" s="251"/>
      <c r="P147" s="251"/>
      <c r="Q147" s="251"/>
    </row>
    <row r="148" spans="2:17" ht="15.75" customHeight="1" outlineLevel="1" x14ac:dyDescent="0.25">
      <c r="C148" s="19"/>
      <c r="E148" s="94"/>
      <c r="F148" s="94"/>
      <c r="G148" s="97"/>
      <c r="H148" s="94"/>
      <c r="I148" s="94"/>
      <c r="J148" s="94"/>
      <c r="K148" s="94"/>
      <c r="L148" s="94"/>
      <c r="M148" s="94"/>
      <c r="N148" s="197"/>
      <c r="O148" s="251"/>
      <c r="P148" s="251"/>
      <c r="Q148" s="251"/>
    </row>
    <row r="149" spans="2:17" ht="15.75" customHeight="1" outlineLevel="1" x14ac:dyDescent="0.25">
      <c r="C149" s="3" t="s">
        <v>17</v>
      </c>
      <c r="D149" s="43" t="s">
        <v>91</v>
      </c>
      <c r="E149" s="126">
        <f t="shared" ref="E149:M149" si="50">E135+E172-E133</f>
        <v>831.92199999999957</v>
      </c>
      <c r="F149" s="126">
        <f t="shared" si="50"/>
        <v>521.83499999999992</v>
      </c>
      <c r="G149" s="126">
        <f t="shared" si="50"/>
        <v>817.80999999999949</v>
      </c>
      <c r="H149" s="126">
        <f t="shared" si="50"/>
        <v>1540.2806922652499</v>
      </c>
      <c r="I149" s="126">
        <f t="shared" si="50"/>
        <v>1899.3453640289536</v>
      </c>
      <c r="J149" s="126">
        <f t="shared" si="50"/>
        <v>2341.4128743251936</v>
      </c>
      <c r="K149" s="126">
        <f t="shared" si="50"/>
        <v>2786.5703058327513</v>
      </c>
      <c r="L149" s="126">
        <f t="shared" si="50"/>
        <v>3223.7329803017637</v>
      </c>
      <c r="M149" s="126">
        <f t="shared" si="50"/>
        <v>3658.6073718964903</v>
      </c>
      <c r="N149" s="197"/>
      <c r="O149" s="74">
        <f>(M149/G149)^(1/(YEAR($M$85)-YEAR($G$85)))-1</f>
        <v>0.28364193957669093</v>
      </c>
      <c r="P149" s="252"/>
      <c r="Q149" s="252"/>
    </row>
    <row r="150" spans="2:17" ht="15.75" customHeight="1" outlineLevel="1" x14ac:dyDescent="0.25">
      <c r="C150" s="19" t="s">
        <v>12</v>
      </c>
      <c r="D150" s="41" t="s">
        <v>26</v>
      </c>
      <c r="E150" s="53">
        <f>E149/E129</f>
        <v>0.24048652209720431</v>
      </c>
      <c r="F150" s="53">
        <f t="shared" ref="F150:G150" si="51">F149/F129</f>
        <v>0.14041603735278899</v>
      </c>
      <c r="G150" s="53">
        <f t="shared" si="51"/>
        <v>0.16106605597026233</v>
      </c>
      <c r="H150" s="53">
        <f t="shared" ref="H150:L150" si="52">H149/H129</f>
        <v>0.25749748150585361</v>
      </c>
      <c r="I150" s="53">
        <f t="shared" si="52"/>
        <v>0.26364038662002787</v>
      </c>
      <c r="J150" s="53">
        <f t="shared" si="52"/>
        <v>0.27447580782726549</v>
      </c>
      <c r="K150" s="53">
        <f t="shared" si="52"/>
        <v>0.28500960196388897</v>
      </c>
      <c r="L150" s="53">
        <f t="shared" si="52"/>
        <v>0.29524751430743396</v>
      </c>
      <c r="M150" s="53">
        <f t="shared" ref="M150" si="53">M149/M129</f>
        <v>0.30519518070157819</v>
      </c>
      <c r="N150" s="197"/>
      <c r="O150" s="42"/>
      <c r="P150" s="42"/>
      <c r="Q150" s="42"/>
    </row>
    <row r="151" spans="2:17" ht="15.75" customHeight="1" x14ac:dyDescent="0.25">
      <c r="C151" s="19"/>
      <c r="E151" s="94"/>
      <c r="F151" s="94"/>
      <c r="G151" s="97"/>
      <c r="H151" s="94"/>
      <c r="I151" s="94"/>
      <c r="J151" s="94"/>
      <c r="K151" s="94"/>
      <c r="L151" s="94"/>
      <c r="N151" s="197"/>
      <c r="O151" s="197"/>
      <c r="P151" s="197"/>
    </row>
    <row r="152" spans="2:17" ht="15.75" customHeight="1" x14ac:dyDescent="0.25">
      <c r="B152" s="11"/>
      <c r="C152" s="12"/>
      <c r="D152" s="13"/>
      <c r="E152" s="14" t="str">
        <f>$E$84</f>
        <v>Historical</v>
      </c>
      <c r="F152" s="15"/>
      <c r="G152" s="15"/>
      <c r="H152" s="16" t="str">
        <f>$H$84</f>
        <v>Projected</v>
      </c>
      <c r="I152" s="17"/>
      <c r="J152" s="15"/>
      <c r="K152" s="15"/>
      <c r="L152" s="15"/>
      <c r="M152" s="15"/>
      <c r="N152" s="197"/>
      <c r="O152" s="197"/>
      <c r="P152" s="197"/>
    </row>
    <row r="153" spans="2:17" ht="15.75" customHeight="1" x14ac:dyDescent="0.25">
      <c r="B153" s="4" t="s">
        <v>220</v>
      </c>
      <c r="C153" s="18"/>
      <c r="D153" s="32" t="str">
        <f>$D$5</f>
        <v>Units:</v>
      </c>
      <c r="E153" s="1">
        <f>$E$85</f>
        <v>43830</v>
      </c>
      <c r="F153" s="1">
        <f>$F$85</f>
        <v>44196</v>
      </c>
      <c r="G153" s="2">
        <f>$G$85</f>
        <v>44561</v>
      </c>
      <c r="H153" s="48">
        <f>$H$85</f>
        <v>44926</v>
      </c>
      <c r="I153" s="1">
        <f>$I$85</f>
        <v>45291</v>
      </c>
      <c r="J153" s="1">
        <f>$J$85</f>
        <v>45657</v>
      </c>
      <c r="K153" s="1">
        <f>$K$85</f>
        <v>46022</v>
      </c>
      <c r="L153" s="1">
        <f>$L$85</f>
        <v>46387</v>
      </c>
      <c r="M153" s="1">
        <f>$M$85</f>
        <v>46752</v>
      </c>
      <c r="N153" s="197"/>
      <c r="O153" s="197"/>
      <c r="P153" s="197"/>
    </row>
    <row r="154" spans="2:17" ht="15.75" customHeight="1" outlineLevel="1" x14ac:dyDescent="0.25">
      <c r="C154" s="19"/>
      <c r="E154" s="94"/>
      <c r="F154" s="94"/>
      <c r="G154" s="97"/>
      <c r="H154" s="94"/>
      <c r="I154" s="94"/>
      <c r="J154" s="94"/>
      <c r="K154" s="94"/>
      <c r="L154" s="94"/>
      <c r="N154" s="197"/>
      <c r="O154" s="197"/>
      <c r="P154" s="197"/>
    </row>
    <row r="155" spans="2:17" ht="15.75" customHeight="1" outlineLevel="1" x14ac:dyDescent="0.25">
      <c r="C155" s="240" t="s">
        <v>192</v>
      </c>
      <c r="E155" s="94"/>
      <c r="F155" s="94"/>
      <c r="G155" s="97"/>
      <c r="H155" s="126">
        <f>H145</f>
        <v>1990.2171821852498</v>
      </c>
      <c r="I155" s="126">
        <f t="shared" ref="I155:M155" si="54">I145</f>
        <v>-424.88727942213609</v>
      </c>
      <c r="J155" s="126">
        <f t="shared" si="54"/>
        <v>36.609659090937839</v>
      </c>
      <c r="K155" s="126">
        <f t="shared" si="54"/>
        <v>455.75794025599566</v>
      </c>
      <c r="L155" s="126">
        <f t="shared" si="54"/>
        <v>871.12166407432619</v>
      </c>
      <c r="M155" s="126">
        <f t="shared" si="54"/>
        <v>1300.3371798797077</v>
      </c>
      <c r="N155" s="197"/>
      <c r="O155" s="197"/>
      <c r="P155" s="197"/>
    </row>
    <row r="156" spans="2:17" ht="15.75" customHeight="1" outlineLevel="1" x14ac:dyDescent="0.25">
      <c r="C156" s="19"/>
      <c r="E156" s="94"/>
      <c r="F156" s="94"/>
      <c r="G156" s="97"/>
      <c r="H156" s="94"/>
      <c r="I156" s="94"/>
      <c r="J156" s="94"/>
      <c r="K156" s="94"/>
      <c r="L156" s="94"/>
      <c r="N156" s="197"/>
      <c r="O156" s="197"/>
      <c r="P156" s="197"/>
    </row>
    <row r="157" spans="2:17" ht="15.75" customHeight="1" outlineLevel="1" x14ac:dyDescent="0.25">
      <c r="C157" s="226" t="s">
        <v>193</v>
      </c>
      <c r="E157" s="94"/>
      <c r="F157" s="94"/>
      <c r="G157" s="97"/>
      <c r="H157" s="94"/>
      <c r="I157" s="130">
        <f>H160</f>
        <v>0</v>
      </c>
      <c r="J157" s="130">
        <f t="shared" ref="J157:M157" si="55">I160</f>
        <v>424.88727942213609</v>
      </c>
      <c r="K157" s="130">
        <f t="shared" si="55"/>
        <v>388.27762033119825</v>
      </c>
      <c r="L157" s="130">
        <f t="shared" si="55"/>
        <v>0</v>
      </c>
      <c r="M157" s="130">
        <f t="shared" si="55"/>
        <v>0</v>
      </c>
      <c r="N157" s="197"/>
      <c r="O157" s="197"/>
      <c r="P157" s="197"/>
    </row>
    <row r="158" spans="2:17" ht="15.75" customHeight="1" outlineLevel="1" x14ac:dyDescent="0.25">
      <c r="C158" s="224" t="s">
        <v>194</v>
      </c>
      <c r="E158" s="94"/>
      <c r="F158" s="94"/>
      <c r="G158" s="97"/>
      <c r="H158" s="94"/>
      <c r="I158" s="94">
        <f>MAX(0,-I155)</f>
        <v>424.88727942213609</v>
      </c>
      <c r="J158" s="94">
        <f t="shared" ref="J158:M158" si="56">MAX(0,-J155)</f>
        <v>0</v>
      </c>
      <c r="K158" s="94">
        <f t="shared" si="56"/>
        <v>0</v>
      </c>
      <c r="L158" s="94">
        <f t="shared" si="56"/>
        <v>0</v>
      </c>
      <c r="M158" s="94">
        <f t="shared" si="56"/>
        <v>0</v>
      </c>
      <c r="N158" s="197"/>
      <c r="O158" s="197"/>
      <c r="P158" s="197"/>
    </row>
    <row r="159" spans="2:17" ht="15.75" customHeight="1" outlineLevel="1" x14ac:dyDescent="0.25">
      <c r="C159" s="241" t="s">
        <v>195</v>
      </c>
      <c r="D159" s="101"/>
      <c r="E159" s="143"/>
      <c r="F159" s="143"/>
      <c r="G159" s="143"/>
      <c r="H159" s="143"/>
      <c r="I159" s="143">
        <f>-MIN(I157+I158,MAX(I155,0))</f>
        <v>0</v>
      </c>
      <c r="J159" s="143">
        <f t="shared" ref="J159:M159" si="57">-MIN(J157+J158,MAX(J155,0))</f>
        <v>-36.609659090937839</v>
      </c>
      <c r="K159" s="143">
        <f t="shared" si="57"/>
        <v>-388.27762033119825</v>
      </c>
      <c r="L159" s="143">
        <f t="shared" si="57"/>
        <v>0</v>
      </c>
      <c r="M159" s="143">
        <f t="shared" si="57"/>
        <v>0</v>
      </c>
      <c r="N159" s="197"/>
      <c r="O159" s="197"/>
      <c r="P159" s="197"/>
    </row>
    <row r="160" spans="2:17" ht="15.75" customHeight="1" outlineLevel="1" x14ac:dyDescent="0.25">
      <c r="C160" s="229" t="s">
        <v>196</v>
      </c>
      <c r="E160" s="94"/>
      <c r="F160" s="94"/>
      <c r="G160" s="97"/>
      <c r="H160" s="242">
        <v>0</v>
      </c>
      <c r="I160" s="118">
        <f>SUM(I157:I159)</f>
        <v>424.88727942213609</v>
      </c>
      <c r="J160" s="118">
        <f t="shared" ref="J160:M160" si="58">SUM(J157:J159)</f>
        <v>388.27762033119825</v>
      </c>
      <c r="K160" s="118">
        <f t="shared" si="58"/>
        <v>0</v>
      </c>
      <c r="L160" s="118">
        <f t="shared" si="58"/>
        <v>0</v>
      </c>
      <c r="M160" s="118">
        <f t="shared" si="58"/>
        <v>0</v>
      </c>
      <c r="N160" s="197"/>
      <c r="O160" s="197"/>
      <c r="P160" s="197"/>
    </row>
    <row r="161" spans="2:18" ht="15.75" customHeight="1" outlineLevel="1" x14ac:dyDescent="0.25">
      <c r="C161" s="224"/>
      <c r="E161" s="94"/>
      <c r="F161" s="94"/>
      <c r="G161" s="97"/>
      <c r="H161" s="94"/>
      <c r="I161" s="94"/>
      <c r="J161" s="94"/>
      <c r="K161" s="94"/>
      <c r="L161" s="94"/>
      <c r="N161" s="197"/>
      <c r="O161" s="197"/>
      <c r="P161" s="197"/>
    </row>
    <row r="162" spans="2:18" ht="15.75" customHeight="1" outlineLevel="1" x14ac:dyDescent="0.25">
      <c r="C162" s="226" t="s">
        <v>197</v>
      </c>
      <c r="E162" s="94"/>
      <c r="F162" s="94"/>
      <c r="G162" s="97"/>
      <c r="H162" s="94">
        <f>H155+H159</f>
        <v>1990.2171821852498</v>
      </c>
      <c r="I162" s="94">
        <f t="shared" ref="I162:M162" si="59">I155+I159</f>
        <v>-424.88727942213609</v>
      </c>
      <c r="J162" s="94">
        <f t="shared" si="59"/>
        <v>0</v>
      </c>
      <c r="K162" s="94">
        <f t="shared" si="59"/>
        <v>67.480319924797413</v>
      </c>
      <c r="L162" s="94">
        <f t="shared" si="59"/>
        <v>871.12166407432619</v>
      </c>
      <c r="M162" s="94">
        <f t="shared" si="59"/>
        <v>1300.3371798797077</v>
      </c>
      <c r="N162" s="197"/>
      <c r="O162" s="197"/>
      <c r="P162" s="197"/>
    </row>
    <row r="163" spans="2:18" ht="15.75" customHeight="1" outlineLevel="1" x14ac:dyDescent="0.25">
      <c r="C163" s="226"/>
      <c r="E163" s="94"/>
      <c r="F163" s="94"/>
      <c r="G163" s="97"/>
      <c r="H163" s="94"/>
      <c r="I163" s="94"/>
      <c r="J163" s="94"/>
      <c r="K163" s="94"/>
      <c r="L163" s="94"/>
      <c r="N163" s="197"/>
      <c r="O163" s="197"/>
      <c r="P163" s="197"/>
    </row>
    <row r="164" spans="2:18" ht="15.75" customHeight="1" outlineLevel="1" x14ac:dyDescent="0.25">
      <c r="C164" s="226" t="s">
        <v>198</v>
      </c>
      <c r="E164" s="94"/>
      <c r="F164" s="94"/>
      <c r="G164" s="97"/>
      <c r="H164" s="94">
        <f t="shared" ref="H164:M164" si="60">-MAX(H162,0)*Tax_Rate</f>
        <v>-497.55429554631246</v>
      </c>
      <c r="I164" s="94">
        <f t="shared" si="60"/>
        <v>0</v>
      </c>
      <c r="J164" s="94">
        <f t="shared" si="60"/>
        <v>0</v>
      </c>
      <c r="K164" s="94">
        <f t="shared" si="60"/>
        <v>-16.870079981199353</v>
      </c>
      <c r="L164" s="94">
        <f t="shared" si="60"/>
        <v>-217.78041601858155</v>
      </c>
      <c r="M164" s="94">
        <f t="shared" si="60"/>
        <v>-325.08429496992693</v>
      </c>
      <c r="N164" s="197"/>
      <c r="O164" s="197"/>
      <c r="P164" s="197"/>
    </row>
    <row r="165" spans="2:18" ht="15.75" customHeight="1" outlineLevel="1" x14ac:dyDescent="0.25">
      <c r="C165" s="226"/>
      <c r="E165" s="94"/>
      <c r="F165" s="94"/>
      <c r="G165" s="97"/>
      <c r="H165" s="94"/>
      <c r="I165" s="94"/>
      <c r="J165" s="94"/>
      <c r="K165" s="94"/>
      <c r="L165" s="94"/>
      <c r="N165" s="197"/>
      <c r="O165" s="197"/>
      <c r="P165" s="197"/>
    </row>
    <row r="166" spans="2:18" ht="15.75" customHeight="1" outlineLevel="1" x14ac:dyDescent="0.25">
      <c r="C166" s="3" t="s">
        <v>199</v>
      </c>
      <c r="E166" s="94"/>
      <c r="F166" s="94"/>
      <c r="G166" s="97"/>
      <c r="H166" s="118">
        <f t="shared" ref="H166:M166" si="61">H164-H146</f>
        <v>0</v>
      </c>
      <c r="I166" s="118">
        <f t="shared" si="61"/>
        <v>-106.22181985553402</v>
      </c>
      <c r="J166" s="118">
        <f t="shared" si="61"/>
        <v>9.1524147727344598</v>
      </c>
      <c r="K166" s="118">
        <f t="shared" si="61"/>
        <v>97.069405082799562</v>
      </c>
      <c r="L166" s="118">
        <f t="shared" si="61"/>
        <v>0</v>
      </c>
      <c r="M166" s="118">
        <f t="shared" si="61"/>
        <v>0</v>
      </c>
      <c r="N166" s="197"/>
      <c r="O166" s="197"/>
      <c r="P166" s="197"/>
    </row>
    <row r="167" spans="2:18" ht="15.75" customHeight="1" x14ac:dyDescent="0.25">
      <c r="C167" s="19"/>
      <c r="E167" s="94"/>
      <c r="F167" s="94"/>
      <c r="G167" s="97"/>
      <c r="H167" s="94"/>
      <c r="I167" s="94"/>
      <c r="J167" s="94"/>
      <c r="K167" s="94"/>
      <c r="L167" s="94"/>
      <c r="N167" s="197"/>
      <c r="O167" s="197"/>
      <c r="P167" s="197"/>
    </row>
    <row r="168" spans="2:18" ht="15.75" customHeight="1" x14ac:dyDescent="0.25">
      <c r="B168" s="22"/>
      <c r="C168" s="23"/>
      <c r="D168" s="24"/>
      <c r="E168" s="14" t="str">
        <f>$E$84</f>
        <v>Historical</v>
      </c>
      <c r="F168" s="15"/>
      <c r="G168" s="15"/>
      <c r="H168" s="16" t="str">
        <f>$H$84</f>
        <v>Projected</v>
      </c>
      <c r="I168" s="17"/>
      <c r="J168" s="15"/>
      <c r="K168" s="15"/>
      <c r="L168" s="15"/>
      <c r="M168" s="15"/>
      <c r="N168" s="197"/>
      <c r="O168" s="53"/>
      <c r="P168" s="53"/>
      <c r="Q168" s="53"/>
      <c r="R168" s="53"/>
    </row>
    <row r="169" spans="2:18" ht="15.75" customHeight="1" x14ac:dyDescent="0.25">
      <c r="B169" s="4" t="s">
        <v>22</v>
      </c>
      <c r="C169" s="5"/>
      <c r="D169" s="32" t="str">
        <f>$D$5</f>
        <v>Units:</v>
      </c>
      <c r="E169" s="1">
        <f>$E$85</f>
        <v>43830</v>
      </c>
      <c r="F169" s="1">
        <f>$F$85</f>
        <v>44196</v>
      </c>
      <c r="G169" s="2">
        <f>$G$85</f>
        <v>44561</v>
      </c>
      <c r="H169" s="48">
        <f>$H$85</f>
        <v>44926</v>
      </c>
      <c r="I169" s="1">
        <f>$I$85</f>
        <v>45291</v>
      </c>
      <c r="J169" s="1">
        <f>$J$85</f>
        <v>45657</v>
      </c>
      <c r="K169" s="1">
        <f>$K$85</f>
        <v>46022</v>
      </c>
      <c r="L169" s="1">
        <f>$L$85</f>
        <v>46387</v>
      </c>
      <c r="M169" s="1">
        <f>$M$85</f>
        <v>46752</v>
      </c>
      <c r="N169" s="197"/>
      <c r="O169" s="197"/>
      <c r="P169" s="197"/>
    </row>
    <row r="170" spans="2:18" ht="15.75" customHeight="1" outlineLevel="1" x14ac:dyDescent="0.25">
      <c r="B170" s="9" t="s">
        <v>87</v>
      </c>
      <c r="C170" s="123"/>
      <c r="D170" s="9"/>
      <c r="E170" s="9" t="s">
        <v>88</v>
      </c>
      <c r="F170" s="9" t="s">
        <v>88</v>
      </c>
      <c r="G170" s="9" t="s">
        <v>88</v>
      </c>
      <c r="H170" s="9" t="s">
        <v>88</v>
      </c>
      <c r="I170" s="9" t="s">
        <v>88</v>
      </c>
      <c r="J170" s="9" t="s">
        <v>88</v>
      </c>
      <c r="K170" s="9" t="s">
        <v>88</v>
      </c>
      <c r="L170" s="9" t="s">
        <v>88</v>
      </c>
      <c r="M170" s="9" t="s">
        <v>88</v>
      </c>
      <c r="N170" s="197"/>
      <c r="O170" s="197"/>
      <c r="P170" s="197"/>
    </row>
    <row r="171" spans="2:18" ht="15.75" customHeight="1" outlineLevel="1" x14ac:dyDescent="0.25">
      <c r="C171" s="3" t="s">
        <v>82</v>
      </c>
      <c r="D171" s="43" t="s">
        <v>91</v>
      </c>
      <c r="E171" s="126">
        <f t="shared" ref="E171:M171" si="62">E147</f>
        <v>1465.6589999999997</v>
      </c>
      <c r="F171" s="126">
        <f t="shared" si="62"/>
        <v>-1135.626</v>
      </c>
      <c r="G171" s="126">
        <f t="shared" si="62"/>
        <v>-221.4090000000005</v>
      </c>
      <c r="H171" s="126">
        <f t="shared" si="62"/>
        <v>1492.6628866389374</v>
      </c>
      <c r="I171" s="126">
        <f t="shared" si="62"/>
        <v>-318.66545956660207</v>
      </c>
      <c r="J171" s="126">
        <f t="shared" si="62"/>
        <v>27.457244318203379</v>
      </c>
      <c r="K171" s="126">
        <f t="shared" si="62"/>
        <v>341.81845519199675</v>
      </c>
      <c r="L171" s="126">
        <f t="shared" si="62"/>
        <v>653.3412480557447</v>
      </c>
      <c r="M171" s="126">
        <f t="shared" si="62"/>
        <v>975.25288490978073</v>
      </c>
      <c r="N171" s="197"/>
      <c r="O171" s="197"/>
      <c r="P171" s="197"/>
    </row>
    <row r="172" spans="2:18" ht="15.75" customHeight="1" outlineLevel="1" x14ac:dyDescent="0.25">
      <c r="C172" s="208" t="s">
        <v>143</v>
      </c>
      <c r="D172" s="43" t="s">
        <v>91</v>
      </c>
      <c r="E172" s="119">
        <v>465.54899999999998</v>
      </c>
      <c r="F172" s="119">
        <v>495.17700000000002</v>
      </c>
      <c r="G172" s="119">
        <v>544.84799999999996</v>
      </c>
      <c r="H172" s="122">
        <f t="shared" ref="H172:M172" si="63">H129*H118</f>
        <v>628.08176508000008</v>
      </c>
      <c r="I172" s="122">
        <f t="shared" si="63"/>
        <v>684.40883392728017</v>
      </c>
      <c r="J172" s="122">
        <f t="shared" si="63"/>
        <v>767.74401488193564</v>
      </c>
      <c r="K172" s="122">
        <f t="shared" si="63"/>
        <v>831.05437277791816</v>
      </c>
      <c r="L172" s="122">
        <f t="shared" si="63"/>
        <v>873.4997787503728</v>
      </c>
      <c r="M172" s="122">
        <f t="shared" si="63"/>
        <v>899.08219474980012</v>
      </c>
      <c r="N172" s="197"/>
      <c r="O172" s="197"/>
      <c r="P172" s="197"/>
    </row>
    <row r="173" spans="2:18" ht="15.75" customHeight="1" outlineLevel="1" x14ac:dyDescent="0.25">
      <c r="C173" s="208" t="s">
        <v>144</v>
      </c>
      <c r="D173" s="43" t="s">
        <v>91</v>
      </c>
      <c r="E173" s="119">
        <v>-16.905999999999999</v>
      </c>
      <c r="F173" s="119">
        <v>8.0109999999999992</v>
      </c>
      <c r="G173" s="119">
        <v>4.5350000000000001</v>
      </c>
      <c r="H173" s="122">
        <f t="shared" ref="H173:M173" si="64">H129*H120</f>
        <v>-3.6654162382051121</v>
      </c>
      <c r="I173" s="122">
        <f t="shared" si="64"/>
        <v>-4.4145700743026408</v>
      </c>
      <c r="J173" s="122">
        <f t="shared" si="64"/>
        <v>-5.2272147639944544</v>
      </c>
      <c r="K173" s="122">
        <f t="shared" si="64"/>
        <v>-5.9911049433371844</v>
      </c>
      <c r="L173" s="122">
        <f t="shared" si="64"/>
        <v>-6.6906640856047535</v>
      </c>
      <c r="M173" s="122">
        <f t="shared" si="64"/>
        <v>-7.3457229983044536</v>
      </c>
      <c r="N173" s="197"/>
      <c r="O173" s="197"/>
      <c r="P173" s="197"/>
    </row>
    <row r="174" spans="2:18" ht="15.75" customHeight="1" outlineLevel="1" x14ac:dyDescent="0.25">
      <c r="C174" s="112" t="s">
        <v>83</v>
      </c>
      <c r="D174" s="43" t="s">
        <v>91</v>
      </c>
      <c r="E174" s="119">
        <v>378.02499999999998</v>
      </c>
      <c r="F174" s="119">
        <v>474.93200000000002</v>
      </c>
      <c r="G174" s="119">
        <v>629.90099999999995</v>
      </c>
      <c r="H174" s="182">
        <v>0</v>
      </c>
      <c r="I174" s="183">
        <f t="shared" ref="I174:M174" si="65">H174</f>
        <v>0</v>
      </c>
      <c r="J174" s="183">
        <f t="shared" si="65"/>
        <v>0</v>
      </c>
      <c r="K174" s="183">
        <f t="shared" si="65"/>
        <v>0</v>
      </c>
      <c r="L174" s="183">
        <f t="shared" si="65"/>
        <v>0</v>
      </c>
      <c r="M174" s="183">
        <f t="shared" si="65"/>
        <v>0</v>
      </c>
      <c r="N174" s="197"/>
      <c r="O174" s="197"/>
      <c r="P174" s="197"/>
    </row>
    <row r="175" spans="2:18" ht="15.75" customHeight="1" outlineLevel="1" x14ac:dyDescent="0.25">
      <c r="C175" s="184" t="s">
        <v>86</v>
      </c>
      <c r="D175" s="185" t="s">
        <v>91</v>
      </c>
      <c r="E175" s="195"/>
      <c r="F175" s="195"/>
      <c r="G175" s="195"/>
      <c r="H175" s="196"/>
      <c r="I175" s="196">
        <f>-I139</f>
        <v>17.857142857142854</v>
      </c>
      <c r="J175" s="196">
        <f t="shared" ref="J175:M175" si="66">-J139</f>
        <v>17.857142857142854</v>
      </c>
      <c r="K175" s="196">
        <f t="shared" si="66"/>
        <v>17.857142857142854</v>
      </c>
      <c r="L175" s="196">
        <f t="shared" si="66"/>
        <v>17.857142857142854</v>
      </c>
      <c r="M175" s="196">
        <f t="shared" si="66"/>
        <v>17.857142857142854</v>
      </c>
      <c r="O175" s="105"/>
      <c r="P175" s="103"/>
    </row>
    <row r="176" spans="2:18" ht="15.75" customHeight="1" outlineLevel="1" x14ac:dyDescent="0.25">
      <c r="C176" s="186" t="s">
        <v>84</v>
      </c>
      <c r="D176" s="187" t="s">
        <v>91</v>
      </c>
      <c r="E176" s="188">
        <v>84.369</v>
      </c>
      <c r="F176" s="188">
        <v>-36.978000000000002</v>
      </c>
      <c r="G176" s="188">
        <v>-228.774</v>
      </c>
      <c r="H176" s="189">
        <f>H166</f>
        <v>0</v>
      </c>
      <c r="I176" s="189">
        <f t="shared" ref="I176:M176" si="67">I166</f>
        <v>-106.22181985553402</v>
      </c>
      <c r="J176" s="189">
        <f t="shared" si="67"/>
        <v>9.1524147727344598</v>
      </c>
      <c r="K176" s="189">
        <f t="shared" si="67"/>
        <v>97.069405082799562</v>
      </c>
      <c r="L176" s="189">
        <f t="shared" si="67"/>
        <v>0</v>
      </c>
      <c r="M176" s="189">
        <f t="shared" si="67"/>
        <v>0</v>
      </c>
      <c r="O176" s="105"/>
      <c r="P176" s="103"/>
    </row>
    <row r="177" spans="2:16" ht="15.75" customHeight="1" outlineLevel="1" x14ac:dyDescent="0.25">
      <c r="C177" s="85" t="s">
        <v>21</v>
      </c>
      <c r="D177" s="43" t="s">
        <v>91</v>
      </c>
      <c r="E177" s="119">
        <v>18.7</v>
      </c>
      <c r="F177" s="119">
        <v>-24.594999999999999</v>
      </c>
      <c r="G177" s="119">
        <v>5.0330000000000004</v>
      </c>
      <c r="H177" s="122">
        <f t="shared" ref="H177:M177" si="68">(H129-G129)*H121</f>
        <v>-14.209830265271645</v>
      </c>
      <c r="I177" s="122">
        <f t="shared" si="68"/>
        <v>-19.21212488702734</v>
      </c>
      <c r="J177" s="122">
        <f t="shared" si="68"/>
        <v>-20.840354163395332</v>
      </c>
      <c r="K177" s="122">
        <f t="shared" si="68"/>
        <v>-19.590039880134384</v>
      </c>
      <c r="L177" s="122">
        <f t="shared" si="68"/>
        <v>-17.940264014554906</v>
      </c>
      <c r="M177" s="122">
        <f t="shared" si="68"/>
        <v>-16.79905118647568</v>
      </c>
      <c r="O177" s="105"/>
      <c r="P177" s="103"/>
    </row>
    <row r="178" spans="2:16" ht="15.75" customHeight="1" outlineLevel="1" x14ac:dyDescent="0.25">
      <c r="C178" s="30" t="s">
        <v>85</v>
      </c>
      <c r="D178" s="121" t="s">
        <v>91</v>
      </c>
      <c r="E178" s="114">
        <f t="shared" ref="E178:M178" si="69">SUM(E171:E177)</f>
        <v>2395.3959999999997</v>
      </c>
      <c r="F178" s="114">
        <f t="shared" si="69"/>
        <v>-219.07899999999998</v>
      </c>
      <c r="G178" s="114">
        <f t="shared" si="69"/>
        <v>734.13399999999945</v>
      </c>
      <c r="H178" s="114">
        <f t="shared" si="69"/>
        <v>2102.8694052154606</v>
      </c>
      <c r="I178" s="114">
        <f t="shared" si="69"/>
        <v>253.75200240095697</v>
      </c>
      <c r="J178" s="114">
        <f t="shared" si="69"/>
        <v>796.14324790262663</v>
      </c>
      <c r="K178" s="114">
        <f t="shared" si="69"/>
        <v>1262.2182310863857</v>
      </c>
      <c r="L178" s="114">
        <f t="shared" si="69"/>
        <v>1520.0672415631007</v>
      </c>
      <c r="M178" s="114">
        <f t="shared" si="69"/>
        <v>1868.0474483319438</v>
      </c>
      <c r="O178" s="105"/>
      <c r="P178" s="103"/>
    </row>
    <row r="179" spans="2:16" ht="15.75" customHeight="1" outlineLevel="1" x14ac:dyDescent="0.25">
      <c r="C179" s="3"/>
      <c r="E179" s="20"/>
      <c r="F179" s="20"/>
      <c r="G179" s="21"/>
      <c r="H179" s="20"/>
      <c r="I179" s="20"/>
      <c r="J179" s="20"/>
      <c r="K179" s="20"/>
      <c r="L179" s="20"/>
      <c r="O179" s="105"/>
      <c r="P179" s="103"/>
    </row>
    <row r="180" spans="2:16" ht="15.75" customHeight="1" outlineLevel="1" x14ac:dyDescent="0.25">
      <c r="B180" s="9" t="s">
        <v>89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O180" s="105"/>
      <c r="P180" s="103"/>
    </row>
    <row r="181" spans="2:16" ht="15.75" customHeight="1" outlineLevel="1" x14ac:dyDescent="0.25">
      <c r="C181" s="249" t="s">
        <v>234</v>
      </c>
      <c r="D181" s="43" t="s">
        <v>91</v>
      </c>
      <c r="E181" s="119">
        <v>-540.68799999999999</v>
      </c>
      <c r="F181" s="119">
        <v>-873.35400000000004</v>
      </c>
      <c r="G181" s="115">
        <v>-1011.546</v>
      </c>
      <c r="H181" s="122">
        <f t="shared" ref="H181:M181" si="70">-H129*H123</f>
        <v>-927.16831988000024</v>
      </c>
      <c r="I181" s="122">
        <f t="shared" si="70"/>
        <v>-1008.6024921033603</v>
      </c>
      <c r="J181" s="122">
        <f t="shared" si="70"/>
        <v>-1066.3111317804662</v>
      </c>
      <c r="K181" s="122">
        <f t="shared" si="70"/>
        <v>-1075.4821294773058</v>
      </c>
      <c r="L181" s="122">
        <f t="shared" si="70"/>
        <v>-1091.8747234379659</v>
      </c>
      <c r="M181" s="122">
        <f t="shared" si="70"/>
        <v>-1138.8374466830803</v>
      </c>
      <c r="O181" s="105"/>
      <c r="P181" s="103"/>
    </row>
    <row r="182" spans="2:16" ht="15.75" customHeight="1" outlineLevel="1" x14ac:dyDescent="0.25">
      <c r="C182" s="30" t="s">
        <v>90</v>
      </c>
      <c r="D182" s="121" t="s">
        <v>91</v>
      </c>
      <c r="E182" s="114">
        <f t="shared" ref="E182:M182" si="71">SUM(E181:E181)</f>
        <v>-540.68799999999999</v>
      </c>
      <c r="F182" s="114">
        <f t="shared" si="71"/>
        <v>-873.35400000000004</v>
      </c>
      <c r="G182" s="114">
        <f t="shared" si="71"/>
        <v>-1011.546</v>
      </c>
      <c r="H182" s="114">
        <f t="shared" si="71"/>
        <v>-927.16831988000024</v>
      </c>
      <c r="I182" s="114">
        <f t="shared" si="71"/>
        <v>-1008.6024921033603</v>
      </c>
      <c r="J182" s="114">
        <f t="shared" si="71"/>
        <v>-1066.3111317804662</v>
      </c>
      <c r="K182" s="114">
        <f t="shared" si="71"/>
        <v>-1075.4821294773058</v>
      </c>
      <c r="L182" s="114">
        <f t="shared" si="71"/>
        <v>-1091.8747234379659</v>
      </c>
      <c r="M182" s="114">
        <f t="shared" si="71"/>
        <v>-1138.8374466830803</v>
      </c>
      <c r="O182" s="105"/>
      <c r="P182" s="103"/>
    </row>
    <row r="183" spans="2:16" ht="15.75" customHeight="1" outlineLevel="1" x14ac:dyDescent="0.25">
      <c r="C183" s="3"/>
      <c r="E183" s="20"/>
      <c r="F183" s="20"/>
      <c r="G183" s="21"/>
      <c r="H183" s="21"/>
      <c r="I183" s="21"/>
      <c r="J183" s="21"/>
      <c r="K183" s="21"/>
      <c r="L183" s="21"/>
      <c r="M183" s="21"/>
      <c r="O183" s="105"/>
      <c r="P183" s="103"/>
    </row>
    <row r="184" spans="2:16" ht="15.75" customHeight="1" outlineLevel="1" x14ac:dyDescent="0.25">
      <c r="C184" s="3" t="s">
        <v>92</v>
      </c>
      <c r="D184" s="43" t="s">
        <v>91</v>
      </c>
      <c r="E184" s="124">
        <f t="shared" ref="E184:L184" si="72">E178+E182</f>
        <v>1854.7079999999996</v>
      </c>
      <c r="F184" s="124">
        <f t="shared" si="72"/>
        <v>-1092.433</v>
      </c>
      <c r="G184" s="124">
        <f t="shared" si="72"/>
        <v>-277.4120000000006</v>
      </c>
      <c r="H184" s="124">
        <f t="shared" si="72"/>
        <v>1175.7010853354604</v>
      </c>
      <c r="I184" s="124">
        <f t="shared" si="72"/>
        <v>-754.85048970240337</v>
      </c>
      <c r="J184" s="124">
        <f t="shared" si="72"/>
        <v>-270.16788387783959</v>
      </c>
      <c r="K184" s="124">
        <f t="shared" si="72"/>
        <v>186.73610160907992</v>
      </c>
      <c r="L184" s="124">
        <f t="shared" si="72"/>
        <v>428.19251812513471</v>
      </c>
      <c r="M184" s="124">
        <f t="shared" ref="M184" si="73">M178+M182</f>
        <v>729.21000164886345</v>
      </c>
      <c r="O184" s="105"/>
      <c r="P184" s="103"/>
    </row>
    <row r="185" spans="2:16" ht="15.75" customHeight="1" outlineLevel="1" x14ac:dyDescent="0.25">
      <c r="C185" s="3"/>
      <c r="E185" s="20"/>
      <c r="F185" s="20"/>
      <c r="G185" s="21"/>
      <c r="H185" s="20"/>
      <c r="I185" s="20"/>
      <c r="J185" s="20"/>
      <c r="K185" s="20"/>
      <c r="L185" s="20"/>
      <c r="M185" s="20"/>
    </row>
    <row r="186" spans="2:16" ht="15.75" customHeight="1" outlineLevel="1" x14ac:dyDescent="0.25">
      <c r="C186" s="83" t="s">
        <v>23</v>
      </c>
      <c r="D186" s="43" t="s">
        <v>91</v>
      </c>
      <c r="E186" s="20"/>
      <c r="F186" s="20"/>
      <c r="G186" s="21"/>
      <c r="H186" s="94">
        <f>G190</f>
        <v>6393.6819999999998</v>
      </c>
      <c r="I186" s="94">
        <f t="shared" ref="I186:M186" si="74">H190</f>
        <v>6000</v>
      </c>
      <c r="J186" s="94">
        <f t="shared" si="74"/>
        <v>2562.0431043949147</v>
      </c>
      <c r="K186" s="94">
        <f t="shared" si="74"/>
        <v>1133.7786199985612</v>
      </c>
      <c r="L186" s="94">
        <f t="shared" si="74"/>
        <v>782.15943349206748</v>
      </c>
      <c r="M186" s="94">
        <f t="shared" si="74"/>
        <v>856.85140328282694</v>
      </c>
    </row>
    <row r="187" spans="2:16" ht="15.75" customHeight="1" outlineLevel="1" x14ac:dyDescent="0.25">
      <c r="C187" s="85" t="s">
        <v>31</v>
      </c>
      <c r="D187" s="43" t="s">
        <v>91</v>
      </c>
      <c r="E187" s="20"/>
      <c r="F187" s="20"/>
      <c r="G187" s="21"/>
      <c r="H187" s="94">
        <f>H184</f>
        <v>1175.7010853354604</v>
      </c>
      <c r="I187" s="94">
        <f t="shared" ref="I187:L187" si="75">I184</f>
        <v>-754.85048970240337</v>
      </c>
      <c r="J187" s="94">
        <f t="shared" si="75"/>
        <v>-270.16788387783959</v>
      </c>
      <c r="K187" s="94">
        <f t="shared" si="75"/>
        <v>186.73610160907992</v>
      </c>
      <c r="L187" s="94">
        <f t="shared" si="75"/>
        <v>428.19251812513471</v>
      </c>
      <c r="M187" s="94">
        <f t="shared" ref="M187" si="76">M184</f>
        <v>729.21000164886345</v>
      </c>
    </row>
    <row r="188" spans="2:16" ht="15.75" customHeight="1" outlineLevel="1" x14ac:dyDescent="0.25">
      <c r="C188" s="85" t="s">
        <v>37</v>
      </c>
      <c r="D188" s="39" t="s">
        <v>91</v>
      </c>
      <c r="E188" s="20"/>
      <c r="F188" s="20"/>
      <c r="G188" s="21"/>
      <c r="H188" s="94">
        <f>H241</f>
        <v>0</v>
      </c>
      <c r="I188" s="94">
        <f t="shared" ref="I188:L188" si="77">I241</f>
        <v>-2683.1064059026821</v>
      </c>
      <c r="J188" s="94">
        <f t="shared" si="77"/>
        <v>-1158.0966005185137</v>
      </c>
      <c r="K188" s="94">
        <f t="shared" si="77"/>
        <v>-538.35528811557367</v>
      </c>
      <c r="L188" s="94">
        <f t="shared" si="77"/>
        <v>-353.50054833437537</v>
      </c>
      <c r="M188" s="94">
        <f t="shared" ref="M188" si="78">M241</f>
        <v>-663.23766297995917</v>
      </c>
    </row>
    <row r="189" spans="2:16" ht="15.75" customHeight="1" outlineLevel="1" x14ac:dyDescent="0.25">
      <c r="C189" s="224" t="s">
        <v>186</v>
      </c>
      <c r="D189" s="40" t="s">
        <v>91</v>
      </c>
      <c r="E189" s="20"/>
      <c r="F189" s="20"/>
      <c r="G189" s="21"/>
      <c r="H189" s="94">
        <f>-D64</f>
        <v>-1569.3830853354602</v>
      </c>
      <c r="I189" s="277">
        <v>0</v>
      </c>
      <c r="J189" s="183">
        <f t="shared" ref="J189" si="79">I189</f>
        <v>0</v>
      </c>
      <c r="K189" s="183">
        <f t="shared" ref="K189" si="80">J189</f>
        <v>0</v>
      </c>
      <c r="L189" s="183">
        <f t="shared" ref="L189" si="81">K189</f>
        <v>0</v>
      </c>
      <c r="M189" s="183">
        <f t="shared" ref="M189" si="82">L189</f>
        <v>0</v>
      </c>
    </row>
    <row r="190" spans="2:16" ht="15.75" customHeight="1" outlineLevel="1" x14ac:dyDescent="0.25">
      <c r="C190" s="30" t="s">
        <v>25</v>
      </c>
      <c r="D190" s="43" t="s">
        <v>91</v>
      </c>
      <c r="E190" s="107"/>
      <c r="F190" s="107"/>
      <c r="G190" s="144">
        <f>-E18</f>
        <v>6393.6819999999998</v>
      </c>
      <c r="H190" s="145">
        <f>SUM(H186:H189)</f>
        <v>6000</v>
      </c>
      <c r="I190" s="145">
        <f t="shared" ref="I190:M190" si="83">SUM(I186:I189)</f>
        <v>2562.0431043949147</v>
      </c>
      <c r="J190" s="145">
        <f t="shared" si="83"/>
        <v>1133.7786199985612</v>
      </c>
      <c r="K190" s="145">
        <f t="shared" si="83"/>
        <v>782.15943349206748</v>
      </c>
      <c r="L190" s="145">
        <f t="shared" si="83"/>
        <v>856.85140328282694</v>
      </c>
      <c r="M190" s="145">
        <f t="shared" si="83"/>
        <v>922.82374195173134</v>
      </c>
    </row>
    <row r="191" spans="2:16" ht="15.75" customHeight="1" outlineLevel="1" x14ac:dyDescent="0.25">
      <c r="C191" s="3"/>
      <c r="G191" s="88"/>
      <c r="H191" s="94"/>
      <c r="I191" s="94"/>
      <c r="J191" s="94"/>
      <c r="K191" s="94"/>
      <c r="L191" s="94"/>
    </row>
    <row r="192" spans="2:16" ht="15.75" customHeight="1" outlineLevel="1" x14ac:dyDescent="0.25">
      <c r="C192" s="3" t="s">
        <v>180</v>
      </c>
      <c r="D192" s="43" t="s">
        <v>91</v>
      </c>
      <c r="E192" s="228">
        <v>8704.3860000000004</v>
      </c>
      <c r="F192" s="228">
        <v>7970.0820000000003</v>
      </c>
      <c r="G192" s="228">
        <v>7307.1989999999996</v>
      </c>
      <c r="H192" s="118">
        <f>SUM(D65:D66)-K63</f>
        <v>23076.056128914563</v>
      </c>
      <c r="I192" s="118">
        <f t="shared" ref="I192:M192" si="84">H192+I171</f>
        <v>22757.390669347962</v>
      </c>
      <c r="J192" s="118">
        <f t="shared" si="84"/>
        <v>22784.847913666166</v>
      </c>
      <c r="K192" s="118">
        <f t="shared" si="84"/>
        <v>23126.666368858165</v>
      </c>
      <c r="L192" s="118">
        <f t="shared" si="84"/>
        <v>23780.00761691391</v>
      </c>
      <c r="M192" s="118">
        <f t="shared" si="84"/>
        <v>24755.26050182369</v>
      </c>
    </row>
    <row r="193" spans="2:16" ht="15.75" customHeight="1" outlineLevel="1" x14ac:dyDescent="0.25">
      <c r="C193" s="3" t="s">
        <v>183</v>
      </c>
      <c r="D193" s="43" t="s">
        <v>91</v>
      </c>
      <c r="E193" s="255">
        <f>1816.833+691.967</f>
        <v>2508.8000000000002</v>
      </c>
      <c r="F193" s="255">
        <f>917.866+1875.878+692.994</f>
        <v>3486.7379999999998</v>
      </c>
      <c r="G193" s="228">
        <v>4290</v>
      </c>
      <c r="H193" s="118">
        <f>H215+H223+H230+H237</f>
        <v>24999.999999999993</v>
      </c>
      <c r="I193" s="118">
        <f t="shared" ref="I193:M193" si="85">I215+I223+I230+I237</f>
        <v>22316.893594097313</v>
      </c>
      <c r="J193" s="118">
        <f t="shared" si="85"/>
        <v>21158.796993578799</v>
      </c>
      <c r="K193" s="118">
        <f t="shared" si="85"/>
        <v>20620.441705463225</v>
      </c>
      <c r="L193" s="118">
        <f t="shared" si="85"/>
        <v>20266.941157128851</v>
      </c>
      <c r="M193" s="118">
        <f t="shared" si="85"/>
        <v>19603.703494148889</v>
      </c>
    </row>
    <row r="194" spans="2:16" ht="15.75" customHeight="1" x14ac:dyDescent="0.25">
      <c r="C194" s="3"/>
      <c r="G194" s="88"/>
      <c r="H194" s="94"/>
      <c r="I194" s="94"/>
      <c r="J194" s="94"/>
      <c r="K194" s="94"/>
      <c r="L194" s="94"/>
    </row>
    <row r="195" spans="2:16" ht="15.75" customHeight="1" x14ac:dyDescent="0.25">
      <c r="B195" s="22"/>
      <c r="C195" s="23"/>
      <c r="D195" s="24"/>
      <c r="E195" s="14" t="str">
        <f>$E$84</f>
        <v>Historical</v>
      </c>
      <c r="F195" s="15"/>
      <c r="G195" s="15"/>
      <c r="H195" s="16" t="str">
        <f>$H$84</f>
        <v>Projected</v>
      </c>
      <c r="I195" s="17"/>
      <c r="J195" s="15"/>
      <c r="K195" s="15"/>
      <c r="L195" s="15"/>
      <c r="M195" s="15"/>
    </row>
    <row r="196" spans="2:16" ht="15.75" customHeight="1" x14ac:dyDescent="0.25">
      <c r="B196" s="4" t="s">
        <v>5</v>
      </c>
      <c r="C196" s="5"/>
      <c r="D196" s="32" t="str">
        <f>$D$5</f>
        <v>Units:</v>
      </c>
      <c r="E196" s="1">
        <f>$E$85</f>
        <v>43830</v>
      </c>
      <c r="F196" s="1">
        <f>$F$85</f>
        <v>44196</v>
      </c>
      <c r="G196" s="2">
        <f>$G$85</f>
        <v>44561</v>
      </c>
      <c r="H196" s="48">
        <f>$H$85</f>
        <v>44926</v>
      </c>
      <c r="I196" s="1">
        <f>$I$85</f>
        <v>45291</v>
      </c>
      <c r="J196" s="1">
        <f>$J$85</f>
        <v>45657</v>
      </c>
      <c r="K196" s="1">
        <f>$K$85</f>
        <v>46022</v>
      </c>
      <c r="L196" s="1">
        <f>$L$85</f>
        <v>46387</v>
      </c>
      <c r="M196" s="1">
        <f>$M$85</f>
        <v>46752</v>
      </c>
    </row>
    <row r="197" spans="2:16" ht="15.75" customHeight="1" outlineLevel="1" x14ac:dyDescent="0.25">
      <c r="B197" s="33" t="s">
        <v>112</v>
      </c>
      <c r="C197" s="34"/>
      <c r="D197" s="35"/>
      <c r="E197" s="36"/>
      <c r="F197" s="36"/>
      <c r="G197" s="36"/>
      <c r="H197" s="36"/>
      <c r="I197" s="36"/>
      <c r="J197" s="36"/>
      <c r="K197" s="36"/>
      <c r="L197" s="36"/>
      <c r="M197" s="36"/>
      <c r="N197" s="203"/>
      <c r="O197" s="203"/>
      <c r="P197" s="203"/>
    </row>
    <row r="198" spans="2:16" ht="15.75" customHeight="1" outlineLevel="1" x14ac:dyDescent="0.25">
      <c r="B198" s="33"/>
      <c r="C198" s="9" t="s">
        <v>51</v>
      </c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203"/>
      <c r="O198" s="203"/>
      <c r="P198" s="203"/>
    </row>
    <row r="199" spans="2:16" ht="15.75" customHeight="1" outlineLevel="1" x14ac:dyDescent="0.25">
      <c r="B199" s="33"/>
      <c r="C199" s="54" t="s">
        <v>139</v>
      </c>
      <c r="D199" s="41" t="s">
        <v>26</v>
      </c>
      <c r="E199" s="36"/>
      <c r="F199" s="36"/>
      <c r="G199" s="36"/>
      <c r="H199" s="38">
        <f t="shared" ref="H199:M199" si="86">SOFR</f>
        <v>2.5000000000000001E-2</v>
      </c>
      <c r="I199" s="38">
        <f t="shared" si="86"/>
        <v>2.5000000000000001E-2</v>
      </c>
      <c r="J199" s="38">
        <f t="shared" si="86"/>
        <v>2.5000000000000001E-2</v>
      </c>
      <c r="K199" s="38">
        <f t="shared" si="86"/>
        <v>2.5000000000000001E-2</v>
      </c>
      <c r="L199" s="38">
        <f t="shared" si="86"/>
        <v>2.5000000000000001E-2</v>
      </c>
      <c r="M199" s="38">
        <f t="shared" si="86"/>
        <v>2.5000000000000001E-2</v>
      </c>
      <c r="N199" s="203"/>
      <c r="O199" s="203"/>
    </row>
    <row r="200" spans="2:16" ht="15.75" customHeight="1" outlineLevel="1" x14ac:dyDescent="0.25">
      <c r="B200" s="33"/>
      <c r="C200" s="85" t="str">
        <f>$C$60</f>
        <v>Revolver:</v>
      </c>
      <c r="D200" s="41" t="s">
        <v>26</v>
      </c>
      <c r="E200" s="36"/>
      <c r="F200" s="36"/>
      <c r="G200" s="36"/>
      <c r="H200" s="38">
        <f t="shared" ref="H200:M200" si="87">MAX($D$73,H$199)+$E$73</f>
        <v>6.7500000000000004E-2</v>
      </c>
      <c r="I200" s="38">
        <f t="shared" si="87"/>
        <v>6.7500000000000004E-2</v>
      </c>
      <c r="J200" s="38">
        <f t="shared" si="87"/>
        <v>6.7500000000000004E-2</v>
      </c>
      <c r="K200" s="38">
        <f t="shared" si="87"/>
        <v>6.7500000000000004E-2</v>
      </c>
      <c r="L200" s="38">
        <f t="shared" si="87"/>
        <v>6.7500000000000004E-2</v>
      </c>
      <c r="M200" s="38">
        <f t="shared" si="87"/>
        <v>6.7500000000000004E-2</v>
      </c>
      <c r="N200" s="203"/>
      <c r="O200" s="203"/>
      <c r="P200" s="203"/>
    </row>
    <row r="201" spans="2:16" ht="15.75" customHeight="1" outlineLevel="1" x14ac:dyDescent="0.25">
      <c r="B201" s="33"/>
      <c r="C201" s="85" t="str">
        <f>$C$61</f>
        <v>Term Loan &amp; Senior Secured:</v>
      </c>
      <c r="D201" s="41" t="s">
        <v>26</v>
      </c>
      <c r="E201" s="36"/>
      <c r="F201" s="36"/>
      <c r="G201" s="36"/>
      <c r="H201" s="38">
        <f t="shared" ref="H201:M201" si="88">MAX($D$74,H$199)+$E$74</f>
        <v>7.9166666666666663E-2</v>
      </c>
      <c r="I201" s="38">
        <f t="shared" si="88"/>
        <v>7.9166666666666663E-2</v>
      </c>
      <c r="J201" s="38">
        <f t="shared" si="88"/>
        <v>7.9166666666666663E-2</v>
      </c>
      <c r="K201" s="38">
        <f t="shared" si="88"/>
        <v>7.9166666666666663E-2</v>
      </c>
      <c r="L201" s="38">
        <f t="shared" si="88"/>
        <v>7.9166666666666663E-2</v>
      </c>
      <c r="M201" s="38">
        <f t="shared" si="88"/>
        <v>7.9166666666666663E-2</v>
      </c>
      <c r="N201" s="203"/>
      <c r="O201" s="203"/>
      <c r="P201" s="203"/>
    </row>
    <row r="202" spans="2:16" ht="15.75" customHeight="1" outlineLevel="1" x14ac:dyDescent="0.25">
      <c r="B202" s="33"/>
      <c r="C202" s="85" t="str">
        <f>$C$62</f>
        <v>Margin Loan:</v>
      </c>
      <c r="D202" s="41" t="s">
        <v>26</v>
      </c>
      <c r="H202" s="38">
        <f t="shared" ref="H202:M202" si="89">MAX($D$75,H$199)+$E$75</f>
        <v>5.5E-2</v>
      </c>
      <c r="I202" s="38">
        <f t="shared" si="89"/>
        <v>5.5E-2</v>
      </c>
      <c r="J202" s="38">
        <f t="shared" si="89"/>
        <v>5.5E-2</v>
      </c>
      <c r="K202" s="38">
        <f t="shared" si="89"/>
        <v>5.5E-2</v>
      </c>
      <c r="L202" s="38">
        <f t="shared" si="89"/>
        <v>5.5E-2</v>
      </c>
      <c r="M202" s="38">
        <f t="shared" si="89"/>
        <v>5.5E-2</v>
      </c>
      <c r="N202" s="203"/>
      <c r="O202" s="203"/>
      <c r="P202" s="203"/>
    </row>
    <row r="203" spans="2:16" ht="15.75" customHeight="1" outlineLevel="1" x14ac:dyDescent="0.25">
      <c r="B203" s="33"/>
      <c r="C203" s="85" t="str">
        <f>$C$63</f>
        <v>Unsecured Debt:</v>
      </c>
      <c r="D203" s="41" t="s">
        <v>26</v>
      </c>
      <c r="E203" s="36"/>
      <c r="F203" s="36"/>
      <c r="G203" s="36"/>
      <c r="H203" s="38">
        <f t="shared" ref="H203:M203" si="90">MAX($D$76,H$199)+$E$76</f>
        <v>0.125</v>
      </c>
      <c r="I203" s="38">
        <f t="shared" si="90"/>
        <v>0.125</v>
      </c>
      <c r="J203" s="38">
        <f t="shared" si="90"/>
        <v>0.125</v>
      </c>
      <c r="K203" s="38">
        <f t="shared" si="90"/>
        <v>0.125</v>
      </c>
      <c r="L203" s="38">
        <f t="shared" si="90"/>
        <v>0.125</v>
      </c>
      <c r="M203" s="38">
        <f t="shared" si="90"/>
        <v>0.125</v>
      </c>
      <c r="N203" s="203"/>
      <c r="O203" s="203"/>
      <c r="P203" s="203"/>
    </row>
    <row r="204" spans="2:16" ht="15.75" customHeight="1" outlineLevel="1" x14ac:dyDescent="0.25">
      <c r="B204" s="33"/>
      <c r="C204" s="85" t="s">
        <v>48</v>
      </c>
      <c r="D204" s="41" t="s">
        <v>26</v>
      </c>
      <c r="E204" s="38">
        <f>E141/6209.4</f>
        <v>2.539746191258415E-2</v>
      </c>
      <c r="F204" s="38">
        <f>F141/6639.1</f>
        <v>1.3281619496618517E-2</v>
      </c>
      <c r="G204" s="38">
        <f>G141/(1988.429+5483.873)</f>
        <v>4.7753690897396816E-3</v>
      </c>
      <c r="H204" s="38">
        <f t="shared" ref="H204:M204" si="91">$E$77+H199</f>
        <v>2.75E-2</v>
      </c>
      <c r="I204" s="38">
        <f t="shared" si="91"/>
        <v>2.75E-2</v>
      </c>
      <c r="J204" s="38">
        <f t="shared" si="91"/>
        <v>2.75E-2</v>
      </c>
      <c r="K204" s="38">
        <f t="shared" si="91"/>
        <v>2.75E-2</v>
      </c>
      <c r="L204" s="38">
        <f t="shared" si="91"/>
        <v>2.75E-2</v>
      </c>
      <c r="M204" s="38">
        <f t="shared" si="91"/>
        <v>2.75E-2</v>
      </c>
      <c r="N204" s="203"/>
      <c r="O204" s="203"/>
      <c r="P204" s="203"/>
    </row>
    <row r="205" spans="2:16" ht="15.75" customHeight="1" outlineLevel="1" x14ac:dyDescent="0.25">
      <c r="B205" s="33"/>
      <c r="C205" s="34"/>
      <c r="D205" s="35"/>
      <c r="E205" s="36"/>
      <c r="F205" s="36"/>
      <c r="G205" s="38"/>
      <c r="H205" s="36"/>
      <c r="I205" s="36"/>
      <c r="J205" s="36"/>
      <c r="K205" s="36"/>
      <c r="L205" s="36"/>
      <c r="N205" s="203"/>
      <c r="O205" s="203"/>
      <c r="P205" s="203"/>
    </row>
    <row r="206" spans="2:16" ht="15.75" customHeight="1" outlineLevel="1" x14ac:dyDescent="0.25">
      <c r="C206" s="9" t="s">
        <v>58</v>
      </c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203"/>
      <c r="O206" s="203"/>
      <c r="P206" s="203"/>
    </row>
    <row r="207" spans="2:16" ht="15.75" customHeight="1" outlineLevel="1" x14ac:dyDescent="0.25">
      <c r="C207" s="85" t="s">
        <v>23</v>
      </c>
      <c r="D207" s="43" t="s">
        <v>91</v>
      </c>
      <c r="G207" s="88"/>
      <c r="H207" s="146"/>
      <c r="I207" s="146">
        <f>I186</f>
        <v>6000</v>
      </c>
      <c r="J207" s="146">
        <f>J186</f>
        <v>2562.0431043949147</v>
      </c>
      <c r="K207" s="146">
        <f>K186</f>
        <v>1133.7786199985612</v>
      </c>
      <c r="L207" s="146">
        <f>L186</f>
        <v>782.15943349206748</v>
      </c>
      <c r="M207" s="146">
        <f>M186</f>
        <v>856.85140328282694</v>
      </c>
      <c r="N207" s="203"/>
      <c r="O207" s="203"/>
      <c r="P207" s="203"/>
    </row>
    <row r="208" spans="2:16" ht="15.75" customHeight="1" outlineLevel="1" x14ac:dyDescent="0.25">
      <c r="C208" s="98" t="s">
        <v>31</v>
      </c>
      <c r="D208" s="43" t="s">
        <v>91</v>
      </c>
      <c r="G208" s="88"/>
      <c r="H208" s="94"/>
      <c r="I208" s="94">
        <f>I184</f>
        <v>-754.85048970240337</v>
      </c>
      <c r="J208" s="94">
        <f>J184</f>
        <v>-270.16788387783959</v>
      </c>
      <c r="K208" s="94">
        <f>K184</f>
        <v>186.73610160907992</v>
      </c>
      <c r="L208" s="94">
        <f>L184</f>
        <v>428.19251812513471</v>
      </c>
      <c r="M208" s="94">
        <f>M184</f>
        <v>729.21000164886345</v>
      </c>
      <c r="N208" s="203"/>
      <c r="O208" s="203"/>
      <c r="P208" s="203"/>
    </row>
    <row r="209" spans="3:16" ht="15.75" customHeight="1" outlineLevel="1" x14ac:dyDescent="0.25">
      <c r="C209" s="98" t="s">
        <v>52</v>
      </c>
      <c r="D209" s="43" t="s">
        <v>91</v>
      </c>
      <c r="G209" s="88"/>
      <c r="H209" s="94"/>
      <c r="I209" s="94">
        <f t="shared" ref="I209:L209" si="92">I221+I228+I235</f>
        <v>-719.99999999999977</v>
      </c>
      <c r="J209" s="94">
        <f t="shared" si="92"/>
        <v>-719.99999999999977</v>
      </c>
      <c r="K209" s="94">
        <f t="shared" si="92"/>
        <v>-719.99999999999977</v>
      </c>
      <c r="L209" s="94">
        <f t="shared" si="92"/>
        <v>-719.99999999999977</v>
      </c>
      <c r="M209" s="94">
        <f t="shared" ref="M209" si="93">M221+M228+M235</f>
        <v>-719.99999999999977</v>
      </c>
      <c r="N209" s="203"/>
      <c r="O209" s="203"/>
      <c r="P209" s="203"/>
    </row>
    <row r="210" spans="3:16" ht="15.75" customHeight="1" outlineLevel="1" x14ac:dyDescent="0.25">
      <c r="C210" s="98" t="s">
        <v>36</v>
      </c>
      <c r="D210" s="40" t="s">
        <v>91</v>
      </c>
      <c r="G210" s="88"/>
      <c r="H210" s="143"/>
      <c r="I210" s="143">
        <f>I132*Min_Cash_Pct_OpEx</f>
        <v>-598.93669849223284</v>
      </c>
      <c r="J210" s="143">
        <f>J132*Min_Cash_Pct_OpEx</f>
        <v>-695.68201948004719</v>
      </c>
      <c r="K210" s="143">
        <f>K132*Min_Cash_Pct_OpEx</f>
        <v>-782.15943349206748</v>
      </c>
      <c r="L210" s="143">
        <f>L132*Min_Cash_Pct_OpEx</f>
        <v>-856.85140328282694</v>
      </c>
      <c r="M210" s="143">
        <f>M132*Min_Cash_Pct_OpEx</f>
        <v>-922.82374195173134</v>
      </c>
      <c r="N210" s="203"/>
      <c r="O210" s="203"/>
      <c r="P210" s="203"/>
    </row>
    <row r="211" spans="3:16" ht="15.75" customHeight="1" outlineLevel="1" x14ac:dyDescent="0.25">
      <c r="C211" s="37" t="s">
        <v>32</v>
      </c>
      <c r="D211" s="43" t="s">
        <v>91</v>
      </c>
      <c r="E211" s="91"/>
      <c r="F211" s="91"/>
      <c r="G211" s="91"/>
      <c r="H211" s="118"/>
      <c r="I211" s="118">
        <f t="shared" ref="I211:M211" si="94">SUM(I207:I210)</f>
        <v>3926.2128118053643</v>
      </c>
      <c r="J211" s="118">
        <f t="shared" si="94"/>
        <v>876.19320103702796</v>
      </c>
      <c r="K211" s="118">
        <f t="shared" si="94"/>
        <v>-181.6447118844261</v>
      </c>
      <c r="L211" s="118">
        <f t="shared" si="94"/>
        <v>-366.49945166562441</v>
      </c>
      <c r="M211" s="118">
        <f t="shared" si="94"/>
        <v>-56.762337020040604</v>
      </c>
      <c r="N211" s="203"/>
      <c r="O211" s="203"/>
      <c r="P211" s="203"/>
    </row>
    <row r="212" spans="3:16" ht="15.75" customHeight="1" outlineLevel="1" x14ac:dyDescent="0.25">
      <c r="C212" s="85"/>
      <c r="G212" s="88"/>
      <c r="H212" s="99"/>
      <c r="I212" s="99"/>
      <c r="J212" s="99"/>
      <c r="K212" s="99"/>
      <c r="L212" s="99"/>
      <c r="M212" s="99"/>
      <c r="N212" s="203"/>
      <c r="O212" s="203"/>
      <c r="P212" s="203"/>
    </row>
    <row r="213" spans="3:16" ht="15.75" customHeight="1" outlineLevel="1" x14ac:dyDescent="0.25">
      <c r="C213" s="85" t="s">
        <v>33</v>
      </c>
      <c r="D213" s="43" t="s">
        <v>91</v>
      </c>
      <c r="G213" s="88"/>
      <c r="H213" s="94"/>
      <c r="I213" s="94">
        <f>H215</f>
        <v>0</v>
      </c>
      <c r="J213" s="94">
        <f t="shared" ref="J213:M213" si="95">I215</f>
        <v>0</v>
      </c>
      <c r="K213" s="94">
        <f t="shared" si="95"/>
        <v>0</v>
      </c>
      <c r="L213" s="94">
        <f t="shared" si="95"/>
        <v>181.6447118844261</v>
      </c>
      <c r="M213" s="94">
        <f t="shared" si="95"/>
        <v>548.14416355005051</v>
      </c>
      <c r="N213" s="203"/>
      <c r="O213" s="203"/>
      <c r="P213" s="203"/>
    </row>
    <row r="214" spans="3:16" ht="15.75" customHeight="1" outlineLevel="1" x14ac:dyDescent="0.25">
      <c r="C214" s="100" t="s">
        <v>34</v>
      </c>
      <c r="D214" s="40" t="s">
        <v>91</v>
      </c>
      <c r="E214" s="101"/>
      <c r="F214" s="101"/>
      <c r="G214" s="101"/>
      <c r="H214" s="143"/>
      <c r="I214" s="143">
        <f t="shared" ref="I214:L214" si="96">IF(I211&gt;0,-MIN(I211,I213),-I211)</f>
        <v>0</v>
      </c>
      <c r="J214" s="143">
        <f t="shared" si="96"/>
        <v>0</v>
      </c>
      <c r="K214" s="143">
        <f t="shared" si="96"/>
        <v>181.6447118844261</v>
      </c>
      <c r="L214" s="143">
        <f t="shared" si="96"/>
        <v>366.49945166562441</v>
      </c>
      <c r="M214" s="143">
        <f t="shared" ref="M214" si="97">IF(M211&gt;0,-MIN(M211,M213),-M211)</f>
        <v>56.762337020040604</v>
      </c>
      <c r="N214" s="203"/>
      <c r="O214" s="203"/>
      <c r="P214" s="203"/>
    </row>
    <row r="215" spans="3:16" ht="15.75" customHeight="1" outlineLevel="1" x14ac:dyDescent="0.25">
      <c r="C215" s="25" t="s">
        <v>35</v>
      </c>
      <c r="D215" s="43" t="s">
        <v>91</v>
      </c>
      <c r="H215" s="147">
        <f>D60</f>
        <v>0</v>
      </c>
      <c r="I215" s="118">
        <f t="shared" ref="I215:L215" si="98">SUM(I213:I214)</f>
        <v>0</v>
      </c>
      <c r="J215" s="118">
        <f t="shared" si="98"/>
        <v>0</v>
      </c>
      <c r="K215" s="118">
        <f t="shared" si="98"/>
        <v>181.6447118844261</v>
      </c>
      <c r="L215" s="118">
        <f t="shared" si="98"/>
        <v>548.14416355005051</v>
      </c>
      <c r="M215" s="118">
        <f t="shared" ref="M215" si="99">SUM(M213:M214)</f>
        <v>604.90650057009111</v>
      </c>
      <c r="N215" s="202"/>
      <c r="O215" s="202"/>
      <c r="P215" s="202"/>
    </row>
    <row r="216" spans="3:16" ht="15.75" customHeight="1" outlineLevel="1" x14ac:dyDescent="0.25">
      <c r="C216" s="85" t="s">
        <v>53</v>
      </c>
      <c r="D216" s="43" t="s">
        <v>91</v>
      </c>
      <c r="G216" s="88"/>
      <c r="H216" s="94"/>
      <c r="I216" s="94">
        <f t="shared" ref="I216:M216" si="100">I213*I200</f>
        <v>0</v>
      </c>
      <c r="J216" s="94">
        <f t="shared" si="100"/>
        <v>0</v>
      </c>
      <c r="K216" s="94">
        <f t="shared" si="100"/>
        <v>0</v>
      </c>
      <c r="L216" s="94">
        <f t="shared" si="100"/>
        <v>12.261018052198763</v>
      </c>
      <c r="M216" s="94">
        <f t="shared" si="100"/>
        <v>36.999731039628415</v>
      </c>
      <c r="N216" s="203"/>
      <c r="O216" s="203"/>
      <c r="P216" s="203"/>
    </row>
    <row r="217" spans="3:16" ht="15.75" customHeight="1" outlineLevel="1" x14ac:dyDescent="0.25">
      <c r="C217" s="224" t="s">
        <v>177</v>
      </c>
      <c r="D217" s="43" t="s">
        <v>91</v>
      </c>
      <c r="G217" s="88"/>
      <c r="H217" s="94"/>
      <c r="I217" s="94">
        <f>IF(I213&lt;$L$73,($L$73-I213)*$J$73,(I213-$L$73)*$K$73)</f>
        <v>1.875</v>
      </c>
      <c r="J217" s="94">
        <f t="shared" ref="J217:M217" si="101">IF(J213&lt;$L$73,($L$73-J213)*$J$73,(J213-$L$73)*$K$73)</f>
        <v>1.875</v>
      </c>
      <c r="K217" s="94">
        <f t="shared" si="101"/>
        <v>1.875</v>
      </c>
      <c r="L217" s="94">
        <f t="shared" si="101"/>
        <v>1.193832330433402</v>
      </c>
      <c r="M217" s="94">
        <f t="shared" si="101"/>
        <v>0.48144163550050506</v>
      </c>
      <c r="N217" s="203"/>
      <c r="O217" s="203"/>
      <c r="P217" s="203"/>
    </row>
    <row r="218" spans="3:16" ht="15.75" customHeight="1" outlineLevel="1" x14ac:dyDescent="0.25">
      <c r="C218" s="85"/>
      <c r="G218" s="88"/>
      <c r="H218" s="99"/>
      <c r="I218" s="99"/>
      <c r="J218" s="99"/>
      <c r="K218" s="99"/>
      <c r="L218" s="99"/>
      <c r="M218" s="99"/>
      <c r="N218" s="203"/>
      <c r="O218" s="203"/>
      <c r="P218" s="203"/>
    </row>
    <row r="219" spans="3:16" ht="15.75" customHeight="1" outlineLevel="1" x14ac:dyDescent="0.25">
      <c r="C219" s="9" t="s">
        <v>165</v>
      </c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203"/>
      <c r="O219" s="204"/>
      <c r="P219" s="203"/>
    </row>
    <row r="220" spans="3:16" ht="15.75" customHeight="1" outlineLevel="1" x14ac:dyDescent="0.25">
      <c r="C220" s="208" t="s">
        <v>164</v>
      </c>
      <c r="D220" s="43" t="s">
        <v>91</v>
      </c>
      <c r="G220" s="88"/>
      <c r="H220" s="94"/>
      <c r="I220" s="94">
        <f>H223</f>
        <v>9500</v>
      </c>
      <c r="J220" s="94">
        <f t="shared" ref="J220:M220" si="102">I223</f>
        <v>7441.8935940973179</v>
      </c>
      <c r="K220" s="94">
        <f t="shared" si="102"/>
        <v>6908.7969935788042</v>
      </c>
      <c r="L220" s="94">
        <f t="shared" si="102"/>
        <v>6813.7969935788042</v>
      </c>
      <c r="M220" s="94">
        <f t="shared" si="102"/>
        <v>6718.7969935788042</v>
      </c>
      <c r="N220" s="203"/>
      <c r="O220" s="203"/>
      <c r="P220" s="203"/>
    </row>
    <row r="221" spans="3:16" ht="15.75" customHeight="1" outlineLevel="1" x14ac:dyDescent="0.25">
      <c r="C221" s="98" t="s">
        <v>52</v>
      </c>
      <c r="D221" s="39" t="s">
        <v>91</v>
      </c>
      <c r="G221" s="88"/>
      <c r="H221" s="97"/>
      <c r="I221" s="97">
        <f>-MIN(I220,$H$223*$G$74)</f>
        <v>-95</v>
      </c>
      <c r="J221" s="97">
        <f>-MIN(J220,$H$223*$G$74)</f>
        <v>-95</v>
      </c>
      <c r="K221" s="97">
        <f>-MIN(K220,$H$223*$G$74)</f>
        <v>-95</v>
      </c>
      <c r="L221" s="97">
        <f>-MIN(L220,$H$223*$G$74)</f>
        <v>-95</v>
      </c>
      <c r="M221" s="97">
        <f>-MIN(M220,$H$223*$G$74)</f>
        <v>-95</v>
      </c>
      <c r="N221" s="203"/>
      <c r="O221" s="203"/>
      <c r="P221" s="203"/>
    </row>
    <row r="222" spans="3:16" ht="15.75" customHeight="1" outlineLevel="1" x14ac:dyDescent="0.25">
      <c r="C222" s="104" t="s">
        <v>75</v>
      </c>
      <c r="D222" s="40" t="s">
        <v>91</v>
      </c>
      <c r="G222" s="101"/>
      <c r="H222" s="143"/>
      <c r="I222" s="143">
        <f>IF((I211+I214)&gt;0,-MIN((I211+I214)*$H$74,SUM(I220:I221)),0)</f>
        <v>-1963.1064059026821</v>
      </c>
      <c r="J222" s="143">
        <f>IF((J211+J214)&gt;0,-MIN((J211+J214)*$H$74,SUM(J220:J221)),0)</f>
        <v>-438.09660051851398</v>
      </c>
      <c r="K222" s="143">
        <f>IF((K211+K214)&gt;0,-MIN((K211+K214)*$H$74,SUM(K220:K221)),0)</f>
        <v>0</v>
      </c>
      <c r="L222" s="143">
        <f>IF((L211+L214)&gt;0,-MIN((L211+L214)*$H$74,SUM(L220:L221)),0)</f>
        <v>0</v>
      </c>
      <c r="M222" s="143">
        <f>IF((M211+M214)&gt;0,-MIN((M211+M214)*$H$74,SUM(M220:M221)),0)</f>
        <v>0</v>
      </c>
      <c r="N222" s="203"/>
      <c r="O222" s="203"/>
      <c r="P222" s="203"/>
    </row>
    <row r="223" spans="3:16" ht="15.75" customHeight="1" outlineLevel="1" x14ac:dyDescent="0.25">
      <c r="C223" s="37" t="s">
        <v>166</v>
      </c>
      <c r="D223" s="43" t="s">
        <v>91</v>
      </c>
      <c r="E223" s="91"/>
      <c r="F223" s="91"/>
      <c r="H223" s="147">
        <f>D61</f>
        <v>9500</v>
      </c>
      <c r="I223" s="118">
        <f t="shared" ref="I223:M223" si="103">SUM(I220:I222)</f>
        <v>7441.8935940973179</v>
      </c>
      <c r="J223" s="118">
        <f t="shared" si="103"/>
        <v>6908.7969935788042</v>
      </c>
      <c r="K223" s="118">
        <f t="shared" si="103"/>
        <v>6813.7969935788042</v>
      </c>
      <c r="L223" s="118">
        <f t="shared" si="103"/>
        <v>6718.7969935788042</v>
      </c>
      <c r="M223" s="118">
        <f t="shared" si="103"/>
        <v>6623.7969935788042</v>
      </c>
      <c r="N223" s="203"/>
      <c r="O223" s="203"/>
      <c r="P223" s="203"/>
    </row>
    <row r="224" spans="3:16" ht="15.75" customHeight="1" outlineLevel="1" x14ac:dyDescent="0.25">
      <c r="C224" s="85" t="s">
        <v>53</v>
      </c>
      <c r="D224" s="43" t="s">
        <v>91</v>
      </c>
      <c r="G224" s="88"/>
      <c r="H224" s="94"/>
      <c r="I224" s="94">
        <f t="shared" ref="I224:M224" si="104">I220*I201</f>
        <v>752.08333333333326</v>
      </c>
      <c r="J224" s="94">
        <f t="shared" si="104"/>
        <v>589.14990953270433</v>
      </c>
      <c r="K224" s="94">
        <f t="shared" si="104"/>
        <v>546.94642865832202</v>
      </c>
      <c r="L224" s="94">
        <f t="shared" si="104"/>
        <v>539.42559532498865</v>
      </c>
      <c r="M224" s="94">
        <f t="shared" si="104"/>
        <v>531.90476199165528</v>
      </c>
      <c r="N224" s="203"/>
      <c r="O224" s="203"/>
      <c r="P224" s="203"/>
    </row>
    <row r="225" spans="3:16" ht="15.75" customHeight="1" outlineLevel="1" x14ac:dyDescent="0.25">
      <c r="C225" s="85"/>
      <c r="G225" s="88"/>
      <c r="H225" s="38"/>
      <c r="I225" s="237"/>
      <c r="J225" s="38"/>
      <c r="K225" s="38"/>
      <c r="L225" s="38"/>
      <c r="M225" s="38"/>
      <c r="N225" s="203"/>
      <c r="O225" s="203"/>
      <c r="P225" s="203"/>
    </row>
    <row r="226" spans="3:16" ht="15.75" customHeight="1" outlineLevel="1" x14ac:dyDescent="0.25">
      <c r="C226" s="9" t="s">
        <v>163</v>
      </c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203"/>
      <c r="O226" s="203"/>
      <c r="P226" s="203"/>
    </row>
    <row r="227" spans="3:16" ht="15.75" customHeight="1" outlineLevel="1" x14ac:dyDescent="0.25">
      <c r="C227" s="208" t="s">
        <v>167</v>
      </c>
      <c r="D227" s="43" t="s">
        <v>91</v>
      </c>
      <c r="G227" s="88"/>
      <c r="H227" s="94"/>
      <c r="I227" s="94">
        <f>H230</f>
        <v>12499.999999999995</v>
      </c>
      <c r="J227" s="94">
        <f t="shared" ref="J227:L227" si="105">I230</f>
        <v>11874.999999999995</v>
      </c>
      <c r="K227" s="94">
        <f t="shared" si="105"/>
        <v>11249.999999999995</v>
      </c>
      <c r="L227" s="94">
        <f t="shared" si="105"/>
        <v>10624.999999999995</v>
      </c>
      <c r="M227" s="94">
        <f t="shared" ref="M227" si="106">L230</f>
        <v>9999.9999999999945</v>
      </c>
      <c r="N227" s="203"/>
      <c r="O227" s="203"/>
      <c r="P227" s="203"/>
    </row>
    <row r="228" spans="3:16" ht="15.75" customHeight="1" outlineLevel="1" x14ac:dyDescent="0.25">
      <c r="C228" s="98" t="s">
        <v>52</v>
      </c>
      <c r="D228" s="39" t="s">
        <v>91</v>
      </c>
      <c r="G228" s="88"/>
      <c r="H228" s="97"/>
      <c r="I228" s="97">
        <f>-MIN(I227,$H$230*$G$75)</f>
        <v>-624.99999999999977</v>
      </c>
      <c r="J228" s="97">
        <f>-MIN(J227,$H$230*$G$75)</f>
        <v>-624.99999999999977</v>
      </c>
      <c r="K228" s="97">
        <f>-MIN(K227,$H$230*$G$75)</f>
        <v>-624.99999999999977</v>
      </c>
      <c r="L228" s="97">
        <f>-MIN(L227,$H$230*$G$75)</f>
        <v>-624.99999999999977</v>
      </c>
      <c r="M228" s="97">
        <f>-MIN(M227,$H$230*$G$75)</f>
        <v>-624.99999999999977</v>
      </c>
      <c r="N228" s="203"/>
      <c r="O228" s="203"/>
      <c r="P228" s="203"/>
    </row>
    <row r="229" spans="3:16" ht="15.75" customHeight="1" outlineLevel="1" x14ac:dyDescent="0.25">
      <c r="C229" s="104" t="s">
        <v>75</v>
      </c>
      <c r="D229" s="40" t="s">
        <v>91</v>
      </c>
      <c r="G229" s="101"/>
      <c r="H229" s="143"/>
      <c r="I229" s="143">
        <f>IF((I$211+I$214+I$222)&gt;0,-MIN((I$211+I$214+I$222)*$H$75,SUM(I227:I228)),0)</f>
        <v>0</v>
      </c>
      <c r="J229" s="143">
        <f>IF((J$211+J$214+J$222)&gt;0,-MIN((J$211+J$214+J$222)*$H$75,SUM(J227:J228)),0)</f>
        <v>0</v>
      </c>
      <c r="K229" s="143">
        <f>IF((K$211+K$214+K$222)&gt;0,-MIN((K$211+K$214+K$222)*$H$75,SUM(K227:K228)),0)</f>
        <v>0</v>
      </c>
      <c r="L229" s="143">
        <f>IF((L$211+L$214+L$222)&gt;0,-MIN((L$211+L$214+L$222)*$H$75,SUM(L227:L228)),0)</f>
        <v>0</v>
      </c>
      <c r="M229" s="143">
        <f>IF((M$211+M$214+M$222)&gt;0,-MIN((M$211+M$214+M$222)*$H$75,SUM(M227:M228)),0)</f>
        <v>0</v>
      </c>
      <c r="N229" s="203"/>
      <c r="O229" s="203"/>
      <c r="P229" s="203"/>
    </row>
    <row r="230" spans="3:16" ht="15.75" customHeight="1" outlineLevel="1" x14ac:dyDescent="0.25">
      <c r="C230" s="37" t="s">
        <v>168</v>
      </c>
      <c r="D230" s="43" t="s">
        <v>91</v>
      </c>
      <c r="E230" s="91"/>
      <c r="F230" s="91"/>
      <c r="H230" s="147">
        <f>D62</f>
        <v>12499.999999999995</v>
      </c>
      <c r="I230" s="118">
        <f t="shared" ref="I230:M230" si="107">SUM(I227:I229)</f>
        <v>11874.999999999995</v>
      </c>
      <c r="J230" s="118">
        <f t="shared" si="107"/>
        <v>11249.999999999995</v>
      </c>
      <c r="K230" s="118">
        <f t="shared" si="107"/>
        <v>10624.999999999995</v>
      </c>
      <c r="L230" s="118">
        <f t="shared" si="107"/>
        <v>9999.9999999999945</v>
      </c>
      <c r="M230" s="118">
        <f t="shared" si="107"/>
        <v>9374.9999999999945</v>
      </c>
      <c r="N230" s="203"/>
      <c r="O230" s="203"/>
      <c r="P230" s="203"/>
    </row>
    <row r="231" spans="3:16" ht="15.75" customHeight="1" outlineLevel="1" x14ac:dyDescent="0.25">
      <c r="C231" s="85" t="s">
        <v>53</v>
      </c>
      <c r="D231" s="43" t="s">
        <v>91</v>
      </c>
      <c r="G231" s="88"/>
      <c r="H231" s="94"/>
      <c r="I231" s="94">
        <f t="shared" ref="I231:L231" si="108">I227*I202</f>
        <v>687.49999999999966</v>
      </c>
      <c r="J231" s="94">
        <f t="shared" si="108"/>
        <v>653.12499999999966</v>
      </c>
      <c r="K231" s="94">
        <f t="shared" si="108"/>
        <v>618.74999999999966</v>
      </c>
      <c r="L231" s="94">
        <f t="shared" si="108"/>
        <v>584.37499999999966</v>
      </c>
      <c r="M231" s="94">
        <f t="shared" ref="M231" si="109">M227*M202</f>
        <v>549.99999999999966</v>
      </c>
      <c r="N231" s="203"/>
      <c r="O231" s="203"/>
      <c r="P231" s="203"/>
    </row>
    <row r="232" spans="3:16" ht="15.75" customHeight="1" outlineLevel="1" x14ac:dyDescent="0.25">
      <c r="C232" s="85"/>
      <c r="G232" s="88"/>
      <c r="H232" s="38"/>
      <c r="I232" s="237"/>
      <c r="J232" s="38"/>
      <c r="K232" s="38"/>
      <c r="L232" s="38"/>
      <c r="M232" s="38"/>
      <c r="N232" s="203"/>
      <c r="O232" s="203"/>
      <c r="P232" s="203"/>
    </row>
    <row r="233" spans="3:16" ht="15.75" customHeight="1" outlineLevel="1" x14ac:dyDescent="0.25">
      <c r="C233" s="9" t="s">
        <v>172</v>
      </c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203"/>
      <c r="O233" s="203"/>
      <c r="P233" s="203"/>
    </row>
    <row r="234" spans="3:16" ht="15.75" customHeight="1" outlineLevel="1" x14ac:dyDescent="0.25">
      <c r="C234" s="208" t="s">
        <v>173</v>
      </c>
      <c r="D234" s="43" t="s">
        <v>91</v>
      </c>
      <c r="G234" s="88"/>
      <c r="H234" s="94"/>
      <c r="I234" s="94">
        <f>H237</f>
        <v>3000</v>
      </c>
      <c r="J234" s="94">
        <f t="shared" ref="J234:M234" si="110">I237</f>
        <v>3000</v>
      </c>
      <c r="K234" s="94">
        <f t="shared" si="110"/>
        <v>3000</v>
      </c>
      <c r="L234" s="94">
        <f t="shared" si="110"/>
        <v>3000</v>
      </c>
      <c r="M234" s="94">
        <f t="shared" si="110"/>
        <v>3000</v>
      </c>
      <c r="N234" s="203"/>
      <c r="O234" s="204"/>
      <c r="P234" s="203"/>
    </row>
    <row r="235" spans="3:16" ht="15.75" customHeight="1" outlineLevel="1" x14ac:dyDescent="0.25">
      <c r="C235" s="98" t="s">
        <v>52</v>
      </c>
      <c r="D235" s="43" t="s">
        <v>91</v>
      </c>
      <c r="G235" s="88"/>
      <c r="H235" s="94"/>
      <c r="I235" s="94">
        <f>-MIN(I234,$H$237*$G$76)</f>
        <v>0</v>
      </c>
      <c r="J235" s="94">
        <f>-MIN(J234,$H$237*$G$76)</f>
        <v>0</v>
      </c>
      <c r="K235" s="94">
        <f>-MIN(K234,$H$237*$G$76)</f>
        <v>0</v>
      </c>
      <c r="L235" s="94">
        <f>-MIN(L234,$H$237*$G$76)</f>
        <v>0</v>
      </c>
      <c r="M235" s="94">
        <f>-MIN(M234,$H$237*$G$76)</f>
        <v>0</v>
      </c>
      <c r="N235" s="203"/>
      <c r="O235" s="204"/>
      <c r="P235" s="203"/>
    </row>
    <row r="236" spans="3:16" ht="15.75" customHeight="1" outlineLevel="1" x14ac:dyDescent="0.25">
      <c r="C236" s="104" t="s">
        <v>75</v>
      </c>
      <c r="D236" s="40" t="s">
        <v>91</v>
      </c>
      <c r="G236" s="101"/>
      <c r="H236" s="143"/>
      <c r="I236" s="143">
        <f>IF((I$211+I$214+I$222+I$229)&gt;0,-MIN((I$211+I$214+I$222+I$229)*$H$76,SUM(I234:I235)),0)</f>
        <v>0</v>
      </c>
      <c r="J236" s="143">
        <f>IF((J$211+J$214+J$222+J$229)&gt;0,-MIN((J$211+J$214+J$222+J$229)*$H$76,SUM(J234:J235)),0)</f>
        <v>0</v>
      </c>
      <c r="K236" s="143">
        <f>IF((K$211+K$214+K$222+K$229)&gt;0,-MIN((K$211+K$214+K$222+K$229)*$H$76,SUM(K234:K235)),0)</f>
        <v>0</v>
      </c>
      <c r="L236" s="143">
        <f>IF((L$211+L$214+L$222+L$229)&gt;0,-MIN((L$211+L$214+L$222+L$229)*$H$76,SUM(L234:L235)),0)</f>
        <v>0</v>
      </c>
      <c r="M236" s="143">
        <f>IF((M$211+M$214+M$222+M$229)&gt;0,-MIN((M$211+M$214+M$222+M$229)*$H$76,SUM(M234:M235)),0)</f>
        <v>0</v>
      </c>
      <c r="N236" s="203"/>
      <c r="O236" s="203"/>
      <c r="P236" s="203"/>
    </row>
    <row r="237" spans="3:16" ht="15.75" customHeight="1" outlineLevel="1" x14ac:dyDescent="0.25">
      <c r="C237" s="37" t="s">
        <v>174</v>
      </c>
      <c r="D237" s="43" t="s">
        <v>91</v>
      </c>
      <c r="E237" s="91"/>
      <c r="F237" s="91"/>
      <c r="H237" s="147">
        <f>D63</f>
        <v>3000</v>
      </c>
      <c r="I237" s="118">
        <f t="shared" ref="I237:L237" si="111">SUM(I234:I236)</f>
        <v>3000</v>
      </c>
      <c r="J237" s="118">
        <f t="shared" si="111"/>
        <v>3000</v>
      </c>
      <c r="K237" s="118">
        <f t="shared" si="111"/>
        <v>3000</v>
      </c>
      <c r="L237" s="118">
        <f t="shared" si="111"/>
        <v>3000</v>
      </c>
      <c r="M237" s="118">
        <f t="shared" ref="M237" si="112">SUM(M234:M236)</f>
        <v>3000</v>
      </c>
      <c r="N237" s="203"/>
      <c r="O237" s="203"/>
      <c r="P237" s="203"/>
    </row>
    <row r="238" spans="3:16" ht="15.75" customHeight="1" outlineLevel="1" x14ac:dyDescent="0.25">
      <c r="C238" s="85" t="s">
        <v>53</v>
      </c>
      <c r="D238" s="43" t="s">
        <v>91</v>
      </c>
      <c r="G238" s="88"/>
      <c r="H238" s="94"/>
      <c r="I238" s="94">
        <f t="shared" ref="I238:L238" si="113">I234*I203</f>
        <v>375</v>
      </c>
      <c r="J238" s="94">
        <f t="shared" si="113"/>
        <v>375</v>
      </c>
      <c r="K238" s="94">
        <f t="shared" si="113"/>
        <v>375</v>
      </c>
      <c r="L238" s="94">
        <f t="shared" si="113"/>
        <v>375</v>
      </c>
      <c r="M238" s="94">
        <f t="shared" ref="M238" si="114">M234*M203</f>
        <v>375</v>
      </c>
      <c r="N238" s="203"/>
      <c r="O238" s="203"/>
      <c r="P238" s="203"/>
    </row>
    <row r="239" spans="3:16" ht="15.75" customHeight="1" outlineLevel="1" x14ac:dyDescent="0.25">
      <c r="C239" s="85"/>
      <c r="G239" s="88"/>
      <c r="H239" s="94"/>
      <c r="I239" s="94"/>
      <c r="J239" s="94"/>
      <c r="K239" s="94"/>
      <c r="L239" s="94"/>
      <c r="M239" s="94"/>
      <c r="N239" s="203"/>
      <c r="O239" s="203"/>
      <c r="P239" s="203"/>
    </row>
    <row r="240" spans="3:16" ht="15.75" customHeight="1" outlineLevel="1" x14ac:dyDescent="0.25">
      <c r="C240" s="9" t="s">
        <v>30</v>
      </c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203"/>
      <c r="O240" s="203"/>
      <c r="P240" s="203"/>
    </row>
    <row r="241" spans="2:16" ht="15.75" customHeight="1" outlineLevel="1" x14ac:dyDescent="0.25">
      <c r="C241" s="85" t="s">
        <v>24</v>
      </c>
      <c r="D241" s="43" t="s">
        <v>91</v>
      </c>
      <c r="G241" s="88"/>
      <c r="H241" s="94"/>
      <c r="I241" s="94">
        <f t="shared" ref="I241:L241" si="115">I214+I221+I222+I228+I229+I235+I236</f>
        <v>-2683.1064059026821</v>
      </c>
      <c r="J241" s="94">
        <f t="shared" si="115"/>
        <v>-1158.0966005185137</v>
      </c>
      <c r="K241" s="94">
        <f t="shared" si="115"/>
        <v>-538.35528811557367</v>
      </c>
      <c r="L241" s="94">
        <f t="shared" si="115"/>
        <v>-353.50054833437537</v>
      </c>
      <c r="M241" s="94">
        <f t="shared" ref="M241" si="116">M214+M221+M222+M228+M229+M235+M236</f>
        <v>-663.23766297995917</v>
      </c>
      <c r="N241" s="203"/>
      <c r="O241" s="203"/>
      <c r="P241" s="203"/>
    </row>
    <row r="242" spans="2:16" ht="15.75" customHeight="1" outlineLevel="1" x14ac:dyDescent="0.25">
      <c r="C242" s="85" t="s">
        <v>53</v>
      </c>
      <c r="D242" s="43" t="s">
        <v>91</v>
      </c>
      <c r="G242" s="88"/>
      <c r="H242" s="94"/>
      <c r="I242" s="94">
        <f t="shared" ref="I242:L242" si="117">-I216-I224-I231-I238</f>
        <v>-1814.583333333333</v>
      </c>
      <c r="J242" s="94">
        <f t="shared" si="117"/>
        <v>-1617.274909532704</v>
      </c>
      <c r="K242" s="94">
        <f t="shared" si="117"/>
        <v>-1540.6964286583216</v>
      </c>
      <c r="L242" s="94">
        <f t="shared" si="117"/>
        <v>-1511.0616133771871</v>
      </c>
      <c r="M242" s="94">
        <f t="shared" ref="M242" si="118">-M216-M224-M231-M238</f>
        <v>-1493.9044930312834</v>
      </c>
      <c r="N242" s="203"/>
      <c r="O242" s="203"/>
      <c r="P242" s="203"/>
    </row>
    <row r="243" spans="2:16" ht="15.75" customHeight="1" outlineLevel="1" x14ac:dyDescent="0.25">
      <c r="C243" s="85" t="s">
        <v>57</v>
      </c>
      <c r="D243" s="43" t="s">
        <v>91</v>
      </c>
      <c r="G243" s="88"/>
      <c r="H243" s="94">
        <f t="shared" ref="H243:M243" si="119">H186*H204</f>
        <v>175.826255</v>
      </c>
      <c r="I243" s="94">
        <f t="shared" si="119"/>
        <v>165</v>
      </c>
      <c r="J243" s="94">
        <f t="shared" si="119"/>
        <v>70.456185370860155</v>
      </c>
      <c r="K243" s="94">
        <f t="shared" si="119"/>
        <v>31.178912049960434</v>
      </c>
      <c r="L243" s="94">
        <f t="shared" si="119"/>
        <v>21.509384421031857</v>
      </c>
      <c r="M243" s="94">
        <f t="shared" si="119"/>
        <v>23.56341359027774</v>
      </c>
      <c r="N243" s="203"/>
      <c r="O243" s="203"/>
      <c r="P243" s="203"/>
    </row>
    <row r="244" spans="2:16" ht="15.75" customHeight="1" outlineLevel="1" x14ac:dyDescent="0.25">
      <c r="N244" s="203"/>
      <c r="O244" s="203"/>
      <c r="P244" s="203"/>
    </row>
    <row r="245" spans="2:16" ht="15.75" customHeight="1" outlineLevel="1" x14ac:dyDescent="0.25">
      <c r="C245" s="9" t="s">
        <v>116</v>
      </c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203"/>
      <c r="O245" s="203"/>
      <c r="P245" s="203"/>
    </row>
    <row r="246" spans="2:16" ht="15.75" customHeight="1" outlineLevel="1" x14ac:dyDescent="0.25">
      <c r="C246" s="112" t="s">
        <v>100</v>
      </c>
      <c r="D246" s="43" t="s">
        <v>42</v>
      </c>
      <c r="H246" s="77"/>
      <c r="I246" s="77">
        <f>(I215+I223+I230+I237)/I149</f>
        <v>11.749781802061522</v>
      </c>
      <c r="J246" s="77">
        <f>(J215+J223+J230+J237)/J149</f>
        <v>9.036764607214721</v>
      </c>
      <c r="K246" s="77">
        <f>(K215+K223+K230+K237)/K149</f>
        <v>7.3999359220548788</v>
      </c>
      <c r="L246" s="77">
        <f>(L215+L223+L230+L237)/L149</f>
        <v>6.2867927588815764</v>
      </c>
      <c r="M246" s="77">
        <f>(M215+M223+M230+M237)/M149</f>
        <v>5.3582419487628803</v>
      </c>
      <c r="N246" s="203"/>
      <c r="O246" s="203"/>
      <c r="P246" s="203"/>
    </row>
    <row r="247" spans="2:16" ht="15.75" customHeight="1" outlineLevel="1" x14ac:dyDescent="0.25">
      <c r="C247" s="112" t="s">
        <v>102</v>
      </c>
      <c r="D247" s="43" t="s">
        <v>42</v>
      </c>
      <c r="H247" s="77"/>
      <c r="I247" s="77">
        <f>(I215+I223)/I149</f>
        <v>3.9181360773226253</v>
      </c>
      <c r="J247" s="77">
        <f>(J215+J223)/J149</f>
        <v>2.9506957398831046</v>
      </c>
      <c r="K247" s="77">
        <f>(K215+K223)/K149</f>
        <v>2.5104127790426163</v>
      </c>
      <c r="L247" s="77">
        <f>(L215+L223)/L149</f>
        <v>2.254200705062309</v>
      </c>
      <c r="M247" s="77">
        <f>(M215+M223)/M149</f>
        <v>1.9758073931835423</v>
      </c>
      <c r="N247" s="203"/>
      <c r="O247" s="203"/>
      <c r="P247" s="203"/>
    </row>
    <row r="248" spans="2:16" ht="15.75" customHeight="1" outlineLevel="1" x14ac:dyDescent="0.25">
      <c r="C248" s="112" t="s">
        <v>101</v>
      </c>
      <c r="D248" s="43" t="s">
        <v>42</v>
      </c>
      <c r="H248" s="77"/>
      <c r="I248" s="77">
        <f>-I149/I242</f>
        <v>1.0467115668586657</v>
      </c>
      <c r="J248" s="77">
        <f>-J149/J242</f>
        <v>1.4477519316748211</v>
      </c>
      <c r="K248" s="77">
        <f>-K149/K242</f>
        <v>1.8086433212929356</v>
      </c>
      <c r="L248" s="77">
        <f>-L149/L242</f>
        <v>2.1334225896300789</v>
      </c>
      <c r="M248" s="77">
        <f>-M149/M242</f>
        <v>2.4490236082447319</v>
      </c>
      <c r="N248" s="203"/>
      <c r="O248" s="203"/>
      <c r="P248" s="203"/>
    </row>
    <row r="249" spans="2:16" ht="15.75" customHeight="1" outlineLevel="1" x14ac:dyDescent="0.25">
      <c r="N249" s="203"/>
      <c r="O249" s="203"/>
      <c r="P249" s="203"/>
    </row>
    <row r="250" spans="2:16" ht="15.75" customHeight="1" outlineLevel="1" x14ac:dyDescent="0.25">
      <c r="C250" s="148" t="s">
        <v>103</v>
      </c>
      <c r="D250" s="43" t="s">
        <v>26</v>
      </c>
      <c r="E250" s="42">
        <f t="shared" ref="E250:M250" si="120">E184/E149</f>
        <v>2.2294253547808576</v>
      </c>
      <c r="F250" s="42">
        <f t="shared" si="120"/>
        <v>-2.0934452461026956</v>
      </c>
      <c r="G250" s="42">
        <f t="shared" si="120"/>
        <v>-0.33921326469473445</v>
      </c>
      <c r="H250" s="42">
        <f t="shared" si="120"/>
        <v>0.76330313769394076</v>
      </c>
      <c r="I250" s="42">
        <f t="shared" si="120"/>
        <v>-0.39742666289041284</v>
      </c>
      <c r="J250" s="42">
        <f t="shared" si="120"/>
        <v>-0.11538669101907252</v>
      </c>
      <c r="K250" s="42">
        <f t="shared" si="120"/>
        <v>6.7012880033283373E-2</v>
      </c>
      <c r="L250" s="42">
        <f t="shared" si="120"/>
        <v>0.13282505739202163</v>
      </c>
      <c r="M250" s="42">
        <f t="shared" si="120"/>
        <v>0.19931354406878243</v>
      </c>
      <c r="N250" s="203"/>
      <c r="O250" s="204"/>
      <c r="P250" s="203"/>
    </row>
    <row r="251" spans="2:16" ht="15.75" customHeight="1" outlineLevel="1" x14ac:dyDescent="0.25">
      <c r="C251" s="148" t="s">
        <v>104</v>
      </c>
      <c r="D251" s="43" t="s">
        <v>26</v>
      </c>
      <c r="E251" s="42"/>
      <c r="F251" s="42"/>
      <c r="G251" s="42"/>
      <c r="H251" s="42"/>
      <c r="I251" s="42">
        <f>I184/Sponsor_Equity</f>
        <v>-3.9205513612989115E-2</v>
      </c>
      <c r="J251" s="42">
        <f>J184/Sponsor_Equity</f>
        <v>-1.4032011363390625E-2</v>
      </c>
      <c r="K251" s="42">
        <f>K184/Sponsor_Equity</f>
        <v>9.6987216323561089E-3</v>
      </c>
      <c r="L251" s="42">
        <f>L184/Sponsor_Equity</f>
        <v>2.2239513423318386E-2</v>
      </c>
      <c r="M251" s="42">
        <f>M184/Sponsor_Equity</f>
        <v>3.7873794925460592E-2</v>
      </c>
      <c r="N251" s="203"/>
      <c r="O251" s="203"/>
      <c r="P251" s="203"/>
    </row>
    <row r="252" spans="2:16" ht="15.75" customHeight="1" outlineLevel="1" x14ac:dyDescent="0.25">
      <c r="N252" s="202"/>
      <c r="O252" s="202"/>
      <c r="P252" s="202"/>
    </row>
    <row r="253" spans="2:16" ht="15.75" customHeight="1" outlineLevel="1" x14ac:dyDescent="0.25">
      <c r="C253" s="152" t="s">
        <v>111</v>
      </c>
      <c r="D253" s="43" t="s">
        <v>26</v>
      </c>
      <c r="E253" s="200">
        <f>SUM(E192:E193)</f>
        <v>11213.186000000002</v>
      </c>
      <c r="F253" s="200">
        <f t="shared" ref="F253:G253" si="121">SUM(F192:F193)</f>
        <v>11456.82</v>
      </c>
      <c r="G253" s="94">
        <f t="shared" si="121"/>
        <v>11597.199000000001</v>
      </c>
      <c r="H253" s="94">
        <f>H193+H192</f>
        <v>48076.056128914555</v>
      </c>
      <c r="I253" s="94">
        <f t="shared" ref="I253:M253" si="122">I193+I192</f>
        <v>45074.284263445275</v>
      </c>
      <c r="J253" s="94">
        <f t="shared" si="122"/>
        <v>43943.644907244961</v>
      </c>
      <c r="K253" s="94">
        <f t="shared" si="122"/>
        <v>43747.10807432139</v>
      </c>
      <c r="L253" s="94">
        <f t="shared" si="122"/>
        <v>44046.948774042758</v>
      </c>
      <c r="M253" s="94">
        <f t="shared" si="122"/>
        <v>44358.963995972576</v>
      </c>
      <c r="N253" s="202"/>
      <c r="O253" s="202"/>
      <c r="P253" s="202"/>
    </row>
    <row r="254" spans="2:16" ht="15.75" customHeight="1" outlineLevel="1" x14ac:dyDescent="0.25">
      <c r="C254" s="152" t="s">
        <v>110</v>
      </c>
      <c r="D254" s="43" t="s">
        <v>26</v>
      </c>
      <c r="E254" s="42">
        <f>(E135-E133)*(1-Tax_Rate)/AVERAGE(E253,6805.594+897.328+1730.922)</f>
        <v>2.6616879037808312E-2</v>
      </c>
      <c r="F254" s="42">
        <f t="shared" ref="F254:M254" si="123">(F135-F133)*(1-Tax_Rate)/AVERAGE(E253,F253)</f>
        <v>1.7638724930200658E-3</v>
      </c>
      <c r="G254" s="42">
        <f t="shared" si="123"/>
        <v>1.7760157133556595E-2</v>
      </c>
      <c r="H254" s="42">
        <f t="shared" si="123"/>
        <v>2.2929843324649951E-2</v>
      </c>
      <c r="I254" s="42">
        <f t="shared" si="123"/>
        <v>1.9564123839766273E-2</v>
      </c>
      <c r="J254" s="42">
        <f t="shared" si="123"/>
        <v>2.6517166947780432E-2</v>
      </c>
      <c r="K254" s="42">
        <f t="shared" si="123"/>
        <v>3.3450207688362064E-2</v>
      </c>
      <c r="L254" s="42">
        <f t="shared" si="123"/>
        <v>4.0154765924713884E-2</v>
      </c>
      <c r="M254" s="42">
        <f t="shared" si="123"/>
        <v>4.6821390515906294E-2</v>
      </c>
      <c r="N254" s="202"/>
      <c r="O254" s="202"/>
      <c r="P254" s="202"/>
    </row>
    <row r="255" spans="2:16" ht="15.75" customHeight="1" x14ac:dyDescent="0.25">
      <c r="N255" s="202"/>
      <c r="O255" s="202"/>
      <c r="P255" s="202"/>
    </row>
    <row r="256" spans="2:16" ht="15.75" customHeight="1" x14ac:dyDescent="0.25">
      <c r="B256" s="22"/>
      <c r="C256" s="23"/>
      <c r="D256" s="24"/>
      <c r="E256" s="14" t="str">
        <f>$E$84</f>
        <v>Historical</v>
      </c>
      <c r="F256" s="15"/>
      <c r="G256" s="15"/>
      <c r="H256" s="16" t="str">
        <f>$H$84</f>
        <v>Projected</v>
      </c>
      <c r="I256" s="17"/>
      <c r="J256" s="15"/>
      <c r="K256" s="15"/>
      <c r="L256" s="15"/>
      <c r="M256" s="15"/>
      <c r="N256" s="15"/>
      <c r="O256" s="15"/>
    </row>
    <row r="257" spans="2:16" ht="15.75" customHeight="1" x14ac:dyDescent="0.25">
      <c r="B257" s="4" t="s">
        <v>59</v>
      </c>
      <c r="C257" s="5"/>
      <c r="D257" s="32" t="str">
        <f>$D$5</f>
        <v>Units:</v>
      </c>
      <c r="E257" s="1">
        <f>$E$85</f>
        <v>43830</v>
      </c>
      <c r="F257" s="1">
        <f>$F$85</f>
        <v>44196</v>
      </c>
      <c r="G257" s="2">
        <f>$G$85</f>
        <v>44561</v>
      </c>
      <c r="H257" s="48">
        <f>$H$85</f>
        <v>44926</v>
      </c>
      <c r="I257" s="1">
        <f>$I$85</f>
        <v>45291</v>
      </c>
      <c r="J257" s="1">
        <f>$J$85</f>
        <v>45657</v>
      </c>
      <c r="K257" s="1">
        <f>$K$85</f>
        <v>46022</v>
      </c>
      <c r="L257" s="1">
        <f>$L$85</f>
        <v>46387</v>
      </c>
      <c r="M257" s="1">
        <f>$M$85</f>
        <v>46752</v>
      </c>
      <c r="N257" s="1">
        <f t="shared" ref="N257:O257" si="124">EOMONTH(M257,12)</f>
        <v>47118</v>
      </c>
      <c r="O257" s="1">
        <f t="shared" si="124"/>
        <v>47483</v>
      </c>
    </row>
    <row r="258" spans="2:16" ht="15.75" customHeight="1" outlineLevel="1" x14ac:dyDescent="0.25">
      <c r="G258" s="91"/>
    </row>
    <row r="259" spans="2:16" ht="15.75" customHeight="1" outlineLevel="1" x14ac:dyDescent="0.25">
      <c r="C259" s="3" t="s">
        <v>17</v>
      </c>
      <c r="D259" s="43" t="s">
        <v>91</v>
      </c>
      <c r="G259" s="88"/>
      <c r="H259" s="126"/>
      <c r="I259" s="126"/>
      <c r="J259" s="126"/>
      <c r="K259" s="126"/>
      <c r="M259" s="126">
        <f>M149</f>
        <v>3658.6073718964903</v>
      </c>
      <c r="N259" s="137"/>
      <c r="O259" s="137"/>
    </row>
    <row r="260" spans="2:16" ht="15.75" customHeight="1" outlineLevel="1" x14ac:dyDescent="0.25">
      <c r="C260" s="85" t="s">
        <v>38</v>
      </c>
      <c r="D260" s="40" t="s">
        <v>42</v>
      </c>
      <c r="G260" s="88"/>
      <c r="H260" s="153"/>
      <c r="I260" s="153"/>
      <c r="J260" s="153"/>
      <c r="K260" s="153"/>
      <c r="L260" s="227"/>
      <c r="M260" s="155">
        <f>Exit_Multiple</f>
        <v>25</v>
      </c>
    </row>
    <row r="261" spans="2:16" ht="15.75" customHeight="1" outlineLevel="1" x14ac:dyDescent="0.25">
      <c r="C261" s="30" t="s">
        <v>40</v>
      </c>
      <c r="D261" s="43" t="s">
        <v>91</v>
      </c>
      <c r="E261" s="91"/>
      <c r="F261" s="91"/>
      <c r="G261" s="91"/>
      <c r="H261" s="69"/>
      <c r="I261" s="69"/>
      <c r="J261" s="69"/>
      <c r="K261" s="69"/>
      <c r="M261" s="114">
        <f>M259*M260</f>
        <v>91465.184297412256</v>
      </c>
      <c r="N261" s="109"/>
      <c r="O261" s="109"/>
    </row>
    <row r="262" spans="2:16" ht="15.75" customHeight="1" outlineLevel="1" x14ac:dyDescent="0.25">
      <c r="C262" s="87" t="s">
        <v>6</v>
      </c>
      <c r="D262" s="39" t="s">
        <v>91</v>
      </c>
      <c r="E262" s="88"/>
      <c r="F262" s="88"/>
      <c r="G262" s="88"/>
      <c r="H262" s="102"/>
      <c r="I262" s="102"/>
      <c r="J262" s="102"/>
      <c r="K262" s="102"/>
      <c r="L262" s="101"/>
      <c r="M262" s="97">
        <f>-M193+M190+M160*Tax_Rate</f>
        <v>-18680.879752197157</v>
      </c>
      <c r="N262" s="109"/>
      <c r="O262" s="109"/>
    </row>
    <row r="263" spans="2:16" ht="15.75" customHeight="1" outlineLevel="1" x14ac:dyDescent="0.25">
      <c r="C263" s="142" t="s">
        <v>39</v>
      </c>
      <c r="D263" s="121" t="s">
        <v>91</v>
      </c>
      <c r="E263" s="91"/>
      <c r="F263" s="91"/>
      <c r="G263" s="91"/>
      <c r="H263" s="69"/>
      <c r="I263" s="69"/>
      <c r="J263" s="69"/>
      <c r="K263" s="69"/>
      <c r="M263" s="114">
        <f>SUM(M261:M262)</f>
        <v>72784.304545215098</v>
      </c>
      <c r="N263" s="109"/>
      <c r="O263" s="109"/>
    </row>
    <row r="264" spans="2:16" ht="15.75" customHeight="1" outlineLevel="1" x14ac:dyDescent="0.25">
      <c r="G264" s="88"/>
      <c r="N264" s="109"/>
      <c r="O264" s="109"/>
    </row>
    <row r="265" spans="2:16" ht="15.75" customHeight="1" outlineLevel="1" x14ac:dyDescent="0.25">
      <c r="C265" s="9" t="s">
        <v>189</v>
      </c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2:16" ht="15.75" customHeight="1" outlineLevel="1" x14ac:dyDescent="0.25">
      <c r="C266" s="154" t="s">
        <v>113</v>
      </c>
      <c r="D266" s="39" t="s">
        <v>91</v>
      </c>
      <c r="E266" s="94"/>
      <c r="F266" s="94"/>
      <c r="G266" s="97">
        <f>-Rollover_Cost_Basis</f>
        <v>-2559.0263300000001</v>
      </c>
      <c r="H266" s="97">
        <f>-Sponsor_Equity</f>
        <v>-19253.681947743062</v>
      </c>
      <c r="I266" s="94"/>
      <c r="J266" s="94"/>
      <c r="K266" s="94"/>
      <c r="L266" s="94"/>
      <c r="M266" s="94"/>
      <c r="N266" s="158"/>
      <c r="O266" s="158"/>
    </row>
    <row r="267" spans="2:16" ht="15.75" customHeight="1" outlineLevel="1" x14ac:dyDescent="0.25">
      <c r="C267" s="157" t="s">
        <v>114</v>
      </c>
      <c r="D267" s="39" t="s">
        <v>91</v>
      </c>
      <c r="E267" s="143"/>
      <c r="F267" s="143"/>
      <c r="G267" s="143"/>
      <c r="H267" s="143"/>
      <c r="I267" s="143"/>
      <c r="J267" s="143"/>
      <c r="K267" s="143"/>
      <c r="L267" s="177"/>
      <c r="M267" s="143">
        <f>$M$263*IPO_Pct_Stake</f>
        <v>24261.434848405032</v>
      </c>
      <c r="N267" s="143">
        <f>$M$263*IPO_Pct_Stake</f>
        <v>24261.434848405032</v>
      </c>
      <c r="O267" s="143">
        <f>$M$263*IPO_Pct_Stake</f>
        <v>24261.434848405032</v>
      </c>
    </row>
    <row r="268" spans="2:16" ht="15.75" customHeight="1" outlineLevel="1" x14ac:dyDescent="0.25">
      <c r="C268" s="156" t="s">
        <v>115</v>
      </c>
      <c r="D268" s="121" t="s">
        <v>91</v>
      </c>
      <c r="E268" s="94"/>
      <c r="F268" s="94"/>
      <c r="G268" s="124">
        <f>SUM(G266:G267)</f>
        <v>-2559.0263300000001</v>
      </c>
      <c r="H268" s="124">
        <f>SUM(H266:H267)</f>
        <v>-19253.681947743062</v>
      </c>
      <c r="I268" s="124">
        <f t="shared" ref="I268:N268" si="125">SUM(I266:I267)</f>
        <v>0</v>
      </c>
      <c r="J268" s="124">
        <f t="shared" si="125"/>
        <v>0</v>
      </c>
      <c r="K268" s="124">
        <f t="shared" si="125"/>
        <v>0</v>
      </c>
      <c r="L268" s="124">
        <f t="shared" si="125"/>
        <v>0</v>
      </c>
      <c r="M268" s="124">
        <f t="shared" si="125"/>
        <v>24261.434848405032</v>
      </c>
      <c r="N268" s="124">
        <f t="shared" si="125"/>
        <v>24261.434848405032</v>
      </c>
      <c r="O268" s="124">
        <f t="shared" ref="O268" si="126">SUM(O266:O267)</f>
        <v>24261.434848405032</v>
      </c>
      <c r="P268" s="109"/>
    </row>
    <row r="269" spans="2:16" ht="15.75" customHeight="1" outlineLevel="1" x14ac:dyDescent="0.25">
      <c r="H269" s="88"/>
      <c r="N269" s="109"/>
      <c r="O269" s="109"/>
      <c r="P269" s="109"/>
    </row>
    <row r="270" spans="2:16" ht="15.75" customHeight="1" outlineLevel="1" x14ac:dyDescent="0.25">
      <c r="C270" s="25" t="s">
        <v>190</v>
      </c>
      <c r="D270" s="43" t="s">
        <v>42</v>
      </c>
      <c r="G270" s="75">
        <f>-SUMIF(G268:O268,"&gt;0",G268:O268)/SUMIF(G268:O268,"&lt;=0",G268:O268)</f>
        <v>3.3367843927698653</v>
      </c>
      <c r="N270" s="109"/>
      <c r="O270" s="109"/>
      <c r="P270" s="109"/>
    </row>
    <row r="271" spans="2:16" ht="15.75" customHeight="1" outlineLevel="1" x14ac:dyDescent="0.25">
      <c r="C271" s="25" t="s">
        <v>191</v>
      </c>
      <c r="D271" s="43" t="s">
        <v>26</v>
      </c>
      <c r="G271" s="256">
        <f>IRR(G268:O268)</f>
        <v>0.21991009876648127</v>
      </c>
      <c r="N271" s="109"/>
      <c r="O271" s="109"/>
      <c r="P271" s="109"/>
    </row>
    <row r="272" spans="2:16" ht="15.75" customHeight="1" x14ac:dyDescent="0.25">
      <c r="N272" s="109"/>
      <c r="O272" s="109"/>
      <c r="P272" s="109"/>
    </row>
    <row r="273" spans="2:16" ht="15.75" customHeight="1" x14ac:dyDescent="0.25">
      <c r="B273" s="4" t="s">
        <v>205</v>
      </c>
      <c r="C273" s="5"/>
      <c r="D273" s="6"/>
      <c r="E273" s="7"/>
      <c r="F273" s="7"/>
      <c r="G273" s="7"/>
      <c r="H273" s="7"/>
      <c r="I273" s="6"/>
      <c r="J273" s="7"/>
      <c r="K273" s="7"/>
      <c r="L273" s="7"/>
      <c r="M273" s="7"/>
      <c r="N273" s="7"/>
      <c r="O273" s="7"/>
      <c r="P273" s="109"/>
    </row>
    <row r="274" spans="2:16" ht="15.75" customHeight="1" outlineLevel="1" x14ac:dyDescent="0.25">
      <c r="N274" s="109"/>
      <c r="O274" s="109"/>
      <c r="P274" s="109"/>
    </row>
    <row r="275" spans="2:16" ht="15.75" customHeight="1" outlineLevel="1" x14ac:dyDescent="0.25">
      <c r="C275" s="44"/>
      <c r="D275" s="45"/>
      <c r="E275" s="220" t="s">
        <v>188</v>
      </c>
      <c r="F275" s="220"/>
      <c r="G275" s="221"/>
      <c r="H275" s="221"/>
      <c r="I275" s="221"/>
      <c r="J275" s="221"/>
      <c r="K275" s="221"/>
      <c r="L275" s="221"/>
      <c r="M275" s="221"/>
      <c r="N275" s="221"/>
      <c r="O275" s="222"/>
      <c r="P275" s="109"/>
    </row>
    <row r="276" spans="2:16" ht="15.75" customHeight="1" outlineLevel="1" x14ac:dyDescent="0.25">
      <c r="C276" s="46"/>
      <c r="D276" s="47">
        <f>$G$271</f>
        <v>0.21991009876648127</v>
      </c>
      <c r="E276" s="59">
        <v>10</v>
      </c>
      <c r="F276" s="60">
        <f>E276+2.5</f>
        <v>12.5</v>
      </c>
      <c r="G276" s="61">
        <f t="shared" ref="G276:O276" si="127">F276+2.5</f>
        <v>15</v>
      </c>
      <c r="H276" s="60">
        <f t="shared" si="127"/>
        <v>17.5</v>
      </c>
      <c r="I276" s="61">
        <f t="shared" si="127"/>
        <v>20</v>
      </c>
      <c r="J276" s="60">
        <f t="shared" si="127"/>
        <v>22.5</v>
      </c>
      <c r="K276" s="61">
        <f t="shared" si="127"/>
        <v>25</v>
      </c>
      <c r="L276" s="60">
        <f t="shared" si="127"/>
        <v>27.5</v>
      </c>
      <c r="M276" s="61">
        <f t="shared" si="127"/>
        <v>30</v>
      </c>
      <c r="N276" s="60">
        <f t="shared" si="127"/>
        <v>32.5</v>
      </c>
      <c r="O276" s="62">
        <f t="shared" si="127"/>
        <v>35</v>
      </c>
      <c r="P276" s="109"/>
    </row>
    <row r="277" spans="2:16" ht="15.75" customHeight="1" outlineLevel="1" x14ac:dyDescent="0.25">
      <c r="C277" s="290" t="s">
        <v>131</v>
      </c>
      <c r="D277" s="55">
        <v>0.5</v>
      </c>
      <c r="E277" s="73">
        <f t="dataTable" ref="E277:O285" dt2D="1" dtr="1" r1="K29" r2="E11" ca="1"/>
        <v>-5.5866963200342346E-2</v>
      </c>
      <c r="F277" s="73">
        <v>1.0053349277514556E-2</v>
      </c>
      <c r="G277" s="74">
        <v>5.9608564351329552E-2</v>
      </c>
      <c r="H277" s="73">
        <v>9.9763525368728789E-2</v>
      </c>
      <c r="I277" s="74">
        <v>0.13374791226848948</v>
      </c>
      <c r="J277" s="73">
        <v>0.16334145103162001</v>
      </c>
      <c r="K277" s="74">
        <v>0.18963595081845996</v>
      </c>
      <c r="L277" s="73">
        <v>0.21335252173965613</v>
      </c>
      <c r="M277" s="74">
        <v>0.23499392319565371</v>
      </c>
      <c r="N277" s="73">
        <v>0.25492551992509349</v>
      </c>
      <c r="O277" s="73">
        <v>0.27342168959933422</v>
      </c>
      <c r="P277" s="109"/>
    </row>
    <row r="278" spans="2:16" ht="15.75" customHeight="1" outlineLevel="1" x14ac:dyDescent="0.25">
      <c r="C278" s="291"/>
      <c r="D278" s="56">
        <f>D277-2.5%</f>
        <v>0.47499999999999998</v>
      </c>
      <c r="E278" s="73">
        <v>-5.1223927887900644E-2</v>
      </c>
      <c r="F278" s="73">
        <v>1.5018584623093245E-2</v>
      </c>
      <c r="G278" s="74">
        <v>6.4814546677269824E-2</v>
      </c>
      <c r="H278" s="73">
        <v>0.10516358660526515</v>
      </c>
      <c r="I278" s="74">
        <v>0.13931149028181578</v>
      </c>
      <c r="J278" s="73">
        <v>0.16904684588177044</v>
      </c>
      <c r="K278" s="74">
        <v>0.19546689157373809</v>
      </c>
      <c r="L278" s="73">
        <v>0.2192963183204848</v>
      </c>
      <c r="M278" s="74">
        <v>0.24104037885319629</v>
      </c>
      <c r="N278" s="73">
        <v>0.26106624759916586</v>
      </c>
      <c r="O278" s="73">
        <v>0.27964965961813748</v>
      </c>
      <c r="P278" s="109"/>
    </row>
    <row r="279" spans="2:16" ht="15.75" customHeight="1" outlineLevel="1" x14ac:dyDescent="0.25">
      <c r="C279" s="291"/>
      <c r="D279" s="56">
        <f t="shared" ref="D279:D285" si="128">D278-2.5%</f>
        <v>0.44999999999999996</v>
      </c>
      <c r="E279" s="73">
        <v>-4.6415453246538507E-2</v>
      </c>
      <c r="F279" s="73">
        <v>2.0159332818119102E-2</v>
      </c>
      <c r="G279" s="74">
        <v>7.0203442045988718E-2</v>
      </c>
      <c r="H279" s="73">
        <v>0.11075244747943747</v>
      </c>
      <c r="I279" s="74">
        <v>0.14506877267808904</v>
      </c>
      <c r="J279" s="73">
        <v>0.17495015829796667</v>
      </c>
      <c r="K279" s="74">
        <v>0.20149944816016263</v>
      </c>
      <c r="L279" s="73">
        <v>0.22544502990370208</v>
      </c>
      <c r="M279" s="74">
        <v>0.24729472981288825</v>
      </c>
      <c r="N279" s="73">
        <v>0.26741758995175902</v>
      </c>
      <c r="O279" s="73">
        <v>0.28609074604192397</v>
      </c>
      <c r="P279" s="109"/>
    </row>
    <row r="280" spans="2:16" ht="15.75" customHeight="1" outlineLevel="1" x14ac:dyDescent="0.25">
      <c r="C280" s="291"/>
      <c r="D280" s="56">
        <f t="shared" si="128"/>
        <v>0.42499999999999993</v>
      </c>
      <c r="E280" s="73">
        <v>-4.1430434605849831E-2</v>
      </c>
      <c r="F280" s="73">
        <v>2.5487260718338511E-2</v>
      </c>
      <c r="G280" s="74">
        <v>7.5787320627088484E-2</v>
      </c>
      <c r="H280" s="73">
        <v>0.11654249299784469</v>
      </c>
      <c r="I280" s="74">
        <v>0.15103240265996676</v>
      </c>
      <c r="J280" s="73">
        <v>0.181064250239233</v>
      </c>
      <c r="K280" s="74">
        <v>0.20774667221355925</v>
      </c>
      <c r="L280" s="73">
        <v>0.2318118754600389</v>
      </c>
      <c r="M280" s="74">
        <v>0.25377034467484427</v>
      </c>
      <c r="N280" s="73">
        <v>0.27399305083034853</v>
      </c>
      <c r="O280" s="73">
        <v>0.29275857605061151</v>
      </c>
      <c r="P280" s="109"/>
    </row>
    <row r="281" spans="2:16" ht="15.75" customHeight="1" outlineLevel="1" x14ac:dyDescent="0.25">
      <c r="C281" s="291"/>
      <c r="D281" s="56">
        <f t="shared" si="128"/>
        <v>0.39999999999999991</v>
      </c>
      <c r="E281" s="73">
        <v>-3.6256656058903269E-2</v>
      </c>
      <c r="F281" s="73">
        <v>3.1015189963140344E-2</v>
      </c>
      <c r="G281" s="74">
        <v>8.1579437519073039E-2</v>
      </c>
      <c r="H281" s="73">
        <v>0.12254731594754498</v>
      </c>
      <c r="I281" s="74">
        <v>0.15721624949404078</v>
      </c>
      <c r="J281" s="73">
        <v>0.18740322486943484</v>
      </c>
      <c r="K281" s="74">
        <v>0.21422286943647029</v>
      </c>
      <c r="L281" s="73">
        <v>0.23841133916617929</v>
      </c>
      <c r="M281" s="74">
        <v>0.26048186703019449</v>
      </c>
      <c r="N281" s="73">
        <v>0.28080741777269136</v>
      </c>
      <c r="O281" s="73">
        <v>0.29966806832359616</v>
      </c>
      <c r="P281" s="109"/>
    </row>
    <row r="282" spans="2:16" ht="15.75" customHeight="1" outlineLevel="1" x14ac:dyDescent="0.25">
      <c r="C282" s="291"/>
      <c r="D282" s="58">
        <f t="shared" si="128"/>
        <v>0.37499999999999989</v>
      </c>
      <c r="E282" s="74">
        <v>-3.0880640780943769E-2</v>
      </c>
      <c r="F282" s="74">
        <v>3.6757250662758256E-2</v>
      </c>
      <c r="G282" s="74">
        <v>8.7594389031219189E-2</v>
      </c>
      <c r="H282" s="74">
        <v>0.12878187504220384</v>
      </c>
      <c r="I282" s="74">
        <v>0.16363556805606838</v>
      </c>
      <c r="J282" s="74">
        <v>0.1939825872131169</v>
      </c>
      <c r="K282" s="74">
        <v>0.22094376115529513</v>
      </c>
      <c r="L282" s="74">
        <v>0.24525933269895694</v>
      </c>
      <c r="M282" s="74">
        <v>0.26744537837616233</v>
      </c>
      <c r="N282" s="74">
        <v>0.28787692544852161</v>
      </c>
      <c r="O282" s="74">
        <v>0.30683559693448115</v>
      </c>
      <c r="P282" s="110"/>
    </row>
    <row r="283" spans="2:16" ht="15.75" customHeight="1" outlineLevel="1" x14ac:dyDescent="0.25">
      <c r="C283" s="291"/>
      <c r="D283" s="56">
        <f t="shared" si="128"/>
        <v>0.34999999999999987</v>
      </c>
      <c r="E283" s="73">
        <v>-2.5287475727586717E-2</v>
      </c>
      <c r="F283" s="73">
        <v>4.2729061046733019E-2</v>
      </c>
      <c r="G283" s="74">
        <v>9.3848295111446989E-2</v>
      </c>
      <c r="H283" s="73">
        <v>0.13526267930587688</v>
      </c>
      <c r="I283" s="74">
        <v>0.17030718468492356</v>
      </c>
      <c r="J283" s="73">
        <v>0.20081943114803447</v>
      </c>
      <c r="K283" s="74">
        <v>0.22792667221957408</v>
      </c>
      <c r="L283" s="73">
        <v>0.25237338387611064</v>
      </c>
      <c r="M283" s="74">
        <v>0.27467858736723283</v>
      </c>
      <c r="N283" s="73">
        <v>0.29521944542026657</v>
      </c>
      <c r="O283" s="73">
        <v>0.31427918153468326</v>
      </c>
      <c r="P283" s="109"/>
    </row>
    <row r="284" spans="2:16" ht="15.75" customHeight="1" outlineLevel="1" x14ac:dyDescent="0.25">
      <c r="C284" s="291"/>
      <c r="D284" s="56">
        <f t="shared" si="128"/>
        <v>0.32499999999999984</v>
      </c>
      <c r="E284" s="73">
        <v>-1.9460605336739323E-2</v>
      </c>
      <c r="F284" s="73">
        <v>4.8947938451130435E-2</v>
      </c>
      <c r="G284" s="74">
        <v>0.10035901327121777</v>
      </c>
      <c r="H284" s="73">
        <v>0.14200800403549807</v>
      </c>
      <c r="I284" s="74">
        <v>0.17724971464110384</v>
      </c>
      <c r="J284" s="73">
        <v>0.20793265800607319</v>
      </c>
      <c r="K284" s="74">
        <v>0.23519075049535187</v>
      </c>
      <c r="L284" s="73">
        <v>0.2597728568607105</v>
      </c>
      <c r="M284" s="74">
        <v>0.28220105059375422</v>
      </c>
      <c r="N284" s="73">
        <v>0.3028547073890564</v>
      </c>
      <c r="O284" s="73">
        <v>0.32201870898994533</v>
      </c>
      <c r="P284" s="110"/>
    </row>
    <row r="285" spans="2:16" ht="15.75" customHeight="1" outlineLevel="1" x14ac:dyDescent="0.25">
      <c r="C285" s="292"/>
      <c r="D285" s="57">
        <f t="shared" si="128"/>
        <v>0.29999999999999982</v>
      </c>
      <c r="E285" s="73">
        <v>-1.3381587515486792E-2</v>
      </c>
      <c r="F285" s="73">
        <v>5.5433148333029258E-2</v>
      </c>
      <c r="G285" s="74">
        <v>0.10714639066107789</v>
      </c>
      <c r="H285" s="73">
        <v>0.14903814495019274</v>
      </c>
      <c r="I285" s="74">
        <v>0.18448381773784672</v>
      </c>
      <c r="J285" s="73">
        <v>0.21534323330309846</v>
      </c>
      <c r="K285" s="74">
        <v>0.24275722443433678</v>
      </c>
      <c r="L285" s="73">
        <v>0.26747921037459332</v>
      </c>
      <c r="M285" s="74">
        <v>0.29003443129545814</v>
      </c>
      <c r="N285" s="73">
        <v>0.31080455830030873</v>
      </c>
      <c r="O285" s="73">
        <v>0.33007619278019873</v>
      </c>
      <c r="P285" s="109"/>
    </row>
    <row r="286" spans="2:16" ht="15.75" customHeight="1" outlineLevel="1" x14ac:dyDescent="0.25">
      <c r="I286" s="103"/>
      <c r="O286" s="109"/>
      <c r="P286" s="109"/>
    </row>
    <row r="287" spans="2:16" ht="15.75" customHeight="1" outlineLevel="1" x14ac:dyDescent="0.25">
      <c r="C287" s="44"/>
      <c r="D287" s="45"/>
      <c r="E287" s="220" t="str">
        <f>$E$275</f>
        <v>LTM TEV / EBITDA Exit Multiple:</v>
      </c>
      <c r="F287" s="220"/>
      <c r="G287" s="221"/>
      <c r="H287" s="221"/>
      <c r="I287" s="221"/>
      <c r="J287" s="221"/>
      <c r="K287" s="221"/>
      <c r="L287" s="221"/>
      <c r="M287" s="221"/>
      <c r="N287" s="221"/>
      <c r="O287" s="222"/>
      <c r="P287" s="109"/>
    </row>
    <row r="288" spans="2:16" ht="15.75" customHeight="1" outlineLevel="1" x14ac:dyDescent="0.25">
      <c r="C288" s="46"/>
      <c r="D288" s="245">
        <f>$G$271</f>
        <v>0.21991009876648127</v>
      </c>
      <c r="E288" s="60">
        <f>E276</f>
        <v>10</v>
      </c>
      <c r="F288" s="60">
        <f t="shared" ref="F288:O288" si="129">F276</f>
        <v>12.5</v>
      </c>
      <c r="G288" s="61">
        <f t="shared" si="129"/>
        <v>15</v>
      </c>
      <c r="H288" s="60">
        <f t="shared" si="129"/>
        <v>17.5</v>
      </c>
      <c r="I288" s="61">
        <f t="shared" si="129"/>
        <v>20</v>
      </c>
      <c r="J288" s="60">
        <f t="shared" si="129"/>
        <v>22.5</v>
      </c>
      <c r="K288" s="61">
        <f t="shared" si="129"/>
        <v>25</v>
      </c>
      <c r="L288" s="60">
        <f t="shared" si="129"/>
        <v>27.5</v>
      </c>
      <c r="M288" s="61">
        <f t="shared" si="129"/>
        <v>30</v>
      </c>
      <c r="N288" s="60">
        <f t="shared" si="129"/>
        <v>32.5</v>
      </c>
      <c r="O288" s="62">
        <f t="shared" si="129"/>
        <v>35</v>
      </c>
      <c r="P288" s="109"/>
    </row>
    <row r="289" spans="3:16" ht="15.75" customHeight="1" outlineLevel="1" x14ac:dyDescent="0.25">
      <c r="C289" s="293" t="s">
        <v>95</v>
      </c>
      <c r="D289" s="247" t="s">
        <v>105</v>
      </c>
      <c r="E289" s="174">
        <f t="dataTable" ref="E289:O292" dt2D="1" dtr="1" r1="K29" r2="E34"/>
        <v>-0.11971835140325771</v>
      </c>
      <c r="F289" s="175">
        <v>-2.7417646992763278E-2</v>
      </c>
      <c r="G289" s="175">
        <v>3.4552689359022226E-2</v>
      </c>
      <c r="H289" s="175">
        <v>8.2113897336976382E-2</v>
      </c>
      <c r="I289" s="175">
        <v>0.12109095226840783</v>
      </c>
      <c r="J289" s="175">
        <v>0.15431403493645379</v>
      </c>
      <c r="K289" s="175">
        <v>0.18338644659221415</v>
      </c>
      <c r="L289" s="175">
        <v>0.20931009773871634</v>
      </c>
      <c r="M289" s="246">
        <v>0.23275555873984444</v>
      </c>
      <c r="N289" s="175">
        <v>0.25419505554882571</v>
      </c>
      <c r="O289" s="175">
        <v>0.27397446111244683</v>
      </c>
      <c r="P289" s="109"/>
    </row>
    <row r="290" spans="3:16" ht="15.75" customHeight="1" outlineLevel="1" x14ac:dyDescent="0.25">
      <c r="C290" s="294"/>
      <c r="D290" s="247" t="s">
        <v>98</v>
      </c>
      <c r="E290" s="176">
        <v>-3.1707921029792585E-2</v>
      </c>
      <c r="F290" s="73">
        <v>3.5873774189843832E-2</v>
      </c>
      <c r="G290" s="73">
        <v>8.6669029141005938E-2</v>
      </c>
      <c r="H290" s="73">
        <v>0.12782281679912333</v>
      </c>
      <c r="I290" s="73">
        <v>0.16264816376174451</v>
      </c>
      <c r="J290" s="73">
        <v>0.19297063242173529</v>
      </c>
      <c r="K290" s="74">
        <v>0.21991009876648127</v>
      </c>
      <c r="L290" s="73">
        <v>0.24420617784539322</v>
      </c>
      <c r="M290" s="73">
        <v>0.26637450943976093</v>
      </c>
      <c r="N290" s="73">
        <v>0.28678980404883569</v>
      </c>
      <c r="O290" s="73">
        <v>0.30573344725982743</v>
      </c>
      <c r="P290" s="109"/>
    </row>
    <row r="291" spans="3:16" ht="15.75" customHeight="1" outlineLevel="1" x14ac:dyDescent="0.25">
      <c r="C291" s="294"/>
      <c r="D291" s="247" t="s">
        <v>150</v>
      </c>
      <c r="E291" s="176">
        <v>-3.3173246667143386E-2</v>
      </c>
      <c r="F291" s="73">
        <v>3.2921643481897522E-2</v>
      </c>
      <c r="G291" s="73">
        <v>8.2838473423046288E-2</v>
      </c>
      <c r="H291" s="73">
        <v>0.12338520348964099</v>
      </c>
      <c r="I291" s="74">
        <v>0.15775244263376509</v>
      </c>
      <c r="J291" s="73">
        <v>0.18770929025398808</v>
      </c>
      <c r="K291" s="73">
        <v>0.21434547974053531</v>
      </c>
      <c r="L291" s="73">
        <v>0.23838284827523126</v>
      </c>
      <c r="M291" s="73">
        <v>0.26032576118817041</v>
      </c>
      <c r="N291" s="73">
        <v>0.28054137239424581</v>
      </c>
      <c r="O291" s="73">
        <v>0.29930577725269902</v>
      </c>
      <c r="P291" s="109"/>
    </row>
    <row r="292" spans="3:16" ht="15.75" customHeight="1" outlineLevel="1" x14ac:dyDescent="0.25">
      <c r="C292" s="295"/>
      <c r="D292" s="257" t="s">
        <v>221</v>
      </c>
      <c r="E292" s="73" t="e">
        <v>#NUM!</v>
      </c>
      <c r="F292" s="73" t="e">
        <v>#NUM!</v>
      </c>
      <c r="G292" s="74">
        <v>-0.30241513397621178</v>
      </c>
      <c r="H292" s="73">
        <v>-0.17341636266308535</v>
      </c>
      <c r="I292" s="73">
        <v>-0.10346675294540919</v>
      </c>
      <c r="J292" s="73">
        <v>-5.3628686210152821E-2</v>
      </c>
      <c r="K292" s="73">
        <v>-1.4338880242326657E-2</v>
      </c>
      <c r="L292" s="73">
        <v>1.835832507258206E-2</v>
      </c>
      <c r="M292" s="73">
        <v>4.6507867599701935E-2</v>
      </c>
      <c r="N292" s="73">
        <v>7.1313367509415526E-2</v>
      </c>
      <c r="O292" s="73">
        <v>9.3546886252140471E-2</v>
      </c>
      <c r="P292" s="109"/>
    </row>
    <row r="293" spans="3:16" ht="15.75" customHeight="1" outlineLevel="1" x14ac:dyDescent="0.25">
      <c r="I293" s="103"/>
      <c r="O293" s="109"/>
      <c r="P293" s="109"/>
    </row>
    <row r="294" spans="3:16" ht="15.75" customHeight="1" outlineLevel="1" x14ac:dyDescent="0.25">
      <c r="C294" s="44"/>
      <c r="D294" s="45"/>
      <c r="E294" s="220" t="s">
        <v>204</v>
      </c>
      <c r="F294" s="220"/>
      <c r="G294" s="221"/>
      <c r="H294" s="221"/>
      <c r="I294" s="221"/>
      <c r="J294" s="221"/>
      <c r="K294" s="221"/>
      <c r="L294" s="221"/>
      <c r="M294" s="221"/>
      <c r="N294" s="221"/>
      <c r="O294" s="222"/>
    </row>
    <row r="295" spans="3:16" ht="15.75" customHeight="1" outlineLevel="1" x14ac:dyDescent="0.25">
      <c r="C295" s="46"/>
      <c r="D295" s="245">
        <f>$G$271</f>
        <v>0.21991009876648127</v>
      </c>
      <c r="E295" s="59">
        <v>10</v>
      </c>
      <c r="F295" s="60">
        <v>11</v>
      </c>
      <c r="G295" s="60">
        <v>12</v>
      </c>
      <c r="H295" s="60">
        <v>13</v>
      </c>
      <c r="I295" s="60">
        <v>14</v>
      </c>
      <c r="J295" s="60">
        <v>15</v>
      </c>
      <c r="K295" s="61">
        <v>16</v>
      </c>
      <c r="L295" s="60">
        <v>17</v>
      </c>
      <c r="M295" s="60">
        <v>18</v>
      </c>
      <c r="N295" s="60">
        <v>19</v>
      </c>
      <c r="O295" s="62">
        <v>20</v>
      </c>
    </row>
    <row r="296" spans="3:16" ht="15.75" customHeight="1" outlineLevel="1" x14ac:dyDescent="0.25">
      <c r="C296" s="290" t="s">
        <v>95</v>
      </c>
      <c r="D296" s="247" t="s">
        <v>105</v>
      </c>
      <c r="E296" s="174">
        <f t="dataTable" ref="E296:O299" dt2D="1" dtr="1" r1="K23" r2="E34" ca="1"/>
        <v>0.19137755015440994</v>
      </c>
      <c r="F296" s="175">
        <v>0.19667974750312323</v>
      </c>
      <c r="G296" s="175">
        <v>0.20240435812800661</v>
      </c>
      <c r="H296" s="175">
        <v>0.20860467537768135</v>
      </c>
      <c r="I296" s="175">
        <v>0.21534692541075917</v>
      </c>
      <c r="J296" s="175">
        <v>0.22270520847854924</v>
      </c>
      <c r="K296" s="246">
        <v>0.23077884832445794</v>
      </c>
      <c r="L296" s="175">
        <v>0.23968276036442004</v>
      </c>
      <c r="M296" s="175">
        <v>0.24955889644773355</v>
      </c>
      <c r="N296" s="175">
        <v>0.26058495680195137</v>
      </c>
      <c r="O296" s="175">
        <v>0.2729867878894503</v>
      </c>
    </row>
    <row r="297" spans="3:16" ht="15.75" customHeight="1" outlineLevel="1" x14ac:dyDescent="0.25">
      <c r="C297" s="296"/>
      <c r="D297" s="247" t="s">
        <v>98</v>
      </c>
      <c r="E297" s="176">
        <v>0.18033126656521437</v>
      </c>
      <c r="F297" s="73">
        <v>0.18538942859228236</v>
      </c>
      <c r="G297" s="73">
        <v>0.19085690845816594</v>
      </c>
      <c r="H297" s="73">
        <v>0.19678482094011041</v>
      </c>
      <c r="I297" s="73">
        <v>0.20323684080076521</v>
      </c>
      <c r="J297" s="73">
        <v>0.21028383141692619</v>
      </c>
      <c r="K297" s="74">
        <v>0.21801685187516306</v>
      </c>
      <c r="L297" s="73">
        <v>0.22653859660006348</v>
      </c>
      <c r="M297" s="73">
        <v>0.23599185142455936</v>
      </c>
      <c r="N297" s="73">
        <v>0.24653869426219299</v>
      </c>
      <c r="O297" s="73">
        <v>0.25841937508786894</v>
      </c>
    </row>
    <row r="298" spans="3:16" ht="15.75" customHeight="1" outlineLevel="1" x14ac:dyDescent="0.25">
      <c r="C298" s="296"/>
      <c r="D298" s="247" t="s">
        <v>150</v>
      </c>
      <c r="E298" s="176">
        <v>0.12981140529940904</v>
      </c>
      <c r="F298" s="73">
        <v>0.13330715849956243</v>
      </c>
      <c r="G298" s="73">
        <v>0.13711006886825472</v>
      </c>
      <c r="H298" s="73">
        <v>0.14126307974133501</v>
      </c>
      <c r="I298" s="73">
        <v>0.14581764455457891</v>
      </c>
      <c r="J298" s="73">
        <v>0.15083354631145296</v>
      </c>
      <c r="K298" s="74">
        <v>0.15638504647638007</v>
      </c>
      <c r="L298" s="73">
        <v>0.1625598592362405</v>
      </c>
      <c r="M298" s="73">
        <v>0.16947230546293546</v>
      </c>
      <c r="N298" s="73">
        <v>0.1772574372213207</v>
      </c>
      <c r="O298" s="73">
        <v>0.18611040680337365</v>
      </c>
    </row>
    <row r="299" spans="3:16" ht="15.75" customHeight="1" outlineLevel="1" x14ac:dyDescent="0.25">
      <c r="C299" s="292"/>
      <c r="D299" s="257" t="s">
        <v>221</v>
      </c>
      <c r="E299" s="73">
        <v>-0.11385961684420265</v>
      </c>
      <c r="F299" s="73">
        <v>-0.12740660008414217</v>
      </c>
      <c r="G299" s="73">
        <v>-0.14379258058771949</v>
      </c>
      <c r="H299" s="73">
        <v>-0.16417819467266426</v>
      </c>
      <c r="I299" s="73">
        <v>-0.19057644521739148</v>
      </c>
      <c r="J299" s="73">
        <v>-0.22702230089062914</v>
      </c>
      <c r="K299" s="74">
        <v>-0.28368263745167421</v>
      </c>
      <c r="L299" s="73" t="e">
        <v>#NUM!</v>
      </c>
      <c r="M299" s="73" t="e">
        <v>#NUM!</v>
      </c>
      <c r="N299" s="73" t="e">
        <v>#NUM!</v>
      </c>
      <c r="O299" s="73" t="e">
        <v>#NUM!</v>
      </c>
    </row>
  </sheetData>
  <mergeCells count="3">
    <mergeCell ref="C277:C285"/>
    <mergeCell ref="C289:C292"/>
    <mergeCell ref="C296:C299"/>
  </mergeCells>
  <dataValidations disablePrompts="1" count="1">
    <dataValidation type="list" allowBlank="1" showInputMessage="1" showErrorMessage="1" sqref="E34" xr:uid="{65D74862-9FB9-4153-B774-268EF1486986}">
      <formula1>$C$89:$C$92</formula1>
    </dataValidation>
  </dataValidations>
  <pageMargins left="0.7" right="0.7" top="0.75" bottom="0.75" header="0.3" footer="0.3"/>
  <pageSetup scale="42" orientation="portrait" horizontalDpi="1200" verticalDpi="1200" r:id="rId1"/>
  <rowBreaks count="4" manualBreakCount="4">
    <brk id="56" max="15" man="1"/>
    <brk id="124" max="15" man="1"/>
    <brk id="194" max="15" man="1"/>
    <brk id="255" max="15" man="1"/>
  </rowBreaks>
  <ignoredErrors>
    <ignoredError sqref="K30:K32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LBO_TWTR</vt:lpstr>
      <vt:lpstr>Company_Name</vt:lpstr>
      <vt:lpstr>Exit_Multiple</vt:lpstr>
      <vt:lpstr>Fwd_EBITDA</vt:lpstr>
      <vt:lpstr>Hist_Year</vt:lpstr>
      <vt:lpstr>IPO_Pct_Stake</vt:lpstr>
      <vt:lpstr>LTM_EBITDA</vt:lpstr>
      <vt:lpstr>Min_Cash_Pct_OpEx</vt:lpstr>
      <vt:lpstr>Offer_Price</vt:lpstr>
      <vt:lpstr>LBO_TWTR!Print_Area</vt:lpstr>
      <vt:lpstr>Purchase_Multiple</vt:lpstr>
      <vt:lpstr>Rollover_Cost_Basis</vt:lpstr>
      <vt:lpstr>Scenario</vt:lpstr>
      <vt:lpstr>SOFR</vt:lpstr>
      <vt:lpstr>Sponsor_Equity</vt:lpstr>
      <vt:lpstr>Tax_Rate</vt:lpstr>
      <vt:lpstr>Ticker</vt:lpstr>
      <vt:lpstr>Units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BIWS</dc:creator>
  <cp:lastModifiedBy>BIWS</cp:lastModifiedBy>
  <cp:lastPrinted>2021-05-13T00:30:28Z</cp:lastPrinted>
  <dcterms:created xsi:type="dcterms:W3CDTF">2016-10-28T03:10:17Z</dcterms:created>
  <dcterms:modified xsi:type="dcterms:W3CDTF">2022-05-04T02:04:20Z</dcterms:modified>
</cp:coreProperties>
</file>